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Sengco\Desktop\Nutrient Cost Study - New OP Review\FINAL DOCUMENTS_April 30 2015\"/>
    </mc:Choice>
  </mc:AlternateContent>
  <bookViews>
    <workbookView xWindow="0" yWindow="0" windowWidth="14370" windowHeight="7335" tabRatio="802"/>
  </bookViews>
  <sheets>
    <sheet name="Instructions" sheetId="76" r:id="rId1"/>
    <sheet name="File Info" sheetId="15" r:id="rId2"/>
    <sheet name="Lakes and Flowing Waters" sheetId="14" r:id="rId3"/>
    <sheet name="Estuaries and Coasts" sheetId="11" r:id="rId4"/>
    <sheet name="Point Sources --&gt;" sheetId="60" r:id="rId5"/>
    <sheet name="Municipal" sheetId="61" r:id="rId6"/>
    <sheet name="Industrial" sheetId="62" r:id="rId7"/>
    <sheet name="Decentralized" sheetId="63" r:id="rId8"/>
    <sheet name="Point Source Anecdotal" sheetId="72" r:id="rId9"/>
    <sheet name="Nonpoint Sources --&gt;" sheetId="64" r:id="rId10"/>
    <sheet name="Urban Runoff" sheetId="67" r:id="rId11"/>
    <sheet name="Restoration and Mitigation --&gt;" sheetId="68" r:id="rId12"/>
    <sheet name="Restoration" sheetId="59" r:id="rId13"/>
    <sheet name="Mitigation" sheetId="70" r:id="rId14"/>
    <sheet name="Mitigation Anecdotal" sheetId="75" r:id="rId15"/>
    <sheet name="Economic Impacts --&gt;" sheetId="50" r:id="rId16"/>
    <sheet name="Index" sheetId="31" r:id="rId17"/>
    <sheet name="Tourism" sheetId="21" r:id="rId18"/>
    <sheet name="Fisheries" sheetId="18" r:id="rId19"/>
    <sheet name="Property Value" sheetId="17" r:id="rId20"/>
    <sheet name="Health Effects" sheetId="20" r:id="rId21"/>
    <sheet name="Drinking Water Treatment" sheetId="19" r:id="rId22"/>
    <sheet name="Anecdotal Impacts" sheetId="30" r:id="rId23"/>
    <sheet name="Additional Studies" sheetId="33" r:id="rId24"/>
    <sheet name="CBAs" sheetId="37" r:id="rId25"/>
    <sheet name="Benefits Studies" sheetId="38" r:id="rId26"/>
    <sheet name="References" sheetId="36" r:id="rId27"/>
    <sheet name="Regions" sheetId="32" r:id="rId28"/>
    <sheet name="Dollar Adjustments" sheetId="71" r:id="rId29"/>
  </sheets>
  <externalReferences>
    <externalReference r:id="rId30"/>
  </externalReferences>
  <definedNames>
    <definedName name="_xlnm._FilterDatabase" localSheetId="7" hidden="1">Decentralized!$A$3:$O$18</definedName>
    <definedName name="_xlnm._FilterDatabase" localSheetId="16" hidden="1">Index!$A$3:$H$56</definedName>
    <definedName name="_xlnm._FilterDatabase" localSheetId="6" hidden="1">Industrial!$A$4:$U$25</definedName>
    <definedName name="_xlnm._FilterDatabase" localSheetId="13" hidden="1">Mitigation!$A$3:$S$34</definedName>
    <definedName name="_xlnm._FilterDatabase" localSheetId="14" hidden="1">'Mitigation Anecdotal'!$A$3:$S$34</definedName>
    <definedName name="_xlnm._FilterDatabase" localSheetId="5" hidden="1">Municipal!$A$4:$S$374</definedName>
    <definedName name="_xlnm._FilterDatabase" localSheetId="8" hidden="1">'Point Source Anecdotal'!$A$4:$O$73</definedName>
    <definedName name="_xlnm._FilterDatabase" localSheetId="12" hidden="1">Restoration!$A$3:$L$17</definedName>
    <definedName name="_xlnm._FilterDatabase" localSheetId="10" hidden="1">'Urban Runoff'!$A$3:$M$140</definedName>
    <definedName name="Adamsetal2002">'Additional Studies'!$A$8</definedName>
    <definedName name="Andersonetal2000">'Additional Studies'!$A$16</definedName>
    <definedName name="Araetal2006">'Property Value'!$A$10</definedName>
    <definedName name="athearn2008">'Additional Studies'!$A$5</definedName>
    <definedName name="average_annual_adj">'Dollar Adjustments'!$E$17</definedName>
    <definedName name="Boyleetal1998">'Property Value'!$A$14</definedName>
    <definedName name="CareyLeftwich2000">'Additional Studies'!$A$9</definedName>
    <definedName name="Caronetal2010">'Additional Studies'!$A$13</definedName>
    <definedName name="CCI_2011">'Dollar Adjustments'!$B$29</definedName>
    <definedName name="CCIDataPull">[1]DataPull!$1:$1048576</definedName>
    <definedName name="Cesaretal2002">'Additional Studies'!$A$15</definedName>
    <definedName name="CityNews2011">'Anecdotal Impacts'!$A$11</definedName>
    <definedName name="CPI">'Dollar Adjustments'!$A$4:$C$37</definedName>
    <definedName name="DavenportDrake2011">Tourism!$A$5</definedName>
    <definedName name="DavenportDrake2011b">'Drinking Water Treatment'!$A$5</definedName>
    <definedName name="Davenportetal2010">Tourism!$A$6</definedName>
    <definedName name="DesMoines2013">'Anecdotal Impacts'!$A$8</definedName>
    <definedName name="Doddsetal2009">'Additional Studies'!$A$17</definedName>
    <definedName name="DysonHuppert2010">Tourism!$A$10</definedName>
    <definedName name="ENR_CCI">'Dollar Adjustments'!$A$14:$C$37</definedName>
    <definedName name="EvansJones2001">Tourism!$A$7</definedName>
    <definedName name="EvansJones2001b">Fisheries!$A$7</definedName>
    <definedName name="Gibbsetal2002">'Property Value'!$A$8</definedName>
    <definedName name="Glass2003">'Anecdotal Impacts'!$A$13</definedName>
    <definedName name="Gorte1994">'Additional Studies'!$A$10</definedName>
    <definedName name="Henry2013">'Anecdotal Impacts'!$A$9</definedName>
    <definedName name="Hoaglandetal2009">'Health Effects'!$A$5</definedName>
    <definedName name="Hunt2013">'Anecdotal Impacts'!$A$5</definedName>
    <definedName name="Jinetal2008">Fisheries!$A$6</definedName>
    <definedName name="KashianKasper2011">'Property Value'!$A$12</definedName>
    <definedName name="KDHE2011">'Anecdotal Impacts'!$A$12</definedName>
    <definedName name="Kryseletal2003">'Property Value'!$A$11</definedName>
    <definedName name="LakeErie2012">'Anecdotal Impacts'!$A$10</definedName>
    <definedName name="LarkinAdams2007">Tourism!$A$8</definedName>
    <definedName name="Lollar2008">'Anecdotal Impacts'!$A$7</definedName>
    <definedName name="Michaeletal2000">'Property Value'!$A$6</definedName>
    <definedName name="Mistiaenetal2003">Fisheries!$A$5</definedName>
    <definedName name="Morganetal2008">Tourism!$A$9</definedName>
    <definedName name="MorganLarkin2006">'Additional Studies'!$A$7</definedName>
    <definedName name="OhDitton2005">Tourism!$A$11</definedName>
    <definedName name="Pooretal2002">'Property Value'!$A$7</definedName>
    <definedName name="Pooretal2007">'Property Value'!$A$5</definedName>
    <definedName name="_xlnm.Print_Area" localSheetId="7">Decentralized!$A$3:$O$18</definedName>
    <definedName name="_xlnm.Print_Area" localSheetId="6">Industrial!$A$4:$U$25</definedName>
    <definedName name="_xlnm.Print_Area" localSheetId="13">Mitigation!$A$3:$S$29</definedName>
    <definedName name="_xlnm.Print_Area" localSheetId="14">'Mitigation Anecdotal'!$A$3:$S$29</definedName>
    <definedName name="_xlnm.Print_Area" localSheetId="8">'Point Source Anecdotal'!$A$3:$L$76</definedName>
    <definedName name="_xlnm.Print_Area" localSheetId="10">'Urban Runoff'!$A$3:$M$56</definedName>
    <definedName name="_xlnm.Print_Titles" localSheetId="8">'Point Source Anecdotal'!$4:$4</definedName>
    <definedName name="Ralonde2001">Fisheries!$A$9</definedName>
    <definedName name="Ribaudoetal2011">'Additional Studies'!$A$6</definedName>
    <definedName name="Steinnes1992">'Additional Studies'!$A$11</definedName>
    <definedName name="vanBeukeringCesar2004">'Additional Studies'!$A$14</definedName>
    <definedName name="Walshetal2011">'Property Value'!$A$9</definedName>
    <definedName name="Wheeler2013">'Anecdotal Impacts'!$A$6</definedName>
    <definedName name="Young1984">'Additional Studies'!$A$12</definedName>
  </definedNames>
  <calcPr calcId="152511"/>
</workbook>
</file>

<file path=xl/calcChain.xml><?xml version="1.0" encoding="utf-8"?>
<calcChain xmlns="http://schemas.openxmlformats.org/spreadsheetml/2006/main">
  <c r="K19" i="70" l="1"/>
  <c r="L33" i="70" l="1"/>
  <c r="O31" i="70"/>
  <c r="O30" i="70"/>
  <c r="O28" i="70"/>
  <c r="O27" i="70"/>
  <c r="O26" i="70"/>
  <c r="O25" i="70"/>
  <c r="O24" i="70"/>
  <c r="O22" i="70"/>
  <c r="O20" i="70"/>
  <c r="O19" i="70"/>
  <c r="O18" i="70"/>
  <c r="O17" i="70"/>
  <c r="O16" i="70"/>
  <c r="O15" i="70"/>
  <c r="O14" i="70"/>
  <c r="O10" i="70"/>
  <c r="L32" i="70"/>
  <c r="L31" i="70"/>
  <c r="L30" i="70"/>
  <c r="L28" i="70"/>
  <c r="L27" i="70"/>
  <c r="L26" i="70"/>
  <c r="L24" i="70"/>
  <c r="L22" i="70"/>
  <c r="L20" i="70"/>
  <c r="L19" i="70"/>
  <c r="L17" i="70"/>
  <c r="L14" i="70"/>
  <c r="L13" i="70"/>
  <c r="L12" i="70"/>
  <c r="L11" i="70"/>
  <c r="L9" i="70"/>
  <c r="L6" i="70"/>
  <c r="L4" i="70"/>
  <c r="P73" i="72" l="1"/>
  <c r="M73" i="72"/>
  <c r="J73" i="72"/>
  <c r="N73" i="72" s="1"/>
  <c r="P72" i="72"/>
  <c r="M72" i="72"/>
  <c r="J72" i="72"/>
  <c r="O72" i="72" s="1"/>
  <c r="P71" i="72"/>
  <c r="M71" i="72"/>
  <c r="J71" i="72"/>
  <c r="N71" i="72" s="1"/>
  <c r="P70" i="72"/>
  <c r="M70" i="72"/>
  <c r="J70" i="72"/>
  <c r="O70" i="72" s="1"/>
  <c r="P69" i="72"/>
  <c r="M69" i="72"/>
  <c r="J69" i="72"/>
  <c r="N69" i="72" s="1"/>
  <c r="P68" i="72"/>
  <c r="M68" i="72"/>
  <c r="J68" i="72"/>
  <c r="O68" i="72" s="1"/>
  <c r="M67" i="72"/>
  <c r="J67" i="72"/>
  <c r="N67" i="72" s="1"/>
  <c r="P66" i="72"/>
  <c r="M66" i="72"/>
  <c r="J66" i="72"/>
  <c r="O66" i="72" s="1"/>
  <c r="P65" i="72"/>
  <c r="M65" i="72"/>
  <c r="J65" i="72"/>
  <c r="O65" i="72" s="1"/>
  <c r="P64" i="72"/>
  <c r="M64" i="72"/>
  <c r="J64" i="72"/>
  <c r="O64" i="72" s="1"/>
  <c r="J63" i="72"/>
  <c r="P62" i="72"/>
  <c r="M62" i="72"/>
  <c r="J62" i="72"/>
  <c r="O62" i="72" s="1"/>
  <c r="P61" i="72"/>
  <c r="O61" i="72"/>
  <c r="M61" i="72"/>
  <c r="J61" i="72"/>
  <c r="N61" i="72" s="1"/>
  <c r="P60" i="72"/>
  <c r="M60" i="72"/>
  <c r="J60" i="72"/>
  <c r="O60" i="72" s="1"/>
  <c r="P59" i="72"/>
  <c r="M59" i="72"/>
  <c r="J59" i="72"/>
  <c r="N59" i="72" s="1"/>
  <c r="P58" i="72"/>
  <c r="M58" i="72"/>
  <c r="J58" i="72"/>
  <c r="O58" i="72" s="1"/>
  <c r="P57" i="72"/>
  <c r="O57" i="72"/>
  <c r="M57" i="72"/>
  <c r="J57" i="72"/>
  <c r="N57" i="72" s="1"/>
  <c r="P56" i="72"/>
  <c r="M56" i="72"/>
  <c r="J56" i="72"/>
  <c r="O56" i="72" s="1"/>
  <c r="P55" i="72"/>
  <c r="M55" i="72"/>
  <c r="J55" i="72"/>
  <c r="N55" i="72" s="1"/>
  <c r="P54" i="72"/>
  <c r="M54" i="72"/>
  <c r="J54" i="72"/>
  <c r="O54" i="72" s="1"/>
  <c r="P53" i="72"/>
  <c r="O53" i="72"/>
  <c r="M53" i="72"/>
  <c r="J53" i="72"/>
  <c r="N53" i="72" s="1"/>
  <c r="P52" i="72"/>
  <c r="M52" i="72"/>
  <c r="J52" i="72"/>
  <c r="O52" i="72" s="1"/>
  <c r="P51" i="72"/>
  <c r="M51" i="72"/>
  <c r="J51" i="72"/>
  <c r="N51" i="72" s="1"/>
  <c r="P50" i="72"/>
  <c r="M50" i="72"/>
  <c r="J50" i="72"/>
  <c r="O50" i="72" s="1"/>
  <c r="M49" i="72"/>
  <c r="J49" i="72"/>
  <c r="N49" i="72" s="1"/>
  <c r="M48" i="72"/>
  <c r="J48" i="72"/>
  <c r="N48" i="72" s="1"/>
  <c r="P47" i="72"/>
  <c r="M47" i="72"/>
  <c r="J47" i="72"/>
  <c r="N47" i="72" s="1"/>
  <c r="P46" i="72"/>
  <c r="M46" i="72"/>
  <c r="J46" i="72"/>
  <c r="O46" i="72" s="1"/>
  <c r="P45" i="72"/>
  <c r="O45" i="72"/>
  <c r="M45" i="72"/>
  <c r="J45" i="72"/>
  <c r="N45" i="72" s="1"/>
  <c r="P44" i="72"/>
  <c r="M44" i="72"/>
  <c r="J44" i="72"/>
  <c r="O44" i="72" s="1"/>
  <c r="P43" i="72"/>
  <c r="M43" i="72"/>
  <c r="J43" i="72"/>
  <c r="N43" i="72" s="1"/>
  <c r="P42" i="72"/>
  <c r="M42" i="72"/>
  <c r="J42" i="72"/>
  <c r="O42" i="72" s="1"/>
  <c r="P41" i="72"/>
  <c r="O41" i="72"/>
  <c r="M41" i="72"/>
  <c r="J41" i="72"/>
  <c r="N41" i="72" s="1"/>
  <c r="P40" i="72"/>
  <c r="M40" i="72"/>
  <c r="J40" i="72"/>
  <c r="O40" i="72" s="1"/>
  <c r="P39" i="72"/>
  <c r="M39" i="72"/>
  <c r="J39" i="72"/>
  <c r="N39" i="72" s="1"/>
  <c r="P38" i="72"/>
  <c r="M38" i="72"/>
  <c r="J38" i="72"/>
  <c r="O38" i="72" s="1"/>
  <c r="P37" i="72"/>
  <c r="O37" i="72"/>
  <c r="M37" i="72"/>
  <c r="J37" i="72"/>
  <c r="N37" i="72" s="1"/>
  <c r="P36" i="72"/>
  <c r="M36" i="72"/>
  <c r="J36" i="72"/>
  <c r="O36" i="72" s="1"/>
  <c r="P35" i="72"/>
  <c r="M35" i="72"/>
  <c r="J35" i="72"/>
  <c r="N35" i="72" s="1"/>
  <c r="P34" i="72"/>
  <c r="M34" i="72"/>
  <c r="J34" i="72"/>
  <c r="O34" i="72" s="1"/>
  <c r="P33" i="72"/>
  <c r="O33" i="72"/>
  <c r="M33" i="72"/>
  <c r="J33" i="72"/>
  <c r="N33" i="72" s="1"/>
  <c r="P32" i="72"/>
  <c r="M32" i="72"/>
  <c r="J32" i="72"/>
  <c r="O32" i="72" s="1"/>
  <c r="P31" i="72"/>
  <c r="M31" i="72"/>
  <c r="J31" i="72"/>
  <c r="N31" i="72" s="1"/>
  <c r="P30" i="72"/>
  <c r="M30" i="72"/>
  <c r="J30" i="72"/>
  <c r="O30" i="72" s="1"/>
  <c r="P29" i="72"/>
  <c r="O29" i="72"/>
  <c r="M29" i="72"/>
  <c r="J29" i="72"/>
  <c r="N29" i="72" s="1"/>
  <c r="M28" i="72"/>
  <c r="J28" i="72"/>
  <c r="N28" i="72" s="1"/>
  <c r="P27" i="72"/>
  <c r="M27" i="72"/>
  <c r="J27" i="72"/>
  <c r="O27" i="72" s="1"/>
  <c r="P26" i="72"/>
  <c r="M26" i="72"/>
  <c r="J26" i="72"/>
  <c r="O26" i="72" s="1"/>
  <c r="P25" i="72"/>
  <c r="M25" i="72"/>
  <c r="J25" i="72"/>
  <c r="N25" i="72" s="1"/>
  <c r="P24" i="72"/>
  <c r="M24" i="72"/>
  <c r="J24" i="72"/>
  <c r="O24" i="72" s="1"/>
  <c r="P23" i="72"/>
  <c r="M23" i="72"/>
  <c r="J23" i="72"/>
  <c r="O23" i="72" s="1"/>
  <c r="P22" i="72"/>
  <c r="M22" i="72"/>
  <c r="J22" i="72"/>
  <c r="O22" i="72" s="1"/>
  <c r="P21" i="72"/>
  <c r="M21" i="72"/>
  <c r="J21" i="72"/>
  <c r="N21" i="72" s="1"/>
  <c r="P20" i="72"/>
  <c r="M20" i="72"/>
  <c r="J20" i="72"/>
  <c r="O20" i="72" s="1"/>
  <c r="M19" i="72"/>
  <c r="J19" i="72"/>
  <c r="N19" i="72" s="1"/>
  <c r="P18" i="72"/>
  <c r="M18" i="72"/>
  <c r="J18" i="72"/>
  <c r="O18" i="72" s="1"/>
  <c r="P17" i="72"/>
  <c r="O17" i="72"/>
  <c r="M17" i="72"/>
  <c r="J17" i="72"/>
  <c r="N17" i="72" s="1"/>
  <c r="P16" i="72"/>
  <c r="M16" i="72"/>
  <c r="J16" i="72"/>
  <c r="O16" i="72" s="1"/>
  <c r="P15" i="72"/>
  <c r="M15" i="72"/>
  <c r="J15" i="72"/>
  <c r="N15" i="72" s="1"/>
  <c r="P14" i="72"/>
  <c r="M14" i="72"/>
  <c r="J14" i="72"/>
  <c r="O14" i="72" s="1"/>
  <c r="P13" i="72"/>
  <c r="O13" i="72"/>
  <c r="M13" i="72"/>
  <c r="J13" i="72"/>
  <c r="N13" i="72" s="1"/>
  <c r="P12" i="72"/>
  <c r="M12" i="72"/>
  <c r="J12" i="72"/>
  <c r="O12" i="72" s="1"/>
  <c r="P11" i="72"/>
  <c r="M11" i="72"/>
  <c r="J11" i="72"/>
  <c r="N11" i="72" s="1"/>
  <c r="P10" i="72"/>
  <c r="M10" i="72"/>
  <c r="J10" i="72"/>
  <c r="O10" i="72" s="1"/>
  <c r="P9" i="72"/>
  <c r="O9" i="72"/>
  <c r="M9" i="72"/>
  <c r="J9" i="72"/>
  <c r="N9" i="72" s="1"/>
  <c r="P8" i="72"/>
  <c r="M8" i="72"/>
  <c r="J8" i="72"/>
  <c r="O8" i="72" s="1"/>
  <c r="M7" i="72"/>
  <c r="J7" i="72"/>
  <c r="O7" i="72" s="1"/>
  <c r="P6" i="72"/>
  <c r="M6" i="72"/>
  <c r="J6" i="72"/>
  <c r="N6" i="72" s="1"/>
  <c r="P5" i="72"/>
  <c r="M5" i="72"/>
  <c r="J5" i="72"/>
  <c r="O5" i="72" s="1"/>
  <c r="N8" i="72" l="1"/>
  <c r="O11" i="72"/>
  <c r="N12" i="72"/>
  <c r="O15" i="72"/>
  <c r="N16" i="72"/>
  <c r="O31" i="72"/>
  <c r="N32" i="72"/>
  <c r="O35" i="72"/>
  <c r="N36" i="72"/>
  <c r="O39" i="72"/>
  <c r="N40" i="72"/>
  <c r="O43" i="72"/>
  <c r="N44" i="72"/>
  <c r="O47" i="72"/>
  <c r="O51" i="72"/>
  <c r="N52" i="72"/>
  <c r="O55" i="72"/>
  <c r="N56" i="72"/>
  <c r="O59" i="72"/>
  <c r="N60" i="72"/>
  <c r="O71" i="72"/>
  <c r="N7" i="72"/>
  <c r="O21" i="72"/>
  <c r="N22" i="72"/>
  <c r="N23" i="72"/>
  <c r="O25" i="72"/>
  <c r="N26" i="72"/>
  <c r="N27" i="72"/>
  <c r="N64" i="72"/>
  <c r="N65" i="72"/>
  <c r="O6" i="72"/>
  <c r="O69" i="72"/>
  <c r="N70" i="72"/>
  <c r="O73" i="72"/>
  <c r="N5" i="72"/>
  <c r="N10" i="72"/>
  <c r="N14" i="72"/>
  <c r="N18" i="72"/>
  <c r="N20" i="72"/>
  <c r="N24" i="72"/>
  <c r="N30" i="72"/>
  <c r="N34" i="72"/>
  <c r="N38" i="72"/>
  <c r="N42" i="72"/>
  <c r="N46" i="72"/>
  <c r="N50" i="72"/>
  <c r="N54" i="72"/>
  <c r="N58" i="72"/>
  <c r="N62" i="72"/>
  <c r="N66" i="72"/>
  <c r="N68" i="72"/>
  <c r="N72" i="72"/>
  <c r="C22" i="70" l="1"/>
  <c r="K18" i="70"/>
  <c r="L18" i="70" s="1"/>
  <c r="K16" i="70"/>
  <c r="L16" i="70" s="1"/>
  <c r="K15" i="70"/>
  <c r="L15" i="70" s="1"/>
  <c r="P9" i="70" l="1"/>
  <c r="P31" i="70"/>
  <c r="P4" i="70"/>
  <c r="P6" i="70"/>
  <c r="C8" i="70"/>
  <c r="P11" i="70"/>
  <c r="P12" i="70"/>
  <c r="P14" i="70"/>
  <c r="P15" i="70"/>
  <c r="P16" i="70"/>
  <c r="C23" i="70"/>
  <c r="C24" i="70"/>
  <c r="C26" i="70"/>
  <c r="P28" i="70"/>
  <c r="Q28" i="70"/>
  <c r="P30" i="70"/>
  <c r="Q30" i="70"/>
  <c r="Q25" i="70" l="1"/>
  <c r="Q22" i="70"/>
  <c r="P22" i="70"/>
  <c r="Q15" i="70"/>
  <c r="Q20" i="70"/>
  <c r="Q14" i="70"/>
  <c r="Q17" i="70"/>
  <c r="Q16" i="70"/>
  <c r="P20" i="70"/>
  <c r="P26" i="70"/>
  <c r="Q18" i="70"/>
  <c r="Q27" i="70"/>
  <c r="P27" i="70"/>
  <c r="P18" i="70"/>
  <c r="Q10" i="70"/>
  <c r="P33" i="70"/>
  <c r="P32" i="70"/>
  <c r="Q31" i="70"/>
  <c r="Q24" i="70"/>
  <c r="P17" i="70"/>
  <c r="N23" i="70"/>
  <c r="K23" i="70"/>
  <c r="Q19" i="70"/>
  <c r="P19" i="70"/>
  <c r="P24" i="70"/>
  <c r="L23" i="70" l="1"/>
  <c r="P23" i="70" s="1"/>
  <c r="O23" i="70"/>
  <c r="Q23" i="70" s="1"/>
  <c r="L100" i="61"/>
  <c r="J100" i="61"/>
  <c r="F100" i="61"/>
  <c r="L99" i="61"/>
  <c r="J99" i="61"/>
  <c r="F99" i="61"/>
  <c r="L98" i="61"/>
  <c r="J98" i="61"/>
  <c r="F98" i="61"/>
  <c r="L97" i="61"/>
  <c r="J97" i="61"/>
  <c r="F97" i="61"/>
  <c r="L96" i="61"/>
  <c r="J96" i="61"/>
  <c r="F96" i="61"/>
  <c r="L95" i="61"/>
  <c r="J95" i="61"/>
  <c r="F95" i="61"/>
  <c r="L94" i="61"/>
  <c r="J94" i="61"/>
  <c r="F94" i="61"/>
  <c r="L93" i="61"/>
  <c r="J93" i="61"/>
  <c r="F93" i="61"/>
  <c r="L92" i="61"/>
  <c r="J92" i="61"/>
  <c r="F92" i="61"/>
  <c r="L91" i="61"/>
  <c r="J91" i="61"/>
  <c r="L90" i="61"/>
  <c r="J90" i="61"/>
  <c r="L89" i="61"/>
  <c r="J89" i="61"/>
  <c r="L88" i="61"/>
  <c r="J88" i="61"/>
  <c r="L87" i="61"/>
  <c r="J87" i="61"/>
  <c r="L86" i="61"/>
  <c r="J86" i="61"/>
  <c r="L85" i="61"/>
  <c r="F85" i="61"/>
  <c r="L84" i="61"/>
  <c r="F84" i="61"/>
  <c r="L83" i="61"/>
  <c r="F83" i="61"/>
  <c r="L82" i="61"/>
  <c r="F82" i="61"/>
  <c r="L81" i="61"/>
  <c r="F81" i="61"/>
  <c r="L80" i="61"/>
  <c r="F80" i="61"/>
  <c r="L79" i="61"/>
  <c r="F79" i="61"/>
  <c r="L78" i="61"/>
  <c r="J78" i="61"/>
  <c r="L77" i="61"/>
  <c r="J77" i="61"/>
  <c r="L76" i="61"/>
  <c r="J76" i="61"/>
  <c r="L75" i="61"/>
  <c r="J75" i="61"/>
  <c r="L74" i="61"/>
  <c r="J74" i="61"/>
  <c r="L73" i="61"/>
  <c r="J73" i="61"/>
  <c r="F73" i="61"/>
  <c r="L72" i="61"/>
  <c r="J72" i="61"/>
  <c r="F72" i="61"/>
  <c r="L71" i="61"/>
  <c r="J71" i="61"/>
  <c r="F71" i="61"/>
  <c r="F5" i="32" l="1"/>
  <c r="B21" i="31" s="1"/>
  <c r="F6" i="32"/>
  <c r="F7" i="32"/>
  <c r="F8" i="32"/>
  <c r="B38" i="31" s="1"/>
  <c r="F9" i="32"/>
  <c r="F10" i="32"/>
  <c r="F11" i="32"/>
  <c r="F12" i="32"/>
  <c r="F13" i="32"/>
  <c r="F14" i="32"/>
  <c r="B39" i="31" s="1"/>
  <c r="F15" i="32"/>
  <c r="F16" i="32"/>
  <c r="F17" i="32"/>
  <c r="F18" i="32"/>
  <c r="B24" i="31" s="1"/>
  <c r="F19" i="32"/>
  <c r="F20" i="32"/>
  <c r="F21" i="32"/>
  <c r="F22" i="32"/>
  <c r="F23" i="32"/>
  <c r="F24" i="32"/>
  <c r="F25" i="32"/>
  <c r="F26" i="32"/>
  <c r="F27" i="32"/>
  <c r="F28" i="32"/>
  <c r="F29" i="32"/>
  <c r="F30" i="32"/>
  <c r="F31" i="32"/>
  <c r="F32" i="32"/>
  <c r="B16" i="31" s="1"/>
  <c r="F33" i="32"/>
  <c r="F34" i="32"/>
  <c r="F35" i="32"/>
  <c r="F36" i="32"/>
  <c r="F37" i="32"/>
  <c r="F38" i="32"/>
  <c r="F39" i="32"/>
  <c r="F40" i="32"/>
  <c r="F41" i="32"/>
  <c r="F42" i="32"/>
  <c r="F43" i="32"/>
  <c r="B37" i="31" s="1"/>
  <c r="F44" i="32"/>
  <c r="F45" i="32"/>
  <c r="F46" i="32"/>
  <c r="B23" i="31" s="1"/>
  <c r="F47" i="32"/>
  <c r="F48" i="32"/>
  <c r="B49" i="31" s="1"/>
  <c r="F49" i="32"/>
  <c r="F50" i="32"/>
  <c r="B51" i="31" s="1"/>
  <c r="F51" i="32"/>
  <c r="F52" i="32"/>
  <c r="B11" i="31" s="1"/>
  <c r="F53" i="32"/>
  <c r="F4" i="32"/>
  <c r="B50" i="31" l="1"/>
  <c r="B28" i="31"/>
  <c r="B52" i="31"/>
  <c r="B53" i="31"/>
  <c r="B29" i="31"/>
  <c r="B44" i="31"/>
  <c r="B46" i="31"/>
  <c r="B32" i="31"/>
  <c r="B45" i="31"/>
  <c r="B43" i="31"/>
  <c r="B22" i="31"/>
  <c r="B12" i="31"/>
  <c r="B31" i="31"/>
  <c r="B30" i="31"/>
  <c r="B4" i="31"/>
  <c r="B17" i="31"/>
  <c r="B10" i="31"/>
  <c r="B9" i="31"/>
  <c r="B18" i="31"/>
  <c r="B25" i="31"/>
  <c r="B27" i="31"/>
  <c r="B5" i="31"/>
  <c r="B6" i="31"/>
  <c r="B8" i="31"/>
  <c r="B7" i="31"/>
  <c r="B26" i="31"/>
  <c r="B48" i="31"/>
  <c r="B14" i="31"/>
  <c r="B36" i="31"/>
  <c r="B19" i="31"/>
  <c r="B20" i="31"/>
  <c r="B13" i="31"/>
  <c r="B15" i="31"/>
</calcChain>
</file>

<file path=xl/sharedStrings.xml><?xml version="1.0" encoding="utf-8"?>
<sst xmlns="http://schemas.openxmlformats.org/spreadsheetml/2006/main" count="8555" uniqueCount="1898">
  <si>
    <t>Description</t>
  </si>
  <si>
    <t>Economic Sector</t>
  </si>
  <si>
    <t>File Name</t>
  </si>
  <si>
    <t>Created By</t>
  </si>
  <si>
    <t>Date Modified</t>
  </si>
  <si>
    <t>Abt Associates</t>
  </si>
  <si>
    <t>Worksheet</t>
  </si>
  <si>
    <t>Estuaries and Coasts</t>
  </si>
  <si>
    <t>Lakes and Flowing Waters</t>
  </si>
  <si>
    <t>Notes</t>
  </si>
  <si>
    <t>Relationship of Dischargers of Nutrients to Economic Impacts Related to Water Quality Standards</t>
  </si>
  <si>
    <t>Location</t>
  </si>
  <si>
    <t>Water Quality</t>
  </si>
  <si>
    <t>Lakes suffer from severe and often toxic Blue Green Algae blooms driven by high watershed loading of nutrients.</t>
  </si>
  <si>
    <t>Water Body Type</t>
  </si>
  <si>
    <t>Lake</t>
  </si>
  <si>
    <t>Resource Description</t>
  </si>
  <si>
    <t>Study</t>
  </si>
  <si>
    <t>Summary of Literature on Property Values</t>
  </si>
  <si>
    <t>Summary of Literature on Fishery Impacts</t>
  </si>
  <si>
    <t>Mistiaen, et al. (2003)</t>
  </si>
  <si>
    <t>Estuary/ Tributaries</t>
  </si>
  <si>
    <t>Davenport and Drake (2011)</t>
  </si>
  <si>
    <t>Grand Lake St. Marys (OH)</t>
  </si>
  <si>
    <t>Coastal</t>
  </si>
  <si>
    <t>Sarasota, FL</t>
  </si>
  <si>
    <t>Hoagland, et al. (2009)</t>
  </si>
  <si>
    <t>Jin, et al. (2008)</t>
  </si>
  <si>
    <t>Maine Coast</t>
  </si>
  <si>
    <t>Evans and Jones (2001)</t>
  </si>
  <si>
    <t>Year (event or study period)</t>
  </si>
  <si>
    <t>Red tide impacted shellfish harvesting from April to August.</t>
  </si>
  <si>
    <t>Chesapeake Bay/ Patuxent River</t>
  </si>
  <si>
    <t>Estuary/ Coastal</t>
  </si>
  <si>
    <t>Red tide event in Galveston, TX resulted in 85 shellfish closure days.</t>
  </si>
  <si>
    <t>Through 2010</t>
  </si>
  <si>
    <t>For treatment installation, toxic algae testing set-up, and total O&amp;M  (excludes alum, lime, and sludge costs).</t>
  </si>
  <si>
    <t>Red tide (varying levels of HABs)</t>
  </si>
  <si>
    <t>2001 - 2006</t>
  </si>
  <si>
    <t>Galveston Bay (TX)</t>
  </si>
  <si>
    <t>Method</t>
  </si>
  <si>
    <t>Shellfish beds in MA, ME, NH, and 15,000 sq mi of federal waters closed for &gt; a month at the peak of the seafood harvesting season.  MA and ME received federal emergency assistance. In addition, authors estimated direct impacts on the commercial shellfish industry in MA to be as high as $18 million but state that due to serious data limitations, these results should be viewed with caution.</t>
  </si>
  <si>
    <t>NA</t>
  </si>
  <si>
    <t>DO reduction from 5.6 mg/L to 4.0 mg/L in the Patuxent River.</t>
  </si>
  <si>
    <t>Year</t>
  </si>
  <si>
    <t>49% reduction in crab harvest and lost revenues of $228,000/yr associated with change in DO (2000 dollars).</t>
  </si>
  <si>
    <t>$168,000 in oyster harvesting losses for the closure days from Sept. to Dec. (1997 dollars).</t>
  </si>
  <si>
    <t>Oh and Ditton (2005)</t>
  </si>
  <si>
    <t>Summary of Literature on Tourism Impacts</t>
  </si>
  <si>
    <t>Summary of Literature on Health Effects</t>
  </si>
  <si>
    <t>Summary of Literature on Drinking Water Treatment Costs</t>
  </si>
  <si>
    <t>2001 and 2003</t>
  </si>
  <si>
    <t>2001 (Jan - July) and 2003 (Jan-April) golden alga outbreaks</t>
  </si>
  <si>
    <t>State/Federal Agency</t>
  </si>
  <si>
    <t>University</t>
  </si>
  <si>
    <t>Peer-Reviewed</t>
  </si>
  <si>
    <t>Walsh, et al. (2011)</t>
  </si>
  <si>
    <t>1996 to 2004</t>
  </si>
  <si>
    <t>Poor, et al. (2007)</t>
  </si>
  <si>
    <t>River</t>
  </si>
  <si>
    <t>1999 to 2003</t>
  </si>
  <si>
    <t>Michael, et al. (2000)</t>
  </si>
  <si>
    <t>1990 to 1994</t>
  </si>
  <si>
    <t>73 square mile river watershed (St. Mary's River) forming a penninsula surrounded by the Potomac and Patuxent Rivers and the Chesapeake Bay.</t>
  </si>
  <si>
    <t>Gibbs, et al. (2002)</t>
  </si>
  <si>
    <t>1990 to 1995</t>
  </si>
  <si>
    <t>69 public access lakes with more than 10 acres of surface area in 59 towns, grouped into 4 markets: Conway/Milton, Winnipesaukee, Derry/Amherst, and Spofford/Greenfield.</t>
  </si>
  <si>
    <t>Water quality data from 22 monitoring stations throughout the watershed; 
Data from a real estate information collection company for sale price and characteristics for approximately 1,400 sales.</t>
  </si>
  <si>
    <t>Northern Maine, Lewiston/Auburn, and Augusta/Waterville areas comprising 22 lakes.</t>
  </si>
  <si>
    <t>Historical water clarity, as measured by Secchi disk depth (for the 10 years prior to the sale), current water quality (for the year of the sale or the prior year for sales very early in the year), and/or seasonal changes in water clarity.</t>
  </si>
  <si>
    <t>Water clarity, as measured by Secchi disk depth; uses secchi disk depth and lake size as an interaction variable.
Average Secchi depth:
Conway/Milton = 1.53 meters
Winnepesaukee = 1.70 meters
Derry/Amherst = 1.41 meters
Spofford/Greenfield = 1.22 meters</t>
  </si>
  <si>
    <t>Decrease in sale price of a 1 meter change in secchi depth at average lake size and secchi reading (1995 dollars):
Conway/Milton (average home price of $138,763, average lake size of 1,236 acres): $1,268.24 (0.91%);
Winnepesaukee (average home price of $175,158, average lake size of 1,879 acres): $6,122.33 (3.5%);
Derry/Amherst (average home price of $132,162, average lake size of 213.58): $4,411.39 (3.39%);
Spofford/Greenfield (average home price of $167,105, average lake size of 284 acres): $11,094.09 (6.64%).</t>
  </si>
  <si>
    <t>TN</t>
  </si>
  <si>
    <t>Data</t>
  </si>
  <si>
    <t>Ara et al. (2006)</t>
  </si>
  <si>
    <t>Lake Erie, OH</t>
  </si>
  <si>
    <t>1991 to 1996</t>
  </si>
  <si>
    <t>At the mean distance to the beach, a one centimeter increase in water clarity increasing housing value by $21.54; a 1 meter change causes a 1.93% change in house value (mean price $111,503).</t>
  </si>
  <si>
    <t>Lakes</t>
  </si>
  <si>
    <t>Missisisppi River Headwater area of MN</t>
  </si>
  <si>
    <t>1996 to 2001</t>
  </si>
  <si>
    <t>Water clarity data from state agency; used the mean secchi disk reading for the year of the sale.</t>
  </si>
  <si>
    <t>Krysel et al. (2003)</t>
  </si>
  <si>
    <t>Property Value</t>
  </si>
  <si>
    <t>Fisheries</t>
  </si>
  <si>
    <t>Drinking Water Treatment</t>
  </si>
  <si>
    <t>Health Effects</t>
  </si>
  <si>
    <t>Tourism</t>
  </si>
  <si>
    <t>Lakes and ponds</t>
  </si>
  <si>
    <t>Implicit price decreases for a 1-meter change in water clarity (for 2 markets with significant results):
Lewiston (avg sale price $103,853) - $8,985 for subjective measure; $6,279 for objective measure
Augusta (avg sale price $86,880) - $2,756 for subjective measure; $2,600 for objective measure.</t>
  </si>
  <si>
    <t>Galveston, TX</t>
  </si>
  <si>
    <t>Galveston Bay</t>
  </si>
  <si>
    <t>In May 2009, Mycrocystin concentration was 4 times the WHO’s threshold for recreation. The 2010 algae were worse than 2009, forming a blue-green scum with a foul odor (fish kills and 23 cases of human illnesses and dog deaths were reported).</t>
  </si>
  <si>
    <t>MD Department of Natural Resources monthly reports on average catch per area data; DO measurements from mid-channel depth of relevant tributaries.</t>
  </si>
  <si>
    <t>Used catch and DO data and statistics on gear used in fishing to develop statistical models of the relationships.</t>
  </si>
  <si>
    <t>Estimated difference in landings between baseline (average of 2000 - 2004) and 2005 event; regression analysis to measure indirect effects of reductions in fisheries.</t>
  </si>
  <si>
    <t>Calculated number of oyster landings per day; multiplied per day estimates by the number of lost days and average real prices per barrel from 1990-1999.</t>
  </si>
  <si>
    <t>Unspecified.</t>
  </si>
  <si>
    <t>1999 to 2010</t>
  </si>
  <si>
    <t xml:space="preserve">3,186 real estate transactions on Tainter and Menomin Lakes as well as Red Cedar Lake, Beaver Dam Lake, Chetek Lake, and Prairie Lake, and some non-lake homes. </t>
  </si>
  <si>
    <t>Personal communication with the Superintendent of Water and Distribution at the Celina Utilities Water Department.</t>
  </si>
  <si>
    <t>Health Effect</t>
  </si>
  <si>
    <t>Respiratory Illness</t>
  </si>
  <si>
    <t>Emergency department visits for respiratory illnesses, cell densities for algal blooms, and measures of other environmental factors.</t>
  </si>
  <si>
    <t>AL</t>
  </si>
  <si>
    <t>CA</t>
  </si>
  <si>
    <t>Davenport, et al. (2010)</t>
  </si>
  <si>
    <t xml:space="preserve">Presents a conceptual diagram specific to estuaries and coastal waters of external nutrient sources, ecological responses to nutrient loadings, designated uses that may be impacted by nutrient pollution, and economic sectors affected by nutrient loading; includes links to detailed descriptions of sources, controls, designated uses, and economic impacts. </t>
  </si>
  <si>
    <t xml:space="preserve">Presents a conceptual diagram specific to lakes and flowing waters of external nutrient sources, ecological responses to nutrient loadings, designated uses that may be impacted by nutrient pollution, and economic sectors affected by nutrient loading; includes links to detailed descriptions of sources, controls, designated uses, and economic impacts. </t>
  </si>
  <si>
    <t>Cooke (2005)</t>
  </si>
  <si>
    <t>AR</t>
  </si>
  <si>
    <t>SC</t>
  </si>
  <si>
    <t>Largest inland lake in OH (21 sq mi); averaging 5-7 feet deep; watershed is 84 square miles; City of Celina uses lake as drinking water source.</t>
  </si>
  <si>
    <t>The study does not provide pre-event revenues for the park or definition/estimate for "decimated."</t>
  </si>
  <si>
    <t>County-level gross sales and state tax from TCPA for 5 tourism-related SIC codes from the 1st qtr 1986 to the 2nd qtr 2004; # of visitors to PKL State Park from TX Park and Wildlife Division from Sep 1996 to Jan 2005; and monthly gross sales of recreational fishing related items from a local store concession operating within the State Park for 1998-2004.</t>
  </si>
  <si>
    <t>Following the golden alga blooms in 2001 and 2003, there was a decrease of 5% and 1.9%, respectively, in total economic output from 5 tourism-related SIC codes compared to the average total economic output computed from the pre-intervention periods. The number of visitors to the State Park declined by 57% and 19.6% in 2001 and 2003, respectively.</t>
  </si>
  <si>
    <t>It takes considerable time for a lake to develop a good reputation for its fishing quality but it can be lost quickly with a golden alga event or anything else that diminishes (or is perceived by anglers as diminishing) fishing quality there. The study indicates that because of continuing publicity about golden alga events at PKL including the ongoing research program, the lake continues to be viewed in a negative light.</t>
  </si>
  <si>
    <t>Survey of business owners.</t>
  </si>
  <si>
    <t>IMPLAN to extrapolate survey results to all entities in county.</t>
  </si>
  <si>
    <t>AutoRegressive Integrate Moving-Average (ARIMA) model to determine pre- and post-event interventions.</t>
  </si>
  <si>
    <t>Study also estimates tourism impacts based on extrapolating results from a survey using an IMPLAN model to all potential entities in the county; however, there was a low response rate for the survey. Galveston Parks departments also reported no increase in beach clean-up costs due to the event.</t>
  </si>
  <si>
    <t>Marginal cost assumed to be 23% of average costs.</t>
  </si>
  <si>
    <t>Assuming no adjustments to crabbing activities and crabs trading at $1/lb.</t>
  </si>
  <si>
    <t>National Marine Fisheries Service monthly data on monthly shellfish landings in ME from 2000 to 2005</t>
  </si>
  <si>
    <t>ME coastline in which shellfish harvesting occurs.</t>
  </si>
  <si>
    <t>Galveston bay oyster beds in TX.</t>
  </si>
  <si>
    <t>Ranges of dissolved inorganic nitrogen is 0.082 mg/L to 0.956 mg/L, with an average of 0.626 mg/L;
No point sources dischargers in watershed; pollution attributable to nonpoint sources.</t>
  </si>
  <si>
    <t>Hedonic study of residential property sales (2% lakefront properties) in southern MD; independent variables include house characteristics (such as garage, square footage, etc.), dummy variable for waterfront, and parameter concentrations; models estimated separately for dissolved inorganic nitrogen and total suspended solids.</t>
  </si>
  <si>
    <t>1 mg/L change in dissolved inorganic nitrogen corresponds to a $17,642 change in home value (8.8% change relative to the average home price in the sample of $200,936; 2003 dollars).</t>
  </si>
  <si>
    <t>Localized study area is in a county adjacent to the Chesapeake Bay, where public opinion polls have shown that homeowners tend to be knowledgable about water quality issues and willing to pay for improvements; as such, the results may not be transferrable to other areas; also used total suspended solids as a water quality measure.</t>
  </si>
  <si>
    <t>Water clarity, as eutrophication from nonpoint source nutrient runoff is a problem in many lakes.</t>
  </si>
  <si>
    <t>Hedonic study of lakefront property sales in 4 distinct markets throughout ME; comparison of results using objective water clarity measures (secchi disk readings) to results using subjective measures by property purchasers.</t>
  </si>
  <si>
    <t>Objective water clarity data from ME Department of Environmental Protection (secchi disk); subjective water clarity data from a mail survey sent to 1,191 lakefront property purchasers (649 responses; 348 usable); house sales price and corresponding property characteristics from town offices for relevant jurisdictions.</t>
  </si>
  <si>
    <t>Water quality data from ME Department of Environmental Protection; 
Sales data for 531 sales from transfer tax records.</t>
  </si>
  <si>
    <t>Hedonic study of residential property sales (full-year residential and vacation homes, all lakefront) in three areas of lakes in ME; compares results using different variables for water quality, including historical, current, and seasonal variability.</t>
  </si>
  <si>
    <t>Implicit price decreases for a 1-meter change in water clarity (secchi depth; 1995 dollars):
Northern ME (avg sale price $35,160) - $5,246 (14.9%; current and historical water clarity) to $10,430 (29.7%; historical water clarity)
Lewiston/Auburn (avg sale price $96,304) - $860 (0.9%; difference in max clarity the year of the sale and min clarity the prior year) to $7,837 (8.1%; percent change in clarity over the season)
Augusta/Waterville (avg sale price $80,591) - $1,479 (1.8%; current and historical water clarity) to $2,641 (3.3%; historical water clarity).</t>
  </si>
  <si>
    <t>Water clarity data derived from University of NH and NH Department of Environmental Sciences, which have different methods for data collection;
Sales data for 447 sales and characteristics from town records, which may have missing or incomplete data.</t>
  </si>
  <si>
    <t>Hedonic study of lakefront property sales in 4 markets in NH; independent variables include house characteristics (age, square footage, etc.), locational variables (miles to nearest town, housing density, etc.), water clarity and lake size.</t>
  </si>
  <si>
    <t>4 market groups of lakes in ME, each with between 4 and 13 lakes.</t>
  </si>
  <si>
    <t>146 Orange County lakes ranging from 1 acre to 1,800 acres.</t>
  </si>
  <si>
    <t>Water quality data from EPA STORET, supplemented with data from municipalities; 
Assessor data for sale prices and property details; based on 54,715 sales over 9 years.</t>
  </si>
  <si>
    <t>TN, TP, chlorophyll, and trophic state index (TSI) in lakes affected by urban stormwater runoff.</t>
  </si>
  <si>
    <t>Hedonic study of all single family home sales within 1,000 meters of one of the lakes from 1996 to 2004; independent variables include a continuous measure of quality in the nearest lake at time of sale, distance to the lake, surface area of the lake (interacted with WQ), dummy variable for waterfront; estimated separately for TN, TP, chlorophyll, and TSI.</t>
  </si>
  <si>
    <t>Implicit price decrease for a 17% increase in the pollutant, waterfront properties, using ordinary least squares (average waterfront home price of  $452,646, 2002 dollars): 
TSI = $9,673.93
TN = $8,076.10, 
TP = $5,812.44
CH = $3,217.50;
Implicit price decrease for a 17% increase in the pollutant, non-waterfront properties, using ordinary least squares (average home price of $206,891): 
TN = $378.64
CH = $28.12</t>
  </si>
  <si>
    <t>Three separate models for each parameter: ordinary least squares, a spatial regression with the nearest neighbor spatial weights matrix, and a spatial regression with an inverse-distance spatial weights matrix; spatial model results not significantly different from ordinary least squares results.
Also evaluates impact of a voluntary program where residents pay a tax to address nutrient control programs at specific lakes; neighborhoods enrolled in the program realize price effects from water quality improvements above those of non-participants.</t>
  </si>
  <si>
    <t>Fecal coliform counts and water clarity (secchi depth).</t>
  </si>
  <si>
    <t>Fecal coliform data from OH Department of Health and Erie County Health Department; water clarity data from OH Department of Natural Resources and Stone Laboratory of the Ohio State University; sales price and details from Center for Urban and Regional analysis at Ohio State University (10,665 transactions between 1991 and 1996).</t>
  </si>
  <si>
    <t>Hedonic study of property sales in 4 OH counties on Lake Erie; includes 10,665 sales; independent variables include lot size, building size, number of bathrooms, garage size, presence of a deck, air conditioning, and fireplace, neighborhood crime rate, school district rank, distance to the city, distance to the beach, fecal coliform counts, water clarity (secchi depth), and interaction terms with distance to the beach and water quality measures.</t>
  </si>
  <si>
    <t>37 lakes in MN with varying sizes and spatial and political representation.</t>
  </si>
  <si>
    <t>Water clarity (secchi depth).</t>
  </si>
  <si>
    <t>Hedonic study of property sales of lakeshore properties on 37 lakes in MN, grouped into 6 real estate markets; independent variables include feet of frontage on the lake, lot size, tax rate, size of living area, if dwelling has more than one story, a fireplace, central heat, a bathroom, septic or sewer, a garage, number of houses within 1000 feet of frontage, whether property access road is publicly maintained, secchi depth and "site quality" rating.</t>
  </si>
  <si>
    <t>Tainter Lake (1,752 acres) and Lake Menomin (1,405 acres, downstream of Tainter Lake), both impoundments in the lower portion of the Red Cedar River.</t>
  </si>
  <si>
    <t>Hedonic study of lake-front (and nonlake-front) home sales on two lakes with algal bloom compared with homes sales on lakes without algal bloom problems.</t>
  </si>
  <si>
    <t>Unclear whether the $35 million to $45 million decrease in revenues is annual or for the three-year period (contacted author; response pending). The study does not provide pre-event revenues for the park.</t>
  </si>
  <si>
    <t>MT</t>
  </si>
  <si>
    <t>ME</t>
  </si>
  <si>
    <t>NH</t>
  </si>
  <si>
    <t>Orange County, FL</t>
  </si>
  <si>
    <t>Tainter Lake and Lake Menomin, WI</t>
  </si>
  <si>
    <t>18 OH beaches on Lake Erie, one of the largest freshwater lakes in North America.</t>
  </si>
  <si>
    <t>Southern MD, Chesapeake Bay watershed</t>
  </si>
  <si>
    <t>Source Type</t>
  </si>
  <si>
    <t>Minimum water clarity measure of the year of the sale, as measured by secchi depth by the state agency.</t>
  </si>
  <si>
    <t>Water quality data from ME Department of Environmental Protection; 
Sales data for 862 sales from transfer tax records.</t>
  </si>
  <si>
    <t>University paper</t>
  </si>
  <si>
    <t>AK</t>
  </si>
  <si>
    <t>Coastal fisheries in AK</t>
  </si>
  <si>
    <t>Harvest revenue data and estimated sales price per pound of live vs. processed clams and crabs.</t>
  </si>
  <si>
    <t>Comparison of revenues to what revenues would have been in the absence of PSP.</t>
  </si>
  <si>
    <t>Patuxent River, a major tributary feeding the Chesapeake Bay.</t>
  </si>
  <si>
    <t>Study is valuing water clarity not nutrient levels directly, however water clarity is tied to nutrient pollution in the resource of interest
As the distance to the beach increases, the influence of water clarity on house price decreases.</t>
  </si>
  <si>
    <t>36 lakes in 7 markets in ME.</t>
  </si>
  <si>
    <t>Hedonic study of residential property sales (full-year residential and vacation homes, all lakefront) in 7 markets in ME.</t>
  </si>
  <si>
    <t>Historical oyster landings data from Texas Park and Wildlife Division; closure data from the Texas Department of Health.</t>
  </si>
  <si>
    <t>HABs cause paralytic shellfish poisoning (PSP), requiring testing and processing.</t>
  </si>
  <si>
    <t>Article</t>
  </si>
  <si>
    <t>In May 2009, Mycrocystin concentration was 4 times the WHO’s threshold for recreation. The 2010 algae were worse than 2009, forming a blue-green scum with a foul odor.</t>
  </si>
  <si>
    <t>Estimates that PSP costs AK commercial fisheries, recreational harvests, and aquaculture over $10 million annually, but it is unclear how that total number is estimated.</t>
  </si>
  <si>
    <t>Study is valuing water clarity not nutrient levels directly, however water clarity is tied to nonpoint source nutrient loading to surface waters.
Water clarity was a significant variable in 4 out of 7 markets evaluated; not significant in Augusta, Newport, and Northern ME.</t>
  </si>
  <si>
    <t>Boyle et al. (1998)</t>
  </si>
  <si>
    <t>Lake-specific implicit prices (per lot) for a one-meter change in water clarity range between $1,678 to $522,018.</t>
  </si>
  <si>
    <t>Three years of algal blooms and health advisories caused several marinas and boat dealers to close; reduction in revenues from area businesses estimated at $37 million to $47 million, with park revenues decreased by $260,000.</t>
  </si>
  <si>
    <t>$158 million tourism industry decimated; Regatta canceled resulting in $632,000 loss; Park revenues down more than $263,000 annually; 5 lakeside businesses closed.</t>
  </si>
  <si>
    <t>$240,000 in oyster harvesting losses for the closure days from Sept. to Dec.</t>
  </si>
  <si>
    <t>Implicit price decrease for a 17% increase in the pollutant, waterfront properties, using ordinary least squares (average waterfront home price $577,681): 
TSI = $12,346
TN = $10,307, 
TP = $7,418
CH = $4,106;
Implicit price decrease for a 17% increase in the pollutant, non-waterfront properties, using ordinary least squares (average home price $264,041): 
TN = $483
CH = $36</t>
  </si>
  <si>
    <t xml:space="preserve">$2.08m lost revenues for softshell clam from April-Aug (2005 dollars)
$0.39m lost revenues for mussels from April-Aug (2005 dollars)
Imports likely ameliorating indirect and induced effects in these sectors. </t>
  </si>
  <si>
    <t>Direct economic impact of $13.2 million to $15.3 million; total impact $21.31 million to $24.60 million.</t>
  </si>
  <si>
    <t xml:space="preserve">$2.45m lost revenues for softshell clam from April-Aug
$0.46m lost revenues for mussels from April-Aug
Imports likely ameliorating indirect and induced effects in these sectors. </t>
  </si>
  <si>
    <t>PSP contamination of geoduck clams requires processing (rather than selling live) which reduces the revenue; in 1998 necessary processing reduced revenues by $1,097,509. Processing of crabs due to PSP contamination caused a $292,889 loss to the Kodiak/Aleutian crab fishery in 1997.</t>
  </si>
  <si>
    <t>1 mg/L change in dissolved inorganic nitrogen corresponds to a $22,014 change in home value (8.8% change relative to the average home price in the sample of $250,727).</t>
  </si>
  <si>
    <t>Implicit price decreases for a 1-meter change in water clarity (secchi depth):
Northern ME  - (avg sale price $52,969) - $7,903 (14.9%; current and historical water clarity) to $15,713 (29.7%; historical water clarity)
Lewiston/Auburn - (avg sale price $145,084) - $1,296 (0.9%; difference in max clarity the year of the sale and min clarity the prior year) to $11,807 (8.1%; percent change in clarity over the season)
Augusta/Waterville  - (avg sale price $121,412) - $2,228 (1.8%; current and historical water clarity) to $3,979 (3.3%; historical water clarity).</t>
  </si>
  <si>
    <t>Implicit price decreases for a 1-meter change in water clarity (for 2 markets with significant results):
Lewiston (avg sale price $156,457) - $13,536 for subjective measure; $9,459 for objective measure
Augusta (avg sale price $130,887)- $4,152 for subjective measure; $3,917 for objective measure.</t>
  </si>
  <si>
    <t>Decrease in sale price of a 1 meter change in secchi depth at average lake size and secchi reading:
Conway/Milton (average home price $209,050): $1,911 (0.91%);
Winnepesaukee(average home price $263,879): $9,223 (3.5%);
Derry/Amherst (average home price $199,105): $6,646 (3.39%);
Spofford/Greenfield (average home price $251,747): $16,713 (6.64%).</t>
  </si>
  <si>
    <t>At the mean distance to the beach, a one centimeter increase in water clarity increasing housing value by $24.53; a 1 meter change causes a 1.93% change in house value (mean price $126,986).</t>
  </si>
  <si>
    <t>$128.22/shoreline ft (Tainter Lake) to $402.05/shoreline ft (Lake Menomin) decrease in property value in relation to next comparable lake due to eutrophication.</t>
  </si>
  <si>
    <t xml:space="preserve">The estimated total costs = $13,080,012 ($3,560,877 total O&amp;M as of October 2010) </t>
  </si>
  <si>
    <t>Three years of algal blooms and health advisories caused several marinas and boat dealers to close; reduction in revenues from area businesses estimated at $35 million to $45 million, with park revenues decreased by $250,000. (2010 dollars)</t>
  </si>
  <si>
    <t>Direct economic impact of $9.9 million to $11.5 million; total impact $15.98 million to $18.45 million. (2000 dollars)</t>
  </si>
  <si>
    <t>$150 million tourism industry decimated; Regatta canceled resulting in $600,000 loss; Park revenues down more than $250,000 annually; 5 lakeside businesses closed. (2010 dollars)</t>
  </si>
  <si>
    <t>Results (Original Year Dollars)</t>
  </si>
  <si>
    <t>Results (2012 Dollars)</t>
  </si>
  <si>
    <t>PSP contamination of geoduck clams requires processing (rather than selling live) which reduces the revenue; in 1998 necessary processing reduced revenues by $779,175 (1998 dollars). Processing of crabs due to PSP contamination caused a $204,747 loss to the Kodiak/Aleutian crab fishery in 1997 (1997 dollars).</t>
  </si>
  <si>
    <t>Lake-specific implicit prices (per lot) for a one-meter change in water clarity range between $1,294 to $402,665. (2001 dollars)</t>
  </si>
  <si>
    <t>$121.78/shoreline ft (Tainter Lake) to $381.85/shoreline ft (Lake Menomin) decrease in property value in relation to next comparable lake due to eutrophication. (2010 dollars)</t>
  </si>
  <si>
    <t>The estimated total costs = $12,388,700 ($3,381,200 total O&amp;M as of October 2010)  (2010 dollars)</t>
  </si>
  <si>
    <t>State</t>
  </si>
  <si>
    <t>TX</t>
  </si>
  <si>
    <t>Red tide</t>
  </si>
  <si>
    <t>Coast</t>
  </si>
  <si>
    <t>MD</t>
  </si>
  <si>
    <t>Low DO</t>
  </si>
  <si>
    <t>WI</t>
  </si>
  <si>
    <t>Algal blooms</t>
  </si>
  <si>
    <t>FL</t>
  </si>
  <si>
    <t>Rivers</t>
  </si>
  <si>
    <t>MN</t>
  </si>
  <si>
    <t>Reduced clarity</t>
  </si>
  <si>
    <t>OH</t>
  </si>
  <si>
    <t>Year(s)</t>
  </si>
  <si>
    <t>Economic Sector(s) Impacted</t>
  </si>
  <si>
    <t>Property Values</t>
  </si>
  <si>
    <t>Waterbody Type</t>
  </si>
  <si>
    <t>Nutrient concentrations</t>
  </si>
  <si>
    <t>Region</t>
  </si>
  <si>
    <t>Krysel, et al. (2003)</t>
  </si>
  <si>
    <t>Ara, et al. (2006)</t>
  </si>
  <si>
    <t>Boyle, et al. (1998)</t>
  </si>
  <si>
    <t>Water Quality or Resource Impact</t>
  </si>
  <si>
    <t>Bay</t>
  </si>
  <si>
    <t>Health</t>
  </si>
  <si>
    <t>Lake Erie</t>
  </si>
  <si>
    <t>Pacific Northwest</t>
  </si>
  <si>
    <t>AZ</t>
  </si>
  <si>
    <t>CO</t>
  </si>
  <si>
    <t>CT</t>
  </si>
  <si>
    <t>DE</t>
  </si>
  <si>
    <t>GA</t>
  </si>
  <si>
    <t>HI</t>
  </si>
  <si>
    <t>ID</t>
  </si>
  <si>
    <t>IL</t>
  </si>
  <si>
    <t>IN</t>
  </si>
  <si>
    <t>IA</t>
  </si>
  <si>
    <t>KS</t>
  </si>
  <si>
    <t>KY</t>
  </si>
  <si>
    <t>LA</t>
  </si>
  <si>
    <t>MA</t>
  </si>
  <si>
    <t>MI</t>
  </si>
  <si>
    <t>MS</t>
  </si>
  <si>
    <t>MO</t>
  </si>
  <si>
    <t>NE</t>
  </si>
  <si>
    <t>NV</t>
  </si>
  <si>
    <t>NJ</t>
  </si>
  <si>
    <t>NM</t>
  </si>
  <si>
    <t>NY</t>
  </si>
  <si>
    <t>NC</t>
  </si>
  <si>
    <t>ND</t>
  </si>
  <si>
    <t>OK</t>
  </si>
  <si>
    <t>OR</t>
  </si>
  <si>
    <t>PA</t>
  </si>
  <si>
    <t>RI</t>
  </si>
  <si>
    <t>SD</t>
  </si>
  <si>
    <t>UT</t>
  </si>
  <si>
    <t>VT</t>
  </si>
  <si>
    <t>VA</t>
  </si>
  <si>
    <t>WA</t>
  </si>
  <si>
    <t>WV</t>
  </si>
  <si>
    <t>WY</t>
  </si>
  <si>
    <t>New England</t>
  </si>
  <si>
    <t>Mid-Atlantic</t>
  </si>
  <si>
    <t>Southeast</t>
  </si>
  <si>
    <t>Midwest</t>
  </si>
  <si>
    <t>South Central</t>
  </si>
  <si>
    <t>Mountains and Plains</t>
  </si>
  <si>
    <t>Pacific Southwest</t>
  </si>
  <si>
    <t>Region #</t>
  </si>
  <si>
    <t>Region Name</t>
  </si>
  <si>
    <t>*Region 2 grouped in with Mid-Atlantic and Region 5 grouped in with Midwest</t>
  </si>
  <si>
    <t>Annual</t>
  </si>
  <si>
    <t>Caron et al. (2010)</t>
  </si>
  <si>
    <t>Pacific Ocean</t>
  </si>
  <si>
    <t>Hunt (2013)</t>
  </si>
  <si>
    <t>2011 - 2013</t>
  </si>
  <si>
    <t>Wheeler (2013)</t>
  </si>
  <si>
    <t>anecdotal</t>
  </si>
  <si>
    <t>Northwest Creek</t>
  </si>
  <si>
    <t>Tourism; property values</t>
  </si>
  <si>
    <t>Anderson, et al. (2000)</t>
  </si>
  <si>
    <t>Athearn (2008)</t>
  </si>
  <si>
    <t>Dodd, et al. (2009)</t>
  </si>
  <si>
    <t>Larkin and Adams (2007)</t>
  </si>
  <si>
    <t>Ribaudo, et al. (2011)</t>
  </si>
  <si>
    <t>Parsons, et al. (2006)</t>
  </si>
  <si>
    <t>Morgan and Larkin (2006)</t>
  </si>
  <si>
    <t>Lake Erie Improvement Association (2012)</t>
  </si>
  <si>
    <t>Cesar, et al. (2002)</t>
  </si>
  <si>
    <t>Adams, et al. (2002)</t>
  </si>
  <si>
    <t>Carey and Leftwich (2000)</t>
  </si>
  <si>
    <t>Gorte (1994)</t>
  </si>
  <si>
    <t>Steinnes (1992)</t>
  </si>
  <si>
    <t>Young (1984)</t>
  </si>
  <si>
    <t>Drinking water treatment</t>
  </si>
  <si>
    <t>Commercial Fishing</t>
  </si>
  <si>
    <t>Hedonic analysis of the impact of perceived water quality on seasonal homes in VT; comparison between St. Albans Bay (polluted by phosphorus) to the main body of Lake Champaign.</t>
  </si>
  <si>
    <t>Methods</t>
  </si>
  <si>
    <t>1995 - 1999</t>
  </si>
  <si>
    <t>Analysis of temperature, wind speed, rainfall, red tides, and storm conditions in relation to daily restaurant sales.</t>
  </si>
  <si>
    <t>U.S. drinking water supplies</t>
  </si>
  <si>
    <t>Freshwater</t>
  </si>
  <si>
    <t>National</t>
  </si>
  <si>
    <t>1996 - 2005</t>
  </si>
  <si>
    <t>Comparison of room rates, occupancy rates, and property values in algae and non-algae zones.</t>
  </si>
  <si>
    <t>1995 - 2000</t>
  </si>
  <si>
    <t>Greenwood County shore of Lake Greenwood</t>
  </si>
  <si>
    <t>Lake Champaign</t>
  </si>
  <si>
    <t>Documents declines in commercial fishing catch and revenues that occurred at the same time as algal blooms.</t>
  </si>
  <si>
    <t>Hedonic analysis of impact of secchi depth.</t>
  </si>
  <si>
    <t>1986 - 1994</t>
  </si>
  <si>
    <t>1976 - 1981</t>
  </si>
  <si>
    <t>Recreation/Tourism</t>
  </si>
  <si>
    <t>van Beukering and Cesar (2004)</t>
  </si>
  <si>
    <t>Lollar (2008)</t>
  </si>
  <si>
    <t>Caloosahatchee River</t>
  </si>
  <si>
    <t>Harmful algal blooms caused the closure of a water treatment facility.</t>
  </si>
  <si>
    <t>Citation</t>
  </si>
  <si>
    <t>Full Reference</t>
  </si>
  <si>
    <t xml:space="preserve">Adams, C.M., S.L. Larkin, D. Mulkey, A. Hodges, and Ballyram. 2002. Measuring the Economic Consequences and Public Awareness of Red Tide Events in Florida. Report submitted to the Harmful Algal Task Force, Florida Marine Research Institute. </t>
  </si>
  <si>
    <t>Anderson et al. (2000)</t>
  </si>
  <si>
    <t xml:space="preserve">Anderson, D.M., P. Hoagland, Y. Kaoru, and A.W. White. 2000. Estimated Annual Economic Impacts from Harmful Algal Blooms (HABs) in the United States. Woods Hole Oceanographic Institute, document no. WHOI-2000-11. </t>
  </si>
  <si>
    <t>Ara, S., E. Irwin, and T. Haab. 2006. Measuring the Effects of Lake Erie Water Quality in Spatial Hedonic Price Models. Environmental and Resource Economists, Third World Conference, Kyoto, Japan.</t>
  </si>
  <si>
    <t xml:space="preserve">Athearn, Kevin. 2008. Economic Losses from Closure of Shellfish Harvesting Areas in Maine. University of Maine at Machias. </t>
  </si>
  <si>
    <t>Bauer, et al. (2009)</t>
  </si>
  <si>
    <t>Bauer, M., P. Hoagland, T.M. Leschine, B.G. Blount, C.M. Pomeroy, L.L. Lampl, C.W. Scherer, D.L. Ayres, P.A. Tester, M.R. Sengco, K.G. Sellner, and J. Schumacker. 2010. The importance of human dimensions research in managing harmful algal blooms. Frontiers in Ecology and the Environment 8(2): 75-83.</t>
  </si>
  <si>
    <t>Boyle, K. J., S. R. Lawson, H. J. Michael, and R. Bouchard. (1998). “Lakefront Property Owners’ Economic Demand for Water Clarity in Maine Lakes.” Misc. Report No. 410, Maine Agricultural and Forest Experiment Station, University of Maine, Orono.</t>
  </si>
  <si>
    <t>Cary, R.T. and R.W. Leftwich. 2007. Water Quality and Housing Value on Lake Greenwood: A Hedonic Study on Chlorophyll-a Levels and the 1999 Algal Bloom. The Strom Thurmond Institute, Clemson University.</t>
  </si>
  <si>
    <t xml:space="preserve">Cesar, H., P. Beukering, S. Pintz, and J. Dierking. 2002. Economic Valuation of the Coral Reefs of Hawaii: Final Report. </t>
  </si>
  <si>
    <t>Compton, et al. (2011)</t>
  </si>
  <si>
    <t>Compton, Jana E., J.A. Harrison, R.L. Dennis, T.L. Greaver, B.H Hill, S.J. Jordan, H. Walker, and H.V.Campbell. 2011. Ecosystem services altered by human changed in the nitrogen cycle: a new perspective for US decision making. Ecology Letters 14: 804-815.</t>
  </si>
  <si>
    <t>Cropper and Issac (2011)</t>
  </si>
  <si>
    <t>Cropper, M.L. and W. Isaac. 2011. The Benefits of Achieving the Chesapeake Bay TMDLs (Total Maximum Daily Loads), A Scoping Study. Resources for the Future, document no. RFF DP 11-31</t>
  </si>
  <si>
    <t>Davenport, T., R. Gibson, and T. Mount. 2010. Implementing Grand Lake St. Marys Nutrient TMDL.</t>
  </si>
  <si>
    <t>Davenport, T. and W. Drake. 2011. EPA Commentary: Grand Lake St. Marys, Ohio – The Case for Source Water Protection: Nutrients and Algae Blooms.</t>
  </si>
  <si>
    <t>Dodd, W. K., W.W. Bouska, J. L. Eitzmann, T.J. Pilger, K.L. Pitts, A.J. Riley, J.T. Schloesser, and D.J. Thornbrugh. 2009. Eutrophication of U.S. Freshwaters: Analysis of Potential Economic Damages. American Chemical Society: Environmental Science and Technology, Policy Analysis, Vol. 43, No. 1.</t>
  </si>
  <si>
    <t>Dyson and Huppert (2010)</t>
  </si>
  <si>
    <t xml:space="preserve">Dyson, K., and D.D. Huppert. 2010. Regional economic impacts of razor clam beach closures due to harmful algal blooms (HABs) on the Pacific coast of Washington. Harmful Algae (9): 264 -271. </t>
  </si>
  <si>
    <t xml:space="preserve">Evans, G. and L. Jones. 2001. Economic Impact of the 2000 Red Tide on Galveston County, Texas: A Case Study. Texas Parks and Wildlife. </t>
  </si>
  <si>
    <t>Gibbs, J.P., J.M. Halstead, K.J. Boyle, and J. Huang.2002. An Hedonic Analysis of the Effects of Lake Water Clarity on New Hampshire Lakefront Properties. Agricultural and Resource Economics Review 31:39–46.</t>
  </si>
  <si>
    <t>Gorte, Ross W. 1994. The Florida bay economy and changing environmental conditions. 94-435 ENR, CRS Report for Congress, Congressional Research Service, The Library of Congress.</t>
  </si>
  <si>
    <t>Hoagland, P., D. Jin, L.Y. Polansky, B. Kirkpatrick, G. Kirkpatrick, L.E. Fleming, A. Reich, S.M. Watkins, S.G. Ullmann, and L.C. Backer. 2009. The Costs of Respiratory Illnesses Arising from Florida Gulf Coast Karenia brevis Blooms. Environmental Health Perspectives 117(8): 1239-1243.</t>
  </si>
  <si>
    <t xml:space="preserve">Jin, D., E. Thurnberg, and P. Hoagland. 2008. Economic impact of the 2005 red tide event on commercial shellfish fisheries in New England. Ocean &amp; Coastal Management 51: 420-429. </t>
  </si>
  <si>
    <t>Kashian and Kasper (2010)</t>
  </si>
  <si>
    <t>Kashian, R. and J. Kasper. 2010. Tainter Lake and Lake Menomin- The Impact of Diminishing Water Quality on Value. Department of Economics- University of Wisconsin.</t>
  </si>
  <si>
    <t>Keplinger, et al. (2003)</t>
  </si>
  <si>
    <t>Keplinger, K., A. Tanter, and J. Houser. 2003. Economic and Environmental Implications of Phosphorus Control at North Bosque River Wastewater Treatment Plants. Texas Institute for Applied Environmental Research.</t>
  </si>
  <si>
    <t>Krysel, C., E.M. Boyer, C. Parson, and P. Welle. 2003. Lakeshore Property Values and Water Quality: Evidence from Property Sales in the Mississippi Headwaters Region. Mississippi Headwaters Board and Bemidji State University.</t>
  </si>
  <si>
    <t xml:space="preserve">Lake Erie Improvement Assocation. 2012. Strategic Plan for Lake Erie Partners: Sustaining Healthy Waters for Lake Erie’s Economy. December. </t>
  </si>
  <si>
    <t xml:space="preserve">Larkin, S.L. and C.M. Adams. 2007. Harmful Algal Blooms and Coastal Business: Economic Consequences in Florida. Department of Food and Resource Economics, University of Florida. </t>
  </si>
  <si>
    <t>Michael, H.J., K.J. Boyle, and R. Bouchard. 2000. Does the Measurement of Environmental Quality Affect Implicit Prices Estimated from Hedonic Models? Land Economics 76: 283-298.</t>
  </si>
  <si>
    <t xml:space="preserve">Morgan,K.L., and S.L. Larkin. 2006. Economic Impacts of Red Tide Events on Restaurant Sales. </t>
  </si>
  <si>
    <t>Oh, C.O., and R.B. Ditton. 2005. Estimating the Economic Impacts of Golden Alga (Prymnesium parvum) on Recreational Fishing at Possum Kingdom Lake, Texas. Texas Parks and Wildlife.</t>
  </si>
  <si>
    <t>Parsons, G. R., A. Morgan, J. C. Whitehead, and T. C. Haab. 2006. The Welfare Effects of Pfiesteria-Related Fish Kills: A Contingent Behavior Analysis of Seafood Consumers. Agricultural and Resource Economics Review 35/2 (October 2006) 348–356</t>
  </si>
  <si>
    <t>Poor, P.J., K.L. Pessagno, and R.W. Paul. 2007. Exploring the Hedonic Value of Ambient Water Quality: A Local Watershed-Based Study. Ecological Economics 60: 797-806</t>
  </si>
  <si>
    <t>Poor, et al. (2001)</t>
  </si>
  <si>
    <t>Poor, P.J., K.J. Boyle, L.O. Taylor, and R. Bouchard. 2001. Objective versus Subjective Measures of Water Clarity in Hedonic Property Value Models. Land Economics 77: 482-492.</t>
  </si>
  <si>
    <t>RaLonde (1998)</t>
  </si>
  <si>
    <t>Ralonde, R. 1998. Harmful algal blooms: the economic consequences for Alaska. Mimeo.Fairbanks: University of Alaska Marine Advisory Program. In: R. RaLonde (ed.). 2001. Harmful Algal Blooms on the North American West Coast. University of Alaska Sea Grant, AK-SG-01-05, Fairbanks.</t>
  </si>
  <si>
    <t>Steinnes, D. N. 1992. “Measuring the Economics Value of Water Quality.” Annals of Regional Science. 26:171-76</t>
  </si>
  <si>
    <t>Walsh, P., J.W. Milon, and D. Scrogin. 2011. The Property-Price Effects of Abating Nutrient Pollutants in Urban Housing Markets. Economic Incentives for Stormwater Control, Chapter 6. Ed. Hale W. Thurston</t>
  </si>
  <si>
    <t>Wisconsin Department of Natural Resources. 2012. Phosphorus Reduction in Wisconsin Water Bodies: an Economic Impact Analysis.</t>
  </si>
  <si>
    <t>Young, C.E. 1984. Perceived Water Quality and the Value of Seasonal Homes. Water Resources Bulletin 20.</t>
  </si>
  <si>
    <t>Lollar, K. 2008. Algae Bloom Closes Water Treatment Facility. News-Press.com.</t>
  </si>
  <si>
    <t>Des Moines Register (2013)</t>
  </si>
  <si>
    <t>Des Moines River and Raccoon River</t>
  </si>
  <si>
    <t>Nitrate concentrations</t>
  </si>
  <si>
    <t>Henry, T. 2013. Toxins Overwhelm Carroll Township Water Plant: Ottawa Co. Treatment Facility Offline While Remedy Made. The Blade.</t>
  </si>
  <si>
    <t>Henry (2013)</t>
  </si>
  <si>
    <t>Caron, D.A., M.E. Garneau, E. Seubert, M.D.A. Howard, L. Darjany, A. Schnetzer, I. Cetinic, G. Filteau, P. Lauri, B. Jones, and S. Trussell. 2010. Harmful Algae and Their Potential Impacts on Desalination Operations Off Southern California. Water Research 44: 385-416.</t>
  </si>
  <si>
    <t>Discussion of harmful algae and the present state of knowledge about them, with particular reference to Southern California.</t>
  </si>
  <si>
    <t>Hedonic price model measuring effects of 1999 algal bloom and chl-a concentrations on property sales in 1980 to 2006.</t>
  </si>
  <si>
    <t>CDPHE (2011)</t>
  </si>
  <si>
    <t>UDWQ (2013)</t>
  </si>
  <si>
    <t>UDWQ (2010)</t>
  </si>
  <si>
    <t>U.S. EPA (2010)</t>
  </si>
  <si>
    <t>WDNR (2012)</t>
  </si>
  <si>
    <t>1987-1992</t>
  </si>
  <si>
    <t>Coastal waters throughout the U.S.</t>
  </si>
  <si>
    <t>Inland freshwaters</t>
  </si>
  <si>
    <t>Freshwaters throughout the U.S.</t>
  </si>
  <si>
    <t>Eutrophication</t>
  </si>
  <si>
    <t>Dodd et al. (2009)</t>
  </si>
  <si>
    <t>Water Quality Issue</t>
  </si>
  <si>
    <t>Rivers and Lakes</t>
  </si>
  <si>
    <t>Drinking water in eastern Los Angeles County, and parts of Orange County, western San Bernardino County and southwest Riverside County</t>
  </si>
  <si>
    <t>City News Service (2011)</t>
  </si>
  <si>
    <t>Reducing nutrients results in a $30 million (approximate) increase in property values of houses, hotels, and condominiums that are associated with coral reefs.</t>
  </si>
  <si>
    <t>Glass (2003)</t>
  </si>
  <si>
    <t>Fishing</t>
  </si>
  <si>
    <t>1981-2003</t>
  </si>
  <si>
    <t>Freshwaters in Texas impacted by golden algae (Prymnesium parvum).</t>
  </si>
  <si>
    <t xml:space="preserve">Glass, J. 2003. Historical Review of Golden Alga (Prymnesium parvum) Problems in Texas. Golden Alga Workshop Oct. 24-25, 2003. Texas Parks and Wildlife Department.
</t>
  </si>
  <si>
    <t>Utah Division of Water Quality (UDWQ). 2010. Final Report: Statewide Nutrient Removal Cost Impact Study. CH2MHill.</t>
  </si>
  <si>
    <t>Losses of 500 jobs and $32 million in annual personal income due to decline in pink shrimp harvest between 1986 and 1994.; unable to attribute commercial fishing revenue changes to nutrient enrichment since revenues went down statewide during the same period during a weak economy.</t>
  </si>
  <si>
    <t>The value of properties are depressed by 20% ($4,500 on average) when they are located on an area of the lake that has degraded water quality (St. Albans Bay); water quality variable was a one-time ranking of water quality by 30 individuals at 10 locations throughout the study area, while property data covered 6 years of sales.</t>
  </si>
  <si>
    <t>meets criteria</t>
  </si>
  <si>
    <t>Year [2]</t>
  </si>
  <si>
    <t>Screening Category [1]</t>
  </si>
  <si>
    <t>Description of Rulemaking</t>
  </si>
  <si>
    <t>Description of Study</t>
  </si>
  <si>
    <t>Numeric nutrient criteria for lakes and flowing waters.</t>
  </si>
  <si>
    <t>Source</t>
  </si>
  <si>
    <t>Newspaper article</t>
  </si>
  <si>
    <t>Workshop presentation</t>
  </si>
  <si>
    <t>Association plan documentation</t>
  </si>
  <si>
    <t>Regression analysis, market channel analysis, and regional I-O modeling system to estimate impact of closure of shellfish harvesting areas.</t>
  </si>
  <si>
    <t>Time series models of effects of HABs on busineses along ten miles of shoreline.</t>
  </si>
  <si>
    <t>Variable cost function using 1996 survey of drinking water treatment costs; estimate of impacts from agricultural sources.</t>
  </si>
  <si>
    <t>Regression model to estimate impacts of red tide to individual restaurants based on daily sales, environmental characteristics, restaurant characteristics, time, and location of the restaurant.</t>
  </si>
  <si>
    <t>Multiple regression model to measure the impact of red tide along 10 miles of shore on economic activity.</t>
  </si>
  <si>
    <t>Index</t>
  </si>
  <si>
    <t>Regions</t>
  </si>
  <si>
    <t>References</t>
  </si>
  <si>
    <t>Provides information about studies that did not meet all screening criteria, but have relevant information and results documenting impacts from nutrient pollution.</t>
  </si>
  <si>
    <t>Provides full references for all sources used in conceptual model.</t>
  </si>
  <si>
    <t>additional</t>
  </si>
  <si>
    <t>Chl-a concentrations and the presence of algal blooms (as indicated by a dummy variable for year of bloom and immediately after) are both insigificantly related to the house price; primary model only uses a dummy variable for whether the sale occurred between July 1999 and July 2001 (the period of the bloom and immediately after); however, it is unclear whether there were nutrient or algal bloom problems in any other years besides 1999 through 2001.</t>
  </si>
  <si>
    <t>An additional foot of clarity raises the value of a lakefront lot by between $206 and $240; however, clarity problems are not explicitly tied to nutrient pollution.</t>
  </si>
  <si>
    <t>Harmful algal blooms (red tide in this case) can cause operational issues at desalination plants, including increased chemical consumption, increased membrane fouling rates, and in some cases plant shut-downs; however, these events are not necessarily attributable to anthropogenic nutrient pollution.</t>
  </si>
  <si>
    <t>Annual economic impacts $33.9m - $81.6m (2000$): Public Health (shellfish and ciguatera poisoning): $18.5m - $24.9 m; Commercial Fishery (wild harvest and aquaculture losses associated with shellfish poisoning, ciguatera, and brown tides): $13.4m - $25.3m; Recreation/Tourism (impacts documented in NC, OR, and WA in various years): $0m - $29.3m; Monitoring/Management (cost of routine shellfish toxin monitoring programs, plankton monitoring, and other activities in 12 states): $2.0m - $2.1m</t>
  </si>
  <si>
    <t>Compared TN and TP concentrations (summer months) for the EPA nutrient ecoregions with estimated reference conditions to determine potential areas impacted by nutrient pollution. Then, used the results to calculate potential annual value losses in recreational water usage (based on lake area closures and loss of trip-related expenses), waterfront real estate (based on percent change in value per 1 m change in secchi depth), spending on recovery of threatened and endangered species (based on recovery plans), and drinking water (based on bottled water expenditures).</t>
  </si>
  <si>
    <t>Coral reefs off the coast (Kihei area)</t>
  </si>
  <si>
    <t>Coastal waters</t>
  </si>
  <si>
    <t>Florida Bay in Monroe County</t>
  </si>
  <si>
    <t>53 lakes</t>
  </si>
  <si>
    <t>Ft Walton Beach and Destin areas</t>
  </si>
  <si>
    <t>Coastal fisheries</t>
  </si>
  <si>
    <t>Provides a summary of all documented nutrient impacts in the model; can be filtered by state, region, year, source categorization, economic sector, or waterbody type.</t>
  </si>
  <si>
    <t>Provides a summary of cost-benefit and economic analyses of state-level nutrient rulemaking.</t>
  </si>
  <si>
    <t>Provides information about anecdotal evidence of the economic impacts of nutrient pollution.</t>
  </si>
  <si>
    <t>Establishment of technology-based controls on facilities that discharge nutrients to Colorado waters, specifically domestic and nondomestic wastewater treatment facilities.</t>
  </si>
  <si>
    <t>Assessment of the expected costs, environmental benefits, and drinking water treatment cost reductions. Benefits that were assessed only qualitatively include potable water supplies (substantial), property values (potentially substantial), recreational activities (moderate), intrinsic values (unknown), and agriculture (minimal).</t>
  </si>
  <si>
    <t>Potential costs for point and nonpoint source controls that may be needed to attain the criteria. Benefits transfer of WTP function for incremental water quality improvements at the waterbody level expected to result from compliance with proposed numeric nutrient criteria, aggregated across all waters expected to improve as a result of numeric nutrient criteria.</t>
  </si>
  <si>
    <t>Potential nutrient removal requirements for publicly owned treatment works statewide.</t>
  </si>
  <si>
    <t>Contingent valuation survey to estimate statewide willingness-to-pay to either maintain current water quality or improve water quality (improving means reclassifying 78% of "poor" water bodies to "fair," and 20% of "fair" to "good." Costs are quantified in a separate report, UDWQ (2010), by analyzing four potential discharge levels or tiers for model POTWs.</t>
  </si>
  <si>
    <t>Regulations to decrease phosphorus discharges from industrial and municipal dischargers, adopted June 2010.</t>
  </si>
  <si>
    <t>Provides information about studies valuing nutrient impacts to fisheries (including, for each study, the waterbody type, location, year, resource description, water quality impacts, data, methodology, and results); all results updated to 2012$ using the consumer price index.</t>
  </si>
  <si>
    <t>Provides information about studies valuing nutrient impacts to property values (including, for each study, the waterbody type, location, year, resource description, water quality impacts, data, methodology, and results); all results updated to 2012$ using the consumer price index.</t>
  </si>
  <si>
    <t>Provides information about studies valuing nutrient impacts to human health (including, for each study, the waterbody type, location, year, the health effect/measure being evaluated, water quality impacts, data, methodology, and results); all results updated to 2012$ using the consumer price index.</t>
  </si>
  <si>
    <t>Evaluation Criteria</t>
  </si>
  <si>
    <t>*Evaluated data source quality based on the following: 1. Whether the study relied on state-of-art methods accepted in economic literature; 2. Whether the results correspond to economic theory; 3. Evaluate the quality of data sources (e.g., relies on well-known data sources or that the best practices were used for primary data collection); 4. Whether the results are supported by economic literature.</t>
  </si>
  <si>
    <t>Human Health; Commercial Fishing; Recreation/Tourism</t>
  </si>
  <si>
    <t>Property Values; Recreation/Tourism; Drinking Water Treatment</t>
  </si>
  <si>
    <t>SCREEM (Simple Coral Reef Ecological Economic Model) model used for two scenarios: a) no reduction in nutrient levels b) reduction in nutrient levels.</t>
  </si>
  <si>
    <t>Compiled reported economic effects of HABs associated with public health, commercial fisheries, recreation and tourism, and monitoring and management from actual HAB events throughout the U.S. from 1987 to 1992 to estimate potential annual impacts; authors acknowledge that estimates are underestimated because they do not account for effects that were not quantified.</t>
  </si>
  <si>
    <t>Benefits transfer for property values (based on Dodds et al. 2009) and recreational benefits (from Kaval and Loomis 2003); avoided cost methods to estimate reductions in need for managing algal blooms.</t>
  </si>
  <si>
    <t>1991 - 2003</t>
  </si>
  <si>
    <t>Recreational razor clam fishery closed due to domoic acid (from harmful algae) contamination</t>
  </si>
  <si>
    <t>Personal communication (cited in strategy document)</t>
  </si>
  <si>
    <t>Mistiaen, J. A., I. E. Strand, and D. Lipton. 2003. Effects of environmental stress on blue crab ( Callinectes sapidus ) harvests in Chesapeake Bay tributaries. Estuaries and Coasts (impact factor: 2.11). 01/2003; 26(2):316-322. DOI:10.1007/BF02695970</t>
  </si>
  <si>
    <t>Times Standard (2013)</t>
  </si>
  <si>
    <t>Reaches of the Klamath River including the Copco and Iron Gate Reservoirs</t>
  </si>
  <si>
    <t>Egan, et al. (2008)</t>
  </si>
  <si>
    <t>Herriges, et al. (2010)</t>
  </si>
  <si>
    <t>Egan, K.J., J.A. Herriges, C.L. Kling, and J.A. Downing. 2008. Valuing Water Quality as a Function of Water Quality Measures.</t>
  </si>
  <si>
    <t>Studies that Evaluate Benefits of Nutrient Reductions</t>
  </si>
  <si>
    <t>Studies that Evaluate Benefits of Water Quality Improvements</t>
  </si>
  <si>
    <t>Herriges, J., C. Kling, C.C. Liu, and J. Tobias. 2010. What are the Consequences of Consequentiality? Journal of Environmental Economics and Management 59: 67-81.</t>
  </si>
  <si>
    <t>Strumberg, B.E., K.A. Baerenklau, and R.C. Bishop. 2001. Nonpoint Source Pollution and Present Values: A Contingent Valuation Study of Lake Mendota. Review of Agricultural Economics 23: 120-132.</t>
  </si>
  <si>
    <t>Massey, et al. (2006)</t>
  </si>
  <si>
    <t>increased value of recreational fishing due to DO improvements</t>
  </si>
  <si>
    <t>Lipton and Hicks (2003)</t>
  </si>
  <si>
    <t>Strumberg, et al. (2001)</t>
  </si>
  <si>
    <t>Bockstael, et al. (1989)</t>
  </si>
  <si>
    <t>average per-trip benefits (for recreational swimming) for a reduction in nutrients</t>
  </si>
  <si>
    <t>average per-trip benefits (for recreational swimming) for a reduction in fecal coliform</t>
  </si>
  <si>
    <t>Krupnick (1988)</t>
  </si>
  <si>
    <t>Lipton (2004)</t>
  </si>
  <si>
    <t>average per-trip benefits (for recreational swimming and boating, separately) for a reduction in nutrients</t>
  </si>
  <si>
    <t>Anderson (1989)</t>
  </si>
  <si>
    <t>increased producer and consumer surplus corresponding to restoration of submerged aquatic vegetation</t>
  </si>
  <si>
    <t>Kahn and Kemp (1985)</t>
  </si>
  <si>
    <t>WTP to make the Chesapeake Bay swimmable</t>
  </si>
  <si>
    <t>boaters' WTP for general water quality improvements; area residents' WTP to restore oyster beds</t>
  </si>
  <si>
    <t>Anderson, E. 1989. Economic Benefits of Habitat Restoration: Seagrass and the Virginia Hardshell Blue Crab Fishery. North American Journal of Fisheries Management 9: 140-149.</t>
  </si>
  <si>
    <t>Bockstael, N.E., K.E. McConnell, and I.E. Strand. 1989. Measuring the Benefits of Improvements in Water Quality: The Chesapeake Bay. Marine Resource Economics 6: 1-18.</t>
  </si>
  <si>
    <t>Hicks, R. and I. Strand. 2000. The Extent of Information: Its Relevance for Random Utility Models. Land Economics 76: 374-385.</t>
  </si>
  <si>
    <t>Hicks and Strand (2000)</t>
  </si>
  <si>
    <t>Kahn, J.R., and W.M. Kemp. 1985. Economic Losses Associated with the Degradation of an Ecosystem: The Case of Submerged Aquatic Vegetation in Chesapeake Bay. Journal of Environmental Economics and Management 12: 246–263.</t>
  </si>
  <si>
    <t>Krupnick, A. 1988.Reducing Bay Nutrients: An Economic Perspective. Maryland Law Review 47:453–480.</t>
  </si>
  <si>
    <t>Lipton, D. 2004. The Value of Improved Water Quality to Chesapeake Bay Boaters. Marine Resource Economics 19:265–270.</t>
  </si>
  <si>
    <t>Lipton, D.W., and R.W. Hicks. 1999. Linking Water Quality Improvements to Recreational Fishing Values: The Case of Chesapeake Bay Striped Bass. In Evaluating the Benefits of Recreational Fisheries, edited by T.J. Pitcher. Fisheries Centre Research Reports, vol.7(2). Vancouver, BC: University of British Columbia, 105–110.</t>
  </si>
  <si>
    <t>Lipton and Hicks (1999)</t>
  </si>
  <si>
    <t>Lipton, D.W., and R.W. Hicks. 2003. The Cost of Stress: Low Dissolved Oxygen and the Economic Benefits of Recreational Striped Bass Fishing in the Patuxent River. Estuaries 26: 310–315.</t>
  </si>
  <si>
    <t>Massey, D.M., S.C. Newbold, and B. Genter. 2006. Valuing Water Quality Changes Using a Bioeconomic Model of a Coastal Recreational Fishery. Journal of Environmental Economics and Management 52:482–500.</t>
  </si>
  <si>
    <t>Morgan, C., and N. Owens. 2001. Benefits of Water Quality Policies: The Chesapeake Bay. Ecological Economics 39:271–284.</t>
  </si>
  <si>
    <t>consumer surplus loss from fish kills</t>
  </si>
  <si>
    <t>welfare gains from improvements in water quality parameters, including clarity, chlorophyll, nutrients, suspended solids, and bacteria</t>
  </si>
  <si>
    <t>WTP for water quality improvements (on a scale from 1 to 5)</t>
  </si>
  <si>
    <t>WTP to improve the quality of a lake polluted by P</t>
  </si>
  <si>
    <t>Morgan and Owens (2001)</t>
  </si>
  <si>
    <t>Azevedo, et al. (2001)</t>
  </si>
  <si>
    <t>WTP for improvements in water quality (including clarity, algae, bacteria, fish presence, etc.)</t>
  </si>
  <si>
    <t>WTP for reduction in algal blooms (caused be sediment and nutrients)</t>
  </si>
  <si>
    <t>Larson, et al. (2001)</t>
  </si>
  <si>
    <t>WTP to improve water quality statewide (CA)</t>
  </si>
  <si>
    <t>Viscusi, et al. (2008)</t>
  </si>
  <si>
    <t>nationwide WTP to avoid regional reduction in water quality)</t>
  </si>
  <si>
    <t>Helm, et al. (2004)</t>
  </si>
  <si>
    <t>TCM estimating benefits of water quality (BOD, TSS, DO, fecal coliform) on recreational activities</t>
  </si>
  <si>
    <t>Phaneuf (2002)</t>
  </si>
  <si>
    <t>Von Haefen (2003)</t>
  </si>
  <si>
    <t>Welfare gains of cleaning up eutrophic sites</t>
  </si>
  <si>
    <t>Benefits associated with water quality, using an index of watershed indicators</t>
  </si>
  <si>
    <t>Azevedo, C., J. Herriges, and C. Kling. 2001. Valuing Preservation and Improvements of Water Quality in Clear Lake. Staff Report 01‐SR‐94. Center for Agricultural and Rural Development, Iowa State University, Ames, Iowa.</t>
  </si>
  <si>
    <t>de Zoysa, A. Damitha. 1995. “A Benefit Evaluation of Programs to Enhance Groundwater Quality, Surface Water Quality and Wetland Habitats in Northwest Ohio.” Ph.D. dissertation. Department of Agricultural and Rural Sociology, Ohio State University. Columbus, Ohio.</t>
  </si>
  <si>
    <t>Helm, E.C., G.R. Parsons, and T. Bondelid. 2004. “Measuring the Economic Benefits of Water quality Improvements to Recreational Users in Six Northeastern States: Sn Application of the Random Utility Maximization Model.” http://works.bepress.com/george_parsons/25</t>
  </si>
  <si>
    <t>Larson, D., D. Lew, and Y. Onozaka. 2001. The Public’s Willingness to Pay for Improving California’s Water Quality. Western Regional Research Publication of the W‐133, 14th Interim Report. Compiled by J. Fletcher. Department of Agricultural and Resource Economics, West Virginia University. Morgantown, WV.</t>
  </si>
  <si>
    <t>Phaneuf, D.J. 2002. “A Randon Utility Model for Total Maximum Daily Loads: Estimating the Benefits of Watershed‐Based Ambient Water Quality Improvements.” Water Resources Research, 38(11). Doi:10.1029/2001WR000959</t>
  </si>
  <si>
    <t>Viscusi, K., J. Huber, and J. Bell. 2008. “The Economic Value of Water Quality.” Environmental and Resource Economics. 41(2): 169‐187.</t>
  </si>
  <si>
    <t>Von Haefen, R.H. 2003. “Incorporating Observed choice into the Construction of Welfare Measures from Random Utility Models.” Journal of Environmental Economics and Management 45:145‐165.</t>
  </si>
  <si>
    <t>de Zoysa (1995)</t>
  </si>
  <si>
    <t>Matthews, et al. (1999)</t>
  </si>
  <si>
    <t>Matthews, L.G., F.R. Homans,  and K.W. Easter. 1999. Reducing Phosphorus Pollution in the Minnesota River: How Much is it Worth? University of Minnesota Staff Paper.</t>
  </si>
  <si>
    <t>WTP to reduce P</t>
  </si>
  <si>
    <t>Whitehead and Groothius (1992)</t>
  </si>
  <si>
    <t>Whitehead, J.C. and P.A. Groothius. 1992. Economic Benefits of Improved Water Quality: A Case Study of North Carolina's Tar-Pamlico River. Rivers 29: 170-178.</t>
  </si>
  <si>
    <t xml:space="preserve">WTP to reduce P </t>
  </si>
  <si>
    <t>Whittington, et al. (1994)</t>
  </si>
  <si>
    <t>Whittington,D.,G. Cassidy,D. Amaral, E.McClelland, H.Wang and C. Poulos. 1994. The economic value of improving the environmental quality of Galveston Bay. Department of Environmental Sciences and Engineering, University of North Carolina at Chapel Hill, GBNEP-38, 6/94.</t>
  </si>
  <si>
    <t>WTP to improve  general water quality</t>
  </si>
  <si>
    <t>Hayes, et al. (1992)</t>
  </si>
  <si>
    <t>Hayes, K.M., T.J. Tyrrell, and G. Anderson. 1992. Estimating the Benefits of Water Quality Improvements in the Upper Narragansett Bay. Marine Resource Economics 7: 75-85.</t>
  </si>
  <si>
    <t>WTP for water quality improvements (attainment of swimmable and shellfishable)</t>
  </si>
  <si>
    <t>Johnston, et al. (2006)</t>
  </si>
  <si>
    <t>Johnston, R.J., E.Y. Besedin, R. Iovanna, C.J. Miller, R.F. Wardwell, and M.H. Ranson. 2006. Systematic Variation in Willingness to Pay for Aquatic Resource Improvements and Implications for Benefits Transfer: A Meta-Analysis. Canadian Journal of Agricultural Economics 53: 221-248.</t>
  </si>
  <si>
    <t>meta-analysis of WTP studies for aquatic resource improvements</t>
  </si>
  <si>
    <t>Czajkowski and Bin (2010)</t>
  </si>
  <si>
    <t>Martin County, FL</t>
  </si>
  <si>
    <t>Estuary, lagoon, and river</t>
  </si>
  <si>
    <t>2000 to 2004</t>
  </si>
  <si>
    <t>Czajkowski, J. and O. Bin. 2010. Do Homebuyers Differentiate Between Technical and Non-Technical Measures of Water Quality? Evidence from a Hedonic Analysis in South Florida.</t>
  </si>
  <si>
    <t>hedonic study of specific water quality parameters and a general water quality score</t>
  </si>
  <si>
    <t>Anderson and Edwards (1986)</t>
  </si>
  <si>
    <t>hedonic price and contingent valuation to estimate value of "swimmable" water</t>
  </si>
  <si>
    <t>Carson and Mitchell (1993)</t>
  </si>
  <si>
    <t>Desvousges, et al. (1987)</t>
  </si>
  <si>
    <t>Hite, et al. (2002)</t>
  </si>
  <si>
    <t>Hite, D., D. Hudson, and W. Intarapapong. 2002. Willingness to Pay for Water Quality Improvements: The Case of Precision Application Technology. Department of Agricultural Economics and Rural Sociology, Auburn University, Auburn, AL; 8 August 2002.</t>
  </si>
  <si>
    <t>WTP to reduce P runoff</t>
  </si>
  <si>
    <t>Loomis, et al. (2000)</t>
  </si>
  <si>
    <t>Demand for protection of rivers</t>
  </si>
  <si>
    <t>Sanders, et al. (1990)</t>
  </si>
  <si>
    <t>Whitehead, J.C., T. Hoban and W. Clifford. 2002. Landowners’ Willingness to Pay for Water Quality Improvements: Jointly Estimating Contingent Valuation and Behavior with Limited Information. White paper developed in part by U.S. EPA, NCDENR and the College of Agriculture and Life Sciences at NSCU.</t>
  </si>
  <si>
    <t>WTP for water quality improvements</t>
  </si>
  <si>
    <t>Whitehead, et al. (2002)</t>
  </si>
  <si>
    <t>Waterbody/Resource Description</t>
  </si>
  <si>
    <t>St. Lucie River, St. Lucie Estuary, and Indian River Lagoon</t>
  </si>
  <si>
    <t>Weekly water quality data collected by the Florida Oceanographic Society.</t>
  </si>
  <si>
    <t>Monitor levels of water clarity, temperature, pH, salinity, and DO as well as a general water quality grade based on all parameters (except temperature).</t>
  </si>
  <si>
    <t>1. "meets criteria" means that the study met all evaluation criteria and are included in sector impact summaries; "anecdotal" means the source is a newspaper article or other anecdotal information documenting nutrient impacts; "additional" means the source has relevant nutrient impacts but does not meet all screening criteria.</t>
  </si>
  <si>
    <t>2. If study includes multiple years, most recent year in data</t>
  </si>
  <si>
    <t>Blue-green algae blooms have necessitated warnings against human and animal contact with and consumption of water in the river due to health concerns. Economic impacts are not quantified but could include decreased tourism and recreational revenues.</t>
  </si>
  <si>
    <t>Implicit price of a 1-meter improvement in water clarity ranged from $409 (less than 1% of purchase price) to $13,146 (25% of purchase price). 
Implicit price of a 1-meter decline in water clarity ranged from $464 (less than 1% of purchase price) to $40,241 (over 78% of purchase price). (1995 dollars)</t>
  </si>
  <si>
    <t>Implicit price of a 1-meter improvement in water clarity ranged from $616 (less than 1% of purchase price) to $19,805 (25% of purchase price).
Implicit price of a 1-meter decline in water clarity ranged from $699 (less than 1% of purchase price) to $60,624 (over 78% of purchase price).</t>
  </si>
  <si>
    <t>Study is valuing eutrophication not nutrient levels directly, however eutrophication is tied to nutrient pollution in the resource of interest.
Property values were lower on Tainter Lake and Menomin Lake compared to lakes that did not have the same nutrient pollution problems; no water quality variable included in the anlaysis (just comparison across lakes).</t>
  </si>
  <si>
    <t>Study is valuing water clarity not nutrient levels directly, however water clarity is tied to nutrient pollution in the resource of interest.
Highest implicit prices are on 2 lakes (Cass and Leech) that are in a National Forest and an Indian Reservation with considerable publicly-owned lakeshore property; because of this, other variables not accounted for in the modeling may have caused the higher price effects ($402,665 and $231,849 per lot). The next highest estimate is on Lake Bemidji, where a water quality change is valued at $65,355 per lot.</t>
  </si>
  <si>
    <t>Study is valuing water clarity not nutrient levels directly, however water clarity is tied to nutrient pollution in the resource of interest.</t>
  </si>
  <si>
    <t>Study is valuing water clarity not nutrient levels directly, however water clarity is tied to nutrient pollution in the resource of interest.
Objective measure was a better predictor of sale price.</t>
  </si>
  <si>
    <t>Study is valuing water clarity not nutrient levels directly, however water clarity is tied to nutrient pollution in the resource of interest.
Study shows the differences in implicit prices depending on the variable selected.</t>
  </si>
  <si>
    <t>Hedonic study of the impact of various water quality measures and an overall water quality grade on waterfront home prices in an urban coastal housing market in South Florida.</t>
  </si>
  <si>
    <t>Study is valuing water clarity and DO not nutrient levels directly, however these parameters are tied to nutrient pollution in the resource of interest.
Impact of a "location grade" measuring general water quality indicated that the grade acts as as a warning sign in the potential homebuyers' house purchase decision, but they could be indifferent between higher percentage grades .</t>
  </si>
  <si>
    <t>Results (2012 Dollars) [1]</t>
  </si>
  <si>
    <t>1. Costs escalated to 2012 dollars from original year dollars based on the Consumer Price Index.</t>
  </si>
  <si>
    <t>1. Costs escalated to 2012 dollars from original year dollars based on the Construction Cost Index.</t>
  </si>
  <si>
    <t>$6 million in losses for harvesters of shoft-shell clams, mahogany quahogs, and mussels; including indirect and induced impacts, $14.8 million lost in sales and $7.9 million in lost income (2005 dollars); however, some damages were attributable to sources besides or in addition to anthropogenic nutrient pollution, such as flooding.</t>
  </si>
  <si>
    <t>Presence of red tide on a given day reduces restaurant sales by $616 (2005 dollars) (5% to 14% of daily sales for the 3 restaurants evaluated); however, impacts may also be caused at least partially by natural drivers, and authors note that the model is likely to be mis-specified.</t>
  </si>
  <si>
    <t>Nitrate removal from U.S. drinking water supplies costs over $4.8 billion per year; however, the cost estimates are based on 1996 technologies and as such may not be applicable.</t>
  </si>
  <si>
    <t>In one zip code, the monthly losses associated with a red tide event are $2.23 million for restaurants and $2.29 million for hotels; however, impacts may also be caused at least partially by natural drivers.</t>
  </si>
  <si>
    <t>Units in algae zones were about 43% as valuable as units in algae-free areas; extrapolating to all 754 "algae zone" units yields depreciation value of $9.4 million per year in lost value; conclusions rely heavily on public perception and not statistical or data-driven analysis.</t>
  </si>
  <si>
    <t>Fishing and boating trip-related expenditure annual losses of $189m-$589m and $182m-$567m, respectively (2001 dollars);
Property value annual losses (scaled over 50-years) of $0.3b, $1.4b, and $2.8b for the low (5% private), intermediate (25% private), and high (50% private) assumed land availabilities, respectively;
Aquatic biodiversity impacts of $44 million per year to develop 60 plans for the species that are at least partially imperiled due to eutrophication;
Drinking water impacts of $813 million per year for bottled water because of taste and odor problems potentially linked to eutrophication (2001 dollars).</t>
  </si>
  <si>
    <r>
      <t xml:space="preserve">Anderson, G.D. and S.F. Edwards. 1986. Protecting Rhode Island’s Coastal Salt Ponds: “An Economic Assessment of Downzoning.” </t>
    </r>
    <r>
      <rPr>
        <i/>
        <sz val="10"/>
        <color theme="1"/>
        <rFont val="Calibri"/>
        <family val="2"/>
        <scheme val="minor"/>
      </rPr>
      <t>Coastal Zone Management</t>
    </r>
    <r>
      <rPr>
        <sz val="10"/>
        <color theme="1"/>
        <rFont val="Calibri"/>
        <family val="2"/>
        <scheme val="minor"/>
      </rPr>
      <t xml:space="preserve"> 14( ½): 67-91.</t>
    </r>
  </si>
  <si>
    <r>
      <t xml:space="preserve">Carson, R.T. and R.C. Mitchell. 1993. “The value of clean water: the public’s willingness to pay for boatable, fishable, and swimmable quality water.” </t>
    </r>
    <r>
      <rPr>
        <i/>
        <sz val="10"/>
        <color theme="1"/>
        <rFont val="Calibri"/>
        <family val="2"/>
        <scheme val="minor"/>
      </rPr>
      <t>Water Resources Research</t>
    </r>
    <r>
      <rPr>
        <sz val="10"/>
        <color theme="1"/>
        <rFont val="Calibri"/>
        <family val="2"/>
        <scheme val="minor"/>
      </rPr>
      <t xml:space="preserve"> 29(7): 2445-2454.</t>
    </r>
  </si>
  <si>
    <r>
      <t xml:space="preserve">Desvousges,W.H., V.K. Smith and A. Fisher. 1987. “Option Price Estimates for Water Quality Improvements: A Contingent Valuation Study for the Monongahela River.” </t>
    </r>
    <r>
      <rPr>
        <i/>
        <sz val="10"/>
        <color theme="1"/>
        <rFont val="Calibri"/>
        <family val="2"/>
        <scheme val="minor"/>
      </rPr>
      <t>Journal of Environmental Economics and Management</t>
    </r>
    <r>
      <rPr>
        <sz val="10"/>
        <color theme="1"/>
        <rFont val="Calibri"/>
        <family val="2"/>
        <scheme val="minor"/>
      </rPr>
      <t>. 14: 248-267.</t>
    </r>
  </si>
  <si>
    <r>
      <t xml:space="preserve">Loomis, J., P. Kent, L. Strange, K. Fausch and A. Covich. 2000. “Measuring the total economic value of restoring ecosystem services in an impaired river basin: results from a contingent valuation survey.” </t>
    </r>
    <r>
      <rPr>
        <i/>
        <sz val="10"/>
        <color theme="1"/>
        <rFont val="Calibri"/>
        <family val="2"/>
        <scheme val="minor"/>
      </rPr>
      <t>Ecological Economics</t>
    </r>
    <r>
      <rPr>
        <sz val="10"/>
        <color theme="1"/>
        <rFont val="Calibri"/>
        <family val="2"/>
        <scheme val="minor"/>
      </rPr>
      <t xml:space="preserve"> 33: 103-117.</t>
    </r>
  </si>
  <si>
    <r>
      <t xml:space="preserve">Sanders, L. B., R.G. Walsh, and J.B. Loomis. 1990. “Toward Empirical Estimation of the Total Value of Protecting Rivers.” </t>
    </r>
    <r>
      <rPr>
        <i/>
        <sz val="10"/>
        <color theme="1"/>
        <rFont val="Calibri"/>
        <family val="2"/>
        <scheme val="minor"/>
      </rPr>
      <t>Water Resources Research</t>
    </r>
    <r>
      <rPr>
        <sz val="10"/>
        <color theme="1"/>
        <rFont val="Calibri"/>
        <family val="2"/>
        <scheme val="minor"/>
      </rPr>
      <t>. 26(7): 1345-1357.</t>
    </r>
  </si>
  <si>
    <t>Algal blooms (turbidity)</t>
  </si>
  <si>
    <t>Cheney Reservoir outside of Witchita, Kansas</t>
  </si>
  <si>
    <t>Oneby and Bollyky (2006)</t>
  </si>
  <si>
    <t>Evaluated treatment performance of ozonation to reduce turbidity and taste and odor issues associated with presence of algae.</t>
  </si>
  <si>
    <t>Cost to install ozonation system prior to drinking water treatment plant were $8.5 million (completed in 2005). Study does not provide description of what project costs entailed or source/citation of costs.</t>
  </si>
  <si>
    <t>Oneby, M. and L. J. Bollyky. 2006. High-pressure Pipeline Pre-ozonation at Witchita, Kansas for Taste and Odor Control. Presented at International Conference Ozone and UV, April 3rd 2006.</t>
  </si>
  <si>
    <t>The Associated Press (2013)</t>
  </si>
  <si>
    <t>Four Kentucky Lakes: Rough River, Barren River, Taylorsville and Nolin.</t>
  </si>
  <si>
    <t>The City of Toledo spent $3,000 to $4,000 per day on carbon activated filtration during algal blooms, plus additional costs to treat water with potassium permanganate.</t>
  </si>
  <si>
    <t>Conservative estimate of the number of fish killed is 17.5 million; estimate of value of fish killed is over $7 million. Unknown indirect losses to local tourism, sport fishing, and state revenues.</t>
  </si>
  <si>
    <t>Estimated reductions in recreational spending of $10 million to $12 million in small coastal communities; loss of subsistence fishing for Native American coastal tribes.</t>
  </si>
  <si>
    <t>HABs have been detected at four Kentucky lakes during the summer of 2013. Collectively, these lakes receive approximately 5 million visitors per year, and a lake manager reports that some visitors have cancelled campground reservations.</t>
  </si>
  <si>
    <t>Reported Loss</t>
  </si>
  <si>
    <t>HARRNESS (2005)</t>
  </si>
  <si>
    <t>Associated Press (2013)</t>
  </si>
  <si>
    <t>Buckeye Lake</t>
  </si>
  <si>
    <t xml:space="preserve">Due to the presence of a liver toxin produced by algae near beaches, state park officials have posted warnings for swimmers along the beaches of Buckeye Lake in Fairfield, Licking, and Perry Counties for the last three summers, and revenues have declined. The toxic algae is attributable to excess phosphorus loading from manure, sewage, and fertilizers. Since 2011, the Ohio Environmental Protection Agency has spent more than $700,000 on efforts to identify sources of phosphorus loading and reduce algae at Buckeye Lake. </t>
  </si>
  <si>
    <t>Harmful algal blooms have necessitated warnings against swimming and closure of beaches, with scheduled Girl Scout camps being closed, and property values declining; there have been 18 fish kills in Northwest Creek since 1986. Plans to restore the creek cost $1 million.</t>
  </si>
  <si>
    <t>Algal blooms caused taste and odor issues for drinking water in Los Angeles County and parts of Orange County, San Bernardino County, and Riverside County. Utilities have applied copper sulfate to control the bloom, but the taste and odor issues persisted affecting approximately 7 million people in the area.</t>
  </si>
  <si>
    <t>Extremely high levels of toxic algae in the lake knocked the water treatment plant offline (which serves 2,000 residents of Carroll Township).</t>
  </si>
  <si>
    <t>City News Service. 2011. Algae Bloom in Tap Water Affecting Some in Southland. October 1, 2011. http://www.nbclosangeles.com/news/local/Algae-Bloom-in-Tap-Water-Affecting-Some-in-Southland-130910958.html</t>
  </si>
  <si>
    <t>Des Moines Register. 2013. News Article: Nitrates in Des Moines Rivers Hit Record Levels. Sourcewater Collaborative. http://www.sourcewatercollaborative.org/highlights/news-article-nitrates-in-des-moines-rivers-hit-record-levels/</t>
  </si>
  <si>
    <t>Health-threatening levels of nitrates in surface waters used for drinking water intakes necessitated the use of a nitrate removal plant, which has not been needed since 2007 (the plant cost $4 million to construct in 1992). The plant costs about $7,000 a day to run, although it is not clear if those are operating costs as full capacity or current capacity (the plant is only using 4 of the 8 treatment cells).</t>
  </si>
  <si>
    <t>PA-LBFC (2013)</t>
  </si>
  <si>
    <t>EG Found (2012)</t>
  </si>
  <si>
    <t>Jiang (2004)</t>
  </si>
  <si>
    <t>Falk (2011)</t>
  </si>
  <si>
    <t>SWET (2008)</t>
  </si>
  <si>
    <t>CWP (2013)</t>
  </si>
  <si>
    <t>Weiss et al. (2007)</t>
  </si>
  <si>
    <t>Huang, et al. (2010)</t>
  </si>
  <si>
    <t>Hypoxia</t>
  </si>
  <si>
    <t>Bioeconomic model to identify lagged effects of hypoxia on commercial harvests of brown shrimp.</t>
  </si>
  <si>
    <t>1999-2005</t>
  </si>
  <si>
    <t>1999 to 2005</t>
  </si>
  <si>
    <t>Neuse River and Pamlico Bay</t>
  </si>
  <si>
    <t>Oxygen conditions data from USGS monitoring; fish harvest data from the NC Division of Marine Fisheries trip ticket program.</t>
  </si>
  <si>
    <t>Between 1999 and 2005, there was a brown shrimp harvest revenue decrease of 13.1% due to hypoxia in the Neuse River, worth $32,000. In Pamlico Sound, there was a 13.4% decrease worth $1.24 million over the 7 year period (1999 dollars).</t>
  </si>
  <si>
    <t>Associated Press. 2013. Algae blooms found in more Kentucky lakes. Courier Press. Accessible electronically at: http://www.courierpress.com/news/2013/aug/01/algae-blooms-found-in-more-kentucky-lakes/</t>
  </si>
  <si>
    <t>Hunt, S. 2013. Algae bloom limits swimming in Buckeye Lake. The Columbus Dispatch. Accessible electronically at: http://www.dispatch.com/content/stories/public/2013/08/05/buckeye-lake-algae.html</t>
  </si>
  <si>
    <t>Times Standard. 2013. Blue-green algae a health hazard in Klamath River: Caution urged in water contact and fish consumption. Accessible electronically at: http://www.times-standard.com/breakingnews/ci_24116523/blue-green-algae-health-hazard-klamath-river-caution</t>
  </si>
  <si>
    <t>Wheeler, T.B. 2013. Fish kills, toxic algae plague Northwest Creek in Stevensville. The Baltimore Sun. Accessible electronically at: http://articles.baltimoresun.com/2013-08-26/features/bs-gr-toxic-algae-shore-20130825_1_blue-green-algae-microcystis-fish-kills</t>
  </si>
  <si>
    <t>Appendix B: Summary of State-Level Cost-Benefit and Economic Analyses of Proposed Nutrient Reduction Regulations</t>
  </si>
  <si>
    <t>Weaver (2010)</t>
  </si>
  <si>
    <t>Weaver, K. 2010. “Estuary and Coastal Waters Numeric Nutrient Criteria: Workshop Introduction.” Estuary Numeric Nutrient Criteria Public Meeting for Portions of the Florida Coast from Dixie County to Pasco County.</t>
  </si>
  <si>
    <t>Huang et al. (2010)</t>
  </si>
  <si>
    <t>Breetz (2004)</t>
  </si>
  <si>
    <t>WASDE (2011)</t>
  </si>
  <si>
    <t>CBP (2002)</t>
  </si>
  <si>
    <t>U.S. EPA (2008)</t>
  </si>
  <si>
    <t>WERF (2005)</t>
  </si>
  <si>
    <t>Hernandez-Sancho (2011)</t>
  </si>
  <si>
    <t>MNESERB (2004)</t>
  </si>
  <si>
    <t>U.S. EPA (2004)</t>
  </si>
  <si>
    <t>Barnstable (2010)</t>
  </si>
  <si>
    <t xml:space="preserve">HARRNESS. 2005. Harmful Algal Research &amp; Response: A National Environmental Science Strategy, 2005 - 2015. </t>
  </si>
  <si>
    <t xml:space="preserve">Utah Division of Water Quality (UDWQ). 2013. Economic Benefits of Nutrient Reductions in Utah’s Waters. CH2MHill. </t>
  </si>
  <si>
    <t xml:space="preserve">Colorado Department of Public Health and Environment (CDPHE). 2011. Cost/Benefit Study of the Impacts of Potential Nutrient Controls for Colorado Point Source Discharges. CDM. </t>
  </si>
  <si>
    <t>WI Department of Natural Resources (2012)</t>
  </si>
  <si>
    <t xml:space="preserve">U.S. Environmental Protection Agency (U.S. EPA). 2010. Economic Analysis of Final Water Quality Standards for Nutrients for Lakes and Flowing Waters in Florida. </t>
  </si>
  <si>
    <t>Anderson, G.D. and S.F. Edwards. 1986. Protecting Rhode Island’s Coastal Salt Ponds: “An Economic Assessment of Downzoning.” Coastal Zone Management 14( ½): 67-91.</t>
  </si>
  <si>
    <t>Carson, R.T. and R.C. Mitchell. 1993. “The value of clean water: the public’s willingness to pay for boatable, fishable, and swimmable quality water.” Water Resources Research 29(7): 2445-2454.</t>
  </si>
  <si>
    <t>Desvousges,W.H., V.K. Smith and A. Fisher. 1987. “Option Price Estimates for Water Quality Improvements: A Contingent Valuation Study for the Monongahela River.” Journal of Environmental Economics and Management. 14: 248-267.</t>
  </si>
  <si>
    <t>Loomis, J., P. Kent, L. Strange, K. Fausch and A. Covich. 2000. “Measuring the total economic value of restoring ecosystem services in an impaired river basin: results from a contingent valuation survey.” Ecological Economics 33: 103-117.</t>
  </si>
  <si>
    <t>Sanders, L. B., R.G. Walsh, and J.B. Loomis. 1990. “Toward Empirical Estimation of the Total Value of Protecting Rivers.” Water Resources Research. 26(7): 1345-1357.</t>
  </si>
  <si>
    <t xml:space="preserve">Huang, L., M.D. Smith, and K. Craig. 2010. Quantifying the Economic Effects of Hypoxia on a Fishery for Brown Shrimp Farfantepenaeus aztecus. Marine and Coastal Fisheries: Dynamics, Management, and Ecosystem Science 2:232–248. </t>
  </si>
  <si>
    <t xml:space="preserve">van Beukering, P.J.H. and H.S.J. Cesar. 2004. Ecological Economic Modeling of Coral Reefs: Evaluating Tourist Overuse at Hanauma Bay and Algae Blooms at the Kihei Coast, Hawaii. Pacific Science 58(2): 243-260. </t>
  </si>
  <si>
    <t>Barstable County Wastewater Cost Task Force. (2010). Comparison of Costs for Wastewater Management Systems Applicable to Cape Cod: Guidance to Cape Cod Towns Undertaking Comprehensive Wastewater Management Planning. Retrieved on 2013/03/07. &lt;http://www.ccwpc.org/images/educ_materials/wwreports/cape_cod_ww_costs--4-10.pdf&gt;</t>
  </si>
  <si>
    <t>Hernandez-Sancho, F., Molinos-Senante, M., &amp; Sala-Garrido, R. (2011). Cost Modelling for Wastewater Treatment Processes. Desalination, 268, pp 1-5.</t>
  </si>
  <si>
    <t>Jiang, F., Beck, M.B., Cummings, R.G., Rowles, K., &amp; Russell, D. (2004). Estimation of Costs of Phosphorus Removal in Wastewater Treatment Facilities: Construction De Novo (Water Policy Working Paper #2004-010). Retrieved on 2013/02/27. http://h2opolicycenter.org/researchpapers/DeNovo.pdf</t>
  </si>
  <si>
    <t>Water Environment Research Foundation. (2005). Nutrient Farming and Traditional Removal: An Economic Comparison. (03-WSM-6CO). Alexandria, VA: IWA Publishing.</t>
  </si>
  <si>
    <t xml:space="preserve">US Environmental Protection Agency. (2008). Municipal Nutrient Removal Technologies Reference Document: Volume 1 &amp; 2 - Technical Report. (EPA 832-R-08-006). </t>
  </si>
  <si>
    <t>Chesapeake Bay Program. (2002). Nutrient Reduction Technology Cost Estimations for Point Sources in the Chesapeake Bay Watershed. Retrieved 2013/02/28. &lt;http://www.chesapeakebay.net/content/publications/cbp_13136.pdf&gt;</t>
  </si>
  <si>
    <t>Washington State Department of Ecology. (2011). Technical and Economic Evaluation of Nitrogen and Phosphorus Removal at Municicipal Wastewater Treatment Facilities.  Retrieved 2013/02/28. &lt;https://fortress.wa.gov/ecy/publications/publications/1110060.pdf&gt;.</t>
  </si>
  <si>
    <t>US Environmental Protection Agency. (2003). Economic Analyses of Nutrient and Sediment Reduciton Actions to Restore Chesapeake Bay Water Quality. Retrieved on 2013/03/06. &lt;http://nepis.epa.gov/Exe/ZyPDF.cgi?Dockey=P10065XE.PDF&gt;</t>
  </si>
  <si>
    <t>U.S. EPA (2003)</t>
  </si>
  <si>
    <t>Everglades Foundation. (2012). Enterprise Assessment for the Reduction of Nutrient Pollution in South Florida Waters-Final Report. Retrieved 2013/03/06. &lt;http://www.evergladesfoundation.org/wp-content/uploads/2012/04/Report-RTI-Study.pdf&gt;</t>
  </si>
  <si>
    <t xml:space="preserve">US Environmental Protection Agency. (1999). Evaluation of Wastewater Treatment Plants for BNR Retrofits Using Advances in Technology. (EPA-R-99-020). </t>
  </si>
  <si>
    <t>U.S. EPA (1999)</t>
  </si>
  <si>
    <t>US Environmental Protection Agency. (2004). Technical Development Document for the Final Effluent Limitations Guidelines and Standards for the Meat and Poultry Products Point Source Cateogory (40 CFR 432): Volumes 1 - 4. (EPA-821-R-04-011).</t>
  </si>
  <si>
    <t>Falk, M.W., Neethling, J.B., Reardon, D.J. (2011). Striking the Balance Between Nutrient Removal in Wastewater Treatment and Sustainability. London, IWA Publishing.</t>
  </si>
  <si>
    <t>Weiss, P.T., Gulliver, J.S., &amp; Erickson, A.J. (2007). Cost and Pollution Removal of Storm-Water Treatment Practices. Journal of Water Resources Planning and Management, 133, 3, pp 218-219.</t>
  </si>
  <si>
    <t>Shilling (2005)</t>
  </si>
  <si>
    <t>U.S. EPA (2001a)</t>
  </si>
  <si>
    <t>U.S. EPA (2001b)</t>
  </si>
  <si>
    <t>US Environmental Protection Agency. (2001). The National Costs of the Total Maximum Daily Load Program (Draft Report). (EPA 841-D-01-003).</t>
  </si>
  <si>
    <t>US Environmental Protection Agency (2001). The National Costs of the Total Maximum Daily Load Program, Support Document #1. (EPA 841-D-01-003).</t>
  </si>
  <si>
    <t>Breetz, H. L., Fisher-Vanden, K., Garzon, L., Jacobs, H., Kroetz, K., &amp; Terry, R. (2004). Water Quality Trading and Offset Initiatives in the U.S.: A Comprehensive Survey. Dartmouth College, Hanover, N. H.</t>
  </si>
  <si>
    <t>Cooke, G.D., Welch, E.B., Peterson, S.A., &amp; Nichols, S.A. (2005).  Restoration and Management of Lakes and Reservoirs, 3rd edition. CRC Press, Boca Raton, FL; 616 pages.</t>
  </si>
  <si>
    <t>Huang, et al. (2012)</t>
  </si>
  <si>
    <t>Logit model of NC fisherman participation behavior and estimation of consumer and producer surplus changes attributable to hypoxia.</t>
  </si>
  <si>
    <t>Between 1999 and 2005, the average number of hypoxic days (61) lead to a $261,372 welfare loss (2005$)</t>
  </si>
  <si>
    <t>Huang et al. (2012)</t>
  </si>
  <si>
    <t>Huang, L., L.A.B. Nichols, Craig, J.K. and M.D. Smith. 2012. Measuring Welfare Loss from Hypoxia: The Case of North Carolina Brown Shrimp. Marine Resource Economics 27: 3-23.</t>
  </si>
  <si>
    <t>Between 1999 and 2005, there was a brown shrimp harvest revenue decrease of 13.1% due to hypoxia in the Neuse River, worth $44,100. In Pamlico Sound, there was a 13.4% decrease worth $1.71 million over the 7 year period.</t>
  </si>
  <si>
    <t>Nutrient Economic Impact Overview</t>
  </si>
  <si>
    <t>Pennsylvania General Assembly: Legislative Budget and Finance Committee. (2013). A Cost Effective Alternative Approach to Meeting Pennsylvania’s Chesapeake Bay Nutrient Reduction Targets. (Conducted Pursuant to Act 2012-87). Retrieved on 2013/11/11. http://lbfc.legis.state.pa.us/reports/2013/77.PDF</t>
  </si>
  <si>
    <t>Shilling, F., S. Sommarstrom, R. Kattelmann, B. Washburn, J. Florsheim, and R. Henly. (2005). California Watershed Assessment Manual: Volume I. Prepared for the California Resources Agency and the California Bay-Delta Authority (http://cwam.ucdavis.edu).</t>
  </si>
  <si>
    <t>Center for Watershed Protection (2013). Cost-Effectiveness Study of Urban Stormwater BMPs in the James River Basin. Retrieved 2013/8/11. &lt;http://www.jamesriverassociation.org/what-we-do/JRA-Cost-effective-Full-Report-June-update.pdf&gt;</t>
  </si>
  <si>
    <t>Minnesota Environmental Science and Economic Review Board. (2004). Wastewater Phosphorus Control and Reduction Initiative. Retrieved 2013/02/28. &lt;http://www.meserb.org/wp-content/uploads/2009/12/mesereport22apr05.pdf&gt;.</t>
  </si>
  <si>
    <t>Results are based on the assumption that environmental effects from a hypoxia event accumulate over a 60-day period; harvest reductions under alternate lagging assumptions (between 30 days to 100 days) also had significant effects, ranging between 9.23% to 14.92%</t>
  </si>
  <si>
    <t>Additional Studies</t>
  </si>
  <si>
    <t>Provides a list of studies that assess the benefits of nutrient reductions.</t>
  </si>
  <si>
    <t>Mitigation</t>
  </si>
  <si>
    <t>Point Sources</t>
  </si>
  <si>
    <t>Municipal</t>
  </si>
  <si>
    <t xml:space="preserve">Provides information about studies reporting costs associated with municipal water treatment for nutrients (including, for each study, the nutrient parameter, target concentration, treatment technology, influent and effluent concentrations, plant capacity, and costs); all results updated to 2012$ using the consumer price index. </t>
  </si>
  <si>
    <t>Industrial</t>
  </si>
  <si>
    <t xml:space="preserve">Provides information about studies reporting costs associated with industrial wastewater treatment for nutrients (including, for each study, the nutrient parameter, treatment technology, influent and effluent concentrations, plant capacity, and costs); all results updated to 2012$ using the consumer price index. </t>
  </si>
  <si>
    <t>Decentralized</t>
  </si>
  <si>
    <t xml:space="preserve">Provides information about studies reporting costs associated with decentralized wastewater treatment for nutrients (including, for each study, the nutrient parameter, treatment technology, influent and effluent concentrations, plant capacity, and costs); all results updated to 2012$ using the consumer price index. </t>
  </si>
  <si>
    <t>Nonpoint Sources</t>
  </si>
  <si>
    <t>Urban Runoff</t>
  </si>
  <si>
    <t xml:space="preserve">Provides information about studies reporting costs associated with reducing nutrient pollution from urban runoff (including, for each study, the nutrient parameter, treatment technology, removal performance, size, location, and costs); all results updated to 2012$ using the consumer price index. </t>
  </si>
  <si>
    <t>Economic Impacts</t>
  </si>
  <si>
    <t>Point Source Control Cost Overview</t>
  </si>
  <si>
    <t>Paramater Codes</t>
  </si>
  <si>
    <t>TA</t>
  </si>
  <si>
    <t>=</t>
  </si>
  <si>
    <t>Total Ammonia as N</t>
  </si>
  <si>
    <t>TIN</t>
  </si>
  <si>
    <t>Total Inorganic Nitrogen</t>
  </si>
  <si>
    <t>Total Nitrogen as N</t>
  </si>
  <si>
    <t>TP</t>
  </si>
  <si>
    <t>Total Phosphorus</t>
  </si>
  <si>
    <t>Technology Codes</t>
  </si>
  <si>
    <t>Point Source Control Technologies</t>
  </si>
  <si>
    <t>3Clar</t>
  </si>
  <si>
    <t>Tertiary Clarification</t>
  </si>
  <si>
    <t>A2O</t>
  </si>
  <si>
    <t>Three-stage Phoredox</t>
  </si>
  <si>
    <t>AB</t>
  </si>
  <si>
    <t>Aeration Basin</t>
  </si>
  <si>
    <t>Aerobic Lagoons</t>
  </si>
  <si>
    <t>AO</t>
  </si>
  <si>
    <t>Phoredox</t>
  </si>
  <si>
    <t>AS</t>
  </si>
  <si>
    <t>Activated Sludge</t>
  </si>
  <si>
    <t>BAF</t>
  </si>
  <si>
    <t>Biological Activated Filter</t>
  </si>
  <si>
    <t xml:space="preserve">BNR </t>
  </si>
  <si>
    <t>Unspecified Biological Nutrient Removal Process</t>
  </si>
  <si>
    <t>Bpho</t>
  </si>
  <si>
    <t>Bardenpho</t>
  </si>
  <si>
    <t>BPR</t>
  </si>
  <si>
    <t>Unspecified Biological Phosphorus Removal</t>
  </si>
  <si>
    <t>Cycled Aeration</t>
  </si>
  <si>
    <t>CAC</t>
  </si>
  <si>
    <t>Chemically Assisted Clarification</t>
  </si>
  <si>
    <t>ChPr</t>
  </si>
  <si>
    <t>Chemical Phosphorus Removal</t>
  </si>
  <si>
    <t>DFil</t>
  </si>
  <si>
    <t>Denitrification Filter</t>
  </si>
  <si>
    <t>EA</t>
  </si>
  <si>
    <t>Extended Aeration</t>
  </si>
  <si>
    <t>Fil</t>
  </si>
  <si>
    <t>Media Filtration (non-GAC)</t>
  </si>
  <si>
    <t>Facultative Lagoon</t>
  </si>
  <si>
    <t>GAAl</t>
  </si>
  <si>
    <t>Granular Activated Aluminum</t>
  </si>
  <si>
    <t>GR</t>
  </si>
  <si>
    <t>Grit Removal</t>
  </si>
  <si>
    <t>IFAS</t>
  </si>
  <si>
    <t>Integrated Fixed-Film Activated Sludge</t>
  </si>
  <si>
    <t>MemBR</t>
  </si>
  <si>
    <t>Membrane Bioreactor</t>
  </si>
  <si>
    <t>MiFil</t>
  </si>
  <si>
    <t>Microfiltration</t>
  </si>
  <si>
    <t>MLE</t>
  </si>
  <si>
    <t>Modified Ludzack-Ettinger</t>
  </si>
  <si>
    <t>OX</t>
  </si>
  <si>
    <t>Oxidation Ditch</t>
  </si>
  <si>
    <t>RBC</t>
  </si>
  <si>
    <t>Rotating Biological Contactor</t>
  </si>
  <si>
    <t>RO</t>
  </si>
  <si>
    <t>Reverse Osmosis</t>
  </si>
  <si>
    <t>SBR</t>
  </si>
  <si>
    <t>Sequential Batch Reactor</t>
  </si>
  <si>
    <t>SF</t>
  </si>
  <si>
    <t>Sand Filter</t>
  </si>
  <si>
    <t>SubF</t>
  </si>
  <si>
    <t>Submerged Biological Filter</t>
  </si>
  <si>
    <t>TF</t>
  </si>
  <si>
    <t>Trickling Filter</t>
  </si>
  <si>
    <t>UCT</t>
  </si>
  <si>
    <t>University of Capetown Process</t>
  </si>
  <si>
    <t>UF</t>
  </si>
  <si>
    <t>Ultrafiltration</t>
  </si>
  <si>
    <t>Note:</t>
  </si>
  <si>
    <t>Cost Estimate Basis Codes</t>
  </si>
  <si>
    <t>Modeled</t>
  </si>
  <si>
    <t>Cost estimate and effluent results were modeled (i.e., costs were developed using technology-specific cost curves, or by direct estimation using RS Means construction cost data).</t>
  </si>
  <si>
    <t>Empirical</t>
  </si>
  <si>
    <t>Cost estimate and effluent results were the product of direct observation.</t>
  </si>
  <si>
    <t>Parameter</t>
  </si>
  <si>
    <t>Technology</t>
  </si>
  <si>
    <t>Influent Mean Concentration (ug/L)</t>
  </si>
  <si>
    <t>Effluent Mean Concentration (ug/L)</t>
  </si>
  <si>
    <t>Percent Removal</t>
  </si>
  <si>
    <t>Total Capital Cost ($2012/gpd)</t>
  </si>
  <si>
    <t>Annual O&amp;M Cost ($2012/gpd)</t>
  </si>
  <si>
    <t>Size</t>
  </si>
  <si>
    <t>Original Cost Year</t>
  </si>
  <si>
    <t>Cost Estimate Basis</t>
  </si>
  <si>
    <t>Reference Pointer</t>
  </si>
  <si>
    <t>Type of Cost</t>
  </si>
  <si>
    <t>Comments</t>
  </si>
  <si>
    <t>UCT + Fil</t>
  </si>
  <si>
    <t>3 MGD</t>
  </si>
  <si>
    <t>USEPA (2008)</t>
  </si>
  <si>
    <t>Retrofit/Expansion</t>
  </si>
  <si>
    <t>Montana</t>
  </si>
  <si>
    <t>AO + 3Clar + Fil</t>
  </si>
  <si>
    <t>100 MGD</t>
  </si>
  <si>
    <t>Nevada</t>
  </si>
  <si>
    <t>AS + Fil</t>
  </si>
  <si>
    <t>67 MGD</t>
  </si>
  <si>
    <t>Virginia</t>
  </si>
  <si>
    <t>0.5 MGD</t>
  </si>
  <si>
    <t>WASDE(2011)</t>
  </si>
  <si>
    <t>Washington</t>
  </si>
  <si>
    <t>1 MGD</t>
  </si>
  <si>
    <t>Extended aeration with diffused aeration system.</t>
  </si>
  <si>
    <t>TF + SubF</t>
  </si>
  <si>
    <t>Extended aeration with mechanical aerators.</t>
  </si>
  <si>
    <t>10 MGD</t>
  </si>
  <si>
    <t>150 MGD</t>
  </si>
  <si>
    <t>2 MGD</t>
  </si>
  <si>
    <t>20 MGD</t>
  </si>
  <si>
    <t>High-purity oxygen activated sludge plant</t>
  </si>
  <si>
    <t>220 MGD</t>
  </si>
  <si>
    <t>5 MGD</t>
  </si>
  <si>
    <t>50 MGD</t>
  </si>
  <si>
    <t>AS + Dfil</t>
  </si>
  <si>
    <t>Not Reported</t>
  </si>
  <si>
    <t>0.36 MGD</t>
  </si>
  <si>
    <t>USEPA (1999)</t>
  </si>
  <si>
    <t>Maryland</t>
  </si>
  <si>
    <t>Federalsburg WWTP</t>
  </si>
  <si>
    <t>Dfil + OX</t>
  </si>
  <si>
    <t>1.37 MGD</t>
  </si>
  <si>
    <t>Elkton WWTP</t>
  </si>
  <si>
    <t>BNR</t>
  </si>
  <si>
    <t>0.1 MGD</t>
  </si>
  <si>
    <t xml:space="preserve"> CBP (2002)</t>
  </si>
  <si>
    <t>DC/MD/VA/PA</t>
  </si>
  <si>
    <t>1.0 MGD</t>
  </si>
  <si>
    <t>30 MGD</t>
  </si>
  <si>
    <t>AS + MLE + ChPr + MiFil + RO</t>
  </si>
  <si>
    <t>AS + MLE + ChPr</t>
  </si>
  <si>
    <t>AS + Bpho</t>
  </si>
  <si>
    <t>33.4 MGD</t>
  </si>
  <si>
    <t>WERF(2005)</t>
  </si>
  <si>
    <t>Illinois</t>
  </si>
  <si>
    <t>Dfil</t>
  </si>
  <si>
    <t>3.5 MGD</t>
  </si>
  <si>
    <t>7 MGD</t>
  </si>
  <si>
    <t>North Carolina</t>
  </si>
  <si>
    <t>TF w SubF</t>
  </si>
  <si>
    <t>RBC + AS + Dfil</t>
  </si>
  <si>
    <t>0.30 MGD</t>
  </si>
  <si>
    <t>Winebrenner WWTP</t>
  </si>
  <si>
    <t xml:space="preserve">AS </t>
  </si>
  <si>
    <t>0.32 MGD</t>
  </si>
  <si>
    <t>Indian Head WWTP - Conversion to anoxic and aerobic zones</t>
  </si>
  <si>
    <t>AS + CA</t>
  </si>
  <si>
    <t>0.325 MGD</t>
  </si>
  <si>
    <t>Brunswick WWTP</t>
  </si>
  <si>
    <t>OX + GR</t>
  </si>
  <si>
    <t>0.626 MGD</t>
  </si>
  <si>
    <t>Georges Creek WWTP</t>
  </si>
  <si>
    <t>AS + AL + SF</t>
  </si>
  <si>
    <t>0.65 MGD</t>
  </si>
  <si>
    <t>Chestertown WWTP</t>
  </si>
  <si>
    <t>AS + MLE</t>
  </si>
  <si>
    <t>7.55 MGD</t>
  </si>
  <si>
    <t>Mattawoman WWTP</t>
  </si>
  <si>
    <t>AS + IFAS + BAF</t>
  </si>
  <si>
    <t>24.9 MGD</t>
  </si>
  <si>
    <t>New York</t>
  </si>
  <si>
    <t>Binghamton-Johnson City Joint Sewage Treatment Plant</t>
  </si>
  <si>
    <t>TF + AS + BAF</t>
  </si>
  <si>
    <t>7.39 MGD</t>
  </si>
  <si>
    <t>Endicott WWTP</t>
  </si>
  <si>
    <t>AO + CA + AS + ChPr</t>
  </si>
  <si>
    <t>13.1 MGD</t>
  </si>
  <si>
    <t>Pennsylvania</t>
  </si>
  <si>
    <t>York City Sewer Authority STP</t>
  </si>
  <si>
    <t>13.8 MGD</t>
  </si>
  <si>
    <t>Scranton Sewer Authority WWTP</t>
  </si>
  <si>
    <t>SBR + CA + MLE</t>
  </si>
  <si>
    <t>22.3 MGD</t>
  </si>
  <si>
    <t>Wyoming Valley Sanitary Authority WWTP</t>
  </si>
  <si>
    <t>AL + Dfil + ChPr</t>
  </si>
  <si>
    <t>23.4 MGD</t>
  </si>
  <si>
    <t>Lancaster City WWTP</t>
  </si>
  <si>
    <t>AS + MLE + BAF</t>
  </si>
  <si>
    <t>24 MGD</t>
  </si>
  <si>
    <t>Harrisburg WWTP</t>
  </si>
  <si>
    <t>OX + CA</t>
  </si>
  <si>
    <t>3.46 MGD</t>
  </si>
  <si>
    <t>Hanover Area Regional WWTP</t>
  </si>
  <si>
    <t>TF + IFAS + Dfil +MLE</t>
  </si>
  <si>
    <t>4.5 MGD</t>
  </si>
  <si>
    <t>Chambersburg WWTP</t>
  </si>
  <si>
    <t>AO + MLE</t>
  </si>
  <si>
    <t>University Area Joint Authority</t>
  </si>
  <si>
    <t>Throop WWTP Lackawanna River Basin Sewer Authority</t>
  </si>
  <si>
    <t>AS + SBR+ TF + Dfil</t>
  </si>
  <si>
    <t>5.7 MGD</t>
  </si>
  <si>
    <t>Lebanon WWTP</t>
  </si>
  <si>
    <t>6.2 MGD</t>
  </si>
  <si>
    <t>Greater Hazelton Joint  Sewer Authority WWTP</t>
  </si>
  <si>
    <t>6.67 MGD</t>
  </si>
  <si>
    <t>Altoona City Authority Easterly Plant - Anoxic zone added to first cell of each flow train</t>
  </si>
  <si>
    <t>8.98 MGD</t>
  </si>
  <si>
    <t>Williamsport Sanitary Authority Central Plant - Installation of 3 anoxic cells in each train</t>
  </si>
  <si>
    <t>9.14 MGD</t>
  </si>
  <si>
    <t>9.45 MGD</t>
  </si>
  <si>
    <t>Susquehanna Water Pollution Control Plant, Lancaster Area Sewer Authority</t>
  </si>
  <si>
    <t>0.28 MGD</t>
  </si>
  <si>
    <t>Dahlgren WWTP</t>
  </si>
  <si>
    <t>AS + CA + MLE + Bpho</t>
  </si>
  <si>
    <t>0.491 MGD</t>
  </si>
  <si>
    <t>Dupont Waynesboro WWTP</t>
  </si>
  <si>
    <t>0.6 MGD</t>
  </si>
  <si>
    <t>Strasburg WWTP</t>
  </si>
  <si>
    <t>0.64 MGD</t>
  </si>
  <si>
    <t>Colonial Beach WWTP</t>
  </si>
  <si>
    <t>0.77 MGD</t>
  </si>
  <si>
    <t>Woodstock WWTP</t>
  </si>
  <si>
    <t>0.98 MGD</t>
  </si>
  <si>
    <t>Stuarts Draft</t>
  </si>
  <si>
    <t>Purcellville</t>
  </si>
  <si>
    <t xml:space="preserve">OX + CA </t>
  </si>
  <si>
    <t>1.09 MGD</t>
  </si>
  <si>
    <t>Parkins Mill WWTP</t>
  </si>
  <si>
    <t>1.3 MGD</t>
  </si>
  <si>
    <t>12.8 MGD</t>
  </si>
  <si>
    <t>H.L. Mooney WWTP</t>
  </si>
  <si>
    <t>2.27 MGD</t>
  </si>
  <si>
    <t>Front Royal WWTP</t>
  </si>
  <si>
    <t>TF + AS + BPR</t>
  </si>
  <si>
    <t>2.86 MGD</t>
  </si>
  <si>
    <t>Leesburg Water Pollution Control Facility</t>
  </si>
  <si>
    <t>3.0 / 2.13 MGD</t>
  </si>
  <si>
    <t>TF + RBC + Dfil</t>
  </si>
  <si>
    <t>3.63 MGD</t>
  </si>
  <si>
    <t>Waynesboro WWTP</t>
  </si>
  <si>
    <t>3.65 MGD</t>
  </si>
  <si>
    <t>Middle River/Verona WWTP</t>
  </si>
  <si>
    <t>AS + SBR</t>
  </si>
  <si>
    <t>32.4 MGD</t>
  </si>
  <si>
    <t>Arlington WWTP</t>
  </si>
  <si>
    <t>AS + BPR</t>
  </si>
  <si>
    <t>5.14 MGD</t>
  </si>
  <si>
    <t>City of Winchester Opequon WRF</t>
  </si>
  <si>
    <t>8 MGD</t>
  </si>
  <si>
    <t>Harrisonburg WWTP - Anoxic zones</t>
  </si>
  <si>
    <t>52 MGD</t>
  </si>
  <si>
    <t>Hernandez-Sancho(2011)</t>
  </si>
  <si>
    <t>de Novo</t>
  </si>
  <si>
    <t>Spain</t>
  </si>
  <si>
    <t>Capital and O&amp;M costs were not reported. Instead an average annualized total project cost was reported for 58 WWTPs. Capital cost units are $/gpd-year. Costs were converted to dollars from euros using 2007 average exchange rates (0.760 euros per dollar; http://www.irs.gov/Individuals/International-Taxpayers/Yearly-Average-Currency-Exchange-Rates).</t>
  </si>
  <si>
    <t>UF or MemBR or RO</t>
  </si>
  <si>
    <t>122 MGD</t>
  </si>
  <si>
    <t>Capital and O&amp;M costs were not reported. Instead an average annualized total project cost was reported for 16 WWTPs. Capital cost units are $/gpd-year. Costs were converted to dollars from euros using 2007 average exchange rates (0.760 euros per dollar; http://www.irs.gov/Individuals/International-Taxpayers/Yearly-Average-Currency-Exchange-Rates).</t>
  </si>
  <si>
    <t>2.17 MGD</t>
  </si>
  <si>
    <t>23.8 MGD</t>
  </si>
  <si>
    <t>237 MGD</t>
  </si>
  <si>
    <t>250 MGD</t>
  </si>
  <si>
    <t>683 MGD</t>
  </si>
  <si>
    <t>8.18 MGD</t>
  </si>
  <si>
    <t>Florida</t>
  </si>
  <si>
    <t>40 MGD</t>
  </si>
  <si>
    <t>75 MGD</t>
  </si>
  <si>
    <t>110 MGD</t>
  </si>
  <si>
    <t>145 MGD</t>
  </si>
  <si>
    <t>0.7 MGD</t>
  </si>
  <si>
    <t>Crisfield WWTP</t>
  </si>
  <si>
    <t>AS + SBR + IFAS</t>
  </si>
  <si>
    <t>Williamsport Sanitary Authority West</t>
  </si>
  <si>
    <t xml:space="preserve">A2O + CAC </t>
  </si>
  <si>
    <t>A20 + CAC + 3Clar</t>
  </si>
  <si>
    <t>A20 + CAC + 3Clar + Fil</t>
  </si>
  <si>
    <t>A20 + CAC + 3Clar + GAAl</t>
  </si>
  <si>
    <t>A20 + CAC + 3Clar + UF</t>
  </si>
  <si>
    <t xml:space="preserve">A2O+CAC </t>
  </si>
  <si>
    <t>OX + ChPr</t>
  </si>
  <si>
    <t>MNESERB(2004)</t>
  </si>
  <si>
    <t>Minnesota</t>
  </si>
  <si>
    <t>OX + AO + ChPr</t>
  </si>
  <si>
    <t>0.66 MGD</t>
  </si>
  <si>
    <t>AL + ChPr</t>
  </si>
  <si>
    <t>0.76 MGD</t>
  </si>
  <si>
    <t>TF + AS + AO + ChPr (w/out dairy)</t>
  </si>
  <si>
    <t>0.8 MGD</t>
  </si>
  <si>
    <t>TF + AS + ChPr (w/out dairy)</t>
  </si>
  <si>
    <t>TF + AS + ChPr</t>
  </si>
  <si>
    <t>TF + ChPr</t>
  </si>
  <si>
    <t>1.06 MGD</t>
  </si>
  <si>
    <t>1.4 MGD</t>
  </si>
  <si>
    <t>1.5 MGD</t>
  </si>
  <si>
    <t>TF + AS + AO</t>
  </si>
  <si>
    <t>CA + AO + ChPr</t>
  </si>
  <si>
    <t>10.8 MGD</t>
  </si>
  <si>
    <t>CA + ChPr</t>
  </si>
  <si>
    <t>AB + AO + ChPr</t>
  </si>
  <si>
    <t>13.2 MGD</t>
  </si>
  <si>
    <t>AB + ChPr</t>
  </si>
  <si>
    <t>AS + AO + ChPr</t>
  </si>
  <si>
    <t>2.1 MGD</t>
  </si>
  <si>
    <t>2.5 MGD</t>
  </si>
  <si>
    <t>AS + ChPr</t>
  </si>
  <si>
    <t>AS + AO</t>
  </si>
  <si>
    <t>2.6 MGD</t>
  </si>
  <si>
    <t>RBC + ChPr</t>
  </si>
  <si>
    <t>2.61 MGD</t>
  </si>
  <si>
    <t>AB + AO</t>
  </si>
  <si>
    <t>3.9 MGD</t>
  </si>
  <si>
    <t>4.1 MGD</t>
  </si>
  <si>
    <t>OX + AO</t>
  </si>
  <si>
    <t>CA + AO</t>
  </si>
  <si>
    <t>Not Applicable</t>
  </si>
  <si>
    <t>0.33 MGD</t>
  </si>
  <si>
    <t>Keplinger(2003)</t>
  </si>
  <si>
    <t>Texas</t>
  </si>
  <si>
    <t>Unit</t>
  </si>
  <si>
    <t>Annual O&amp;M Cost ($2012/Unit)</t>
  </si>
  <si>
    <t>AAL + AS + MLE + Dfil + CA</t>
  </si>
  <si>
    <t>$/gpd</t>
  </si>
  <si>
    <t>1.1 MGD</t>
  </si>
  <si>
    <t>Rocco Farm Foods WWTP</t>
  </si>
  <si>
    <t>MLE + ChPr</t>
  </si>
  <si>
    <t>$/Facility</t>
  </si>
  <si>
    <t>USEPA (2004)</t>
  </si>
  <si>
    <t>Average cost from upgrading existing partial nitrification process. Achieves partial denitrification. Applicable to slaughterhous and meat packinghouses (regulatory subcategories A - I of Meat and Poultry Poducts Point Source Categories - 40 CFR 432).</t>
  </si>
  <si>
    <t>Average cost from upgrading existing partial nitrification process. Achieves complete denitrification. Applicable to slaughterhous and meat packinghouses (regulatory subcategories A - I of Meat and Poultry Poducts Point Source Categories - 40 CFR 432).</t>
  </si>
  <si>
    <t>Average cost from upgrading existing partial nitrification process. Achieves partial denitrification. Applicable to non-poultry meat processors (regulatory subcategories A - I of Meat and Poultry Poducts Point Source Categories - 40 CFR 432).</t>
  </si>
  <si>
    <t>Average cost from upgrading existing partial nitrification process. Achieves complete denitrification. Applicable to non-poultry meat processors (regulatory subcategories A - I of Meat and Poultry Poducts Point Source Categories - 40 CFR 432).</t>
  </si>
  <si>
    <t>Average cost from upgrading existing partial nitrification process. Achieves partial denitrification. Applicable to renders (regulatory  subcategory J of Meat and Poultry Poducts Point Source Categories - 40 CFR 432).</t>
  </si>
  <si>
    <t>Average cost from upgrading existing partial nitrification process. Achieves partial denitrification. Applicable to renders (regulatory  subcategory J  of Meat and Poultry Poducts Point Source Categories - 40 CFR 432).</t>
  </si>
  <si>
    <t>Average cost from upgrading existing partial nitrification process. Achieves partial denitrification. Applicable to poultry processors (regulatory subcategory K of Meat and Poultry Poducts Point Source Categories - 40 CFR 432).</t>
  </si>
  <si>
    <t>Average cost from upgrading existing partial nitrification process. Achieves complete denitrification. Applicable to poultry processors (regulatory subcategory K of Meat and Poultry Poducts Point Source Categories - 40 CFR 432).</t>
  </si>
  <si>
    <t>Average cost from upgrading existing partial nitrification process. Achieves partial denitrification. Applicable to poultry post-processors (regulatory subcategory L of Meat and Poultry Poducts Point Source Categories - 40 CFR 432).</t>
  </si>
  <si>
    <t>Average cost from upgrading existing partial nitrification process. Achieves complete denitrification. Applicable to poultry post-processors (regulatory subcategory L of Meat and Poultry Poducts Point Source Categories - 40 CFR 432).</t>
  </si>
  <si>
    <t>Average cost from upgrading existing partial nitrification process. Achieves complete denitrification. Applicable to renders (regulatory subcategory J of Meat and Poultry Poducts Point Source Categories - 40 CFR 432).</t>
  </si>
  <si>
    <t>Average cost from upgrading existing partial nitrification process. Applicable to slaughterhous and meat packinghouses (regulatory subcategories A - I of Meat and Poultry Poducts Point Source Categories - 40 CFR 432).</t>
  </si>
  <si>
    <t>Average cost from upgrading existing partial nitrification process. Applicable to non-poultry meat processors (regulatory subcategories A - I of Meat and Poultry Poducts Point Source Categories - 40 CFR 432).</t>
  </si>
  <si>
    <t>Average cost from upgrading existing partial nitrification process. Applicable to renders (regulatory  subcategory J  of Meat and Poultry Poducts Point Source Categories - 40 CFR 432).</t>
  </si>
  <si>
    <t>Average cost from upgrading existing partial nitrification process. Applicable to poultry processors (regulatory subcategory K of Meat and Poultry Poducts Point Source Categories - 40 CFR 432).</t>
  </si>
  <si>
    <t>Average cost from upgrading existing partial nitrification process. Applicable to poultry post-processors (regulatory subcategory L of Meat and Poultry Poducts Point Source Categories - 40 CFR 432).</t>
  </si>
  <si>
    <t>Muliple-Residence Septic System with Nitrification/Denitrification</t>
  </si>
  <si>
    <t>0.0044 MGD</t>
  </si>
  <si>
    <t>Barnstable(2010)</t>
  </si>
  <si>
    <t>Massachusetts</t>
  </si>
  <si>
    <t>Satellite Treatment Systems/Package Plants</t>
  </si>
  <si>
    <t>0.05 MGD</t>
  </si>
  <si>
    <t>0.2 MGD</t>
  </si>
  <si>
    <t>0.3 MGD</t>
  </si>
  <si>
    <t>Single-Residence Septic System</t>
  </si>
  <si>
    <t>0.000175 MGD</t>
  </si>
  <si>
    <t>Single-Residence Septic System with Denitrification</t>
  </si>
  <si>
    <t>Muliple-Residence Septic System with Denitrification</t>
  </si>
  <si>
    <t>SBR + MemBr</t>
  </si>
  <si>
    <t>0.00033 MGD</t>
  </si>
  <si>
    <t>USEPA(2003)</t>
  </si>
  <si>
    <t>0.03 MGD</t>
  </si>
  <si>
    <t>0.08 MGD</t>
  </si>
  <si>
    <t>0.09 MGD</t>
  </si>
  <si>
    <t>Nonpoint Source Control Cost Overview</t>
  </si>
  <si>
    <t>PARAMETER</t>
  </si>
  <si>
    <t>NO3</t>
  </si>
  <si>
    <t>Nitrate an N</t>
  </si>
  <si>
    <t>Total Nitrogen</t>
  </si>
  <si>
    <t>TECHNOLOGY</t>
  </si>
  <si>
    <t>Urban Runoff (UR)</t>
  </si>
  <si>
    <t>BB</t>
  </si>
  <si>
    <t>Baffle Boxes</t>
  </si>
  <si>
    <t>BR</t>
  </si>
  <si>
    <t>Bioretention</t>
  </si>
  <si>
    <t>BS</t>
  </si>
  <si>
    <t>Bioswale</t>
  </si>
  <si>
    <t>ChPrcp</t>
  </si>
  <si>
    <t>Chemically Assisted Precipitation</t>
  </si>
  <si>
    <t>DB</t>
  </si>
  <si>
    <t>Detention Basin</t>
  </si>
  <si>
    <t>FA</t>
  </si>
  <si>
    <t>Fertilizer Application</t>
  </si>
  <si>
    <t>Media Filtration</t>
  </si>
  <si>
    <t>HS</t>
  </si>
  <si>
    <t>Hydrodynamic Structures</t>
  </si>
  <si>
    <t>IB</t>
  </si>
  <si>
    <t>Infiltration Basin</t>
  </si>
  <si>
    <t>Correction/Removal of Illicit Discharges</t>
  </si>
  <si>
    <t>Imp</t>
  </si>
  <si>
    <t>Reduce Impervious Surface Area</t>
  </si>
  <si>
    <t>IT</t>
  </si>
  <si>
    <t>Infiltration Trench</t>
  </si>
  <si>
    <t>Pet</t>
  </si>
  <si>
    <t>Pet Waste Program</t>
  </si>
  <si>
    <t>PP</t>
  </si>
  <si>
    <t>Porous Pavement</t>
  </si>
  <si>
    <t>SS</t>
  </si>
  <si>
    <t>Street Sweeping</t>
  </si>
  <si>
    <t>SWF</t>
  </si>
  <si>
    <t>Storm Water Filtration</t>
  </si>
  <si>
    <t>WB</t>
  </si>
  <si>
    <t>Wetland Basin</t>
  </si>
  <si>
    <t>Wetland</t>
  </si>
  <si>
    <t>COST ESTIMATE BASIS</t>
  </si>
  <si>
    <t>Removal Performance</t>
  </si>
  <si>
    <t>Total Capital Cost (2012 dollars)</t>
  </si>
  <si>
    <t>Capital Cost Unit</t>
  </si>
  <si>
    <t>Cost per Mass Pollutant Treated</t>
  </si>
  <si>
    <t>$/acre</t>
  </si>
  <si>
    <t>Reduced P fertilization</t>
  </si>
  <si>
    <t>Capital Cost Year</t>
  </si>
  <si>
    <t>Based on a 20 year cost. Applicable to new, suburban construction; A/B soils with no underdrain.</t>
  </si>
  <si>
    <t>Based on a 20 year cost. Applicable to new, suburban construction; A/B soils with an underdrain.</t>
  </si>
  <si>
    <t>Based on a 20 year cost. Applicable to new, suburban construction; C/D soils with an underdrain.</t>
  </si>
  <si>
    <t>Based on a 20 year cost. Applicable to a high density urban retrofit units; C soils.</t>
  </si>
  <si>
    <t xml:space="preserve">Based on a 20 year cost. </t>
  </si>
  <si>
    <t>Based on a 20 year cost. Above ground sand filters</t>
  </si>
  <si>
    <t>Based on a 20 year cost. Below ground sand filters</t>
  </si>
  <si>
    <t>FB</t>
  </si>
  <si>
    <t>Based on a 20 year cost. Correction of sanitary &amp; storm sewer cross connections.</t>
  </si>
  <si>
    <t>Based on a 20 year cost. Sewer repair.</t>
  </si>
  <si>
    <t>Based on a 20 year cost. With sand and vegetation.</t>
  </si>
  <si>
    <t>Based on a 20 year cost. Without sand and vegetation</t>
  </si>
  <si>
    <t>Based on a 20 year cost. Sand, vegetation, A/B soils, and no underdrain.</t>
  </si>
  <si>
    <t>Based on a 20 year cost. Sand, vegetation, A/B soils and an underdrain.</t>
  </si>
  <si>
    <t>Based on a 20 year cost. Sand, vegetation, C/D soils and an underdrain.</t>
  </si>
  <si>
    <t>Based on a 20 year cost. Vegetation, no sand, A/B soils and no underdrain.</t>
  </si>
  <si>
    <t>Based on a 20 year cost. Vegetation, no sand, A/B soils and an underdrain.</t>
  </si>
  <si>
    <t>Based on a 20 year cost. Vegetation, no sand, C/D soils, and an underdrain.</t>
  </si>
  <si>
    <t>Based on a 20 year cost. Estimated based on the mass loading method.</t>
  </si>
  <si>
    <t>Based on a 20 year cost. Estimated based on the street lane method.</t>
  </si>
  <si>
    <t>Low Density Residential (assumed av size of 200 ac); Existing N Concentration: 1.24 mg/l</t>
  </si>
  <si>
    <t>Medium Density Residential (assumed av size of 200 ac); Existing N Concentration: 1.53 mg/l</t>
  </si>
  <si>
    <t>High Density Residential (assumed av size of 200 ac); Existing N Concentration: 1.99 mg/l</t>
  </si>
  <si>
    <t>Other Urban, Mixed Commercial (assumed av size of 200 ac); Existing N Concentration: 1.51 mg/l</t>
  </si>
  <si>
    <t>Low Density Residential (assumed av size of 200 ac); Existing P Concentration: 0.12 mg/l</t>
  </si>
  <si>
    <t>Medium Density Residential (assumed av size of 200 ac); Existing P Concentration: 0.3 mg/l</t>
  </si>
  <si>
    <t>High Density Residential (assumed av size of 200 ac); Existing P Concentration: 0.55mg/l</t>
  </si>
  <si>
    <t>Medium Density with Mixed Commercial (assumed av size of 200 ac); Existing P Concentration: 0.30 mg/l</t>
  </si>
  <si>
    <t xml:space="preserve"> $/m3 water treated</t>
  </si>
  <si>
    <t>26 m3</t>
  </si>
  <si>
    <t>Maine, New Jersey, Pennsylvania, Michigan, Wisconsin, Iowa, Minnesota, and northern parts of Indiana, Illinois, and Ohio</t>
  </si>
  <si>
    <t>100 m3</t>
  </si>
  <si>
    <t>500 m3</t>
  </si>
  <si>
    <t>990 m3</t>
  </si>
  <si>
    <t>85 m3</t>
  </si>
  <si>
    <t>1000 m3</t>
  </si>
  <si>
    <t>10000 m3</t>
  </si>
  <si>
    <t>100000 m3</t>
  </si>
  <si>
    <t>13 m3</t>
  </si>
  <si>
    <t>50 m3</t>
  </si>
  <si>
    <t>250 m3</t>
  </si>
  <si>
    <t>870 m3</t>
  </si>
  <si>
    <t>3 m3</t>
  </si>
  <si>
    <t>15 m3</t>
  </si>
  <si>
    <t>5500 m3</t>
  </si>
  <si>
    <t>SWF + ChPrcp</t>
  </si>
  <si>
    <t>410 m3</t>
  </si>
  <si>
    <t>150000 m3</t>
  </si>
  <si>
    <t>215000 m3</t>
  </si>
  <si>
    <t>200 m3</t>
  </si>
  <si>
    <t>50000 m3</t>
  </si>
  <si>
    <t>2921 $/lb removed</t>
  </si>
  <si>
    <t>3312 $/lb removed</t>
  </si>
  <si>
    <t>5519 $/lb removed</t>
  </si>
  <si>
    <t>12446 $/lb removed</t>
  </si>
  <si>
    <t>2642 $/lb removed</t>
  </si>
  <si>
    <t>21052 $/lb removed</t>
  </si>
  <si>
    <t>10525 $/lb removed</t>
  </si>
  <si>
    <t>4521 $/lb removed</t>
  </si>
  <si>
    <t>4919 $/lb removed</t>
  </si>
  <si>
    <t>1843 $/lb removed</t>
  </si>
  <si>
    <t>32723 $/lb removed</t>
  </si>
  <si>
    <t>71 $/lb removed</t>
  </si>
  <si>
    <t>35 $/lb removed</t>
  </si>
  <si>
    <t>7322 $/lb removed</t>
  </si>
  <si>
    <t>3383 $/lb removed</t>
  </si>
  <si>
    <t>3237 $/lb removed</t>
  </si>
  <si>
    <t>17509 $/lb removed</t>
  </si>
  <si>
    <t>28015 $/lb removed</t>
  </si>
  <si>
    <t>70039 $/lb removed</t>
  </si>
  <si>
    <t>12509 $/lb removed</t>
  </si>
  <si>
    <t>20013 $/lb removed</t>
  </si>
  <si>
    <t>50025 $/lb removed</t>
  </si>
  <si>
    <t>3.35 $/lb removed</t>
  </si>
  <si>
    <t>3459 $/lb removed</t>
  </si>
  <si>
    <t>15647 $/lb removed</t>
  </si>
  <si>
    <t>Water Body Type(s)</t>
  </si>
  <si>
    <t>Activity Category</t>
  </si>
  <si>
    <t>Activity Description</t>
  </si>
  <si>
    <t>Name/Location</t>
  </si>
  <si>
    <t>Data sources</t>
  </si>
  <si>
    <t>USEPA (2001a)</t>
  </si>
  <si>
    <t>All</t>
  </si>
  <si>
    <t>TMDL</t>
  </si>
  <si>
    <t>The cost of developing TMDLs (excluding monitoring costs).  Cost per single cause of impairment (single TMDL).</t>
  </si>
  <si>
    <t>Nationwide</t>
  </si>
  <si>
    <t>2000-2015</t>
  </si>
  <si>
    <t>All resources for which there are TMDLs</t>
  </si>
  <si>
    <t>Not assessed separately</t>
  </si>
  <si>
    <t>USEPA (2001b) (Study supporting document)</t>
  </si>
  <si>
    <t xml:space="preserve">Government analyses </t>
  </si>
  <si>
    <t>$37,000 on average nationally per cause; typically range from $7,000 to $205,000</t>
  </si>
  <si>
    <t xml:space="preserve">Presented cost are not specific to nutrients.  These costs could be higher or lower by 10%, depending on the pace that states adopt the most efficient approaches to develop TMDLs. </t>
  </si>
  <si>
    <t>The cost of developing TMDLs (excluding monitoring costs).  Cost per single water body of impairment (one or more TMDL).</t>
  </si>
  <si>
    <t>$69,000 on average nationally per cause; typically range from $35,000 to over $666,000 (depending on the complexity and number of TMDLs)</t>
  </si>
  <si>
    <t>Presented cost are not specific to nutrients. These costs could be higher or lower by 10%, depending on the pace that states adopt the most efficient approaches to develop TMDLs.  Clustering TMDLs on a watershed scale significantly reduces costs.</t>
  </si>
  <si>
    <t>The cost of preparing TMDL submission.</t>
  </si>
  <si>
    <t>$200,000 on average nationally (which typically may cover 5-6 TMDLs); typically range from $26,000 (single TMDL) to over $1,333,000 (depending on the number of water bodies and TMDLs included in the submission)</t>
  </si>
  <si>
    <t>Presented cost are not specific to nutrients.</t>
  </si>
  <si>
    <t>Shilling, et al. (2005)</t>
  </si>
  <si>
    <t>Watershed Planning</t>
  </si>
  <si>
    <t>Costs associated with completing a watershed assessment.</t>
  </si>
  <si>
    <t>California</t>
  </si>
  <si>
    <t>Watershed Assessment Manual</t>
  </si>
  <si>
    <t>See Chapter 2; Page 28</t>
  </si>
  <si>
    <t>Compilation of costs from completed watershed assessments in California.</t>
  </si>
  <si>
    <t>The California Bay-Delta Authority’s (CALFED) Watershed Program has awarded grants in 2001 &amp; 2002 ranging from $114,000 to $906,000 for projects described as watershed assessments. In the central coast, combined watershed assessment and watershed enhancement plans that include field-work performed by consultants generally average about $235,000-294,000 for a 40 square-mile (26,000-acre) watershed.</t>
  </si>
  <si>
    <t>Costs are related to watershed assessments are not associated with any particular pollutant..</t>
  </si>
  <si>
    <t>Oregon</t>
  </si>
  <si>
    <t>Compilation of costs from completed watershed assessments in Oregon.</t>
  </si>
  <si>
    <t>In Oregon, assessments based on the state manual have ranged from about $700 to almost $470,000 for fifth-field watershed-level assessments (at 60,000-acre scale), with 90% costing less than $118,000 and consultant-prepared assessments at the higher end.</t>
  </si>
  <si>
    <t>Breetz, et al. (2004)</t>
  </si>
  <si>
    <t>River/Stream</t>
  </si>
  <si>
    <t>Pollutant Trading</t>
  </si>
  <si>
    <t>Details regarding water quality trading for Boulder Creek.  Case study includes costs regarding Nitrogen.</t>
  </si>
  <si>
    <t>Colorado</t>
  </si>
  <si>
    <t xml:space="preserve">See Page 29 for the program background and Page 34 for a administrative cost details. </t>
  </si>
  <si>
    <t xml:space="preserve">Compilation of administrative costs. </t>
  </si>
  <si>
    <t>The Phase I demonstration project cost $152,000, and is estimated to value $518,000, including donated time, labor, and materials. Phase II funding was also $152,000. Phase III was funded for $91,000, and Phase IV is estimated at $273,000. The total cost was estimated at $1.58-1.70 million. Costs included the costs of gathering data for planning and evaluation, construction, materials, labor, and time. The overall cost was brought down by the donation of volunteer labor, time, materials, and land easements from landowners.</t>
  </si>
  <si>
    <t>Lake/Reservoir</t>
  </si>
  <si>
    <t>Details regarding water quality trading for Chatfield Reservoir. Case study includes costs regarding Phosphorus.</t>
  </si>
  <si>
    <t>Phosphorus trading program.</t>
  </si>
  <si>
    <t xml:space="preserve">See Page 37 for the program background and Page 41 for a administrative cost details. </t>
  </si>
  <si>
    <t>A $122 application fee to cover administrative costs is required for point sources to apply for increased discharge through trading. Credits that enter the pool are sold at a price that reflects the cost of nonpoint source reduction projects, costs associated with the pooling program, and costs incurred by the Authority to administer the trading program . Exact costs were unknown, but the monitoring program had been estimated to cost $71,000/year.</t>
  </si>
  <si>
    <t>Details regarding water quality trading for Cherry Creek. Case study includes costs regarding Phosphorus.</t>
  </si>
  <si>
    <t xml:space="preserve">See Page 44 for the program background and Page 52 for a administrative cost details. </t>
  </si>
  <si>
    <t>Coming from a combination of property taxes and user fees, the Authority’s budget for 2003 was $1.7 million, of which at least 60% had to be spent on the construction and maintenance of PRFs. The remaining 40% is used in research, planning documents, technical reports, and administrative costs. State grants finance a smaller portion of the Authority’s work, particularly that involving educational campaigns about nonpoint source pollution and construction of PRFs.</t>
  </si>
  <si>
    <t>Estuary</t>
  </si>
  <si>
    <t>Details regarding water quality trading for Long Island Sound.  Case study includes costs regarding Nitrogen.</t>
  </si>
  <si>
    <t>Connecticut</t>
  </si>
  <si>
    <t>Nitrogen trading program .</t>
  </si>
  <si>
    <t xml:space="preserve">See Page 80 for the program background and Page 86 for a administrative cost details. </t>
  </si>
  <si>
    <t>The trading program at Long Island Sound has carried out two years of credit exchange with relatively limited financial resources, besides the state and federal funds used to implement nitrogen removal projects. The CTDEP currently employs between four and five individuals to work on the Nitrogen Credit Exchange, the equivalent of two full-time employees. All members of the Nitrogen Credit Advisory Board complete their work for the program without monetary compensation.</t>
  </si>
  <si>
    <t xml:space="preserve">See Page 176 for the program background and Page 179 for a administrative cost details. </t>
  </si>
  <si>
    <t>Transaction costs were estimated between the permitting and implementation phases. During the two-year permitting phase Rahr spent about $20,000 ($14,600 for consultants and $5,500 for staff time), while the MPCA spent about $63,000 on staff time. During the implementation phase, Rahr spent about $2,700 on staff time, the MPCA spent about $40,000 on staff time, a local citizen’s group spent about $900, and nonpoint sources spent about $600 on legal assistance. The grand total for transaction costs during these two phases was about $128,000, 81% of which were borne by the MPCA as it designed the overall trading structure.</t>
  </si>
  <si>
    <t>The transaction costs (which include administrative costs) associated with this trading program were high because there was no water quality trading precedent in Minnesota. Rahr and the MPCA had to design a permit and trading framework, determine the effectiveness of BMPs, negotiate with landowners, write detailed contracts, and monitor the implementation of nonpoint source controls. The participation of CCMR in identifying trades significantly helped to reduce transaction costs.</t>
  </si>
  <si>
    <t>Watershed</t>
  </si>
  <si>
    <t>Details regarding water quality offset for the New York City Watershed.  Case study includes costs regarding Phosphorus.</t>
  </si>
  <si>
    <t xml:space="preserve">See Page 207 for the program background and Page 214 for a administrative cost details. </t>
  </si>
  <si>
    <t xml:space="preserve">For development of the comprehensive strategies in the Croton System, the NYC DEP allocated up to $1.2 million to each county required to develop a water quality protection plan. </t>
  </si>
  <si>
    <t>Details regarding water quality trading for the Tar-Pamlico River Basin.  Case study includes costs regarding Nitrogen and Phosphorus.</t>
  </si>
  <si>
    <t>Nitrogen and Phosphorus trading program.</t>
  </si>
  <si>
    <t>See Page 226 for the program background  and Page 230 for a administrative cost details.</t>
  </si>
  <si>
    <t>The Tar-Pamlico Basin Association gave $182,000 to the DEM during Phase I to fund a staff position, and the trading ratio includes 10% for administrative costs.</t>
  </si>
  <si>
    <t>Details regarding water quality trading for the Great Miami River Watershed Trading Pilot Program.  Case study includes costs regarding Nitrogen and Phosphorus.</t>
  </si>
  <si>
    <t>Ohio</t>
  </si>
  <si>
    <t xml:space="preserve">See Page 238 for the program background and Page 243 for administrative cost details. </t>
  </si>
  <si>
    <t>The Conservation Innovation Grant anticipates a three-year project cost of $2,430,810 including $607,000 to fund BMPs. For the grant, the Program receives in-kind support primarily in the form of water quality monitoring and the training of soil and water conservation professionals by other organizations.</t>
  </si>
  <si>
    <t>Assessemnt of a request for proposal program for long-term verified nutrient credits</t>
  </si>
  <si>
    <t>Nitrogen and Phosphorus trading program to meet Chesapeake Bay TMDL requirements</t>
  </si>
  <si>
    <t>PENNVEST</t>
  </si>
  <si>
    <t>Compilation of trading costs.</t>
  </si>
  <si>
    <t>As of November  30, 2012, 38 trades occurred; nitrogen and phosphorus credits traded at costs ranging from $1.25 to $4 per pound.</t>
  </si>
  <si>
    <t xml:space="preserve">Does not include the administrative costs incurred by PENNVEST serving as credit clearinghouse. </t>
  </si>
  <si>
    <t>Ferm</t>
  </si>
  <si>
    <t>Fermenter</t>
  </si>
  <si>
    <t>POD</t>
  </si>
  <si>
    <t>Phased Oxidation or Isolation Ditch</t>
  </si>
  <si>
    <t>Nitrogen</t>
  </si>
  <si>
    <t>Phosphorus</t>
  </si>
  <si>
    <t>Location - State</t>
  </si>
  <si>
    <t>Location - EPA Region</t>
  </si>
  <si>
    <t>Cost to convert process or add-on treatment units.</t>
  </si>
  <si>
    <t>BNR + DFil</t>
  </si>
  <si>
    <t>Cot to convert filter to denitirification filter.</t>
  </si>
  <si>
    <t>Cost to convert process or add-on treatment units. Chemical addition at a single point with no filtration.</t>
  </si>
  <si>
    <t>Ferm + Fil</t>
  </si>
  <si>
    <t>Ferm + Fil + ChPr</t>
  </si>
  <si>
    <t>Cost to convert process or add-on treatment units. Chemical addition at a single point.</t>
  </si>
  <si>
    <t>ChPr + Fil</t>
  </si>
  <si>
    <t>Cost to convert process or add-on treatment units. Chemical addition at two  points.</t>
  </si>
  <si>
    <t>Retrofit of existing basins to an MLE process.</t>
  </si>
  <si>
    <t>Cost to install a parallel treatment process with no increase in total plant design flow.</t>
  </si>
  <si>
    <t>AO + Ferm</t>
  </si>
  <si>
    <t>AO + Ferm + Fil</t>
  </si>
  <si>
    <t>AO + Ferm + ChPr + Fil</t>
  </si>
  <si>
    <t>UCT + Ferm + Fil</t>
  </si>
  <si>
    <t>Bpho + Fil</t>
  </si>
  <si>
    <t>POD + ChPr + Fil</t>
  </si>
  <si>
    <t>SBR + ChPr + Fil</t>
  </si>
  <si>
    <t>Bpho + ChPr + Fil</t>
  </si>
  <si>
    <t>Altoona City Authority Westerly Plant - Anoxic zone added to first cell of each train.</t>
  </si>
  <si>
    <t>Lower Potomac, Fairfax County - Step feed anoxic aerobic operation; expansion; new secondary clarifiers, 6-pass AS basins, blowers.</t>
  </si>
  <si>
    <t>Dale Services WWTP - Contact stabilization; adjustment of pH, separation of anoxic zone in aerobic digester (2 WWTPs).</t>
  </si>
  <si>
    <t>Fisherville WWTP - Create an anaerobic/anoxic switch zone followed by an anoxic and an anoxic/aerobic switch zone at the influent end by turning off the air.</t>
  </si>
  <si>
    <t xml:space="preserve">Extended aeration with diffused aeration system. </t>
  </si>
  <si>
    <t xml:space="preserve">Extended aeration with mechanical aerators.  </t>
  </si>
  <si>
    <t>High-purity oxygen activated sludge plant.</t>
  </si>
  <si>
    <t xml:space="preserve">Extended aeration with mechanical aerators. </t>
  </si>
  <si>
    <t>Total Kjeldahl Nitrogen</t>
  </si>
  <si>
    <t>2, 3, 5</t>
  </si>
  <si>
    <t>1% increase in water visibility (i.e. clarity) increases average property value by $5,263, with 95th percentile lower and upper bounds of $1,843 to $8,719 (2004 dollars) at the average sale price ($937,294).
Changes in dissolved oxygen did not have a significant affect on sales price.</t>
  </si>
  <si>
    <t>1% increase in water visibility (i.e. clarity) increases average property value by $6,397, with 95th percentile lower and upper bounds of $2,240 to $10,597 at the average sale price ($1,139,179).
Changes in dissolved oxygen did not have a significant affect on sales price.</t>
  </si>
  <si>
    <t>Possum Kingdon Lake in TX</t>
  </si>
  <si>
    <t>3 County Area surrounding Possum Kingdom Lake (PKL), TX</t>
  </si>
  <si>
    <t>49% reduction in crab harvest and lost revenues of $304,000/yr associated with change in DO.</t>
  </si>
  <si>
    <t>Provides a summary of studies documenting the economic impacts of nutrients on tourism; includes a description of the impacted resource, water quality, data and method used, and the estimated economic damages.</t>
  </si>
  <si>
    <t>Provides a summary of studies documenting the economic impacts of nutrients on fisheries; includes a description of the impacted resource, water quality, data and method used, and the estimated economic damages.</t>
  </si>
  <si>
    <t>Provides a summary of studies documenting the economic impacts of nutrients on property values; includes a description of the impacted resource, water quality, data and method used, and the estimated economic damages.</t>
  </si>
  <si>
    <t>Provides a summary of studies documenting the economic impacts of nutrients on human health; includes a description of the impacted resource, water quality, data and method used, and the estimated economic damages.</t>
  </si>
  <si>
    <t>Provides a summary of studies documenting the economic impacts of nutrients on drinking water treatment; includes a description of the impacted resource, water quality, data and method used, and the estimated economic damages.</t>
  </si>
  <si>
    <t>Waterbody</t>
  </si>
  <si>
    <t>Parameter of Concern</t>
  </si>
  <si>
    <t>Starting Concentration</t>
  </si>
  <si>
    <t>Target or Ending Concentration</t>
  </si>
  <si>
    <t>Year $</t>
  </si>
  <si>
    <t>Alum treatment</t>
  </si>
  <si>
    <t>Kohlman Lake</t>
  </si>
  <si>
    <t>excessive phosphorus concentrations</t>
  </si>
  <si>
    <t>P</t>
  </si>
  <si>
    <t>not reported</t>
  </si>
  <si>
    <t>-</t>
  </si>
  <si>
    <t>Barr (2005)</t>
  </si>
  <si>
    <t xml:space="preserve">Preliminary treatment recommendation to address internal phosphorus loading. Authors reference Welch and Cooke (1999) which gives a longevity of 10-15 years for alum treatment. </t>
  </si>
  <si>
    <t>Dredging</t>
  </si>
  <si>
    <t>$824,000-$1,823,000</t>
  </si>
  <si>
    <t>Preliminary treatment recommendation to address internal phosphorus loading</t>
  </si>
  <si>
    <t>Keller Lake</t>
  </si>
  <si>
    <t>$535,000-$1,183,000</t>
  </si>
  <si>
    <t>Spring Lake</t>
  </si>
  <si>
    <t>Treatment for the whole lake. Based on aerial doses needed, lake area, and a cost of $1.60 per gallon of alum needed</t>
  </si>
  <si>
    <t>85 μg/l</t>
  </si>
  <si>
    <t>$986,000 - $1,086,000</t>
  </si>
  <si>
    <t>Barr (2012)</t>
  </si>
  <si>
    <t>Herbicide treatment</t>
  </si>
  <si>
    <t>Onota Lake</t>
  </si>
  <si>
    <t>eutrophication and excessive macrophyte growth</t>
  </si>
  <si>
    <t>Application of the herbicide SONAR over the whole lake with follow-up spot treatment. Actual  cost.</t>
  </si>
  <si>
    <t>Berkshire Regional Planning Commission (2004)</t>
  </si>
  <si>
    <t>Aeration system</t>
  </si>
  <si>
    <t xml:space="preserve">Not clear. </t>
  </si>
  <si>
    <t>$285,000 - $330,000</t>
  </si>
  <si>
    <t>Capital costs include in-lake components (three columns, air lines, and ballast), land-based elements (compressor house, compressor, ventilation system, electric circuitry and air valving system), and three-phase power, trenching of airlines at the shoreline, and the connection of all the equipment. O&amp;M costs include maintenance and an annual service contract fee.</t>
  </si>
  <si>
    <t>Lake Ketchum</t>
  </si>
  <si>
    <t>algal blooms</t>
  </si>
  <si>
    <t>Whole lake treatment based on costs of aluminum sulfate and sodium aluminate of $2.50 and $4 per gallon and costs for treatment design, pre-treatment testing, trucking, application from a boat or barge, and permitting.</t>
  </si>
  <si>
    <t>277 μg/l (summer)</t>
  </si>
  <si>
    <t>Burghdoff and Williams (2012)</t>
  </si>
  <si>
    <t xml:space="preserve">Whole-lake sediment inactivation alum treatment; needs to be treated again in year 6. Ending concentration represents the average concentration of years 2-4 after alum treatment. Authors reference Welch and Cooke (1999) which gives a longevity of 10-15 years for alum treatment. </t>
  </si>
  <si>
    <t>Alum treatment - Water Column only</t>
  </si>
  <si>
    <t>Based on costs of aluminum sulfate and sodium aluminate of $3.50 and $4.80 per gallon and costs for treatment design, pre-treatment testing, trucking, application from a boat or barge, and permitting.</t>
  </si>
  <si>
    <t>1 year</t>
  </si>
  <si>
    <t>Annual water column alum treatments; assumes higher chemical costs due to smaller volumes needed. Ending concentration is given for whole-lake sediment inactivation and annual water colum treatments, but not annual water column treatments by themselves.</t>
  </si>
  <si>
    <t>Cedar Lake</t>
  </si>
  <si>
    <r>
      <t>Partial lake treatment: application rate of 130g Al/m</t>
    </r>
    <r>
      <rPr>
        <vertAlign val="superscript"/>
        <sz val="10"/>
        <color theme="1"/>
        <rFont val="Calibri"/>
        <family val="2"/>
        <scheme val="minor"/>
      </rPr>
      <t>2</t>
    </r>
    <r>
      <rPr>
        <sz val="10"/>
        <color theme="1"/>
        <rFont val="Calibri"/>
        <family val="2"/>
        <scheme val="minor"/>
      </rPr>
      <t xml:space="preserve"> at depths greater than 25 feet and 100g Al/m2 at depths between 20 and 25 feet. Alum doses are calculated based on
the need to treat the upper 6-8 cm of sediment. </t>
    </r>
  </si>
  <si>
    <t>0.052 to 0.068 mg/L</t>
  </si>
  <si>
    <t>0.030 – 0.039 mg/L</t>
  </si>
  <si>
    <t>Cedar Lake Protection and Rehabilitation District (2013)</t>
  </si>
  <si>
    <t>Twin Lake</t>
  </si>
  <si>
    <t>Costs estimate includes 20% engineering and design, a 25% contingency, and permitting; does not include monitoring. Alum is to be dosed to 19 of the 20 acres of the lake twice in three years.</t>
  </si>
  <si>
    <t>70 μg/L</t>
  </si>
  <si>
    <t>20 μg/L</t>
  </si>
  <si>
    <t>10 - 20 years</t>
  </si>
  <si>
    <t>Chandler (2013)</t>
  </si>
  <si>
    <t>Hypolimnetic withdrawal</t>
  </si>
  <si>
    <t>Construction costs estimated at $400,000; O&amp;M estimated at $40,000 annually; engineering and design were assumed to be 20% of capital and a contingency of 25% of capital costs was applied.</t>
  </si>
  <si>
    <t>20 years</t>
  </si>
  <si>
    <t>Biomanipulation</t>
  </si>
  <si>
    <t>$8,000 to remove carp through seining and electrofishing; $6,000 for pike stocking and $39,000 for bass stocking; $1,000 per year for monitoring. Assumes a total of four stockings conducted in years 1, 2, 4, and 6.</t>
  </si>
  <si>
    <t>Barley straw</t>
  </si>
  <si>
    <t>300 pounds of barley straw per acre of lake surface at a cost of $12 per 45-pound bag; additional costs are $1,000 for delivery, $500 for materials, and $8,000 for application labor.</t>
  </si>
  <si>
    <t>Bubbler aeration system</t>
  </si>
  <si>
    <t>Based on 1,350 feet of soaker hoser installation ($160,000), $35,000 in yearly maintenance including 20% in engineering and design and a 25% contingency</t>
  </si>
  <si>
    <t>Solar-powered mixing aeration system</t>
  </si>
  <si>
    <t>Annual labor costs of $5,000, purchase for two solar-powered units is $102,000; total cost includes 25% contingency and permitting costs</t>
  </si>
  <si>
    <t>Based on costs of $100/CY removed for 6 inches of sediment (17,500 CY); capital costs are $1.7 million, and total costs include 20% for engineering and design and a 25% contingency</t>
  </si>
  <si>
    <t>Lake Stevens</t>
  </si>
  <si>
    <t>Actual average cost over the past six years - includes power consumption, staffing, and repairs.</t>
  </si>
  <si>
    <t>City of Lake Stevens (2013)</t>
  </si>
  <si>
    <t xml:space="preserve">Annual operation cost is $35,000; however due to repairs, the average annual cost has been $110,000 a year for the past 6 years. </t>
  </si>
  <si>
    <t>Lovers Lake and Stillwater Pond</t>
  </si>
  <si>
    <t>eutrophication</t>
  </si>
  <si>
    <t xml:space="preserve">Removal of 32,850 CY from Lovers Lake and 28,500 CY from Stillwater Pond at a cost of $22 per CY, plus $100,000 for engineering and environmental permits. Based on a sediment removal depth of 2 feet in areas of water over 20 feet deep. </t>
  </si>
  <si>
    <t>Lovers Lake: 38.2 μg/L 
Stillwater Pond: 40 μg/L</t>
  </si>
  <si>
    <t>10 years or less</t>
  </si>
  <si>
    <t>ENSR Corporation (2008)</t>
  </si>
  <si>
    <t>Artificial circulation</t>
  </si>
  <si>
    <t>$1,800/acre for capital costs, $135/acre for O&amp;M, and permitting costs of $10,000 per lake</t>
  </si>
  <si>
    <t>Lovers Lake: 21.5 μg/L 
Stillwater Pond: 33.1 μg/L</t>
  </si>
  <si>
    <t>15 years</t>
  </si>
  <si>
    <t>Based on qualified vendor quote for 150 day period of treatment; capital cost of $71,000, site prep and installation of $8,000; operational costs of $1,500..</t>
  </si>
  <si>
    <t>Application area of 19 acres for Lovers Lake, 9.25 for Stillwater Pond; contingency of 15% to account for uncertainty in access and ease of mobilization.</t>
  </si>
  <si>
    <t>Lovers Lake: 19.1 μg/L 
Stillwater Pond: 15.7 μg/L</t>
  </si>
  <si>
    <t>$198,500 - $228,500</t>
  </si>
  <si>
    <t>$122,500 to $141,000 (median $132,000) for Lovers Lake and $76,000 to $87,500 (median $82,000) for Stillwater Pond.</t>
  </si>
  <si>
    <t>Green Lake</t>
  </si>
  <si>
    <t>Based on a dose of 23 mg Al/L</t>
  </si>
  <si>
    <t>2 μg/L</t>
  </si>
  <si>
    <t>10 years</t>
  </si>
  <si>
    <t>Herrera Environmental Consultants (2003)</t>
  </si>
  <si>
    <t>East Alaska Lake</t>
  </si>
  <si>
    <t xml:space="preserve">Based on unit costs of $1.65 per gallon of alum applied, plus fees, monitoring, and volunteer hours. </t>
  </si>
  <si>
    <t>43 μg/L</t>
  </si>
  <si>
    <t>29 μg/L</t>
  </si>
  <si>
    <t>Hoyman (2011)</t>
  </si>
  <si>
    <t>Based on 132 g per m^2 in areas with depth greater than 10 feet (33 acres) and 40 g per m^2 in areas with depth 5 to 10 feet (7.6 acres). Starting and ending TP concentrations are estimated for the lake surface under current and 90% reduced internal P loading scenarios.</t>
  </si>
  <si>
    <t>Lake Hicks</t>
  </si>
  <si>
    <t>Capital costs include staff time ($28,233), treatment ($16,180), and public outreach ($446); O&amp;M costs include 7 trips for post-treatment monitoring ($1,723.23); each category includes a contingency (7.5% for all except the treatment which is 20%).</t>
  </si>
  <si>
    <t>King County (2005)</t>
  </si>
  <si>
    <t>Lake Mitchell</t>
  </si>
  <si>
    <t>none provided</t>
  </si>
  <si>
    <t>Osgood (2002)</t>
  </si>
  <si>
    <t>Lake Lawrence</t>
  </si>
  <si>
    <t>ratio of 10:1 (AL added: AL-P formed) with sediment depth of 20 cm and water column demand of 9.1 mg Al/L; total dose is 17.5 mg Al/L.</t>
  </si>
  <si>
    <t>1.1 mg/g in top 20 cm</t>
  </si>
  <si>
    <t>more than 20 years</t>
  </si>
  <si>
    <t>Tetra Tech (2004)</t>
  </si>
  <si>
    <t xml:space="preserve">Benefits are expected to last more than 20 years. O&amp;M costs include 80 days of annual monitoring at $2,100/day. </t>
  </si>
  <si>
    <t>Dredging plus alum treatment</t>
  </si>
  <si>
    <t>2,100,600 cubic yards of dredging (cover a depth of 0 to 2.5 meters throughout the lake) plus subsequent alum treatment of 9.1 mg Al/L.</t>
  </si>
  <si>
    <t>more than 50 years</t>
  </si>
  <si>
    <t>Benefits are expected to last more than 50 years.</t>
  </si>
  <si>
    <t>Cossayuna Lake</t>
  </si>
  <si>
    <t xml:space="preserve">Partial lake treatment (35 out of 776 acres). Based on $500 per acre. </t>
  </si>
  <si>
    <t>The LA Group (2001)</t>
  </si>
  <si>
    <t>Partial lake treatment (300 out of 776 acres). Based on $15,000 to $25,000 for excavation of 4 to 6 feet over 1 acre</t>
  </si>
  <si>
    <t>Barr. 2005. Internal Phosphorus Load Study: Kohlman and Keller Lakes.</t>
  </si>
  <si>
    <t>Barr. 2012. Spring Lake Sediment Core Analysis, Alum Dose Determination and Application Plan.</t>
  </si>
  <si>
    <t>Berkshire Regional Planning Commission. 2004. Onota Lake Long-Range Management Plan. Prepared for the City of Pittsfield.</t>
  </si>
  <si>
    <t>Burghdoff, M. and G. Williams. 2012. Lake Ketchum Algae Control Plan.</t>
  </si>
  <si>
    <t>Cedar Lake Protection and Rehabilitation District. 2013. Cedar Lake: Lake Management Plan. Draft.</t>
  </si>
  <si>
    <t>Chandler, K.L. 2013. Feasibility Report for Water Quality Improvements in Twin Lake CIP Project TW-2. Engineer's Report to the Bassett Creek Watershed Management Commission.</t>
  </si>
  <si>
    <t>City of Lake Stevens. 2013. Phosphorus Management Plan.</t>
  </si>
  <si>
    <t>ENSR Corporation. 2008. Lovers Lake and Stillwater Pond Eutrophication Mitigation Plan Report: Final Report. 12249-001-500.</t>
  </si>
  <si>
    <t>Herrera Environmental Consultants (2004)</t>
  </si>
  <si>
    <t>Herrera Environmental Consultants. 2003. Technical Report: Green Lake Alum Treatment Study. Prepared for Seattle Department of Parks and Recreation.</t>
  </si>
  <si>
    <t>Hoyman, T. 2011. East Alaska Lake Alum Treatment Plan. Tri-Lakes Association.</t>
  </si>
  <si>
    <t>King County. 2005. Lake Hicks (Lake Garrett) Integrated Phosphorus Management Plan.</t>
  </si>
  <si>
    <t>Osgood, D. 2002. Lake Mitchell Alum Treatment System: Final Report and Recommendations. Ecosystem Strategies.</t>
  </si>
  <si>
    <t xml:space="preserve">Tetra Tech. 2004. Lake Lawrence Integrated Aquatic Vegetation Management Plan (IAVMP). Alum and Sediment Dredging Feasibility Assessment. </t>
  </si>
  <si>
    <t>The LA Group. 2001. An Action Plan for the Long Term Management of Nuisance Aquatic Vegetation in Cossayuna Lake. Report prepared for the Town of Argyle.</t>
  </si>
  <si>
    <t>$211,676 - $243,667</t>
  </si>
  <si>
    <t>$576 - $667</t>
  </si>
  <si>
    <t xml:space="preserve">$355,621 - $411,772 </t>
  </si>
  <si>
    <t>Low end represents one-time full application; high end represents recommended 3 separate applications. There is uncertainty regarding how long the alum treatments will last before they need to be repeated (if necessary at all).</t>
  </si>
  <si>
    <t>$2,411 - $2,655</t>
  </si>
  <si>
    <t>10 - 32 years</t>
  </si>
  <si>
    <t>$8,735 - $19,316</t>
  </si>
  <si>
    <t>$628,944 - $1,390,731</t>
  </si>
  <si>
    <t>Dredging for the whole lake. Based on costs between $4 and $11 per cubic yard, plus disposal costs of $10 to $20 per cubic yard. A sediment depth of 0.33ft would be dredged.</t>
  </si>
  <si>
    <t>Treatment for the whole lake. Based on aerial doses needed, lake area, and a cost of $1.30 per gallon of alum needed.</t>
  </si>
  <si>
    <t>$13,090 - $28,961</t>
  </si>
  <si>
    <t>$968,692 - $2,143,112</t>
  </si>
  <si>
    <t>Dredging for the whole lake. Based on costs between $4 and $11 per cubic yard, plus disposal costs of $10 to $20 per cubic yard. A sediment depth of 0.49ft would be dredged.</t>
  </si>
  <si>
    <t>O&amp;M Unit Cost (2012$)</t>
  </si>
  <si>
    <t>Capital Unit Cost  (2012$/acre)</t>
  </si>
  <si>
    <t>O&amp;M Costs (2012$)</t>
  </si>
  <si>
    <t>O&amp;M Costs (Original Year $)</t>
  </si>
  <si>
    <t>Useful Life</t>
  </si>
  <si>
    <t>Capital Costs (2012$)</t>
  </si>
  <si>
    <t>Capital Costs (Original Year $)</t>
  </si>
  <si>
    <t>Treatment Area (acres)</t>
  </si>
  <si>
    <t>Mitigation Measure</t>
  </si>
  <si>
    <t>Provides information about studies quantifying the costs associated with nutrient reduction planning (including, for each study, the water body type, planning activity and description, location, year, resource description, water quality impact, data sources, and costs); all results updated to 2012$ using the consumer price index.</t>
  </si>
  <si>
    <t>Provides information about studies quantifying the costs associated with in-lake nutrient mitigation technologies and methods (including, for each study, the water body type, planning activity and description, location, year, resource description, water quality impact, data sources, and costs); all results updated to 2012$ using the consumer price index.</t>
  </si>
  <si>
    <t xml:space="preserve">This section provides a compilation of costs for the treatment of nutrients from point sources, which are grouped into three categories: Municipal, Industrial, and Decentralized. </t>
  </si>
  <si>
    <t>This section provides a compilation of studies examining the economic impact of nutrient pollution, which are grouped into six categories: tourism, fisheries, property value, health effects, and drinking water treatment. Studies included in this section describe the damages to these economic sectors resulting from nutrient-imparied water bodies.</t>
  </si>
  <si>
    <t>71 μg/l (summer)</t>
  </si>
  <si>
    <t>4 years</t>
  </si>
  <si>
    <t>for 2 applications over 10 years</t>
  </si>
  <si>
    <t>Not reported</t>
  </si>
  <si>
    <t>$35,000 - $110000</t>
  </si>
  <si>
    <t>$34.55 - $108.59</t>
  </si>
  <si>
    <t>"This number could be further refined during preliminary design and permitting, but provides an informed order-of-magnitude estimate" (p. 7-20). Phosphorus concentrations represent surface-level averages. Backcalculated dredging area based on total volume dredged and depth of dredging (2 feet). End concentration based on 26% - 28% reduction in P loads.</t>
  </si>
  <si>
    <t>Lovers Lake: 27.9 μg/L 
Stillwater Pond: 29.2 μg/L</t>
  </si>
  <si>
    <t>Hypolimnetic aeration</t>
  </si>
  <si>
    <t>Cost estimate does not include a permanent structure for necessary shore-based equipment nor a cost for extending power (p. 7-30). O&amp;M estimated by dividing total O&amp;M costs reported ($74,000) by 15 years.</t>
  </si>
  <si>
    <t>$7,493 - $8,625</t>
  </si>
  <si>
    <t>13 μg/L</t>
  </si>
  <si>
    <t>Starting concentration range from 13 - 25 μg/L from 1995 to 2000. Ending concentration represents results from Green Lake samples, with an average starting TP of 13 μg/L, which were given a 23 mg/L alum dosage.</t>
  </si>
  <si>
    <t>average of 51 to 77 (between 1996 and 2004)</t>
  </si>
  <si>
    <t>Study references Welch and Cooke (1999), which states that benefits of alum treatment could last for more than 10 years. O&amp;M cost estimate includes 7 monitoring trips per month from April to October 2005. Study reports target concentration of less than 20 ug/L but does not indicate whether alum treatment can achieve the target level.</t>
  </si>
  <si>
    <t>241 ug/L</t>
  </si>
  <si>
    <t>90 ug/L</t>
  </si>
  <si>
    <t>$100,000 to $186,679</t>
  </si>
  <si>
    <t>Based on 150,000 gallons the first year,  $120,000 for two years, at a cost of $1 per gallon plus monitoring, staff time, and consulting, then $100,000 per year thereafter.</t>
  </si>
  <si>
    <t>$127,623 - $238,246</t>
  </si>
  <si>
    <t>not applicable</t>
  </si>
  <si>
    <t>Ft Walton Beach and Destin areas, FL</t>
  </si>
  <si>
    <t>FL Southwest coast</t>
  </si>
  <si>
    <t>5 years</t>
  </si>
  <si>
    <t>Annual application of copper sulfate at $4,500 per year for 5 years.</t>
  </si>
  <si>
    <t>Single application of alum.</t>
  </si>
  <si>
    <t>Copper sulfate treatment</t>
  </si>
  <si>
    <t>$4,555,000 to $7,555,000</t>
  </si>
  <si>
    <t>$5,905,143 to $9,794,369</t>
  </si>
  <si>
    <t>$19,683 to $32,647</t>
  </si>
  <si>
    <t>Impacts may also be caused at least partially by natural drivers.</t>
  </si>
  <si>
    <t>All impacts are not clearly attributable to anthropogenic nutrient pollution (i.e., may also be attributable at least in part to other natural drivers such as weather patterns).</t>
  </si>
  <si>
    <t>Morgan, et al. (2009)</t>
  </si>
  <si>
    <t>Reduced daily restaurant sales of $868 to $3,734 (13.7% to 15.3%) during red tide events (2005 dollars); between 1996 and 2002, the Small Business Association provided each of 36 firms with $4,832 to $81,912 in loans.</t>
  </si>
  <si>
    <t>Reduced daily restaurant sales of $1,020 to $4,390 (13.7% to 15.3%) during red tide events; between 1996 and 2002, the Small Business Association provided each of 36 firms with $5,680 to $96,295 in loans.</t>
  </si>
  <si>
    <t>Daily restaurant sales for three establishments within 50 feet of water's edge between 1998 and 2005; environmental conditions provided by restaurant manager observations.</t>
  </si>
  <si>
    <t>Coastal areas in southwest Florida that experienced prolonged red tide events</t>
  </si>
  <si>
    <t>Monthly restaurant and lodging revenue data from the FL Department of Revenue; red tide occurrence data from the Florida Marine Research Institute.</t>
  </si>
  <si>
    <t>Morgan, K.L., S.L. Larkin, and C.M. Adams. 2009.  Firm-level economic effects of HABs: A tool for business loss assessment. Harmful Algae 8 (2009) 212-218.</t>
  </si>
  <si>
    <t>Reduced restaurant and lodging revenues of $2.8 million and $3.7 million (1995 dollars), respectively, per month (representing 29% and 35% declines).</t>
  </si>
  <si>
    <t>Reduced restaurant and lodging revenues of $4.2  million and $5.6 million, respectively, per month (representing 29% and 35% declines).</t>
  </si>
  <si>
    <t>Statistical exposure-response model of relationship between respiratory illnesses and bloom events (and other potential explanatory variables); assumes marginal cost of $58 to $240 per hospital visit, plus 3 days of lost productivity ($335).</t>
  </si>
  <si>
    <t>Annual marginal cost of illness: $0.020 million for low bloom levels - $0.13 million for high bloom levels (in 2008 dollars); 39 to 218 annual emergency department visits.</t>
  </si>
  <si>
    <t>Annual marginal cost of illness: $0.021 million for low bloom levels - $0.14 for high bloom levels; 39 to 218 annual emergency department visits.</t>
  </si>
  <si>
    <t>Results (2012$)</t>
  </si>
  <si>
    <t>Nitrate removal from U.S. drinking water supplies costs over 7.0 billion per year; however, the cost estimates are based on 1996 technologies and as such may not be applicable.</t>
  </si>
  <si>
    <t>Presence of red tide on a given day reduces restaurant sales by $724 (5% to 14% of daily sales for the 3 restaurants evaluated); however, impacts may also be caused at least partially by natural drivers, and authors note that the model is likely to be mis-specified.</t>
  </si>
  <si>
    <t>$7 million in losses for harvesters of shoft-shell clams, mahogany quahogs, and mussels; including indirect and induced impacts, $17.4 million lost in sales and $9.3 million in lost income; however, some damages were attributable to sources besides or in addition to anthropogenic nutrient pollution, such as flooding.</t>
  </si>
  <si>
    <t>In one zip code, the monthly losses associated with a red tide event are $2.97 million for restaurants and $3.05 million for hotels (assumed original impacts were in 2000 dollars); however, impacts may also be caused at least partially by natural drivers.</t>
  </si>
  <si>
    <t>An additional foot of clarity raises the value of a lakefront lot by between $381 and $444 (assumed original costs were in 1989 dollars); however, clarity problems are not explicitly tied to nutrient pollution.</t>
  </si>
  <si>
    <t>Losses of 500 jobs and $50 million in annual personal income due to decline in pink shrimp harvest between 1986 and 1994 (assumed original costs were in 1994 dollars); unable to attribute commercial fishing revenue changes to nutrient enrichment since revenues went down statewide during the same period during a weak economy.</t>
  </si>
  <si>
    <t>The value of properties are depressed by 20% ($11,400 on average) when they are located on an area of the lake that has degraded water quality (St. Albans Bay) (assumed original impact were in 1981 dollars); water quality variable was a one-time ranking of water quality by 30 individuals at 10 locations throughout the study area, while property data covered 6 years of sales.</t>
  </si>
  <si>
    <t>Reducing nutrients results in a $38 million (approximate) increase in property values of houses, hotels, and condominiums that are associated with coral reefs (assumed original impacts were in 2002 dollars).</t>
  </si>
  <si>
    <t>Units in algae zones were about 43% as valuable as units in algae-free areas; extrapolating to all 754 "algae zone" units yields depreciation value of $12.0 million per year in lost value (assumed original impacts were in 2002 dollars); conclusions rely heavily on public perception and not statistical or data-driven analysis.</t>
  </si>
  <si>
    <t>Annual economic impacts $45.2m - $108.8m : Public Health (shellfish and ciguatera poisoning): $24.7m - $33.2 m; Commercial Fishery (wild harvest and aquaculture losses associated with shellfish poisoning, ciguatera, and brown tides): $17.9m - $33.7m; Recreation/Tourism (impacts documented in NC, OR, and WA in various years): $0m - $39.1m; Monitoring/Management (cost of routine shellfish toxin monitoring programs, plankton monitoring, and other activities in 12 states): $2.7m - $2.8m</t>
  </si>
  <si>
    <t>Fishing and boating trip-related expenditure annual losses of $245m-$764m and $236m-$735m, respectively;
Property value annual losses (scaled over 50-years) of $0.4b, $1.8b, and $3.6b for the low (5% private), intermediate (25% private), and high (50% private) assumed land availabilities, respectively;
Aquatic biodiversity impacts of $57 million per year to develop 60 plans for the species that are at least partially imperiled due to eutrophication;
Drinking water impacts of $1.1 billion per year for bottled water because of taste and odor problems potentially linked to eutrophication.</t>
  </si>
  <si>
    <t>Cost to install ozonation system prior to drinking water treatment plant were $10.0 million (completed in 2005). Study does not provide description of what project costs entailed or source/citation of costs.</t>
  </si>
  <si>
    <t>Between 1999 and 2005, the average number of hypoxic days (61) lead to a $307,268 welfare loss.</t>
  </si>
  <si>
    <t>COST SUMMARY</t>
  </si>
  <si>
    <t>$/gpd ENR only</t>
  </si>
  <si>
    <t>$/gpd BNR+ENR</t>
  </si>
  <si>
    <t>$/gpd BNR (Total)</t>
  </si>
  <si>
    <t>$/gpd BNR (50% state share)</t>
  </si>
  <si>
    <t>NPDES</t>
  </si>
  <si>
    <t>ENR</t>
  </si>
  <si>
    <t>Total Upgrade Cost</t>
  </si>
  <si>
    <t>Total BNR State Share</t>
  </si>
  <si>
    <t>Total BNR</t>
  </si>
  <si>
    <t>Total ENR State Share</t>
  </si>
  <si>
    <t>Total Other</t>
  </si>
  <si>
    <t>ABERDEEN</t>
  </si>
  <si>
    <t>MD0021563</t>
  </si>
  <si>
    <t>HARFORD</t>
  </si>
  <si>
    <t>ANNAPOLIS</t>
  </si>
  <si>
    <t>MD0021814</t>
  </si>
  <si>
    <t>ANNE ARUNDEL</t>
  </si>
  <si>
    <t>2000</t>
  </si>
  <si>
    <t>APG-ABERDEEN*</t>
  </si>
  <si>
    <t>MD0021237</t>
  </si>
  <si>
    <t>2006</t>
  </si>
  <si>
    <t>Unknown</t>
  </si>
  <si>
    <t>BACK RIVER (BNR REFINEMENT)</t>
  </si>
  <si>
    <t>MD0021555</t>
  </si>
  <si>
    <t xml:space="preserve">BALTIMORE </t>
  </si>
  <si>
    <t>1998</t>
  </si>
  <si>
    <t xml:space="preserve">BALLENGER CREEK </t>
  </si>
  <si>
    <t>MD0021822</t>
  </si>
  <si>
    <t>FREDERICK</t>
  </si>
  <si>
    <t>1995</t>
  </si>
  <si>
    <t>BLUE PLAINS (Grants MD PORTION)</t>
  </si>
  <si>
    <t>DC0021199</t>
  </si>
  <si>
    <t>DISTRICT OF COLUMBIA</t>
  </si>
  <si>
    <t>BOONSBORO (MINOR; STATE $ FOR BNR ONLY)</t>
  </si>
  <si>
    <t>MD0020231</t>
  </si>
  <si>
    <t>WASHINGTON</t>
  </si>
  <si>
    <t>2010</t>
  </si>
  <si>
    <t>BOWIE</t>
  </si>
  <si>
    <t>MD0021628</t>
  </si>
  <si>
    <t xml:space="preserve">PRINCE GEORGE'S </t>
  </si>
  <si>
    <t>1991</t>
  </si>
  <si>
    <t>BROADNECK</t>
  </si>
  <si>
    <t>MD0021644</t>
  </si>
  <si>
    <t>1994</t>
  </si>
  <si>
    <t>BROADWATER</t>
  </si>
  <si>
    <t>MD0024350</t>
  </si>
  <si>
    <t>BRUNSWICK</t>
  </si>
  <si>
    <t>MD0020958</t>
  </si>
  <si>
    <t>2008</t>
  </si>
  <si>
    <t>CAMBRIDGE</t>
  </si>
  <si>
    <t>MD0021636</t>
  </si>
  <si>
    <t>DORCHESTER</t>
  </si>
  <si>
    <t>2003</t>
  </si>
  <si>
    <t>CELANESE</t>
  </si>
  <si>
    <t>MD0063878</t>
  </si>
  <si>
    <t>ALLEGANY</t>
  </si>
  <si>
    <t>CENTREVILLE***</t>
  </si>
  <si>
    <t>MD0020834</t>
  </si>
  <si>
    <t>QUEEN ANNE'S</t>
  </si>
  <si>
    <t>2005</t>
  </si>
  <si>
    <t>CHESAPEAKE BEACH</t>
  </si>
  <si>
    <t>MD0020281</t>
  </si>
  <si>
    <t>CALVERT</t>
  </si>
  <si>
    <t>1992</t>
  </si>
  <si>
    <t>CHESTERTOWN</t>
  </si>
  <si>
    <t>MD0020010</t>
  </si>
  <si>
    <t>KENT</t>
  </si>
  <si>
    <t>CONOCOCHEAGUE</t>
  </si>
  <si>
    <t>MD0063509</t>
  </si>
  <si>
    <t>2001</t>
  </si>
  <si>
    <t>COX CREEK</t>
  </si>
  <si>
    <t>MD0021661</t>
  </si>
  <si>
    <t>2002</t>
  </si>
  <si>
    <t>CRISFIELD</t>
  </si>
  <si>
    <t>MD0020001</t>
  </si>
  <si>
    <t>SOMERSET</t>
  </si>
  <si>
    <t>CUMBERLAND</t>
  </si>
  <si>
    <t>MD0021598</t>
  </si>
  <si>
    <t>DAMASCUS</t>
  </si>
  <si>
    <t>MD0020982</t>
  </si>
  <si>
    <t>MONTGOMERY</t>
  </si>
  <si>
    <t>DELMAR</t>
  </si>
  <si>
    <t>MD0020532</t>
  </si>
  <si>
    <t>WICOMICO</t>
  </si>
  <si>
    <t>DENTON</t>
  </si>
  <si>
    <t>MD0020494</t>
  </si>
  <si>
    <t>CAROLINE</t>
  </si>
  <si>
    <t>DORSEY RUN***</t>
  </si>
  <si>
    <t>MD0063207</t>
  </si>
  <si>
    <t>EASTON</t>
  </si>
  <si>
    <t>MD0020273</t>
  </si>
  <si>
    <t>TALBOT</t>
  </si>
  <si>
    <t>2007</t>
  </si>
  <si>
    <t>ELKTON</t>
  </si>
  <si>
    <t>MD0020681</t>
  </si>
  <si>
    <t>CECIL</t>
  </si>
  <si>
    <t>2009</t>
  </si>
  <si>
    <t>EMMITSBURG</t>
  </si>
  <si>
    <t>MD0020257</t>
  </si>
  <si>
    <t>FEDERALSBURG</t>
  </si>
  <si>
    <t>MD0020249</t>
  </si>
  <si>
    <t>FREDERICK (BNR REFINEMENT)</t>
  </si>
  <si>
    <t>MD0021610</t>
  </si>
  <si>
    <t>FREEDOM DISTRICT (BNR REFINEMENT)</t>
  </si>
  <si>
    <t>MD0021512</t>
  </si>
  <si>
    <t>CARROLL</t>
  </si>
  <si>
    <t>FRUITLAND</t>
  </si>
  <si>
    <t>MD0052990</t>
  </si>
  <si>
    <t>GEORGES CREEK</t>
  </si>
  <si>
    <t>MD0060071</t>
  </si>
  <si>
    <t>HAGERSTOWN</t>
  </si>
  <si>
    <t>MD0021776</t>
  </si>
  <si>
    <t>HAMPSTEAD</t>
  </si>
  <si>
    <t xml:space="preserve">HAVRE DE GRACE (BNR REFINEMENT) </t>
  </si>
  <si>
    <t>MD0021750</t>
  </si>
  <si>
    <t>HURLOCK</t>
  </si>
  <si>
    <t>MD0022730</t>
  </si>
  <si>
    <t>INDIAN HEAD</t>
  </si>
  <si>
    <t>MD0020052</t>
  </si>
  <si>
    <t>CHARLES</t>
  </si>
  <si>
    <t>JOPPATOWNE</t>
  </si>
  <si>
    <t>MD0022535</t>
  </si>
  <si>
    <t>1996</t>
  </si>
  <si>
    <t>KENT ISLAND</t>
  </si>
  <si>
    <t>MD0023485</t>
  </si>
  <si>
    <t>LA PLATA</t>
  </si>
  <si>
    <t>MD0020524</t>
  </si>
  <si>
    <t>LEONARDTOWN</t>
  </si>
  <si>
    <t>MD0024767</t>
  </si>
  <si>
    <t>ST MARY'S</t>
  </si>
  <si>
    <t>LITTLE  PATUXENT</t>
  </si>
  <si>
    <t>MD0055174</t>
  </si>
  <si>
    <t>HOWARD</t>
  </si>
  <si>
    <t>MARLAY TAYLOR (PINE HILL RUN)</t>
  </si>
  <si>
    <t>MD0021679</t>
  </si>
  <si>
    <t>MARYLAND CITY</t>
  </si>
  <si>
    <t>MD0062596</t>
  </si>
  <si>
    <t>1990</t>
  </si>
  <si>
    <t>MARYLAND CORRECTIONAL INSTITUTE***</t>
  </si>
  <si>
    <t>MD0023957</t>
  </si>
  <si>
    <t>MATTAWOMAN***</t>
  </si>
  <si>
    <t>MD0021865</t>
  </si>
  <si>
    <t>MAYO LARGE COMMUNAL</t>
  </si>
  <si>
    <t>MD0061794</t>
  </si>
  <si>
    <t>MOUNT AIRY</t>
  </si>
  <si>
    <t>MD0022527</t>
  </si>
  <si>
    <t>1999</t>
  </si>
  <si>
    <t>NORTHEAST RIVER</t>
  </si>
  <si>
    <t>MD0052027</t>
  </si>
  <si>
    <t>PARKWAY</t>
  </si>
  <si>
    <t>MD0021725</t>
  </si>
  <si>
    <t>PRINCE GEORGE'S</t>
  </si>
  <si>
    <t>PATAPSCO</t>
  </si>
  <si>
    <t>MD0021601</t>
  </si>
  <si>
    <t>BALTIMORE CITY</t>
  </si>
  <si>
    <t>PATUXENT</t>
  </si>
  <si>
    <t>MD0021652</t>
  </si>
  <si>
    <t>PERRYVILLE</t>
  </si>
  <si>
    <t>MD0020613</t>
  </si>
  <si>
    <t>PISCATAWAY</t>
  </si>
  <si>
    <t>MD0021539</t>
  </si>
  <si>
    <t>POCOMOKE CITY</t>
  </si>
  <si>
    <t>MD0022551</t>
  </si>
  <si>
    <t>WORCESTER</t>
  </si>
  <si>
    <t>2004</t>
  </si>
  <si>
    <t>POOLESVILLE</t>
  </si>
  <si>
    <t>MD0023001</t>
  </si>
  <si>
    <t>PRINCESS ANNE</t>
  </si>
  <si>
    <t>MD0020656</t>
  </si>
  <si>
    <t xml:space="preserve">SALISBURY </t>
  </si>
  <si>
    <t>MD0021571</t>
  </si>
  <si>
    <t>SALISBURY CORRECTIVE ACTION</t>
  </si>
  <si>
    <t xml:space="preserve">SENECA </t>
  </si>
  <si>
    <t>MD0021491</t>
  </si>
  <si>
    <t>SNOW HILL</t>
  </si>
  <si>
    <t>MD0022764</t>
  </si>
  <si>
    <t xml:space="preserve">SOD RUN </t>
  </si>
  <si>
    <t>MD0056545</t>
  </si>
  <si>
    <t>SWAN POINT**</t>
  </si>
  <si>
    <t>MD0057525</t>
  </si>
  <si>
    <t>TALBOT COUNTY REGION II (St. Michael's)</t>
  </si>
  <si>
    <t>MD0023604</t>
  </si>
  <si>
    <t>TANEYTOWN</t>
  </si>
  <si>
    <t>MD0020672</t>
  </si>
  <si>
    <t>THURMONT</t>
  </si>
  <si>
    <t>MD0021121</t>
  </si>
  <si>
    <t>WESTERN BRANCH</t>
  </si>
  <si>
    <t>MD0021741</t>
  </si>
  <si>
    <t>WESTMINSTER</t>
  </si>
  <si>
    <t>MD0021831</t>
  </si>
  <si>
    <t xml:space="preserve">WINEBRENNER </t>
  </si>
  <si>
    <t>MD0003221</t>
  </si>
  <si>
    <t>* Funded by the U.S. Army.</t>
  </si>
  <si>
    <r>
      <t xml:space="preserve">** </t>
    </r>
    <r>
      <rPr>
        <sz val="10"/>
        <rFont val="Arial"/>
        <family val="2"/>
      </rPr>
      <t>Funded by private developer</t>
    </r>
  </si>
  <si>
    <t>*** Based on current performance, ENR upgrade may not be required.  Further evaluation is necessary.</t>
  </si>
  <si>
    <t>Point Source Anecdotal</t>
  </si>
  <si>
    <t>Grays Harbor and Pacific Counties, WA</t>
  </si>
  <si>
    <t>Recreational razor clam fisheries that are frequently closed due to HAB events</t>
  </si>
  <si>
    <t>HABs</t>
  </si>
  <si>
    <t>Economic input-output impact model based on recreationists' spending and stated visitation plan changes in response to HAB events.</t>
  </si>
  <si>
    <t>Visitor questionnaires eliciting typical expenditures (on meals, lodging, transportation, and gear) and visitation changes when HAB closures occur.</t>
  </si>
  <si>
    <t>A typical beach closure (2 to 5 days) at four beaches in the two counties results in a lost labor income of $2.1 million and a sales impact of $5.75 million (2008 dollars).</t>
  </si>
  <si>
    <t>A typical beach closure (2 to 5 days) at four beaches in the two counties results in a lost labor income of $2.24 million and a sales impact of $6.13 million.</t>
  </si>
  <si>
    <t>The questionnaire did not explicitly ask respondents how many days they spent clamming, so had to assume the days spent based on the number of nights the respondents spent near the beach.</t>
  </si>
  <si>
    <t>Summary of Anecdotal Evidence on Nutrient Pollution Impact</t>
  </si>
  <si>
    <t>Summary of Additional Studies of the Economic Impacts of Nutrient Pollution</t>
  </si>
  <si>
    <t>Benefits Studies</t>
  </si>
  <si>
    <t xml:space="preserve"> </t>
  </si>
  <si>
    <t>Major WWTP</t>
  </si>
  <si>
    <t>General Facility/Permit Information</t>
  </si>
  <si>
    <t>Completion Year</t>
  </si>
  <si>
    <t>Expansion Capacity (MGD)</t>
  </si>
  <si>
    <t>Current Capacity (MGD)</t>
  </si>
  <si>
    <t>Maryland County</t>
  </si>
  <si>
    <t>Tourism/Recreation</t>
  </si>
  <si>
    <t>Impact Index</t>
  </si>
  <si>
    <t>Provides information about studies valuing nutrient impacts to tourism and recreation (including, for each study, the waterbody type, location, year, resource description, water quality impacts, data, methodology, and results); all results updated to 2012$ using the consumer price index.</t>
  </si>
  <si>
    <t>Provides information about studies valuing nutrient impacts to drinking water treatment costs (including, for each study, the waterbody type, location, year, resource description, water quality impacts, data, methodology, and results); all results updated to 2012$ using the construction cost index.</t>
  </si>
  <si>
    <t>Provides a reference for the region categorizations in the Impact Index.</t>
  </si>
  <si>
    <t>Anecdotal Impacts</t>
  </si>
  <si>
    <t>CBAs</t>
  </si>
  <si>
    <t>Dollar Adjustments</t>
  </si>
  <si>
    <t>CPI [1]</t>
  </si>
  <si>
    <t>CCI [2]</t>
  </si>
  <si>
    <t>1. Source: Consumer Price Index from the Bureau of Labor Statistics.</t>
  </si>
  <si>
    <t>2. Source: Construction Cost Index from the Engineering News Record.</t>
  </si>
  <si>
    <t>3. Represents January to May average.</t>
  </si>
  <si>
    <t>Apopka-Beauclair Canal/CC Ranch / Water in Apopka-Beauclair Canal treated off-line with alum. Removes TP from Lake Apopka discharge. Reduce loading from Lake Apopka to Lake Beauclair and Apopka-Beauclair Canal.</t>
  </si>
  <si>
    <t>Western end of Lake Beauclair / Suction dredging to remove 1 million cubic yards of sediment in western end of Lake Beauclair.</t>
  </si>
  <si>
    <t>Lake Dora in-lake removal of fish / Harvest of gizzard shad by commercial fishermen. Part of experimental assessment with UF and FWC. Removal of fish removes nutrient from lake. Reduces recycling of nutrients from sediments and reduces sediment resuspension (TSS). Stabilizes bottom to reduce TSS.</t>
  </si>
  <si>
    <t>Pine Meadows Restoration Area. Muck farm is east of Trout Lake and discharges to Hicks Ditch. / Reduce TP loadings from former muck farm. Restore aquatic, wetland, and riverine habitat. Chemical treatment of soil (alum) to bind phosphates. Reduce nutrient outflow to feasible level of 1.1 kg/ha/yr of TP, or about 1 lb. per acre. Trout Lake is tributary to Lake Eustis. Reduction in
nutrient loading benefits both Lake Eustis and Trout Lake.</t>
  </si>
  <si>
    <t>Emeralda Marsh Conservation Area (northeast marshes) north of Haines Creek /Lake Griffin Emeralda Marsh restoration: To be managed for wetland restoration, planting; alum treatment to bind phosphates in sediments; manage excess nutrient outflow. Remove phosphates and TSS: wetland habitat restoration. Manage nutrient outflow to Lake Griffin to feasible loading of 1.1 kg/ha/yr, or about 1 lb. per acre.</t>
  </si>
  <si>
    <t>Lake Griffin in-lake removal of fish / Gizzard shad removal from Lake Griffin by commercial fishermen. Expanded to Lake Dora and Lake Beauclair, with possible future expansion to other lakes in Harris Chain. Remove and export nutrients via fish. Reduces recycling of nutrients from sediments and reduces sediment resuspension (TSS). Stabilizes bottom to reduce TSS.</t>
  </si>
  <si>
    <t>North shore of Lake Harris / Restoration of former muck farm. Chemical treatment of soil (alum) to bind phosphates for nutrient control. Aquatic and wetland habitat restoration. Reduce and manage nutrient outflow to Lake Harris to feasible loading of 1.1 kg/ha/yr, or about 1 lb. per acre.</t>
  </si>
  <si>
    <t>Northwest shore of Lake Apopka / Constructed marsh on northwest shore of lake. Lake water pumped through marsh to remove particulates and nutrients from lake water. Marsh designed to treat about 150 cubic feet per second (cfs).</t>
  </si>
  <si>
    <t>North shore of Lake Apopka / Wetland habitat restoration. Remediate pesticide "hot spots" in soil.</t>
  </si>
  <si>
    <t>Project Status /Completion Date or Anticipated Completion Date</t>
  </si>
  <si>
    <t>Project Cost ($)</t>
  </si>
  <si>
    <t>SJRWMD / SJRWMD Ad valorem;
Legislative appropriation / --</t>
  </si>
  <si>
    <r>
      <rPr>
        <b/>
        <sz val="10"/>
        <rFont val="Calibri"/>
        <family val="2"/>
        <scheme val="minor"/>
      </rPr>
      <t>Project Number -
Project Name</t>
    </r>
  </si>
  <si>
    <r>
      <rPr>
        <b/>
        <sz val="10"/>
        <rFont val="Calibri"/>
        <family val="2"/>
        <scheme val="minor"/>
      </rPr>
      <t>General Location / Description</t>
    </r>
  </si>
  <si>
    <r>
      <rPr>
        <b/>
        <sz val="10"/>
        <rFont val="Calibri"/>
        <family val="2"/>
        <scheme val="minor"/>
      </rPr>
      <t>Estimated TP
Load
Reduction
(lbs /yr)</t>
    </r>
  </si>
  <si>
    <r>
      <rPr>
        <b/>
        <sz val="10"/>
        <rFont val="Calibri"/>
        <family val="2"/>
        <scheme val="minor"/>
      </rPr>
      <t>WBID
Number</t>
    </r>
  </si>
  <si>
    <r>
      <rPr>
        <b/>
        <sz val="10"/>
        <rFont val="Calibri"/>
        <family val="2"/>
        <scheme val="minor"/>
      </rPr>
      <t>Lead Entity / Funding Source /
Project Partners</t>
    </r>
  </si>
  <si>
    <r>
      <rPr>
        <sz val="10"/>
        <rFont val="Calibri"/>
        <family val="2"/>
        <scheme val="minor"/>
      </rPr>
      <t>ABC01 - Nutrient
Reduction Facility</t>
    </r>
  </si>
  <si>
    <r>
      <rPr>
        <sz val="10"/>
        <rFont val="Calibri"/>
        <family val="2"/>
        <scheme val="minor"/>
      </rPr>
      <t>2835A;
2834C</t>
    </r>
  </si>
  <si>
    <r>
      <rPr>
        <sz val="10"/>
        <rFont val="Calibri"/>
        <family val="2"/>
        <scheme val="minor"/>
      </rPr>
      <t>LCWA / LCWA;Legislature /
SJRWMD/DEP</t>
    </r>
  </si>
  <si>
    <r>
      <rPr>
        <sz val="10"/>
        <rFont val="Calibri"/>
        <family val="2"/>
        <scheme val="minor"/>
      </rPr>
      <t>BCL02 - Suction
dredging of western
Lake Beauclair</t>
    </r>
  </si>
  <si>
    <r>
      <rPr>
        <sz val="10"/>
        <rFont val="Calibri"/>
        <family val="2"/>
        <scheme val="minor"/>
      </rPr>
      <t>Unknown</t>
    </r>
  </si>
  <si>
    <r>
      <rPr>
        <sz val="10"/>
        <rFont val="Calibri"/>
        <family val="2"/>
        <scheme val="minor"/>
      </rPr>
      <t>2834C</t>
    </r>
  </si>
  <si>
    <r>
      <rPr>
        <sz val="10"/>
        <rFont val="Calibri"/>
        <family val="2"/>
        <scheme val="minor"/>
      </rPr>
      <t>FWC/LCWA/SJRWMD / cost share
/ --</t>
    </r>
  </si>
  <si>
    <r>
      <rPr>
        <sz val="10"/>
        <rFont val="Calibri"/>
        <family val="2"/>
        <scheme val="minor"/>
      </rPr>
      <t>BCL03 - Gizzard
shad harvest</t>
    </r>
  </si>
  <si>
    <r>
      <rPr>
        <sz val="10"/>
        <rFont val="Calibri"/>
        <family val="2"/>
        <scheme val="minor"/>
      </rPr>
      <t>Lake Beauclair in-lake removal of fish / Harvest of gizzard shad by commercial fishermen. Removal of fish removes nutrients from lake. Reduces recycling of nutrients from sediments and reduces sediment resuspension (TSS). Stabilizes bottom to reduce TSS.</t>
    </r>
  </si>
  <si>
    <r>
      <rPr>
        <sz val="10"/>
        <rFont val="Calibri"/>
        <family val="2"/>
        <scheme val="minor"/>
      </rPr>
      <t>$150,000/year in 2005 and 2006</t>
    </r>
  </si>
  <si>
    <r>
      <rPr>
        <sz val="10"/>
        <rFont val="Calibri"/>
        <family val="2"/>
        <scheme val="minor"/>
      </rPr>
      <t>Ongoing / Ongoing</t>
    </r>
  </si>
  <si>
    <r>
      <rPr>
        <sz val="10"/>
        <rFont val="Calibri"/>
        <family val="2"/>
        <scheme val="minor"/>
      </rPr>
      <t>DORA13 - Gizzard
shad harvest</t>
    </r>
  </si>
  <si>
    <r>
      <rPr>
        <sz val="10"/>
        <rFont val="Calibri"/>
        <family val="2"/>
        <scheme val="minor"/>
      </rPr>
      <t>2831B</t>
    </r>
  </si>
  <si>
    <r>
      <rPr>
        <sz val="10"/>
        <rFont val="Calibri"/>
        <family val="2"/>
        <scheme val="minor"/>
      </rPr>
      <t>SJRWMD / SJRMWD Ad valorem;
Legislative appropriation / --</t>
    </r>
  </si>
  <si>
    <r>
      <rPr>
        <sz val="10"/>
        <rFont val="Calibri"/>
        <family val="2"/>
        <scheme val="minor"/>
      </rPr>
      <t>EUS25 - Pine
Meadows
Restoration Area</t>
    </r>
  </si>
  <si>
    <r>
      <rPr>
        <sz val="10"/>
        <rFont val="Calibri"/>
        <family val="2"/>
        <scheme val="minor"/>
      </rPr>
      <t>1,487 - Lake
Eustis; 726 -
Trout Lake</t>
    </r>
  </si>
  <si>
    <r>
      <rPr>
        <sz val="10"/>
        <rFont val="Calibri"/>
        <family val="2"/>
        <scheme val="minor"/>
      </rPr>
      <t>2817B</t>
    </r>
  </si>
  <si>
    <r>
      <rPr>
        <sz val="10"/>
        <rFont val="Calibri"/>
        <family val="2"/>
        <scheme val="minor"/>
      </rPr>
      <t>SJRWMD / SJRWMD / --</t>
    </r>
  </si>
  <si>
    <r>
      <rPr>
        <sz val="10"/>
        <rFont val="Calibri"/>
        <family val="2"/>
        <scheme val="minor"/>
      </rPr>
      <t>$1,300,000 combined cost for both lakes</t>
    </r>
  </si>
  <si>
    <r>
      <rPr>
        <sz val="10"/>
        <rFont val="Calibri"/>
        <family val="2"/>
        <scheme val="minor"/>
      </rPr>
      <t>GRIF01 - Lake
Griffin Emeralda
Marsh Restoration</t>
    </r>
  </si>
  <si>
    <r>
      <rPr>
        <sz val="10"/>
        <rFont val="Calibri"/>
        <family val="2"/>
        <scheme val="minor"/>
      </rPr>
      <t>2814A</t>
    </r>
  </si>
  <si>
    <r>
      <rPr>
        <sz val="10"/>
        <rFont val="Calibri"/>
        <family val="2"/>
        <scheme val="minor"/>
      </rPr>
      <t>SJRWMD / SJRWMD Ad valorem;
Legislative appropriation / --</t>
    </r>
  </si>
  <si>
    <r>
      <rPr>
        <sz val="10"/>
        <rFont val="Calibri"/>
        <family val="2"/>
        <scheme val="minor"/>
      </rPr>
      <t>$15,000,000 for land
acquisition</t>
    </r>
  </si>
  <si>
    <r>
      <rPr>
        <sz val="10"/>
        <rFont val="Calibri"/>
        <family val="2"/>
        <scheme val="minor"/>
      </rPr>
      <t>GRIF02 - Gizzard
Shad Harvest</t>
    </r>
  </si>
  <si>
    <r>
      <rPr>
        <sz val="10"/>
        <rFont val="Calibri"/>
        <family val="2"/>
        <scheme val="minor"/>
      </rPr>
      <t>SJRWMD / SJRWMD Ad valorem;
Legislative appropriation; LCWA / -
-</t>
    </r>
  </si>
  <si>
    <r>
      <rPr>
        <sz val="10"/>
        <rFont val="Calibri"/>
        <family val="2"/>
        <scheme val="minor"/>
      </rPr>
      <t>$1,000,000 spent
since 2002 harvest</t>
    </r>
  </si>
  <si>
    <r>
      <rPr>
        <sz val="10"/>
        <rFont val="Calibri"/>
        <family val="2"/>
        <scheme val="minor"/>
      </rPr>
      <t>HAR02 - Lake
Harris Conservation
Area</t>
    </r>
  </si>
  <si>
    <r>
      <rPr>
        <sz val="10"/>
        <rFont val="Calibri"/>
        <family val="2"/>
        <scheme val="minor"/>
      </rPr>
      <t>2838A</t>
    </r>
  </si>
  <si>
    <r>
      <rPr>
        <sz val="10"/>
        <rFont val="Calibri"/>
        <family val="2"/>
        <scheme val="minor"/>
      </rPr>
      <t>SJRWMD / Ad valorem; legislative
appropriation / --</t>
    </r>
  </si>
  <si>
    <r>
      <rPr>
        <sz val="10"/>
        <rFont val="Calibri"/>
        <family val="2"/>
        <scheme val="minor"/>
      </rPr>
      <t>HAR03 - Harris
Bayou Conveyance
Project</t>
    </r>
  </si>
  <si>
    <r>
      <t xml:space="preserve">Harris Conservation Area to Lake Griffin / Establish water flow connection to </t>
    </r>
    <r>
      <rPr>
        <sz val="10"/>
        <rFont val="Calibri"/>
        <family val="2"/>
        <scheme val="minor"/>
      </rPr>
      <t>Lake Griffin. Modification of hydrodynamics to accommodate higher flows of
water.</t>
    </r>
  </si>
  <si>
    <r>
      <rPr>
        <sz val="10"/>
        <rFont val="Calibri"/>
        <family val="2"/>
        <scheme val="minor"/>
      </rPr>
      <t>LAP05 - Lake
Apopka Constructed
Marsh flow-way
Phase 1</t>
    </r>
  </si>
  <si>
    <r>
      <rPr>
        <sz val="10"/>
        <rFont val="Calibri"/>
        <family val="2"/>
        <scheme val="minor"/>
      </rPr>
      <t>External
reduction: 4,864
and flow-way:
17,640 to
22,050</t>
    </r>
  </si>
  <si>
    <r>
      <rPr>
        <sz val="10"/>
        <rFont val="Calibri"/>
        <family val="2"/>
        <scheme val="minor"/>
      </rPr>
      <t>2835D</t>
    </r>
  </si>
  <si>
    <r>
      <rPr>
        <sz val="10"/>
        <rFont val="Calibri"/>
        <family val="2"/>
        <scheme val="minor"/>
      </rPr>
      <t>SJRWMD / SJRWMD - SWIM
Legislative Appropriation/ Ad
Valorem/Beltway Mitigation Lake
County/LCWA - $1,000,000 EPA -
$1,000,000 / LCWA/ Lake
County/EPA</t>
    </r>
  </si>
  <si>
    <r>
      <rPr>
        <sz val="10"/>
        <rFont val="Calibri"/>
        <family val="2"/>
        <scheme val="minor"/>
      </rPr>
      <t>Total $~15 million in
land acquisition /
$4.32 million Phase 1
flow-way construction</t>
    </r>
  </si>
  <si>
    <r>
      <rPr>
        <sz val="10"/>
        <rFont val="Calibri"/>
        <family val="2"/>
        <scheme val="minor"/>
      </rPr>
      <t>LAP06 - North
Shore Restoration</t>
    </r>
  </si>
  <si>
    <r>
      <rPr>
        <sz val="10"/>
        <rFont val="Calibri"/>
        <family val="2"/>
        <scheme val="minor"/>
      </rPr>
      <t>$~100 million in land
acquisition</t>
    </r>
  </si>
  <si>
    <t>SJRWMD / SJRWMD/Legislative
appropriation - P2000:SOR: CARL;
USDA WRP / USDA</t>
  </si>
  <si>
    <t>2835D</t>
  </si>
  <si>
    <t>SJRWMD / SJRWMD ad valorem /
--</t>
  </si>
  <si>
    <t>~$10,000 annually</t>
  </si>
  <si>
    <t>Ongoing / Ongoing</t>
  </si>
  <si>
    <t>LAP08 - Removal of
Gizzard Shad</t>
  </si>
  <si>
    <t>Lake Apopka / Harvest of gizzard shad by commercial fishermen. Removal of fish removes nutrient from lake. Reduces recycling of nutrients from sediments and reduces sediment resuspension (TSS). Stabilizes bottom to reduce TSS.</t>
  </si>
  <si>
    <t>~$500,000 annually</t>
  </si>
  <si>
    <t>TROUT01 - Pine
Meadows
Restoration Area</t>
  </si>
  <si>
    <t>1,487 - Lake
Eustis; 726 -
Trout Lake</t>
  </si>
  <si>
    <t>2817B;
2819A</t>
  </si>
  <si>
    <t>SJRWMD / SJRWMD / --</t>
  </si>
  <si>
    <t>$1,300,000 combined cost for both lakes</t>
  </si>
  <si>
    <t>LAP07 - With-in
Lake Habitat
Restoration Area</t>
  </si>
  <si>
    <t>Lake Apopka / Planting of wetland vegetation in littoral zone, largely north shore. Helps improve fishery, improve water quality and may reduce nutrient levels, stabilize bottom, and reduce TSS.</t>
  </si>
  <si>
    <t>Pine Meadows Restoration Area. Muck farm is east of Trout Lake and discharges to Hicks Ditch. / Reduce TP loadings from former muck farm. Restore aquatic, wetland, and riverine habitat. Chemical treatment of soil (alum) to bind phosphates. Reduce nutrient outflow to feasible level of 1.1 kg/ha/yr of TP, or about 1 lb. per acre. Trout Lake is a tributary to Lake Eustis. Reduction in nutrient loading benefits both Lake Eustis and Trout Lake.</t>
  </si>
  <si>
    <t>SJRWMD / SJRWMD ad valorem
; Lake County; LCWA; Legislature
appropriation / Lake County/LCWA</t>
  </si>
  <si>
    <t>Mitigation Anecdotal</t>
  </si>
  <si>
    <t>*Evaluated data source quality also based on the following: 1. Whether the study relied on state-of-art methods accepted in economic literature; 2. Whether the results correspond to economic theory; 3. Evaluate the quality of data sources (e.g., relies on well-known data sources or that the best practices were used for primary data collection); 4. Whether the results are supported by economic literature.</t>
  </si>
  <si>
    <t xml:space="preserve">a. Include quantitative estimates of the costs </t>
  </si>
  <si>
    <t>d. Estimates related to actual or existing occurrences of nutrient pollution (e.g., excludes estimates related to projected nutrient pollution, such as a proposed nutrient criteria rule).</t>
  </si>
  <si>
    <t>a. Quantitative estimates of adverse economic impacts from nutrient pollution.</t>
  </si>
  <si>
    <t xml:space="preserve">b. Original research or method. </t>
  </si>
  <si>
    <t>c. Specific to nutrients, dissolved oxygen, or algal blooms.</t>
  </si>
  <si>
    <t>e. Peer-reviewed, government-funded, academic, or other quality data source.*</t>
  </si>
  <si>
    <t>b. Studies specific to nutrients.</t>
  </si>
  <si>
    <t xml:space="preserve">c. Studies on streams, lakes, estuaries, or coastal systems; excludes wetlands (impacts of nutrient on wetlands is beyond the scope of this project although wetland restoration and preservation are including in control costs).  </t>
  </si>
  <si>
    <t>d. Original research or method (e.g., exclude studies that used original study results; identify and use original study references).</t>
  </si>
  <si>
    <t>e.  Not older than 2000 (unless more recent information on the category is not available).</t>
  </si>
  <si>
    <t>f. Estimates related to actual or existing occurrences of nutrient pollution (e.g., excludes estimates related to projected nutrient pollution, such as a proposed nutrient criteria rule).</t>
  </si>
  <si>
    <t>g. Peer-reviewed, government-funded, academic or other quality data source.*</t>
  </si>
  <si>
    <t>b. Studies specific to nutrients</t>
  </si>
  <si>
    <t>d. Original research or method (e.g., exclude studies that used original study results; identify and use original study references)</t>
  </si>
  <si>
    <t>e.  Not older than 2000 (unless more recent information on the category is not available)</t>
  </si>
  <si>
    <t>f. Estimates related to actual or existing occurrences of nutrient pollution (e.g., excludes estimates related to projected nutrient pollution, such as a proposed nutrient criteria rule)</t>
  </si>
  <si>
    <t>g. Peer-reviewed, government-funded, academic or other quality data source*</t>
  </si>
  <si>
    <t>h.  Exclude red tide-related studies</t>
  </si>
  <si>
    <t>a. Include quantitative estimates of the costs.</t>
  </si>
  <si>
    <t>Provides information about restoration and water quality improvement projects planned to meet phosphorus load reductions for Florida's Upper Ocklawaha River Basin TMDL (including, for each project, the estimated load reduction, project cost, and completion date). Presented in original dollar years.</t>
  </si>
  <si>
    <t xml:space="preserve">Source:  (UOBWG, 2007) </t>
  </si>
  <si>
    <t>Upper Ocklawaha Basin Working Group (UOBWG). 2007. Basin Management Action Plan: For the Implementation of Total Maximum Daily Loads Adopted by the Florida Department of Environmental Protection in the Upper Ocklawaha River Basin.</t>
  </si>
  <si>
    <t>Provides an overview of the data on point source control costs and definitions for the terms and abbreviations used in the Municipal, Industrial, Decentralized, and Point Source Anecdotal sheets.</t>
  </si>
  <si>
    <t xml:space="preserve">Provides information about costs reported for Maryland wastewater treatment plants to upgrade to BNR and ENR treatment processes (including, for each plant, NPDES ID, treatment capacity, BNR/ENR upgrade year, BNR upgrade cost, and ENR upgrade cost). </t>
  </si>
  <si>
    <t>UOBWG, 2007</t>
  </si>
  <si>
    <t>MDE (2012)</t>
  </si>
  <si>
    <t>Maryland Department of the Environment (MDE). 2012. Cost Estimates for Phase II WIP.</t>
  </si>
  <si>
    <t>[3]</t>
  </si>
  <si>
    <t>Provides an overview of the data on economic impacts presented in the Tourism, Fisheries, Property Value, Health Effects, and Drinking Water Treatment sheets.</t>
  </si>
  <si>
    <t>Ongoing / Projected
completion 2007</t>
  </si>
  <si>
    <t>Pending / Projected
completion 2008</t>
  </si>
  <si>
    <t>Starting phosphorus concentration represents the average phosphorus concentration in the year 2009. Ending concentration is an approximation of where the phosphorus level will settle. Total capital cost represents the addition of capital ($100,000), engineering &amp; design ($20,000), contigency ($25,000), and permitting ($3,000) costs.</t>
  </si>
  <si>
    <t>Starting phosphorus concentration represents the average phosphorus concentration in the year 2009. Total capital cost represents the addition of capital ($160,000), engineering &amp; design ($32,000), contigency ($40,000), and permitting ($3,000) costs.</t>
  </si>
  <si>
    <t xml:space="preserve">Starting phosphorus concentration represents the average phosphorus concentration in the year 2009. Total capital cost represents the addition of capital ($102,000), contigency ($35,700), and permitting ($3,000) costs. The report states that contigency represents 25% of construction cost, but the cost reported ($35,700) is 35%. </t>
  </si>
  <si>
    <t>Involves the direct removal of lake bottom waters and return of treated water to the lake; NPDES permit would also be required. Starting phosphorus concentration represents the average phosphorus concentration in the year 2009. Total capital cost represents the addition of capital ($400,000), engineering &amp; design ($80,000), contigency ($100,000), and permitting ($10,000) costs.</t>
  </si>
  <si>
    <t>Involves the removal of rough fish (carp) and introduction of piscivores to reduce planktivores that reduce zooplankton that feed on algae; fish removal costs are uncertain because fish population is not well understood. Starting phosphorus concentration represents the average phosphorus concentration in the year 2009. Total capital cost represents the addition of capital ($216,000), contigency ($54,000), and permitting ($3,000) costs.</t>
  </si>
  <si>
    <t>Barley straw is added along the shoreline to limit algae growth.  Starting phosphorus concentration represents the average phosphorus concentration in the year 2009. Capital cost represents the total annual cost of a barley straw application.</t>
  </si>
  <si>
    <t>Involves on-site dewatering and off-site disposal due to space limitations. Starting phosphorus concentration represents the average phosphorus concentration in the year 2009. Total capital cost represents the addition of capital ($1,700,000), engineering &amp; design ($425,000), contigency ($425,000), and permitting ($20,000) costs.</t>
  </si>
  <si>
    <t>$154,000 for Lovers Lake; $78,000 for Stillwater Pond; additionally consulted a highly qualified vendor who estimated costs of $180,000 for Lovers Lake. Ending phosphorus concentrations are the result of ENSR's Treatment Option #2, which would perform artificial circulation only on Lover's Lake.  Total capital cost represents the addition of capital ($1800/acre x 56 acres) and permitting ($10,000).</t>
  </si>
  <si>
    <t>Costs will range from $159,879 - $186,679 per year over the first three years; thereafter costs will be approximately $100,000 annually; budget used high estimate of alum costs to be conservative. Capital costs represent the addition of alum treatment, monitoring, and consulting.</t>
  </si>
  <si>
    <t>Provides the consumer price index (CPI) factors used to normalize cost and impact estimates to 2012$, and the construction cost index (CCI) factors used to normalize drinking water and wastewater treatment cost estimates to 2012$.</t>
  </si>
  <si>
    <t xml:space="preserve">Provides information about studies reporting costs associated with municipal water treatment for nutrients (including, for each study, the nutrient parameter, target concentration, treatment technology, influent and effluent concentrations, plant capacity, and costs); all results updated to 2012$ using the construction cost index. </t>
  </si>
  <si>
    <t xml:space="preserve">Provides information about studies reporting costs associated with industrial wastewater treatment for nutrients (including, for each study, the nutrient parameter, treatment technology, influent and effluent concentrations, plant capacity, and costs); all results updated to 2012$ using the construction cost index. </t>
  </si>
  <si>
    <t xml:space="preserve">Provides information about studies reporting costs associated with decentralized wastewater treatment for nutrients (including, for each study, the nutrient parameter, treatment technology, influent and effluent concentrations, plant capacity, and costs); all results updated to 2012$ using the construction cost index. </t>
  </si>
  <si>
    <t>Sequenced processes should be denoted by "___ + ___" (i.e., Activated sludge followed by filtration would be "AS + Fil").</t>
  </si>
  <si>
    <t>Pollutant Offset</t>
  </si>
  <si>
    <t>Nitrogen offset program.</t>
  </si>
  <si>
    <t>Details regarding pollutant offsets for the Rahr Malting Co. Case study includes costs regarding Phosphorus, Nitrogen, CBOD-5, and sediment.</t>
  </si>
  <si>
    <t>Phosphorus, Nitrogen, CBOD-5, and sediment offset program.</t>
  </si>
  <si>
    <t>Instructions</t>
  </si>
  <si>
    <t>Provides general instructions on how to use the workbook to access the data and information about the economic impacts (i.e., costs) of nutrient pollution and the costs of nutrient pollution control.</t>
  </si>
  <si>
    <t>Nutrient Impacts and Control Costs</t>
  </si>
  <si>
    <t>The Cadmus Group Inc. (2014)</t>
  </si>
  <si>
    <t>Lake Waco (TX)</t>
  </si>
  <si>
    <t>2002 - 2012</t>
  </si>
  <si>
    <t>11 sq. mile lake that provides drinking water for 165,805 people in Waco and adjacent municipalities that purchase drinking water from the City of Waco.</t>
  </si>
  <si>
    <t>The City of Waco provided details on water treatment actions and costs.</t>
  </si>
  <si>
    <t>Used information from the City to estimate the total impacts associated with excess nutrients in source water including watershed monitoring, influent and treated water monitoring, chemical usage to treat for algae, treatment plant upgrades, treatment plant energy costs, and potential lost revenue from decreased water sales to Waco residents and neighboring communities.</t>
  </si>
  <si>
    <t>Technical Report</t>
  </si>
  <si>
    <t>The treatment plant upgrades include the cost of expansion from 66 mgd to a final capacity of 135 mgd. In addition, after the DAF and ozone treatment, water is sent to two treatment plants prior to distribution. The report does not account for the decrease in treatment costs (e.g., chemical usage) at these plants resulting from the additional pretreatment. The report also does not discuss the potential increase in purchased water due to the higher quality.</t>
  </si>
  <si>
    <t>The Cadmus Group Inc. 2014. The Economic Impact of Nutrients and Algae on a Central Texas Drinking Water Supply. April.</t>
  </si>
  <si>
    <t>Lake Waco Watershed Monitoring = $2,597,118
Influent and Treated Water Monitoring = $740,705
Chemical Usage to Treat for Algae = $1,169,151
Drinking Water Treatment Plant Upgrades = $64,877,721
Treatment Plant Energy Costs = $812,755
Total Estimated Cost = $70,197,450
Lost Revenue from purchased water = $10.3 million over 11 years</t>
  </si>
  <si>
    <t>Lake Waco Watershed Monitoring = $2,597,118 (2012 dollars)
Influent and Treated Water Monitoring = $740,705 (2012 dollars)
Chemical Usage to Treat for Algae = $1,169,151 (2012 dollars)
Drinking Water Treatment Plant Upgrades = $64,877,721 (2012 dollars)
Treatment Plant Energy Costs = $812,755 (2012 dollars)
Total Estimated Cost = $70,197,450 (2012 dollars)
Lost Revenue from purchased water = $10.3 million over 11 years (2012 dollars)</t>
  </si>
  <si>
    <t>KDHE (2011)</t>
  </si>
  <si>
    <t>Report</t>
  </si>
  <si>
    <t>Not specified</t>
  </si>
  <si>
    <t>Reservoirs throughout Kansas impacted by excess algae</t>
  </si>
  <si>
    <t>Kansas Department of Health and Environment (KDHE). 2011. Water Quality Standards White Paper: Chlorophyll-a Criteria for Public Water Supply Lakes or Reservoirs.</t>
  </si>
  <si>
    <t>Taste and odor issues in the drinking water from Lake Waco were first reported in the late 1960s. A decline in water quality in the late 1980s coincided with the growth of dairy cow production in the watershed. Total phosphorus concentrations are generally &lt;0.2 mg/L (the state’s screening level to protect general use), though daily average concentrations have been reported as high as 1.04 mg/L. The median chlorophyll a concentration is 13.9 µg/L with a range of 2.2 µg/L to 40.0 µg/L.</t>
  </si>
  <si>
    <t>The City of Wichita constructed an $8.5 million ozone facility at Cheney Reservoir to control taste and odor problems. In Kansas, there have been a few incidences of drinking water treatment plants being forced to shut down during moderate to severe algal blooms due to the inability to adequately treat the source water.</t>
  </si>
  <si>
    <t>Use of this workbook assumes users have a working knowledge of Microsoft Excel© functions. However, the following provides some general instructions on how to use the workbook to access the data and information about the economic impacts (i.e., costs) of nutrient pollution and the costs of nutrient pollution control.
In the top left-hand corner of each page is a set of one or more navigational buttons. These buttons can be used to instantly move from one page to another within the file. This page (i.e., Instructions) has a  “GO TO” button which, when clicked with the cursor, leads to the Navigation page. The "File Info" button leads back to the general information page.
The Navigation page serves as a Table of Contents for the Nutrient Conceptual Model file. One can immediately switch to any page in the file by clicking on the button corresponding to that topic. As an example, go to the Navigation page by pressing the “GO TO” button, then press the “TMDLs” button in the “Restoration and Mitigation” row. After arriving at the TMDLs page, click on the “File Info” button to return to the file information sheet. Remember, the “GO TO” button will always return one to the Navigation page, and the “Instructions” button will always return here. On any given page, additional buttons may be present which will lead one to related topics or resources that may be of interest (e.g., source references). The worksheet descriptions table (in the "File Info" sheet) can also be used to navigate by clicking on the worksheet name.
Certain sheets within the file contain tools for sorting and filtering information. Columns with a grey button located in the lower left-hand corner of header cells (Figure 1) can be used for filtering and sorting the contents of a sheet. By utilizing the filtering and sorting tools, a user may organize the data within a given page according to options like pollutant type, cost, and geographic location. A user may also search within a sheet or within the entire file for specific keywords using the Search function. Search options may be accessed by pressing Ctrl+f.</t>
  </si>
  <si>
    <t>This workbook provides a compendium of information about the economic impacts of nutrient pollution, and the costs of nutrient pollution control, including costs associated with in-waterbody mitigation, restoration, point source controls, and nonpoint source controls. It includes diagrams showing the pathways for impacts of nutrients on lakes, streams, estuaries, and coasts, and a summary of the literature on economic impacts and control costs. Relevant studies are described in tabs organized according to economic economic sector (including tourism/recreation, commercial fisheries, property values, health effects, and drinking water treatment) and type of control activity. Sources that are relevant to economic impacts of nutrient pollution but do not meet all the evaluation criteria are included as Anecdotal Impacts or Additional Studies (as described below). CBA briefly summarizes cost-benefit and economic analyses of state-level nutrient rulemaking. All boxes and cells that are shaded purple are links to other sheets within the workbook.</t>
  </si>
  <si>
    <t>Restoration and Mitigation</t>
  </si>
  <si>
    <t>Restoration and Mitigation Cost Overview</t>
  </si>
  <si>
    <t>This section provides a compilation of costs for nutrient reduction restoration activities and in-lake nutrient mitigation technologies and methods. The Restoration sheet includes studies which detail the costs of preparing TMDLs, watershed planning assessments, or pollutant trading programs for nutrients. The Mitigation sheet includes studies which detail the costs of strategies used to treat nutrients within a lake, such as alum treatment, dredging, and artificial circulation.</t>
  </si>
  <si>
    <t>Provides information about studies quantifying the costs associated with nutrient reduction restoration (including, for each study, the water body type, restoration activity and description, location, year, resource description, water quality impact, data sources, and costs); all results updated to 2012$ using the consumer price index.</t>
  </si>
  <si>
    <t>Restoration</t>
  </si>
  <si>
    <t>Provides an overview of the data on restoration and mitigation costs and definitions for the terms and abbreviations used in the Restoration, Mitigation, and Mitigation Anecdotal sheets.</t>
  </si>
  <si>
    <t>Provides an overview of the data on nonpoint source control costs and definitions for the terms and abbreviations used in the Urban Runoff sheet.</t>
  </si>
  <si>
    <t xml:space="preserve">This section provides a compilation of costs for the treatment of nutrient pollution from nonpoint sources focusing on Urban Runoff.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</si>
</sst>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8" formatCode="&quot;$&quot;#,##0.00_);[Red]\(&quot;$&quot;#,##0.00\)"/>
    <numFmt numFmtId="43" formatCode="_(* #,##0.00_);_(* \(#,##0.00\);_(* &quot;-&quot;??_);_(@_)"/>
    <numFmt numFmtId="164" formatCode="0.0000"/>
    <numFmt numFmtId="165" formatCode="0.000"/>
    <numFmt numFmtId="166" formatCode="0.00000"/>
    <numFmt numFmtId="167" formatCode="&quot;$&quot;#,##0"/>
    <numFmt numFmtId="168" formatCode="&quot;$&quot;#,##0.00"/>
  </numFmts>
  <fonts count="22"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b/>
      <sz val="10"/>
      <color theme="1"/>
      <name val="Calibri"/>
      <family val="2"/>
      <scheme val="minor"/>
    </font>
    <font>
      <sz val="11"/>
      <color rgb="FF000000"/>
      <name val="Calibri"/>
      <family val="2"/>
    </font>
    <font>
      <sz val="10"/>
      <name val="Arial"/>
      <family val="2"/>
    </font>
    <font>
      <i/>
      <sz val="10"/>
      <color theme="1"/>
      <name val="Calibri"/>
      <family val="2"/>
      <scheme val="minor"/>
    </font>
    <font>
      <i/>
      <sz val="11"/>
      <color theme="1"/>
      <name val="Calibri"/>
      <family val="2"/>
      <scheme val="minor"/>
    </font>
    <font>
      <sz val="10"/>
      <name val="Calibri"/>
      <family val="2"/>
      <scheme val="minor"/>
    </font>
    <font>
      <sz val="10"/>
      <color rgb="FF000000"/>
      <name val="Arial"/>
      <family val="2"/>
    </font>
    <font>
      <u/>
      <sz val="10"/>
      <color theme="10"/>
      <name val="Arial"/>
      <family val="2"/>
    </font>
    <font>
      <sz val="10"/>
      <color theme="1"/>
      <name val="Arial"/>
      <family val="2"/>
    </font>
    <font>
      <sz val="11"/>
      <color rgb="FF000000"/>
      <name val="Calibri"/>
      <family val="2"/>
      <scheme val="minor"/>
    </font>
    <font>
      <u/>
      <sz val="10"/>
      <color theme="10"/>
      <name val="Calibri"/>
      <family val="2"/>
      <scheme val="minor"/>
    </font>
    <font>
      <sz val="11"/>
      <color theme="1"/>
      <name val="Calibri"/>
      <family val="2"/>
      <scheme val="minor"/>
    </font>
    <font>
      <i/>
      <u/>
      <sz val="11"/>
      <color theme="1"/>
      <name val="Calibri"/>
      <family val="2"/>
      <scheme val="minor"/>
    </font>
    <font>
      <sz val="10"/>
      <color theme="1"/>
      <name val="Arial Narrow"/>
      <family val="2"/>
    </font>
    <font>
      <b/>
      <sz val="10"/>
      <color theme="1"/>
      <name val="Arial Narrow"/>
      <family val="2"/>
    </font>
    <font>
      <vertAlign val="superscript"/>
      <sz val="10"/>
      <color theme="1"/>
      <name val="Calibri"/>
      <family val="2"/>
      <scheme val="minor"/>
    </font>
    <font>
      <i/>
      <sz val="10"/>
      <name val="Arial"/>
      <family val="2"/>
    </font>
    <font>
      <b/>
      <sz val="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59996337778862885"/>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11" fillId="0" borderId="0" applyNumberForma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0" fontId="5" fillId="0" borderId="0"/>
  </cellStyleXfs>
  <cellXfs count="233">
    <xf numFmtId="0" fontId="0" fillId="0" borderId="0" xfId="0"/>
    <xf numFmtId="0" fontId="0" fillId="2" borderId="0" xfId="0" applyFill="1"/>
    <xf numFmtId="0" fontId="0" fillId="0" borderId="1" xfId="0" applyBorder="1" applyAlignment="1">
      <alignment horizontal="left" vertical="center"/>
    </xf>
    <xf numFmtId="0" fontId="0" fillId="0" borderId="0" xfId="0" applyAlignment="1">
      <alignment vertical="center"/>
    </xf>
    <xf numFmtId="14" fontId="0" fillId="0" borderId="1" xfId="0" applyNumberFormat="1" applyBorder="1" applyAlignment="1">
      <alignment horizontal="left" vertical="center"/>
    </xf>
    <xf numFmtId="0" fontId="2" fillId="0" borderId="0" xfId="0" applyFont="1"/>
    <xf numFmtId="0" fontId="2" fillId="0" borderId="1" xfId="0" applyFont="1" applyFill="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Fill="1" applyBorder="1" applyAlignment="1">
      <alignment vertical="center"/>
    </xf>
    <xf numFmtId="0" fontId="2" fillId="0" borderId="0" xfId="0" applyFont="1" applyFill="1"/>
    <xf numFmtId="0" fontId="2" fillId="0" borderId="1" xfId="0" applyFont="1" applyBorder="1" applyAlignment="1">
      <alignment vertical="center" wrapText="1"/>
    </xf>
    <xf numFmtId="0" fontId="2" fillId="0" borderId="0" xfId="0" applyFont="1" applyAlignment="1">
      <alignment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2" fillId="0" borderId="1" xfId="0" applyFont="1" applyBorder="1" applyAlignment="1">
      <alignment horizontal="center" vertical="center"/>
    </xf>
    <xf numFmtId="0" fontId="9" fillId="0" borderId="1" xfId="0" applyFont="1" applyFill="1" applyBorder="1" applyAlignment="1">
      <alignment vertical="center" wrapText="1"/>
    </xf>
    <xf numFmtId="0" fontId="9" fillId="0" borderId="1" xfId="0" applyFont="1" applyBorder="1" applyAlignment="1">
      <alignment vertical="center" wrapText="1"/>
    </xf>
    <xf numFmtId="0" fontId="0" fillId="0" borderId="0" xfId="0" applyAlignment="1">
      <alignment vertical="center" wrapText="1"/>
    </xf>
    <xf numFmtId="0" fontId="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horizontal="center" vertical="center" wrapText="1"/>
    </xf>
    <xf numFmtId="0" fontId="12"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xf>
    <xf numFmtId="0" fontId="0" fillId="0" borderId="0" xfId="0" applyAlignment="1" applyProtection="1">
      <alignment horizontal="center" vertical="center" wrapText="1"/>
    </xf>
    <xf numFmtId="0" fontId="2" fillId="0" borderId="1" xfId="0" applyFont="1" applyBorder="1" applyAlignment="1">
      <alignment horizontal="left" vertical="center" wrapText="1"/>
    </xf>
    <xf numFmtId="0" fontId="2" fillId="0" borderId="0" xfId="0" applyFont="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10"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xf>
    <xf numFmtId="0" fontId="0" fillId="0" borderId="0" xfId="0" applyFill="1" applyAlignment="1">
      <alignment vertical="center" wrapText="1"/>
    </xf>
    <xf numFmtId="0" fontId="2" fillId="0" borderId="0" xfId="0" applyFont="1" applyFill="1" applyAlignment="1">
      <alignment vertical="center"/>
    </xf>
    <xf numFmtId="0" fontId="2" fillId="0" borderId="0" xfId="0" applyFont="1" applyAlignment="1">
      <alignment vertical="center"/>
    </xf>
    <xf numFmtId="0" fontId="12" fillId="0" borderId="3" xfId="0" applyFont="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2" fillId="0" borderId="0" xfId="0" applyFont="1" applyAlignment="1">
      <alignment horizontal="center" wrapText="1"/>
    </xf>
    <xf numFmtId="0" fontId="11" fillId="0" borderId="1" xfId="4" applyBorder="1" applyAlignment="1" applyProtection="1">
      <alignment horizontal="center" vertical="center" wrapText="1"/>
      <protection locked="0"/>
    </xf>
    <xf numFmtId="0" fontId="0" fillId="0" borderId="0" xfId="0" applyFont="1"/>
    <xf numFmtId="0" fontId="8" fillId="0" borderId="0" xfId="0" applyFont="1"/>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xf numFmtId="0" fontId="0" fillId="0" borderId="0" xfId="0" applyBorder="1" applyAlignment="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vertical="center"/>
    </xf>
    <xf numFmtId="0" fontId="11" fillId="0" borderId="1" xfId="4" applyBorder="1" applyAlignment="1">
      <alignment horizontal="center"/>
    </xf>
    <xf numFmtId="0" fontId="11" fillId="3" borderId="1" xfId="4"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lignment horizontal="center" vertical="center" wrapText="1"/>
    </xf>
    <xf numFmtId="0" fontId="1" fillId="3" borderId="1" xfId="0" applyFont="1" applyFill="1" applyBorder="1" applyAlignment="1">
      <alignmen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0" fillId="0" borderId="1" xfId="0" applyBorder="1" applyAlignment="1">
      <alignment vertical="center" wrapText="1"/>
    </xf>
    <xf numFmtId="0" fontId="10"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wrapText="1"/>
      <protection locked="0"/>
    </xf>
    <xf numFmtId="0" fontId="11" fillId="0" borderId="0" xfId="4" applyBorder="1" applyAlignment="1" applyProtection="1">
      <alignment horizontal="center" vertical="center" wrapText="1"/>
      <protection locked="0"/>
    </xf>
    <xf numFmtId="0" fontId="1" fillId="3" borderId="1" xfId="0" applyFont="1" applyFill="1" applyBorder="1" applyAlignment="1">
      <alignment horizontal="center" vertical="center" wrapText="1"/>
    </xf>
    <xf numFmtId="0" fontId="5" fillId="0" borderId="1" xfId="0" applyFont="1" applyBorder="1" applyAlignment="1">
      <alignment vertical="center" wrapText="1"/>
    </xf>
    <xf numFmtId="0" fontId="11" fillId="7" borderId="1" xfId="4" applyFill="1" applyBorder="1" applyAlignment="1">
      <alignment vertical="center" wrapText="1"/>
    </xf>
    <xf numFmtId="0" fontId="11" fillId="7" borderId="2" xfId="4" applyFill="1" applyBorder="1" applyAlignment="1">
      <alignment vertical="center" wrapText="1"/>
    </xf>
    <xf numFmtId="0" fontId="1"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vertical="center" wrapText="1"/>
    </xf>
    <xf numFmtId="0" fontId="0" fillId="0" borderId="1" xfId="0" quotePrefix="1" applyBorder="1" applyAlignment="1">
      <alignment horizontal="center" vertical="center" wrapText="1"/>
    </xf>
    <xf numFmtId="9" fontId="2" fillId="0" borderId="1" xfId="6"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17" fillId="0" borderId="0" xfId="0" applyFont="1" applyAlignment="1">
      <alignment vertical="center" wrapText="1"/>
    </xf>
    <xf numFmtId="2" fontId="2" fillId="0" borderId="1" xfId="5" applyNumberFormat="1" applyFont="1" applyFill="1" applyBorder="1" applyAlignment="1">
      <alignment horizontal="center" vertical="center" wrapText="1"/>
    </xf>
    <xf numFmtId="0" fontId="2" fillId="0" borderId="1" xfId="5" applyNumberFormat="1" applyFont="1" applyFill="1" applyBorder="1" applyAlignment="1">
      <alignment horizontal="center" vertical="center" wrapText="1"/>
    </xf>
    <xf numFmtId="0" fontId="2" fillId="0" borderId="0" xfId="0" applyFont="1" applyFill="1" applyAlignment="1">
      <alignment horizontal="center" vertical="center"/>
    </xf>
    <xf numFmtId="0" fontId="17" fillId="0" borderId="0" xfId="0" applyFont="1"/>
    <xf numFmtId="0" fontId="17" fillId="0" borderId="0" xfId="0" applyFont="1" applyFill="1"/>
    <xf numFmtId="1" fontId="2" fillId="0" borderId="1" xfId="0" applyNumberFormat="1" applyFont="1" applyBorder="1" applyAlignment="1">
      <alignment horizontal="center" vertical="center" wrapText="1"/>
    </xf>
    <xf numFmtId="0" fontId="17" fillId="0" borderId="0" xfId="0" applyFont="1" applyAlignment="1"/>
    <xf numFmtId="0" fontId="0" fillId="0" borderId="0" xfId="0" applyFill="1"/>
    <xf numFmtId="0" fontId="0" fillId="0" borderId="0" xfId="0" applyFill="1" applyAlignment="1"/>
    <xf numFmtId="166"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xf>
    <xf numFmtId="0" fontId="0" fillId="0" borderId="0" xfId="0" applyNumberFormat="1" applyFill="1"/>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quotePrefix="1" applyFill="1" applyBorder="1" applyAlignment="1">
      <alignment horizontal="center" vertical="center" wrapText="1"/>
    </xf>
    <xf numFmtId="0" fontId="0" fillId="0" borderId="0" xfId="0" applyFill="1" applyAlignment="1">
      <alignment horizontal="center" vertical="center" wrapText="1"/>
    </xf>
    <xf numFmtId="0" fontId="0" fillId="0" borderId="0" xfId="0" quotePrefix="1" applyFill="1" applyAlignment="1">
      <alignment horizontal="center" vertical="center" wrapText="1"/>
    </xf>
    <xf numFmtId="9" fontId="2" fillId="0" borderId="1" xfId="6" applyFont="1" applyFill="1" applyBorder="1" applyAlignment="1">
      <alignment horizontal="center" vertical="center"/>
    </xf>
    <xf numFmtId="2" fontId="2" fillId="0" borderId="1" xfId="6"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9" fontId="2" fillId="0" borderId="1" xfId="0" applyNumberFormat="1" applyFont="1" applyBorder="1" applyAlignment="1">
      <alignment horizontal="center" vertical="center"/>
    </xf>
    <xf numFmtId="0" fontId="2" fillId="0" borderId="1" xfId="0" applyFont="1" applyBorder="1" applyAlignment="1"/>
    <xf numFmtId="0" fontId="2" fillId="0" borderId="1" xfId="0" applyFont="1" applyBorder="1" applyAlignment="1">
      <alignment wrapText="1"/>
    </xf>
    <xf numFmtId="0" fontId="0" fillId="0" borderId="0" xfId="0" applyAlignment="1">
      <alignment horizontal="center" vertical="center"/>
    </xf>
    <xf numFmtId="0" fontId="2" fillId="0" borderId="0" xfId="0" applyFont="1" applyFill="1" applyAlignment="1">
      <alignment vertical="center" wrapText="1"/>
    </xf>
    <xf numFmtId="0" fontId="2" fillId="0" borderId="0" xfId="0" applyFont="1" applyFill="1" applyAlignment="1">
      <alignment wrapText="1"/>
    </xf>
    <xf numFmtId="0" fontId="9"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xf numFmtId="165" fontId="2" fillId="0" borderId="1" xfId="0" applyNumberFormat="1" applyFont="1" applyFill="1" applyBorder="1" applyAlignment="1">
      <alignment horizontal="center" vertical="center"/>
    </xf>
    <xf numFmtId="0" fontId="2" fillId="0" borderId="1" xfId="0" quotePrefix="1"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0" xfId="0" applyFont="1" applyFill="1" applyAlignment="1">
      <alignment horizontal="center" vertical="center" wrapText="1"/>
    </xf>
    <xf numFmtId="9" fontId="2" fillId="0" borderId="0" xfId="6" applyFont="1" applyFill="1" applyAlignment="1">
      <alignment horizontal="center" vertical="center" wrapText="1"/>
    </xf>
    <xf numFmtId="2" fontId="2" fillId="0" borderId="0" xfId="0" applyNumberFormat="1" applyFont="1" applyFill="1" applyAlignment="1">
      <alignment horizontal="center" vertical="center" wrapText="1"/>
    </xf>
    <xf numFmtId="1" fontId="2" fillId="0" borderId="0" xfId="0" applyNumberFormat="1" applyFont="1" applyFill="1" applyAlignment="1">
      <alignment horizontal="center" vertical="center" wrapText="1"/>
    </xf>
    <xf numFmtId="0" fontId="2" fillId="0" borderId="5" xfId="0" applyFont="1" applyFill="1" applyBorder="1" applyAlignment="1">
      <alignment horizontal="left" vertical="center" wrapText="1"/>
    </xf>
    <xf numFmtId="0" fontId="0" fillId="0" borderId="0" xfId="0" applyBorder="1" applyAlignment="1">
      <alignment wrapText="1"/>
    </xf>
    <xf numFmtId="0" fontId="0" fillId="0" borderId="0" xfId="0" applyFill="1" applyBorder="1" applyAlignment="1">
      <alignment wrapText="1"/>
    </xf>
    <xf numFmtId="0" fontId="7" fillId="0" borderId="0" xfId="0" applyFont="1" applyBorder="1" applyAlignment="1">
      <alignment wrapText="1"/>
    </xf>
    <xf numFmtId="0" fontId="11" fillId="7" borderId="2" xfId="4" applyFill="1" applyBorder="1" applyAlignment="1">
      <alignment vertical="center" wrapText="1"/>
    </xf>
    <xf numFmtId="0" fontId="14" fillId="0" borderId="0" xfId="4" applyFont="1" applyFill="1" applyBorder="1" applyAlignment="1">
      <alignment horizontal="center" vertical="center"/>
    </xf>
    <xf numFmtId="0" fontId="4" fillId="3" borderId="1" xfId="0" applyFont="1" applyFill="1" applyBorder="1" applyAlignment="1">
      <alignment horizontal="center" vertical="center" wrapText="1"/>
    </xf>
    <xf numFmtId="0" fontId="11" fillId="7" borderId="2" xfId="4" applyFill="1" applyBorder="1" applyAlignment="1">
      <alignment vertical="center" wrapText="1"/>
    </xf>
    <xf numFmtId="167" fontId="4" fillId="3"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3" fontId="2" fillId="0" borderId="1" xfId="0" applyNumberFormat="1" applyFont="1" applyFill="1" applyBorder="1" applyAlignment="1">
      <alignment horizontal="center" vertical="center" wrapText="1"/>
    </xf>
    <xf numFmtId="2" fontId="2" fillId="0" borderId="1" xfId="6" applyNumberFormat="1" applyFont="1" applyFill="1" applyBorder="1" applyAlignment="1">
      <alignment horizontal="center" vertical="center" wrapText="1"/>
    </xf>
    <xf numFmtId="6" fontId="2" fillId="0" borderId="1" xfId="0" applyNumberFormat="1" applyFont="1" applyFill="1" applyBorder="1" applyAlignment="1">
      <alignment horizontal="center" vertical="center" wrapText="1"/>
    </xf>
    <xf numFmtId="8" fontId="2" fillId="0" borderId="1" xfId="0" applyNumberFormat="1" applyFont="1" applyFill="1" applyBorder="1" applyAlignment="1">
      <alignment horizontal="center" vertical="center" wrapText="1"/>
    </xf>
    <xf numFmtId="168" fontId="2" fillId="0" borderId="1" xfId="0" applyNumberFormat="1" applyFont="1" applyFill="1" applyBorder="1" applyAlignment="1">
      <alignment horizontal="center" vertical="center" wrapText="1"/>
    </xf>
    <xf numFmtId="9"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2" fontId="2" fillId="2" borderId="1" xfId="6" applyNumberFormat="1" applyFont="1" applyFill="1" applyBorder="1" applyAlignment="1">
      <alignment horizontal="center" vertical="center" wrapText="1"/>
    </xf>
    <xf numFmtId="6" fontId="2" fillId="0" borderId="1" xfId="0" applyNumberFormat="1" applyFont="1" applyBorder="1" applyAlignment="1">
      <alignment horizontal="center" vertical="center" wrapText="1"/>
    </xf>
    <xf numFmtId="167" fontId="2" fillId="0" borderId="1" xfId="0" applyNumberFormat="1" applyFont="1" applyFill="1" applyBorder="1" applyAlignment="1">
      <alignment horizontal="center" vertical="center" wrapText="1"/>
    </xf>
    <xf numFmtId="0" fontId="0" fillId="0" borderId="0" xfId="0" applyAlignment="1">
      <alignment wrapText="1"/>
    </xf>
    <xf numFmtId="167" fontId="0" fillId="0" borderId="0" xfId="0" applyNumberFormat="1" applyAlignment="1">
      <alignment wrapText="1"/>
    </xf>
    <xf numFmtId="8" fontId="2" fillId="0" borderId="1" xfId="0" quotePrefix="1" applyNumberFormat="1" applyFont="1" applyFill="1" applyBorder="1" applyAlignment="1">
      <alignment horizontal="center" vertical="center" wrapText="1"/>
    </xf>
    <xf numFmtId="167" fontId="2" fillId="0" borderId="1" xfId="0" quotePrefix="1" applyNumberFormat="1" applyFont="1" applyFill="1" applyBorder="1" applyAlignment="1">
      <alignment horizontal="center" vertical="center" wrapText="1"/>
    </xf>
    <xf numFmtId="6" fontId="2" fillId="0" borderId="1" xfId="0" quotePrefix="1" applyNumberFormat="1" applyFont="1" applyBorder="1" applyAlignment="1">
      <alignment horizontal="center" vertical="center" wrapText="1"/>
    </xf>
    <xf numFmtId="0" fontId="4" fillId="3" borderId="6" xfId="0" applyFont="1" applyFill="1" applyBorder="1" applyAlignment="1">
      <alignment horizontal="center" vertical="center" wrapText="1"/>
    </xf>
    <xf numFmtId="0" fontId="11" fillId="7" borderId="2" xfId="4" applyFill="1" applyBorder="1" applyAlignment="1">
      <alignment vertical="center" wrapText="1"/>
    </xf>
    <xf numFmtId="0" fontId="4" fillId="3" borderId="6" xfId="0" applyFont="1" applyFill="1" applyBorder="1" applyAlignment="1">
      <alignment horizontal="center" wrapText="1"/>
    </xf>
    <xf numFmtId="0" fontId="2" fillId="4" borderId="3" xfId="0" applyFont="1" applyFill="1" applyBorder="1"/>
    <xf numFmtId="0" fontId="2" fillId="0" borderId="1" xfId="0" applyFont="1" applyFill="1" applyBorder="1" applyAlignment="1">
      <alignment wrapText="1"/>
    </xf>
    <xf numFmtId="0" fontId="4" fillId="3" borderId="1" xfId="0" applyFont="1" applyFill="1" applyBorder="1" applyAlignment="1">
      <alignment horizontal="center" vertical="center" wrapText="1"/>
    </xf>
    <xf numFmtId="0" fontId="6" fillId="0" borderId="0" xfId="1" applyFont="1" applyFill="1" applyBorder="1" applyAlignment="1">
      <alignment vertical="center"/>
    </xf>
    <xf numFmtId="0" fontId="4" fillId="3" borderId="1" xfId="1" applyFont="1" applyFill="1" applyBorder="1" applyAlignment="1">
      <alignment horizontal="center" vertical="center" wrapText="1"/>
    </xf>
    <xf numFmtId="0" fontId="6" fillId="0" borderId="0" xfId="1" applyFont="1" applyFill="1" applyBorder="1" applyAlignment="1">
      <alignment horizontal="center" wrapText="1"/>
    </xf>
    <xf numFmtId="0" fontId="2" fillId="0" borderId="1" xfId="1" applyFont="1" applyFill="1" applyBorder="1" applyAlignment="1">
      <alignment horizontal="center" vertical="center" wrapText="1"/>
    </xf>
    <xf numFmtId="167" fontId="2" fillId="0" borderId="1" xfId="1" applyNumberFormat="1" applyFont="1" applyFill="1" applyBorder="1" applyAlignment="1">
      <alignment horizontal="center" vertical="center" wrapText="1"/>
    </xf>
    <xf numFmtId="168" fontId="2" fillId="0" borderId="1" xfId="1" applyNumberFormat="1" applyFont="1" applyFill="1" applyBorder="1" applyAlignment="1">
      <alignment horizontal="center" vertical="center" wrapText="1"/>
    </xf>
    <xf numFmtId="0" fontId="6" fillId="0" borderId="0" xfId="1" applyFont="1" applyFill="1" applyBorder="1" applyAlignment="1">
      <alignment horizontal="left" vertical="center"/>
    </xf>
    <xf numFmtId="168" fontId="6" fillId="0" borderId="0" xfId="1" applyNumberFormat="1" applyFont="1" applyFill="1" applyBorder="1" applyAlignment="1">
      <alignment vertical="center"/>
    </xf>
    <xf numFmtId="0" fontId="20" fillId="0" borderId="0" xfId="1" applyFont="1" applyFill="1" applyBorder="1" applyAlignment="1">
      <alignment horizontal="left" vertical="center"/>
    </xf>
    <xf numFmtId="0" fontId="4" fillId="0" borderId="0" xfId="0" applyFont="1" applyFill="1" applyBorder="1" applyAlignment="1">
      <alignment horizontal="center" vertical="center"/>
    </xf>
    <xf numFmtId="0" fontId="1" fillId="3" borderId="1" xfId="0" applyFont="1" applyFill="1" applyBorder="1" applyAlignment="1">
      <alignment horizontal="center" vertical="center" wrapText="1"/>
    </xf>
    <xf numFmtId="0" fontId="11" fillId="7" borderId="2" xfId="4" applyFill="1" applyBorder="1" applyAlignment="1">
      <alignment vertical="center" wrapText="1"/>
    </xf>
    <xf numFmtId="0" fontId="0" fillId="0" borderId="1" xfId="0" applyFont="1" applyBorder="1" applyAlignment="1">
      <alignment vertical="center" wrapText="1"/>
    </xf>
    <xf numFmtId="0" fontId="0" fillId="0" borderId="1" xfId="0" applyFont="1" applyFill="1" applyBorder="1" applyAlignment="1">
      <alignment vertical="center" wrapText="1"/>
    </xf>
    <xf numFmtId="0" fontId="13" fillId="0" borderId="1" xfId="0" applyFont="1" applyBorder="1" applyAlignment="1">
      <alignment vertical="center" wrapText="1"/>
    </xf>
    <xf numFmtId="0" fontId="13" fillId="0" borderId="1" xfId="0" applyFont="1" applyFill="1" applyBorder="1" applyAlignment="1">
      <alignment vertical="center" wrapText="1"/>
    </xf>
    <xf numFmtId="0" fontId="0" fillId="2" borderId="0" xfId="0" applyFill="1" applyAlignment="1">
      <alignment vertical="center" wrapText="1"/>
    </xf>
    <xf numFmtId="0" fontId="0" fillId="2" borderId="0" xfId="0" applyFill="1" applyAlignment="1">
      <alignment horizontal="center" vertical="center" wrapText="1"/>
    </xf>
    <xf numFmtId="0" fontId="0" fillId="0" borderId="1" xfId="0" applyFont="1" applyBorder="1" applyAlignment="1">
      <alignment horizontal="center"/>
    </xf>
    <xf numFmtId="0" fontId="0" fillId="0" borderId="1" xfId="0" applyBorder="1" applyAlignment="1">
      <alignment horizontal="center"/>
    </xf>
    <xf numFmtId="0" fontId="0" fillId="0" borderId="0" xfId="0" applyAlignment="1">
      <alignment horizontal="left"/>
    </xf>
    <xf numFmtId="0" fontId="0" fillId="0" borderId="0" xfId="0" applyFill="1" applyBorder="1" applyAlignment="1">
      <alignment horizontal="left"/>
    </xf>
    <xf numFmtId="0" fontId="4" fillId="3" borderId="1" xfId="0" applyFont="1" applyFill="1" applyBorder="1" applyAlignment="1">
      <alignment horizontal="center" vertical="center" wrapText="1"/>
    </xf>
    <xf numFmtId="0" fontId="11" fillId="7" borderId="2" xfId="4" applyFill="1" applyBorder="1" applyAlignment="1">
      <alignment vertical="center" wrapText="1"/>
    </xf>
    <xf numFmtId="167" fontId="2" fillId="0" borderId="1" xfId="6"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0" fontId="9"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0" fontId="9" fillId="0" borderId="1" xfId="7" applyFont="1" applyBorder="1" applyAlignment="1">
      <alignment horizontal="center" vertical="center" wrapText="1"/>
    </xf>
    <xf numFmtId="0" fontId="9" fillId="0" borderId="1" xfId="7" applyFont="1" applyBorder="1" applyAlignment="1">
      <alignment horizontal="justify" vertical="center" wrapText="1"/>
    </xf>
    <xf numFmtId="0" fontId="9" fillId="0" borderId="1" xfId="7" applyFont="1" applyBorder="1" applyAlignment="1">
      <alignment horizontal="left" vertical="center" wrapText="1"/>
    </xf>
    <xf numFmtId="0" fontId="0" fillId="2" borderId="0" xfId="0" applyFill="1" applyAlignment="1">
      <alignment wrapText="1"/>
    </xf>
    <xf numFmtId="0" fontId="11" fillId="7" borderId="2" xfId="4" applyFill="1" applyBorder="1" applyAlignment="1">
      <alignment vertical="center" wrapText="1"/>
    </xf>
    <xf numFmtId="0" fontId="9" fillId="0" borderId="7" xfId="7" applyFont="1" applyFill="1" applyBorder="1" applyAlignment="1">
      <alignment horizontal="left" vertical="center"/>
    </xf>
    <xf numFmtId="2" fontId="9" fillId="0" borderId="1" xfId="6"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0" xfId="0" applyFont="1" applyAlignment="1">
      <alignment horizontal="center" vertical="center" wrapText="1"/>
    </xf>
    <xf numFmtId="0" fontId="11" fillId="7" borderId="1" xfId="4" applyFill="1" applyBorder="1" applyAlignment="1">
      <alignment vertical="center" wrapText="1"/>
    </xf>
    <xf numFmtId="0" fontId="11" fillId="7" borderId="2" xfId="4" applyFill="1" applyBorder="1" applyAlignment="1">
      <alignmen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3" fillId="2" borderId="0" xfId="0" applyFont="1" applyFill="1" applyAlignment="1">
      <alignment horizontal="center" vertical="center"/>
    </xf>
    <xf numFmtId="0" fontId="0" fillId="2" borderId="0" xfId="0" applyFill="1" applyAlignment="1">
      <alignment horizontal="left" wrapText="1"/>
    </xf>
    <xf numFmtId="0" fontId="0" fillId="0" borderId="1" xfId="0" applyFont="1" applyBorder="1" applyAlignment="1">
      <alignment wrapText="1"/>
    </xf>
    <xf numFmtId="0" fontId="0" fillId="0" borderId="1" xfId="0" applyBorder="1" applyAlignment="1">
      <alignment wrapText="1"/>
    </xf>
    <xf numFmtId="0" fontId="0" fillId="0" borderId="1" xfId="0" applyFill="1" applyBorder="1" applyAlignment="1">
      <alignment wrapText="1"/>
    </xf>
    <xf numFmtId="0" fontId="1" fillId="4" borderId="1" xfId="0" applyFont="1" applyFill="1" applyBorder="1" applyAlignment="1">
      <alignment horizontal="center" vertical="center"/>
    </xf>
    <xf numFmtId="0" fontId="16" fillId="3"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1" fillId="7" borderId="1" xfId="4" applyFill="1" applyBorder="1" applyAlignment="1">
      <alignment vertical="center" wrapText="1"/>
    </xf>
    <xf numFmtId="0" fontId="7" fillId="0" borderId="1" xfId="0" applyFont="1" applyBorder="1" applyAlignment="1">
      <alignment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8" fillId="3" borderId="1" xfId="0" applyFont="1" applyFill="1" applyBorder="1" applyAlignment="1">
      <alignment horizontal="center"/>
    </xf>
    <xf numFmtId="0" fontId="4" fillId="3" borderId="1" xfId="1" applyFont="1" applyFill="1" applyBorder="1" applyAlignment="1">
      <alignment horizontal="center" vertical="center" wrapText="1"/>
    </xf>
    <xf numFmtId="0" fontId="8" fillId="3" borderId="1" xfId="0" applyFont="1" applyFill="1" applyBorder="1" applyAlignment="1">
      <alignment horizontal="center" vertical="center"/>
    </xf>
    <xf numFmtId="0" fontId="11" fillId="7" borderId="2" xfId="4" applyFill="1" applyBorder="1" applyAlignment="1">
      <alignment vertical="center" wrapText="1"/>
    </xf>
    <xf numFmtId="0" fontId="11" fillId="7" borderId="3" xfId="4" applyFill="1" applyBorder="1" applyAlignment="1">
      <alignment vertical="center" wrapText="1"/>
    </xf>
    <xf numFmtId="0" fontId="11" fillId="7" borderId="1" xfId="4" applyFill="1" applyBorder="1" applyAlignment="1">
      <alignment vertical="center"/>
    </xf>
    <xf numFmtId="0" fontId="7" fillId="0" borderId="1" xfId="0" applyFont="1" applyBorder="1" applyAlignment="1">
      <alignment wrapText="1"/>
    </xf>
    <xf numFmtId="0" fontId="4" fillId="4" borderId="2" xfId="0" applyFont="1" applyFill="1" applyBorder="1" applyAlignment="1">
      <alignment horizontal="center"/>
    </xf>
    <xf numFmtId="0" fontId="4" fillId="4" borderId="4" xfId="0" applyFont="1" applyFill="1" applyBorder="1" applyAlignment="1">
      <alignment horizontal="center"/>
    </xf>
    <xf numFmtId="0" fontId="4" fillId="4" borderId="3" xfId="0" applyFont="1" applyFill="1" applyBorder="1" applyAlignment="1">
      <alignment horizontal="center"/>
    </xf>
    <xf numFmtId="0" fontId="1" fillId="4" borderId="2" xfId="0" applyFont="1" applyFill="1" applyBorder="1" applyAlignment="1">
      <alignment horizontal="center"/>
    </xf>
    <xf numFmtId="0" fontId="1" fillId="4" borderId="4" xfId="0" applyFont="1" applyFill="1" applyBorder="1" applyAlignment="1">
      <alignment horizontal="center"/>
    </xf>
    <xf numFmtId="0" fontId="1" fillId="4" borderId="3" xfId="0" applyFont="1" applyFill="1" applyBorder="1" applyAlignment="1">
      <alignment horizontal="center"/>
    </xf>
    <xf numFmtId="0" fontId="7"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2" fillId="0" borderId="1" xfId="0" applyFont="1" applyBorder="1" applyAlignment="1">
      <alignment horizontal="left" vertical="center" wrapText="1"/>
    </xf>
  </cellXfs>
  <cellStyles count="8">
    <cellStyle name="Comma" xfId="5" builtinId="3"/>
    <cellStyle name="Comma 2" xfId="2"/>
    <cellStyle name="Hyperlink" xfId="4" builtinId="8" customBuiltin="1"/>
    <cellStyle name="Normal" xfId="0" builtinId="0"/>
    <cellStyle name="Normal 2" xfId="1"/>
    <cellStyle name="Normal 3" xfId="7"/>
    <cellStyle name="Percent" xfId="6" builtinId="5"/>
    <cellStyle name="Percent 2" xfId="3"/>
  </cellStyles>
  <dxfs count="0"/>
  <tableStyles count="0" defaultTableStyle="TableStyleMedium2" defaultPivotStyle="PivotStyleLight16"/>
  <colors>
    <mruColors>
      <color rgb="FFBC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File Info'!A1"/><Relationship Id="rId2" Type="http://schemas.openxmlformats.org/officeDocument/2006/relationships/hyperlink" Target="#Navigation!B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Navigation!B1"/><Relationship Id="rId1" Type="http://schemas.openxmlformats.org/officeDocument/2006/relationships/hyperlink" Target="#'File Info'!A1"/></Relationships>
</file>

<file path=xl/drawings/_rels/drawing11.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Nonpoint Sources --&gt;'!A1"/><Relationship Id="rId1" Type="http://schemas.openxmlformats.org/officeDocument/2006/relationships/hyperlink" Target="#'File Info'!A1"/><Relationship Id="rId4" Type="http://schemas.openxmlformats.org/officeDocument/2006/relationships/hyperlink" Target="#Navigation!B1"/></Relationships>
</file>

<file path=xl/drawings/_rels/drawing12.xml.rels><?xml version="1.0" encoding="UTF-8" standalone="yes"?>
<Relationships xmlns="http://schemas.openxmlformats.org/package/2006/relationships"><Relationship Id="rId2" Type="http://schemas.openxmlformats.org/officeDocument/2006/relationships/hyperlink" Target="#Navigation!B1"/><Relationship Id="rId1" Type="http://schemas.openxmlformats.org/officeDocument/2006/relationships/hyperlink" Target="#'File Info'!A1"/></Relationships>
</file>

<file path=xl/drawings/_rels/drawing13.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Planning and Mitigation --&gt;'!A1"/><Relationship Id="rId1" Type="http://schemas.openxmlformats.org/officeDocument/2006/relationships/hyperlink" Target="#'File Info'!A1"/><Relationship Id="rId4" Type="http://schemas.openxmlformats.org/officeDocument/2006/relationships/hyperlink" Target="#Navigation!B1"/></Relationships>
</file>

<file path=xl/drawings/_rels/drawing14.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Planning and Mitigation --&gt;'!A1"/><Relationship Id="rId1" Type="http://schemas.openxmlformats.org/officeDocument/2006/relationships/hyperlink" Target="#'File Info'!A1"/><Relationship Id="rId4" Type="http://schemas.openxmlformats.org/officeDocument/2006/relationships/hyperlink" Target="#Navigation!B1"/></Relationships>
</file>

<file path=xl/drawings/_rels/drawing15.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Planning and Mitigation --&gt;'!A1"/><Relationship Id="rId1" Type="http://schemas.openxmlformats.org/officeDocument/2006/relationships/hyperlink" Target="#'File Info'!A1"/><Relationship Id="rId4" Type="http://schemas.openxmlformats.org/officeDocument/2006/relationships/hyperlink" Target="#Navigation!B1"/></Relationships>
</file>

<file path=xl/drawings/_rels/drawing16.xml.rels><?xml version="1.0" encoding="UTF-8" standalone="yes"?>
<Relationships xmlns="http://schemas.openxmlformats.org/package/2006/relationships"><Relationship Id="rId2" Type="http://schemas.openxmlformats.org/officeDocument/2006/relationships/hyperlink" Target="#Navigation!B1"/><Relationship Id="rId1" Type="http://schemas.openxmlformats.org/officeDocument/2006/relationships/hyperlink" Target="#'File Info'!A1"/></Relationships>
</file>

<file path=xl/drawings/_rels/drawing17.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Economic Impacts --&gt;'!A1"/><Relationship Id="rId1" Type="http://schemas.openxmlformats.org/officeDocument/2006/relationships/hyperlink" Target="#'File Info'!A1"/><Relationship Id="rId4" Type="http://schemas.openxmlformats.org/officeDocument/2006/relationships/hyperlink" Target="#Navigation!B1"/></Relationships>
</file>

<file path=xl/drawings/_rels/drawing18.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Economic Impacts --&gt;'!A1"/><Relationship Id="rId1" Type="http://schemas.openxmlformats.org/officeDocument/2006/relationships/hyperlink" Target="#'File Info'!A1"/><Relationship Id="rId5" Type="http://schemas.openxmlformats.org/officeDocument/2006/relationships/hyperlink" Target="#Index!A1"/><Relationship Id="rId4" Type="http://schemas.openxmlformats.org/officeDocument/2006/relationships/hyperlink" Target="#Navigation!B1"/></Relationships>
</file>

<file path=xl/drawings/_rels/drawing19.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Economic Impacts --&gt;'!A1"/><Relationship Id="rId1" Type="http://schemas.openxmlformats.org/officeDocument/2006/relationships/hyperlink" Target="#'File Info'!A1"/><Relationship Id="rId5" Type="http://schemas.openxmlformats.org/officeDocument/2006/relationships/hyperlink" Target="#Index!A1"/><Relationship Id="rId4" Type="http://schemas.openxmlformats.org/officeDocument/2006/relationships/hyperlink" Target="#Navigation!B1"/></Relationships>
</file>

<file path=xl/drawings/_rels/drawing2.xml.rels><?xml version="1.0" encoding="UTF-8" standalone="yes"?>
<Relationships xmlns="http://schemas.openxmlformats.org/package/2006/relationships"><Relationship Id="rId2" Type="http://schemas.openxmlformats.org/officeDocument/2006/relationships/hyperlink" Target="#Instructions!A1"/><Relationship Id="rId1" Type="http://schemas.openxmlformats.org/officeDocument/2006/relationships/hyperlink" Target="#Navigation!B1"/></Relationships>
</file>

<file path=xl/drawings/_rels/drawing20.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Economic Impacts --&gt;'!A1"/><Relationship Id="rId1" Type="http://schemas.openxmlformats.org/officeDocument/2006/relationships/hyperlink" Target="#'File Info'!A1"/><Relationship Id="rId5" Type="http://schemas.openxmlformats.org/officeDocument/2006/relationships/hyperlink" Target="#Index!A1"/><Relationship Id="rId4" Type="http://schemas.openxmlformats.org/officeDocument/2006/relationships/hyperlink" Target="#Navigation!B1"/></Relationships>
</file>

<file path=xl/drawings/_rels/drawing21.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Economic Impacts --&gt;'!A1"/><Relationship Id="rId1" Type="http://schemas.openxmlformats.org/officeDocument/2006/relationships/hyperlink" Target="#'File Info'!A1"/><Relationship Id="rId5" Type="http://schemas.openxmlformats.org/officeDocument/2006/relationships/hyperlink" Target="#Index!A1"/><Relationship Id="rId4" Type="http://schemas.openxmlformats.org/officeDocument/2006/relationships/hyperlink" Target="#Navigation!B1"/></Relationships>
</file>

<file path=xl/drawings/_rels/drawing22.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Economic Impacts --&gt;'!A1"/><Relationship Id="rId1" Type="http://schemas.openxmlformats.org/officeDocument/2006/relationships/hyperlink" Target="#'File Info'!A1"/><Relationship Id="rId5" Type="http://schemas.openxmlformats.org/officeDocument/2006/relationships/hyperlink" Target="#Index!A1"/><Relationship Id="rId4" Type="http://schemas.openxmlformats.org/officeDocument/2006/relationships/hyperlink" Target="#Navigation!B1"/></Relationships>
</file>

<file path=xl/drawings/_rels/drawing23.xml.rels><?xml version="1.0" encoding="UTF-8" standalone="yes"?>
<Relationships xmlns="http://schemas.openxmlformats.org/package/2006/relationships"><Relationship Id="rId3" Type="http://schemas.openxmlformats.org/officeDocument/2006/relationships/hyperlink" Target="#Navigation!B1"/><Relationship Id="rId2" Type="http://schemas.openxmlformats.org/officeDocument/2006/relationships/hyperlink" Target="#'Economic Impacts --&gt;'!A1"/><Relationship Id="rId1" Type="http://schemas.openxmlformats.org/officeDocument/2006/relationships/hyperlink" Target="#'File Info'!A1"/><Relationship Id="rId5" Type="http://schemas.openxmlformats.org/officeDocument/2006/relationships/hyperlink" Target="#References!A1"/><Relationship Id="rId4" Type="http://schemas.openxmlformats.org/officeDocument/2006/relationships/hyperlink" Target="#Index!A1"/></Relationships>
</file>

<file path=xl/drawings/_rels/drawing24.xml.rels><?xml version="1.0" encoding="UTF-8" standalone="yes"?>
<Relationships xmlns="http://schemas.openxmlformats.org/package/2006/relationships"><Relationship Id="rId3" Type="http://schemas.openxmlformats.org/officeDocument/2006/relationships/hyperlink" Target="#Navigation!B1"/><Relationship Id="rId2" Type="http://schemas.openxmlformats.org/officeDocument/2006/relationships/hyperlink" Target="#'Economic Impacts --&gt;'!A1"/><Relationship Id="rId1" Type="http://schemas.openxmlformats.org/officeDocument/2006/relationships/hyperlink" Target="#'File Info'!A1"/><Relationship Id="rId5" Type="http://schemas.openxmlformats.org/officeDocument/2006/relationships/hyperlink" Target="#References!A1"/><Relationship Id="rId4" Type="http://schemas.openxmlformats.org/officeDocument/2006/relationships/hyperlink" Target="#Index!A1"/></Relationships>
</file>

<file path=xl/drawings/_rels/drawing25.xml.rels><?xml version="1.0" encoding="UTF-8" standalone="yes"?>
<Relationships xmlns="http://schemas.openxmlformats.org/package/2006/relationships"><Relationship Id="rId3" Type="http://schemas.openxmlformats.org/officeDocument/2006/relationships/hyperlink" Target="#Index!A1"/><Relationship Id="rId7" Type="http://schemas.openxmlformats.org/officeDocument/2006/relationships/hyperlink" Target="#'File Info'!A1"/><Relationship Id="rId2" Type="http://schemas.openxmlformats.org/officeDocument/2006/relationships/hyperlink" Target="#Navigation!B1"/><Relationship Id="rId1" Type="http://schemas.openxmlformats.org/officeDocument/2006/relationships/hyperlink" Target="#'Economic Impacts --&gt;'!A1"/><Relationship Id="rId6" Type="http://schemas.openxmlformats.org/officeDocument/2006/relationships/hyperlink" Target="#References!A1"/><Relationship Id="rId5" Type="http://schemas.openxmlformats.org/officeDocument/2006/relationships/hyperlink" Target="#'Nonpoint Sources --&gt;'!A1"/><Relationship Id="rId4" Type="http://schemas.openxmlformats.org/officeDocument/2006/relationships/hyperlink" Target="#'Planning and Mitigation --&gt;'!A1"/></Relationships>
</file>

<file path=xl/drawings/_rels/drawing26.xml.rels><?xml version="1.0" encoding="UTF-8" standalone="yes"?>
<Relationships xmlns="http://schemas.openxmlformats.org/package/2006/relationships"><Relationship Id="rId3" Type="http://schemas.openxmlformats.org/officeDocument/2006/relationships/hyperlink" Target="#'Nonpoint Sources --&gt;'!A1"/><Relationship Id="rId7" Type="http://schemas.openxmlformats.org/officeDocument/2006/relationships/hyperlink" Target="#References!A1"/><Relationship Id="rId2" Type="http://schemas.openxmlformats.org/officeDocument/2006/relationships/hyperlink" Target="#'Economic Impacts --&gt;'!A1"/><Relationship Id="rId1" Type="http://schemas.openxmlformats.org/officeDocument/2006/relationships/hyperlink" Target="#'File Info'!A1"/><Relationship Id="rId6" Type="http://schemas.openxmlformats.org/officeDocument/2006/relationships/hyperlink" Target="#'Planning and Mitigation --&gt;'!A1"/><Relationship Id="rId5" Type="http://schemas.openxmlformats.org/officeDocument/2006/relationships/hyperlink" Target="#Index!A1"/><Relationship Id="rId4" Type="http://schemas.openxmlformats.org/officeDocument/2006/relationships/hyperlink" Target="#Navigation!B1"/></Relationships>
</file>

<file path=xl/drawings/_rels/drawing27.xml.rels><?xml version="1.0" encoding="UTF-8" standalone="yes"?>
<Relationships xmlns="http://schemas.openxmlformats.org/package/2006/relationships"><Relationship Id="rId3" Type="http://schemas.openxmlformats.org/officeDocument/2006/relationships/hyperlink" Target="#'Nonpoint Sources --&gt;'!A1"/><Relationship Id="rId2" Type="http://schemas.openxmlformats.org/officeDocument/2006/relationships/hyperlink" Target="#'Economic Impacts --&gt;'!A1"/><Relationship Id="rId1" Type="http://schemas.openxmlformats.org/officeDocument/2006/relationships/hyperlink" Target="#'File Info'!A1"/><Relationship Id="rId6" Type="http://schemas.openxmlformats.org/officeDocument/2006/relationships/hyperlink" Target="#'Planning and Mitigation --&gt;'!A1"/><Relationship Id="rId5" Type="http://schemas.openxmlformats.org/officeDocument/2006/relationships/hyperlink" Target="#Index!A1"/><Relationship Id="rId4" Type="http://schemas.openxmlformats.org/officeDocument/2006/relationships/hyperlink" Target="#Navigation!B1"/></Relationships>
</file>

<file path=xl/drawings/_rels/drawing28.xml.rels><?xml version="1.0" encoding="UTF-8" standalone="yes"?>
<Relationships xmlns="http://schemas.openxmlformats.org/package/2006/relationships"><Relationship Id="rId3" Type="http://schemas.openxmlformats.org/officeDocument/2006/relationships/hyperlink" Target="#'Nonpoint Sources --&gt;'!A1"/><Relationship Id="rId2" Type="http://schemas.openxmlformats.org/officeDocument/2006/relationships/hyperlink" Target="#'Economic Impacts --&gt;'!A1"/><Relationship Id="rId1" Type="http://schemas.openxmlformats.org/officeDocument/2006/relationships/hyperlink" Target="#'File Info'!A1"/><Relationship Id="rId6" Type="http://schemas.openxmlformats.org/officeDocument/2006/relationships/hyperlink" Target="#'Planning and Mitigation --&gt;'!A1"/><Relationship Id="rId5" Type="http://schemas.openxmlformats.org/officeDocument/2006/relationships/hyperlink" Target="#Index!A1"/><Relationship Id="rId4" Type="http://schemas.openxmlformats.org/officeDocument/2006/relationships/hyperlink" Target="#Navigation!B1"/></Relationships>
</file>

<file path=xl/drawings/_rels/drawing29.xml.rels><?xml version="1.0" encoding="UTF-8" standalone="yes"?>
<Relationships xmlns="http://schemas.openxmlformats.org/package/2006/relationships"><Relationship Id="rId3" Type="http://schemas.openxmlformats.org/officeDocument/2006/relationships/hyperlink" Target="#'Nonpoint Sources --&gt;'!A1"/><Relationship Id="rId2" Type="http://schemas.openxmlformats.org/officeDocument/2006/relationships/hyperlink" Target="#'Economic Impacts --&gt;'!A1"/><Relationship Id="rId1" Type="http://schemas.openxmlformats.org/officeDocument/2006/relationships/hyperlink" Target="#'File Info'!A1"/><Relationship Id="rId6" Type="http://schemas.openxmlformats.org/officeDocument/2006/relationships/hyperlink" Target="#'Planning and Mitigation --&gt;'!A1"/><Relationship Id="rId5" Type="http://schemas.openxmlformats.org/officeDocument/2006/relationships/hyperlink" Target="#Index!A1"/><Relationship Id="rId4" Type="http://schemas.openxmlformats.org/officeDocument/2006/relationships/hyperlink" Target="#Navigation!B1"/></Relationships>
</file>

<file path=xl/drawings/_rels/drawing3.xml.rels><?xml version="1.0" encoding="UTF-8" standalone="yes"?>
<Relationships xmlns="http://schemas.openxmlformats.org/package/2006/relationships"><Relationship Id="rId8" Type="http://schemas.openxmlformats.org/officeDocument/2006/relationships/hyperlink" Target="#Industrial!A1"/><Relationship Id="rId13" Type="http://schemas.openxmlformats.org/officeDocument/2006/relationships/hyperlink" Target="#Navigation!B1"/><Relationship Id="rId3" Type="http://schemas.openxmlformats.org/officeDocument/2006/relationships/hyperlink" Target="#'Urban Runoff'!A1"/><Relationship Id="rId7" Type="http://schemas.openxmlformats.org/officeDocument/2006/relationships/hyperlink" Target="#Decentralized!A1"/><Relationship Id="rId12" Type="http://schemas.openxmlformats.org/officeDocument/2006/relationships/hyperlink" Target="#'File Info'!A1"/><Relationship Id="rId2" Type="http://schemas.openxmlformats.org/officeDocument/2006/relationships/hyperlink" Target="#'Economic Impacts --&gt;'!A1"/><Relationship Id="rId1" Type="http://schemas.openxmlformats.org/officeDocument/2006/relationships/hyperlink" Target="#Mitigation!A1"/><Relationship Id="rId6" Type="http://schemas.openxmlformats.org/officeDocument/2006/relationships/hyperlink" Target="#Municipal!A1"/><Relationship Id="rId11" Type="http://schemas.openxmlformats.org/officeDocument/2006/relationships/hyperlink" Target="#'Nonpoint Sources --&gt;'!A1"/><Relationship Id="rId5" Type="http://schemas.openxmlformats.org/officeDocument/2006/relationships/hyperlink" Target="#Crops!A1"/><Relationship Id="rId10" Type="http://schemas.openxmlformats.org/officeDocument/2006/relationships/hyperlink" Target="#'Point Sources --&gt;'!A1"/><Relationship Id="rId4" Type="http://schemas.openxmlformats.org/officeDocument/2006/relationships/hyperlink" Target="#Livestock!A1"/><Relationship Id="rId9" Type="http://schemas.openxmlformats.org/officeDocument/2006/relationships/hyperlink" Target="#Planning!A1"/></Relationships>
</file>

<file path=xl/drawings/_rels/drawing4.xml.rels><?xml version="1.0" encoding="UTF-8" standalone="yes"?>
<Relationships xmlns="http://schemas.openxmlformats.org/package/2006/relationships"><Relationship Id="rId8" Type="http://schemas.openxmlformats.org/officeDocument/2006/relationships/hyperlink" Target="#Planning!A1"/><Relationship Id="rId3" Type="http://schemas.openxmlformats.org/officeDocument/2006/relationships/hyperlink" Target="#Livestock!A1"/><Relationship Id="rId7" Type="http://schemas.openxmlformats.org/officeDocument/2006/relationships/hyperlink" Target="#Industrial!A1"/><Relationship Id="rId12" Type="http://schemas.openxmlformats.org/officeDocument/2006/relationships/hyperlink" Target="#Navigation!B1"/><Relationship Id="rId2" Type="http://schemas.openxmlformats.org/officeDocument/2006/relationships/hyperlink" Target="#'Urban Runoff'!A1"/><Relationship Id="rId1" Type="http://schemas.openxmlformats.org/officeDocument/2006/relationships/hyperlink" Target="#'Economic Impacts --&gt;'!A1"/><Relationship Id="rId6" Type="http://schemas.openxmlformats.org/officeDocument/2006/relationships/hyperlink" Target="#Decentralized!A1"/><Relationship Id="rId11" Type="http://schemas.openxmlformats.org/officeDocument/2006/relationships/hyperlink" Target="#'File Info'!A1"/><Relationship Id="rId5" Type="http://schemas.openxmlformats.org/officeDocument/2006/relationships/hyperlink" Target="#Municipal!A1"/><Relationship Id="rId10" Type="http://schemas.openxmlformats.org/officeDocument/2006/relationships/hyperlink" Target="#'Nonpoint Sources --&gt;'!A1"/><Relationship Id="rId4" Type="http://schemas.openxmlformats.org/officeDocument/2006/relationships/hyperlink" Target="#Crops!A1"/><Relationship Id="rId9" Type="http://schemas.openxmlformats.org/officeDocument/2006/relationships/hyperlink" Target="#'Point Sources --&gt;'!A1"/></Relationships>
</file>

<file path=xl/drawings/_rels/drawing5.xml.rels><?xml version="1.0" encoding="UTF-8" standalone="yes"?>
<Relationships xmlns="http://schemas.openxmlformats.org/package/2006/relationships"><Relationship Id="rId2" Type="http://schemas.openxmlformats.org/officeDocument/2006/relationships/hyperlink" Target="#Navigation!B1"/><Relationship Id="rId1" Type="http://schemas.openxmlformats.org/officeDocument/2006/relationships/hyperlink" Target="#'File Info'!A1"/></Relationships>
</file>

<file path=xl/drawings/_rels/drawing6.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Point Sources --&gt;'!A1"/><Relationship Id="rId1" Type="http://schemas.openxmlformats.org/officeDocument/2006/relationships/hyperlink" Target="#'File Info'!A1"/><Relationship Id="rId4" Type="http://schemas.openxmlformats.org/officeDocument/2006/relationships/hyperlink" Target="#Navigation!B1"/></Relationships>
</file>

<file path=xl/drawings/_rels/drawing7.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Point Sources --&gt;'!A1"/><Relationship Id="rId1" Type="http://schemas.openxmlformats.org/officeDocument/2006/relationships/hyperlink" Target="#'File Info'!A1"/><Relationship Id="rId4" Type="http://schemas.openxmlformats.org/officeDocument/2006/relationships/hyperlink" Target="#Navigation!B1"/></Relationships>
</file>

<file path=xl/drawings/_rels/drawing8.xml.rels><?xml version="1.0" encoding="UTF-8" standalone="yes"?>
<Relationships xmlns="http://schemas.openxmlformats.org/package/2006/relationships"><Relationship Id="rId3" Type="http://schemas.openxmlformats.org/officeDocument/2006/relationships/hyperlink" Target="#References!A1"/><Relationship Id="rId2" Type="http://schemas.openxmlformats.org/officeDocument/2006/relationships/hyperlink" Target="#'Point Sources --&gt;'!A1"/><Relationship Id="rId1" Type="http://schemas.openxmlformats.org/officeDocument/2006/relationships/hyperlink" Target="#'File Info'!A1"/><Relationship Id="rId4" Type="http://schemas.openxmlformats.org/officeDocument/2006/relationships/hyperlink" Target="#Navigation!B1"/></Relationships>
</file>

<file path=xl/drawings/_rels/drawing9.xml.rels><?xml version="1.0" encoding="UTF-8" standalone="yes"?>
<Relationships xmlns="http://schemas.openxmlformats.org/package/2006/relationships"><Relationship Id="rId3" Type="http://schemas.openxmlformats.org/officeDocument/2006/relationships/hyperlink" Target="#Navigation!B1"/><Relationship Id="rId2" Type="http://schemas.openxmlformats.org/officeDocument/2006/relationships/hyperlink" Target="#'Point Sources --&gt;'!A1"/><Relationship Id="rId1" Type="http://schemas.openxmlformats.org/officeDocument/2006/relationships/hyperlink" Target="#'File Info'!A1"/></Relationships>
</file>

<file path=xl/drawings/drawing1.xml><?xml version="1.0" encoding="utf-8"?>
<xdr:wsDr xmlns:xdr="http://schemas.openxmlformats.org/drawingml/2006/spreadsheetDrawing" xmlns:a="http://schemas.openxmlformats.org/drawingml/2006/main">
  <xdr:twoCellAnchor>
    <xdr:from>
      <xdr:col>1</xdr:col>
      <xdr:colOff>152400</xdr:colOff>
      <xdr:row>2</xdr:row>
      <xdr:rowOff>133350</xdr:rowOff>
    </xdr:from>
    <xdr:to>
      <xdr:col>8</xdr:col>
      <xdr:colOff>533400</xdr:colOff>
      <xdr:row>2</xdr:row>
      <xdr:rowOff>3771898</xdr:rowOff>
    </xdr:to>
    <xdr:grpSp>
      <xdr:nvGrpSpPr>
        <xdr:cNvPr id="4" name="Group 3"/>
        <xdr:cNvGrpSpPr/>
      </xdr:nvGrpSpPr>
      <xdr:grpSpPr>
        <a:xfrm>
          <a:off x="7820025" y="533400"/>
          <a:ext cx="4648200" cy="3638548"/>
          <a:chOff x="8648700" y="152400"/>
          <a:chExt cx="4648200" cy="3667124"/>
        </a:xfrm>
      </xdr:grpSpPr>
      <xdr:pic>
        <xdr:nvPicPr>
          <xdr:cNvPr id="2" name="Picture 1"/>
          <xdr:cNvPicPr/>
        </xdr:nvPicPr>
        <xdr:blipFill>
          <a:blip xmlns:r="http://schemas.openxmlformats.org/officeDocument/2006/relationships" r:embed="rId1" cstate="print"/>
          <a:srcRect/>
          <a:stretch>
            <a:fillRect/>
          </a:stretch>
        </xdr:blipFill>
        <xdr:spPr bwMode="auto">
          <a:xfrm>
            <a:off x="8648700" y="152400"/>
            <a:ext cx="4648200" cy="3124200"/>
          </a:xfrm>
          <a:prstGeom prst="rect">
            <a:avLst/>
          </a:prstGeom>
          <a:noFill/>
          <a:ln w="9525">
            <a:noFill/>
            <a:miter lim="800000"/>
            <a:headEnd/>
            <a:tailEnd/>
          </a:ln>
        </xdr:spPr>
      </xdr:pic>
      <xdr:sp macro="" textlink="">
        <xdr:nvSpPr>
          <xdr:cNvPr id="3" name="TextBox 2"/>
          <xdr:cNvSpPr txBox="1"/>
        </xdr:nvSpPr>
        <xdr:spPr>
          <a:xfrm>
            <a:off x="8648700" y="3276599"/>
            <a:ext cx="4645152"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Figure 1. Buttons located in header cells allow the user to filter and sort the contents of the sheet.</a:t>
            </a:r>
          </a:p>
        </xdr:txBody>
      </xdr:sp>
    </xdr:grpSp>
    <xdr:clientData/>
  </xdr:twoCellAnchor>
  <xdr:twoCellAnchor>
    <xdr:from>
      <xdr:col>0</xdr:col>
      <xdr:colOff>123825</xdr:colOff>
      <xdr:row>0</xdr:row>
      <xdr:rowOff>66675</xdr:rowOff>
    </xdr:from>
    <xdr:to>
      <xdr:col>0</xdr:col>
      <xdr:colOff>933450</xdr:colOff>
      <xdr:row>1</xdr:row>
      <xdr:rowOff>142875</xdr:rowOff>
    </xdr:to>
    <xdr:sp macro="" textlink="">
      <xdr:nvSpPr>
        <xdr:cNvPr id="6" name="TextBox 5">
          <a:hlinkClick xmlns:r="http://schemas.openxmlformats.org/officeDocument/2006/relationships" r:id="rId2"/>
        </xdr:cNvPr>
        <xdr:cNvSpPr txBox="1"/>
      </xdr:nvSpPr>
      <xdr:spPr>
        <a:xfrm>
          <a:off x="123825" y="66675"/>
          <a:ext cx="809625"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0</xdr:col>
      <xdr:colOff>1104900</xdr:colOff>
      <xdr:row>0</xdr:row>
      <xdr:rowOff>66675</xdr:rowOff>
    </xdr:from>
    <xdr:to>
      <xdr:col>0</xdr:col>
      <xdr:colOff>1766151</xdr:colOff>
      <xdr:row>1</xdr:row>
      <xdr:rowOff>141351</xdr:rowOff>
    </xdr:to>
    <xdr:sp macro="" textlink="">
      <xdr:nvSpPr>
        <xdr:cNvPr id="7" name="TextBox 6">
          <a:hlinkClick xmlns:r="http://schemas.openxmlformats.org/officeDocument/2006/relationships" r:id="rId3"/>
        </xdr:cNvPr>
        <xdr:cNvSpPr txBox="1"/>
      </xdr:nvSpPr>
      <xdr:spPr>
        <a:xfrm>
          <a:off x="1104900" y="66675"/>
          <a:ext cx="661251" cy="265176"/>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747713</xdr:colOff>
      <xdr:row>0</xdr:row>
      <xdr:rowOff>66675</xdr:rowOff>
    </xdr:from>
    <xdr:to>
      <xdr:col>3</xdr:col>
      <xdr:colOff>338138</xdr:colOff>
      <xdr:row>1</xdr:row>
      <xdr:rowOff>142875</xdr:rowOff>
    </xdr:to>
    <xdr:sp macro="" textlink="">
      <xdr:nvSpPr>
        <xdr:cNvPr id="2" name="TextBox 1">
          <a:hlinkClick xmlns:r="http://schemas.openxmlformats.org/officeDocument/2006/relationships" r:id="rId1"/>
        </xdr:cNvPr>
        <xdr:cNvSpPr txBox="1"/>
      </xdr:nvSpPr>
      <xdr:spPr>
        <a:xfrm>
          <a:off x="900113" y="6667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0</xdr:col>
      <xdr:colOff>123825</xdr:colOff>
      <xdr:row>0</xdr:row>
      <xdr:rowOff>66675</xdr:rowOff>
    </xdr:from>
    <xdr:to>
      <xdr:col>1</xdr:col>
      <xdr:colOff>628651</xdr:colOff>
      <xdr:row>1</xdr:row>
      <xdr:rowOff>142875</xdr:rowOff>
    </xdr:to>
    <xdr:sp macro="" textlink="">
      <xdr:nvSpPr>
        <xdr:cNvPr id="3" name="TextBox 2">
          <a:hlinkClick xmlns:r="http://schemas.openxmlformats.org/officeDocument/2006/relationships" r:id="rId2"/>
        </xdr:cNvPr>
        <xdr:cNvSpPr txBox="1"/>
      </xdr:nvSpPr>
      <xdr:spPr>
        <a:xfrm>
          <a:off x="123825" y="6667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90963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885826</xdr:colOff>
      <xdr:row>0</xdr:row>
      <xdr:rowOff>47625</xdr:rowOff>
    </xdr:from>
    <xdr:to>
      <xdr:col>3</xdr:col>
      <xdr:colOff>304800</xdr:colOff>
      <xdr:row>1</xdr:row>
      <xdr:rowOff>104775</xdr:rowOff>
    </xdr:to>
    <xdr:sp macro="" textlink="">
      <xdr:nvSpPr>
        <xdr:cNvPr id="3" name="TextBox 2">
          <a:hlinkClick xmlns:r="http://schemas.openxmlformats.org/officeDocument/2006/relationships" r:id="rId2"/>
        </xdr:cNvPr>
        <xdr:cNvSpPr txBox="1"/>
      </xdr:nvSpPr>
      <xdr:spPr>
        <a:xfrm>
          <a:off x="1762126" y="47625"/>
          <a:ext cx="1438274"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Nonpoint Sources</a:t>
          </a:r>
        </a:p>
      </xdr:txBody>
    </xdr:sp>
    <xdr:clientData/>
  </xdr:twoCellAnchor>
  <xdr:twoCellAnchor>
    <xdr:from>
      <xdr:col>3</xdr:col>
      <xdr:colOff>485775</xdr:colOff>
      <xdr:row>0</xdr:row>
      <xdr:rowOff>47625</xdr:rowOff>
    </xdr:from>
    <xdr:to>
      <xdr:col>4</xdr:col>
      <xdr:colOff>171451</xdr:colOff>
      <xdr:row>1</xdr:row>
      <xdr:rowOff>104775</xdr:rowOff>
    </xdr:to>
    <xdr:sp macro="" textlink="">
      <xdr:nvSpPr>
        <xdr:cNvPr id="4" name="TextBox 3">
          <a:hlinkClick xmlns:r="http://schemas.openxmlformats.org/officeDocument/2006/relationships" r:id="rId3"/>
        </xdr:cNvPr>
        <xdr:cNvSpPr txBox="1"/>
      </xdr:nvSpPr>
      <xdr:spPr>
        <a:xfrm>
          <a:off x="3381375" y="47625"/>
          <a:ext cx="1019176"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747713</xdr:colOff>
      <xdr:row>0</xdr:row>
      <xdr:rowOff>66675</xdr:rowOff>
    </xdr:from>
    <xdr:to>
      <xdr:col>3</xdr:col>
      <xdr:colOff>338138</xdr:colOff>
      <xdr:row>1</xdr:row>
      <xdr:rowOff>142875</xdr:rowOff>
    </xdr:to>
    <xdr:sp macro="" textlink="">
      <xdr:nvSpPr>
        <xdr:cNvPr id="2" name="TextBox 1">
          <a:hlinkClick xmlns:r="http://schemas.openxmlformats.org/officeDocument/2006/relationships" r:id="rId1"/>
        </xdr:cNvPr>
        <xdr:cNvSpPr txBox="1"/>
      </xdr:nvSpPr>
      <xdr:spPr>
        <a:xfrm>
          <a:off x="900113" y="6667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0</xdr:col>
      <xdr:colOff>123825</xdr:colOff>
      <xdr:row>0</xdr:row>
      <xdr:rowOff>66675</xdr:rowOff>
    </xdr:from>
    <xdr:to>
      <xdr:col>1</xdr:col>
      <xdr:colOff>628651</xdr:colOff>
      <xdr:row>1</xdr:row>
      <xdr:rowOff>142875</xdr:rowOff>
    </xdr:to>
    <xdr:sp macro="" textlink="">
      <xdr:nvSpPr>
        <xdr:cNvPr id="3" name="TextBox 2">
          <a:hlinkClick xmlns:r="http://schemas.openxmlformats.org/officeDocument/2006/relationships" r:id="rId2"/>
        </xdr:cNvPr>
        <xdr:cNvSpPr txBox="1"/>
      </xdr:nvSpPr>
      <xdr:spPr>
        <a:xfrm>
          <a:off x="123825" y="6667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98583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885825</xdr:colOff>
      <xdr:row>0</xdr:row>
      <xdr:rowOff>47625</xdr:rowOff>
    </xdr:from>
    <xdr:to>
      <xdr:col>3</xdr:col>
      <xdr:colOff>552449</xdr:colOff>
      <xdr:row>1</xdr:row>
      <xdr:rowOff>104775</xdr:rowOff>
    </xdr:to>
    <xdr:sp macro="" textlink="">
      <xdr:nvSpPr>
        <xdr:cNvPr id="3" name="TextBox 2">
          <a:hlinkClick xmlns:r="http://schemas.openxmlformats.org/officeDocument/2006/relationships" r:id="rId2"/>
        </xdr:cNvPr>
        <xdr:cNvSpPr txBox="1"/>
      </xdr:nvSpPr>
      <xdr:spPr>
        <a:xfrm>
          <a:off x="2009775" y="47625"/>
          <a:ext cx="1733549"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Restoration</a:t>
          </a:r>
          <a:r>
            <a:rPr lang="en-US" sz="1100" baseline="0"/>
            <a:t> </a:t>
          </a:r>
          <a:r>
            <a:rPr lang="en-US" sz="1100"/>
            <a:t>and Mitigation</a:t>
          </a:r>
        </a:p>
      </xdr:txBody>
    </xdr:sp>
    <xdr:clientData/>
  </xdr:twoCellAnchor>
  <xdr:twoCellAnchor>
    <xdr:from>
      <xdr:col>3</xdr:col>
      <xdr:colOff>733425</xdr:colOff>
      <xdr:row>0</xdr:row>
      <xdr:rowOff>47625</xdr:rowOff>
    </xdr:from>
    <xdr:to>
      <xdr:col>4</xdr:col>
      <xdr:colOff>38100</xdr:colOff>
      <xdr:row>1</xdr:row>
      <xdr:rowOff>104775</xdr:rowOff>
    </xdr:to>
    <xdr:sp macro="" textlink="">
      <xdr:nvSpPr>
        <xdr:cNvPr id="4" name="TextBox 3">
          <a:hlinkClick xmlns:r="http://schemas.openxmlformats.org/officeDocument/2006/relationships" r:id="rId3"/>
        </xdr:cNvPr>
        <xdr:cNvSpPr txBox="1"/>
      </xdr:nvSpPr>
      <xdr:spPr>
        <a:xfrm>
          <a:off x="3924300" y="47625"/>
          <a:ext cx="128587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919162"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885825</xdr:colOff>
      <xdr:row>0</xdr:row>
      <xdr:rowOff>47625</xdr:rowOff>
    </xdr:from>
    <xdr:to>
      <xdr:col>3</xdr:col>
      <xdr:colOff>352425</xdr:colOff>
      <xdr:row>1</xdr:row>
      <xdr:rowOff>104775</xdr:rowOff>
    </xdr:to>
    <xdr:sp macro="" textlink="">
      <xdr:nvSpPr>
        <xdr:cNvPr id="3" name="TextBox 2">
          <a:hlinkClick xmlns:r="http://schemas.openxmlformats.org/officeDocument/2006/relationships" r:id="rId2"/>
        </xdr:cNvPr>
        <xdr:cNvSpPr txBox="1"/>
      </xdr:nvSpPr>
      <xdr:spPr>
        <a:xfrm>
          <a:off x="1838325" y="47625"/>
          <a:ext cx="179070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Restoration and Mitigation</a:t>
          </a:r>
        </a:p>
      </xdr:txBody>
    </xdr:sp>
    <xdr:clientData/>
  </xdr:twoCellAnchor>
  <xdr:twoCellAnchor>
    <xdr:from>
      <xdr:col>3</xdr:col>
      <xdr:colOff>533399</xdr:colOff>
      <xdr:row>0</xdr:row>
      <xdr:rowOff>47625</xdr:rowOff>
    </xdr:from>
    <xdr:to>
      <xdr:col>4</xdr:col>
      <xdr:colOff>771524</xdr:colOff>
      <xdr:row>1</xdr:row>
      <xdr:rowOff>104775</xdr:rowOff>
    </xdr:to>
    <xdr:sp macro="" textlink="">
      <xdr:nvSpPr>
        <xdr:cNvPr id="4" name="TextBox 3">
          <a:hlinkClick xmlns:r="http://schemas.openxmlformats.org/officeDocument/2006/relationships" r:id="rId3"/>
        </xdr:cNvPr>
        <xdr:cNvSpPr txBox="1"/>
      </xdr:nvSpPr>
      <xdr:spPr>
        <a:xfrm>
          <a:off x="3809999" y="47625"/>
          <a:ext cx="11525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98583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885825</xdr:colOff>
      <xdr:row>0</xdr:row>
      <xdr:rowOff>47625</xdr:rowOff>
    </xdr:from>
    <xdr:to>
      <xdr:col>1</xdr:col>
      <xdr:colOff>2933700</xdr:colOff>
      <xdr:row>1</xdr:row>
      <xdr:rowOff>104775</xdr:rowOff>
    </xdr:to>
    <xdr:sp macro="" textlink="">
      <xdr:nvSpPr>
        <xdr:cNvPr id="3" name="TextBox 2">
          <a:hlinkClick xmlns:r="http://schemas.openxmlformats.org/officeDocument/2006/relationships" r:id="rId2"/>
        </xdr:cNvPr>
        <xdr:cNvSpPr txBox="1"/>
      </xdr:nvSpPr>
      <xdr:spPr>
        <a:xfrm>
          <a:off x="2247900" y="47625"/>
          <a:ext cx="204787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Restoration and Mitigation</a:t>
          </a:r>
        </a:p>
      </xdr:txBody>
    </xdr:sp>
    <xdr:clientData/>
  </xdr:twoCellAnchor>
  <xdr:twoCellAnchor>
    <xdr:from>
      <xdr:col>1</xdr:col>
      <xdr:colOff>3095624</xdr:colOff>
      <xdr:row>0</xdr:row>
      <xdr:rowOff>47625</xdr:rowOff>
    </xdr:from>
    <xdr:to>
      <xdr:col>2</xdr:col>
      <xdr:colOff>1009649</xdr:colOff>
      <xdr:row>1</xdr:row>
      <xdr:rowOff>104775</xdr:rowOff>
    </xdr:to>
    <xdr:sp macro="" textlink="">
      <xdr:nvSpPr>
        <xdr:cNvPr id="4" name="TextBox 3">
          <a:hlinkClick xmlns:r="http://schemas.openxmlformats.org/officeDocument/2006/relationships" r:id="rId3"/>
        </xdr:cNvPr>
        <xdr:cNvSpPr txBox="1"/>
      </xdr:nvSpPr>
      <xdr:spPr>
        <a:xfrm>
          <a:off x="4457699" y="47625"/>
          <a:ext cx="11525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152399</xdr:colOff>
      <xdr:row>0</xdr:row>
      <xdr:rowOff>47625</xdr:rowOff>
    </xdr:from>
    <xdr:to>
      <xdr:col>0</xdr:col>
      <xdr:colOff>809625</xdr:colOff>
      <xdr:row>1</xdr:row>
      <xdr:rowOff>104775</xdr:rowOff>
    </xdr:to>
    <xdr:sp macro="" textlink="">
      <xdr:nvSpPr>
        <xdr:cNvPr id="5" name="TextBox 4">
          <a:hlinkClick xmlns:r="http://schemas.openxmlformats.org/officeDocument/2006/relationships" r:id="rId4"/>
        </xdr:cNvPr>
        <xdr:cNvSpPr txBox="1"/>
      </xdr:nvSpPr>
      <xdr:spPr>
        <a:xfrm>
          <a:off x="15239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747713</xdr:colOff>
      <xdr:row>0</xdr:row>
      <xdr:rowOff>66675</xdr:rowOff>
    </xdr:from>
    <xdr:to>
      <xdr:col>3</xdr:col>
      <xdr:colOff>338138</xdr:colOff>
      <xdr:row>1</xdr:row>
      <xdr:rowOff>142875</xdr:rowOff>
    </xdr:to>
    <xdr:sp macro="" textlink="">
      <xdr:nvSpPr>
        <xdr:cNvPr id="2" name="TextBox 1">
          <a:hlinkClick xmlns:r="http://schemas.openxmlformats.org/officeDocument/2006/relationships" r:id="rId1"/>
        </xdr:cNvPr>
        <xdr:cNvSpPr txBox="1"/>
      </xdr:nvSpPr>
      <xdr:spPr>
        <a:xfrm>
          <a:off x="900113" y="6667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0</xdr:col>
      <xdr:colOff>123825</xdr:colOff>
      <xdr:row>0</xdr:row>
      <xdr:rowOff>66675</xdr:rowOff>
    </xdr:from>
    <xdr:to>
      <xdr:col>1</xdr:col>
      <xdr:colOff>628651</xdr:colOff>
      <xdr:row>1</xdr:row>
      <xdr:rowOff>142875</xdr:rowOff>
    </xdr:to>
    <xdr:sp macro="" textlink="">
      <xdr:nvSpPr>
        <xdr:cNvPr id="3" name="TextBox 2">
          <a:hlinkClick xmlns:r="http://schemas.openxmlformats.org/officeDocument/2006/relationships" r:id="rId2"/>
        </xdr:cNvPr>
        <xdr:cNvSpPr txBox="1"/>
      </xdr:nvSpPr>
      <xdr:spPr>
        <a:xfrm>
          <a:off x="123825" y="6667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31750</xdr:colOff>
      <xdr:row>0</xdr:row>
      <xdr:rowOff>47625</xdr:rowOff>
    </xdr:from>
    <xdr:to>
      <xdr:col>1</xdr:col>
      <xdr:colOff>736600</xdr:colOff>
      <xdr:row>1</xdr:row>
      <xdr:rowOff>104775</xdr:rowOff>
    </xdr:to>
    <xdr:sp macro="" textlink="">
      <xdr:nvSpPr>
        <xdr:cNvPr id="2" name="TextBox 1">
          <a:hlinkClick xmlns:r="http://schemas.openxmlformats.org/officeDocument/2006/relationships" r:id="rId1"/>
        </xdr:cNvPr>
        <xdr:cNvSpPr txBox="1"/>
      </xdr:nvSpPr>
      <xdr:spPr>
        <a:xfrm>
          <a:off x="898525"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882650</xdr:colOff>
      <xdr:row>0</xdr:row>
      <xdr:rowOff>47625</xdr:rowOff>
    </xdr:from>
    <xdr:to>
      <xdr:col>3</xdr:col>
      <xdr:colOff>73025</xdr:colOff>
      <xdr:row>1</xdr:row>
      <xdr:rowOff>104775</xdr:rowOff>
    </xdr:to>
    <xdr:sp macro="" textlink="">
      <xdr:nvSpPr>
        <xdr:cNvPr id="3" name="TextBox 2">
          <a:hlinkClick xmlns:r="http://schemas.openxmlformats.org/officeDocument/2006/relationships" r:id="rId2"/>
        </xdr:cNvPr>
        <xdr:cNvSpPr txBox="1"/>
      </xdr:nvSpPr>
      <xdr:spPr>
        <a:xfrm>
          <a:off x="1749425" y="47625"/>
          <a:ext cx="137160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3</xdr:col>
      <xdr:colOff>219075</xdr:colOff>
      <xdr:row>0</xdr:row>
      <xdr:rowOff>47625</xdr:rowOff>
    </xdr:from>
    <xdr:to>
      <xdr:col>4</xdr:col>
      <xdr:colOff>57150</xdr:colOff>
      <xdr:row>1</xdr:row>
      <xdr:rowOff>104775</xdr:rowOff>
    </xdr:to>
    <xdr:sp macro="" textlink="">
      <xdr:nvSpPr>
        <xdr:cNvPr id="4" name="TextBox 3">
          <a:hlinkClick xmlns:r="http://schemas.openxmlformats.org/officeDocument/2006/relationships" r:id="rId3"/>
        </xdr:cNvPr>
        <xdr:cNvSpPr txBox="1"/>
      </xdr:nvSpPr>
      <xdr:spPr>
        <a:xfrm>
          <a:off x="3267075" y="47625"/>
          <a:ext cx="91440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938212"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885825</xdr:colOff>
      <xdr:row>0</xdr:row>
      <xdr:rowOff>47625</xdr:rowOff>
    </xdr:from>
    <xdr:to>
      <xdr:col>3</xdr:col>
      <xdr:colOff>76200</xdr:colOff>
      <xdr:row>1</xdr:row>
      <xdr:rowOff>104775</xdr:rowOff>
    </xdr:to>
    <xdr:sp macro="" textlink="">
      <xdr:nvSpPr>
        <xdr:cNvPr id="3" name="TextBox 2">
          <a:hlinkClick xmlns:r="http://schemas.openxmlformats.org/officeDocument/2006/relationships" r:id="rId2"/>
        </xdr:cNvPr>
        <xdr:cNvSpPr txBox="1"/>
      </xdr:nvSpPr>
      <xdr:spPr>
        <a:xfrm>
          <a:off x="1771650" y="47625"/>
          <a:ext cx="12382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4</xdr:col>
      <xdr:colOff>542925</xdr:colOff>
      <xdr:row>0</xdr:row>
      <xdr:rowOff>47625</xdr:rowOff>
    </xdr:from>
    <xdr:to>
      <xdr:col>4</xdr:col>
      <xdr:colOff>1847850</xdr:colOff>
      <xdr:row>1</xdr:row>
      <xdr:rowOff>104775</xdr:rowOff>
    </xdr:to>
    <xdr:sp macro="" textlink="">
      <xdr:nvSpPr>
        <xdr:cNvPr id="4" name="TextBox 3">
          <a:hlinkClick xmlns:r="http://schemas.openxmlformats.org/officeDocument/2006/relationships" r:id="rId3"/>
        </xdr:cNvPr>
        <xdr:cNvSpPr txBox="1"/>
      </xdr:nvSpPr>
      <xdr:spPr>
        <a:xfrm>
          <a:off x="4505325" y="47625"/>
          <a:ext cx="13049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3</xdr:col>
      <xdr:colOff>204788</xdr:colOff>
      <xdr:row>0</xdr:row>
      <xdr:rowOff>47625</xdr:rowOff>
    </xdr:from>
    <xdr:to>
      <xdr:col>4</xdr:col>
      <xdr:colOff>414338</xdr:colOff>
      <xdr:row>1</xdr:row>
      <xdr:rowOff>104775</xdr:rowOff>
    </xdr:to>
    <xdr:sp macro="" textlink="">
      <xdr:nvSpPr>
        <xdr:cNvPr id="6" name="TextBox 5">
          <a:hlinkClick xmlns:r="http://schemas.openxmlformats.org/officeDocument/2006/relationships" r:id="rId5"/>
        </xdr:cNvPr>
        <xdr:cNvSpPr txBox="1"/>
      </xdr:nvSpPr>
      <xdr:spPr>
        <a:xfrm>
          <a:off x="3138488" y="47625"/>
          <a:ext cx="12382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Impact Index</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881062" y="47625"/>
          <a:ext cx="6572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2</xdr:col>
      <xdr:colOff>85725</xdr:colOff>
      <xdr:row>0</xdr:row>
      <xdr:rowOff>47625</xdr:rowOff>
    </xdr:from>
    <xdr:to>
      <xdr:col>3</xdr:col>
      <xdr:colOff>295275</xdr:colOff>
      <xdr:row>1</xdr:row>
      <xdr:rowOff>104775</xdr:rowOff>
    </xdr:to>
    <xdr:sp macro="" textlink="">
      <xdr:nvSpPr>
        <xdr:cNvPr id="3" name="TextBox 2">
          <a:hlinkClick xmlns:r="http://schemas.openxmlformats.org/officeDocument/2006/relationships" r:id="rId2"/>
        </xdr:cNvPr>
        <xdr:cNvSpPr txBox="1"/>
      </xdr:nvSpPr>
      <xdr:spPr>
        <a:xfrm>
          <a:off x="1619250" y="47625"/>
          <a:ext cx="12001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4</xdr:col>
      <xdr:colOff>762000</xdr:colOff>
      <xdr:row>0</xdr:row>
      <xdr:rowOff>47625</xdr:rowOff>
    </xdr:from>
    <xdr:to>
      <xdr:col>5</xdr:col>
      <xdr:colOff>866775</xdr:colOff>
      <xdr:row>1</xdr:row>
      <xdr:rowOff>104775</xdr:rowOff>
    </xdr:to>
    <xdr:sp macro="" textlink="">
      <xdr:nvSpPr>
        <xdr:cNvPr id="4" name="TextBox 3">
          <a:hlinkClick xmlns:r="http://schemas.openxmlformats.org/officeDocument/2006/relationships" r:id="rId3"/>
        </xdr:cNvPr>
        <xdr:cNvSpPr txBox="1"/>
      </xdr:nvSpPr>
      <xdr:spPr>
        <a:xfrm>
          <a:off x="4667250" y="47625"/>
          <a:ext cx="101917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3</xdr:col>
      <xdr:colOff>423863</xdr:colOff>
      <xdr:row>0</xdr:row>
      <xdr:rowOff>47625</xdr:rowOff>
    </xdr:from>
    <xdr:to>
      <xdr:col>4</xdr:col>
      <xdr:colOff>633413</xdr:colOff>
      <xdr:row>1</xdr:row>
      <xdr:rowOff>104775</xdr:rowOff>
    </xdr:to>
    <xdr:sp macro="" textlink="">
      <xdr:nvSpPr>
        <xdr:cNvPr id="6" name="TextBox 5">
          <a:hlinkClick xmlns:r="http://schemas.openxmlformats.org/officeDocument/2006/relationships" r:id="rId5"/>
        </xdr:cNvPr>
        <xdr:cNvSpPr txBox="1"/>
      </xdr:nvSpPr>
      <xdr:spPr>
        <a:xfrm>
          <a:off x="2947988" y="47625"/>
          <a:ext cx="12001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Impact Index</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66675</xdr:rowOff>
    </xdr:from>
    <xdr:to>
      <xdr:col>0</xdr:col>
      <xdr:colOff>933450</xdr:colOff>
      <xdr:row>1</xdr:row>
      <xdr:rowOff>142875</xdr:rowOff>
    </xdr:to>
    <xdr:sp macro="" textlink="">
      <xdr:nvSpPr>
        <xdr:cNvPr id="3" name="TextBox 2">
          <a:hlinkClick xmlns:r="http://schemas.openxmlformats.org/officeDocument/2006/relationships" r:id="rId1"/>
        </xdr:cNvPr>
        <xdr:cNvSpPr txBox="1"/>
      </xdr:nvSpPr>
      <xdr:spPr>
        <a:xfrm>
          <a:off x="123825" y="66675"/>
          <a:ext cx="809625"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0</xdr:col>
      <xdr:colOff>1123950</xdr:colOff>
      <xdr:row>0</xdr:row>
      <xdr:rowOff>68199</xdr:rowOff>
    </xdr:from>
    <xdr:to>
      <xdr:col>1</xdr:col>
      <xdr:colOff>400050</xdr:colOff>
      <xdr:row>1</xdr:row>
      <xdr:rowOff>142875</xdr:rowOff>
    </xdr:to>
    <xdr:sp macro="" textlink="">
      <xdr:nvSpPr>
        <xdr:cNvPr id="4" name="TextBox 3">
          <a:hlinkClick xmlns:r="http://schemas.openxmlformats.org/officeDocument/2006/relationships" r:id="rId2"/>
        </xdr:cNvPr>
        <xdr:cNvSpPr txBox="1"/>
      </xdr:nvSpPr>
      <xdr:spPr>
        <a:xfrm>
          <a:off x="1123950" y="68199"/>
          <a:ext cx="933450" cy="265176"/>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Instructions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87153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2</xdr:col>
      <xdr:colOff>85725</xdr:colOff>
      <xdr:row>0</xdr:row>
      <xdr:rowOff>47625</xdr:rowOff>
    </xdr:from>
    <xdr:to>
      <xdr:col>3</xdr:col>
      <xdr:colOff>295275</xdr:colOff>
      <xdr:row>1</xdr:row>
      <xdr:rowOff>104775</xdr:rowOff>
    </xdr:to>
    <xdr:sp macro="" textlink="">
      <xdr:nvSpPr>
        <xdr:cNvPr id="3" name="TextBox 2">
          <a:hlinkClick xmlns:r="http://schemas.openxmlformats.org/officeDocument/2006/relationships" r:id="rId2"/>
        </xdr:cNvPr>
        <xdr:cNvSpPr txBox="1"/>
      </xdr:nvSpPr>
      <xdr:spPr>
        <a:xfrm>
          <a:off x="1704975" y="47625"/>
          <a:ext cx="12763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4</xdr:col>
      <xdr:colOff>762000</xdr:colOff>
      <xdr:row>0</xdr:row>
      <xdr:rowOff>47625</xdr:rowOff>
    </xdr:from>
    <xdr:to>
      <xdr:col>5</xdr:col>
      <xdr:colOff>561975</xdr:colOff>
      <xdr:row>1</xdr:row>
      <xdr:rowOff>104775</xdr:rowOff>
    </xdr:to>
    <xdr:sp macro="" textlink="">
      <xdr:nvSpPr>
        <xdr:cNvPr id="4" name="TextBox 3">
          <a:hlinkClick xmlns:r="http://schemas.openxmlformats.org/officeDocument/2006/relationships" r:id="rId3"/>
        </xdr:cNvPr>
        <xdr:cNvSpPr txBox="1"/>
      </xdr:nvSpPr>
      <xdr:spPr>
        <a:xfrm>
          <a:off x="4276725" y="47625"/>
          <a:ext cx="106680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3</xdr:col>
      <xdr:colOff>423863</xdr:colOff>
      <xdr:row>0</xdr:row>
      <xdr:rowOff>47625</xdr:rowOff>
    </xdr:from>
    <xdr:to>
      <xdr:col>4</xdr:col>
      <xdr:colOff>633413</xdr:colOff>
      <xdr:row>1</xdr:row>
      <xdr:rowOff>104775</xdr:rowOff>
    </xdr:to>
    <xdr:sp macro="" textlink="">
      <xdr:nvSpPr>
        <xdr:cNvPr id="6" name="TextBox 5">
          <a:hlinkClick xmlns:r="http://schemas.openxmlformats.org/officeDocument/2006/relationships" r:id="rId5"/>
        </xdr:cNvPr>
        <xdr:cNvSpPr txBox="1"/>
      </xdr:nvSpPr>
      <xdr:spPr>
        <a:xfrm>
          <a:off x="3109913" y="47625"/>
          <a:ext cx="12763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Impact Index</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87153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2</xdr:col>
      <xdr:colOff>85725</xdr:colOff>
      <xdr:row>0</xdr:row>
      <xdr:rowOff>47625</xdr:rowOff>
    </xdr:from>
    <xdr:to>
      <xdr:col>3</xdr:col>
      <xdr:colOff>295275</xdr:colOff>
      <xdr:row>1</xdr:row>
      <xdr:rowOff>104775</xdr:rowOff>
    </xdr:to>
    <xdr:sp macro="" textlink="">
      <xdr:nvSpPr>
        <xdr:cNvPr id="3" name="TextBox 2">
          <a:hlinkClick xmlns:r="http://schemas.openxmlformats.org/officeDocument/2006/relationships" r:id="rId2"/>
        </xdr:cNvPr>
        <xdr:cNvSpPr txBox="1"/>
      </xdr:nvSpPr>
      <xdr:spPr>
        <a:xfrm>
          <a:off x="1704975" y="47625"/>
          <a:ext cx="12763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4</xdr:col>
      <xdr:colOff>762000</xdr:colOff>
      <xdr:row>0</xdr:row>
      <xdr:rowOff>47625</xdr:rowOff>
    </xdr:from>
    <xdr:to>
      <xdr:col>5</xdr:col>
      <xdr:colOff>628650</xdr:colOff>
      <xdr:row>1</xdr:row>
      <xdr:rowOff>104775</xdr:rowOff>
    </xdr:to>
    <xdr:sp macro="" textlink="">
      <xdr:nvSpPr>
        <xdr:cNvPr id="4" name="TextBox 3">
          <a:hlinkClick xmlns:r="http://schemas.openxmlformats.org/officeDocument/2006/relationships" r:id="rId3"/>
        </xdr:cNvPr>
        <xdr:cNvSpPr txBox="1"/>
      </xdr:nvSpPr>
      <xdr:spPr>
        <a:xfrm>
          <a:off x="4562475" y="47625"/>
          <a:ext cx="9334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3</xdr:col>
      <xdr:colOff>423863</xdr:colOff>
      <xdr:row>0</xdr:row>
      <xdr:rowOff>47625</xdr:rowOff>
    </xdr:from>
    <xdr:to>
      <xdr:col>4</xdr:col>
      <xdr:colOff>633413</xdr:colOff>
      <xdr:row>1</xdr:row>
      <xdr:rowOff>104775</xdr:rowOff>
    </xdr:to>
    <xdr:sp macro="" textlink="">
      <xdr:nvSpPr>
        <xdr:cNvPr id="6" name="TextBox 5">
          <a:hlinkClick xmlns:r="http://schemas.openxmlformats.org/officeDocument/2006/relationships" r:id="rId5"/>
        </xdr:cNvPr>
        <xdr:cNvSpPr txBox="1"/>
      </xdr:nvSpPr>
      <xdr:spPr>
        <a:xfrm>
          <a:off x="3109913" y="47625"/>
          <a:ext cx="12763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Impact Index</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1357312"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2</xdr:col>
      <xdr:colOff>85725</xdr:colOff>
      <xdr:row>0</xdr:row>
      <xdr:rowOff>47625</xdr:rowOff>
    </xdr:from>
    <xdr:to>
      <xdr:col>3</xdr:col>
      <xdr:colOff>295275</xdr:colOff>
      <xdr:row>1</xdr:row>
      <xdr:rowOff>104775</xdr:rowOff>
    </xdr:to>
    <xdr:sp macro="" textlink="">
      <xdr:nvSpPr>
        <xdr:cNvPr id="3" name="TextBox 2">
          <a:hlinkClick xmlns:r="http://schemas.openxmlformats.org/officeDocument/2006/relationships" r:id="rId2"/>
        </xdr:cNvPr>
        <xdr:cNvSpPr txBox="1"/>
      </xdr:nvSpPr>
      <xdr:spPr>
        <a:xfrm>
          <a:off x="2190750" y="47625"/>
          <a:ext cx="12763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4</xdr:col>
      <xdr:colOff>762000</xdr:colOff>
      <xdr:row>0</xdr:row>
      <xdr:rowOff>47625</xdr:rowOff>
    </xdr:from>
    <xdr:to>
      <xdr:col>4</xdr:col>
      <xdr:colOff>1695450</xdr:colOff>
      <xdr:row>1</xdr:row>
      <xdr:rowOff>104775</xdr:rowOff>
    </xdr:to>
    <xdr:sp macro="" textlink="">
      <xdr:nvSpPr>
        <xdr:cNvPr id="4" name="TextBox 3">
          <a:hlinkClick xmlns:r="http://schemas.openxmlformats.org/officeDocument/2006/relationships" r:id="rId3"/>
        </xdr:cNvPr>
        <xdr:cNvSpPr txBox="1"/>
      </xdr:nvSpPr>
      <xdr:spPr>
        <a:xfrm>
          <a:off x="5000625" y="47625"/>
          <a:ext cx="9334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3</xdr:col>
      <xdr:colOff>423863</xdr:colOff>
      <xdr:row>0</xdr:row>
      <xdr:rowOff>47625</xdr:rowOff>
    </xdr:from>
    <xdr:to>
      <xdr:col>4</xdr:col>
      <xdr:colOff>633413</xdr:colOff>
      <xdr:row>1</xdr:row>
      <xdr:rowOff>104775</xdr:rowOff>
    </xdr:to>
    <xdr:sp macro="" textlink="">
      <xdr:nvSpPr>
        <xdr:cNvPr id="6" name="TextBox 5">
          <a:hlinkClick xmlns:r="http://schemas.openxmlformats.org/officeDocument/2006/relationships" r:id="rId5"/>
        </xdr:cNvPr>
        <xdr:cNvSpPr txBox="1"/>
      </xdr:nvSpPr>
      <xdr:spPr>
        <a:xfrm>
          <a:off x="3595688" y="47625"/>
          <a:ext cx="12763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Impact Index</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87153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865187</xdr:colOff>
      <xdr:row>0</xdr:row>
      <xdr:rowOff>47625</xdr:rowOff>
    </xdr:from>
    <xdr:to>
      <xdr:col>3</xdr:col>
      <xdr:colOff>46037</xdr:colOff>
      <xdr:row>1</xdr:row>
      <xdr:rowOff>104775</xdr:rowOff>
    </xdr:to>
    <xdr:sp macro="" textlink="">
      <xdr:nvSpPr>
        <xdr:cNvPr id="3" name="TextBox 2">
          <a:hlinkClick xmlns:r="http://schemas.openxmlformats.org/officeDocument/2006/relationships" r:id="rId2"/>
        </xdr:cNvPr>
        <xdr:cNvSpPr txBox="1"/>
      </xdr:nvSpPr>
      <xdr:spPr>
        <a:xfrm>
          <a:off x="2151062" y="47625"/>
          <a:ext cx="15430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3"/>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3</xdr:col>
      <xdr:colOff>173037</xdr:colOff>
      <xdr:row>0</xdr:row>
      <xdr:rowOff>47625</xdr:rowOff>
    </xdr:from>
    <xdr:to>
      <xdr:col>4</xdr:col>
      <xdr:colOff>382587</xdr:colOff>
      <xdr:row>1</xdr:row>
      <xdr:rowOff>104775</xdr:rowOff>
    </xdr:to>
    <xdr:sp macro="" textlink="">
      <xdr:nvSpPr>
        <xdr:cNvPr id="6" name="TextBox 5">
          <a:hlinkClick xmlns:r="http://schemas.openxmlformats.org/officeDocument/2006/relationships" r:id="rId4"/>
        </xdr:cNvPr>
        <xdr:cNvSpPr txBox="1"/>
      </xdr:nvSpPr>
      <xdr:spPr>
        <a:xfrm>
          <a:off x="3821112" y="47625"/>
          <a:ext cx="11525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Impact Index</a:t>
          </a:r>
        </a:p>
      </xdr:txBody>
    </xdr:sp>
    <xdr:clientData/>
  </xdr:twoCellAnchor>
  <xdr:twoCellAnchor>
    <xdr:from>
      <xdr:col>4</xdr:col>
      <xdr:colOff>509588</xdr:colOff>
      <xdr:row>0</xdr:row>
      <xdr:rowOff>47625</xdr:rowOff>
    </xdr:from>
    <xdr:to>
      <xdr:col>6</xdr:col>
      <xdr:colOff>471488</xdr:colOff>
      <xdr:row>1</xdr:row>
      <xdr:rowOff>104775</xdr:rowOff>
    </xdr:to>
    <xdr:sp macro="" textlink="">
      <xdr:nvSpPr>
        <xdr:cNvPr id="7" name="TextBox 6">
          <a:hlinkClick xmlns:r="http://schemas.openxmlformats.org/officeDocument/2006/relationships" r:id="rId5"/>
        </xdr:cNvPr>
        <xdr:cNvSpPr txBox="1"/>
      </xdr:nvSpPr>
      <xdr:spPr>
        <a:xfrm>
          <a:off x="5100638" y="47625"/>
          <a:ext cx="11525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1319212"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865187</xdr:colOff>
      <xdr:row>0</xdr:row>
      <xdr:rowOff>47625</xdr:rowOff>
    </xdr:from>
    <xdr:to>
      <xdr:col>3</xdr:col>
      <xdr:colOff>46037</xdr:colOff>
      <xdr:row>1</xdr:row>
      <xdr:rowOff>104775</xdr:rowOff>
    </xdr:to>
    <xdr:sp macro="" textlink="">
      <xdr:nvSpPr>
        <xdr:cNvPr id="3" name="TextBox 2">
          <a:hlinkClick xmlns:r="http://schemas.openxmlformats.org/officeDocument/2006/relationships" r:id="rId2"/>
        </xdr:cNvPr>
        <xdr:cNvSpPr txBox="1"/>
      </xdr:nvSpPr>
      <xdr:spPr>
        <a:xfrm>
          <a:off x="2151062" y="47625"/>
          <a:ext cx="15430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4" name="TextBox 3">
          <a:hlinkClick xmlns:r="http://schemas.openxmlformats.org/officeDocument/2006/relationships" r:id="rId3"/>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3</xdr:col>
      <xdr:colOff>173037</xdr:colOff>
      <xdr:row>0</xdr:row>
      <xdr:rowOff>47625</xdr:rowOff>
    </xdr:from>
    <xdr:to>
      <xdr:col>4</xdr:col>
      <xdr:colOff>382587</xdr:colOff>
      <xdr:row>1</xdr:row>
      <xdr:rowOff>104775</xdr:rowOff>
    </xdr:to>
    <xdr:sp macro="" textlink="">
      <xdr:nvSpPr>
        <xdr:cNvPr id="5" name="TextBox 4">
          <a:hlinkClick xmlns:r="http://schemas.openxmlformats.org/officeDocument/2006/relationships" r:id="rId4"/>
        </xdr:cNvPr>
        <xdr:cNvSpPr txBox="1"/>
      </xdr:nvSpPr>
      <xdr:spPr>
        <a:xfrm>
          <a:off x="3821112" y="47625"/>
          <a:ext cx="11525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Impact Index</a:t>
          </a:r>
        </a:p>
      </xdr:txBody>
    </xdr:sp>
    <xdr:clientData/>
  </xdr:twoCellAnchor>
  <xdr:twoCellAnchor>
    <xdr:from>
      <xdr:col>4</xdr:col>
      <xdr:colOff>509589</xdr:colOff>
      <xdr:row>0</xdr:row>
      <xdr:rowOff>47625</xdr:rowOff>
    </xdr:from>
    <xdr:to>
      <xdr:col>6</xdr:col>
      <xdr:colOff>104776</xdr:colOff>
      <xdr:row>1</xdr:row>
      <xdr:rowOff>104775</xdr:rowOff>
    </xdr:to>
    <xdr:sp macro="" textlink="">
      <xdr:nvSpPr>
        <xdr:cNvPr id="6" name="TextBox 5">
          <a:hlinkClick xmlns:r="http://schemas.openxmlformats.org/officeDocument/2006/relationships" r:id="rId5"/>
        </xdr:cNvPr>
        <xdr:cNvSpPr txBox="1"/>
      </xdr:nvSpPr>
      <xdr:spPr>
        <a:xfrm>
          <a:off x="4271964" y="47625"/>
          <a:ext cx="1128712"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3586366</xdr:colOff>
      <xdr:row>0</xdr:row>
      <xdr:rowOff>47625</xdr:rowOff>
    </xdr:from>
    <xdr:to>
      <xdr:col>3</xdr:col>
      <xdr:colOff>1255105</xdr:colOff>
      <xdr:row>1</xdr:row>
      <xdr:rowOff>104775</xdr:rowOff>
    </xdr:to>
    <xdr:sp macro="" textlink="">
      <xdr:nvSpPr>
        <xdr:cNvPr id="3" name="TextBox 2">
          <a:hlinkClick xmlns:r="http://schemas.openxmlformats.org/officeDocument/2006/relationships" r:id="rId1"/>
        </xdr:cNvPr>
        <xdr:cNvSpPr txBox="1"/>
      </xdr:nvSpPr>
      <xdr:spPr>
        <a:xfrm>
          <a:off x="6129541" y="47625"/>
          <a:ext cx="1326339"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2"/>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1</xdr:col>
      <xdr:colOff>949551</xdr:colOff>
      <xdr:row>0</xdr:row>
      <xdr:rowOff>47625</xdr:rowOff>
    </xdr:from>
    <xdr:to>
      <xdr:col>2</xdr:col>
      <xdr:colOff>286611</xdr:colOff>
      <xdr:row>1</xdr:row>
      <xdr:rowOff>104775</xdr:rowOff>
    </xdr:to>
    <xdr:sp macro="" textlink="">
      <xdr:nvSpPr>
        <xdr:cNvPr id="6" name="TextBox 5">
          <a:hlinkClick xmlns:r="http://schemas.openxmlformats.org/officeDocument/2006/relationships" r:id="rId3"/>
        </xdr:cNvPr>
        <xdr:cNvSpPr txBox="1"/>
      </xdr:nvSpPr>
      <xdr:spPr>
        <a:xfrm>
          <a:off x="1835376" y="47625"/>
          <a:ext cx="99441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a:t>
          </a:r>
          <a:r>
            <a:rPr lang="en-US" sz="1100" baseline="0"/>
            <a:t> Sources</a:t>
          </a:r>
          <a:endParaRPr lang="en-US" sz="1100"/>
        </a:p>
      </xdr:txBody>
    </xdr:sp>
    <xdr:clientData/>
  </xdr:twoCellAnchor>
  <xdr:twoCellAnchor>
    <xdr:from>
      <xdr:col>2</xdr:col>
      <xdr:colOff>1867006</xdr:colOff>
      <xdr:row>0</xdr:row>
      <xdr:rowOff>47625</xdr:rowOff>
    </xdr:from>
    <xdr:to>
      <xdr:col>2</xdr:col>
      <xdr:colOff>3455965</xdr:colOff>
      <xdr:row>1</xdr:row>
      <xdr:rowOff>104775</xdr:rowOff>
    </xdr:to>
    <xdr:sp macro="" textlink="">
      <xdr:nvSpPr>
        <xdr:cNvPr id="7" name="TextBox 6">
          <a:hlinkClick xmlns:r="http://schemas.openxmlformats.org/officeDocument/2006/relationships" r:id="rId4"/>
        </xdr:cNvPr>
        <xdr:cNvSpPr txBox="1"/>
      </xdr:nvSpPr>
      <xdr:spPr>
        <a:xfrm>
          <a:off x="4410181" y="47625"/>
          <a:ext cx="1588959"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Planning and Mitigation</a:t>
          </a:r>
        </a:p>
      </xdr:txBody>
    </xdr:sp>
    <xdr:clientData/>
  </xdr:twoCellAnchor>
  <xdr:twoCellAnchor>
    <xdr:from>
      <xdr:col>2</xdr:col>
      <xdr:colOff>417012</xdr:colOff>
      <xdr:row>0</xdr:row>
      <xdr:rowOff>47625</xdr:rowOff>
    </xdr:from>
    <xdr:to>
      <xdr:col>2</xdr:col>
      <xdr:colOff>1736605</xdr:colOff>
      <xdr:row>1</xdr:row>
      <xdr:rowOff>104775</xdr:rowOff>
    </xdr:to>
    <xdr:sp macro="" textlink="">
      <xdr:nvSpPr>
        <xdr:cNvPr id="8" name="TextBox 7">
          <a:hlinkClick xmlns:r="http://schemas.openxmlformats.org/officeDocument/2006/relationships" r:id="rId5"/>
        </xdr:cNvPr>
        <xdr:cNvSpPr txBox="1"/>
      </xdr:nvSpPr>
      <xdr:spPr>
        <a:xfrm>
          <a:off x="2960187" y="47625"/>
          <a:ext cx="1319593"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Nonoint</a:t>
          </a:r>
          <a:r>
            <a:rPr lang="en-US" sz="1100" baseline="0"/>
            <a:t> Sources</a:t>
          </a:r>
          <a:endParaRPr lang="en-US" sz="1100"/>
        </a:p>
      </xdr:txBody>
    </xdr:sp>
    <xdr:clientData/>
  </xdr:twoCellAnchor>
  <xdr:twoCellAnchor>
    <xdr:from>
      <xdr:col>3</xdr:col>
      <xdr:colOff>1385507</xdr:colOff>
      <xdr:row>0</xdr:row>
      <xdr:rowOff>47625</xdr:rowOff>
    </xdr:from>
    <xdr:to>
      <xdr:col>3</xdr:col>
      <xdr:colOff>2438401</xdr:colOff>
      <xdr:row>1</xdr:row>
      <xdr:rowOff>104775</xdr:rowOff>
    </xdr:to>
    <xdr:sp macro="" textlink="">
      <xdr:nvSpPr>
        <xdr:cNvPr id="9" name="TextBox 8">
          <a:hlinkClick xmlns:r="http://schemas.openxmlformats.org/officeDocument/2006/relationships" r:id="rId6"/>
        </xdr:cNvPr>
        <xdr:cNvSpPr txBox="1"/>
      </xdr:nvSpPr>
      <xdr:spPr>
        <a:xfrm>
          <a:off x="7586282" y="47625"/>
          <a:ext cx="1052894"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1</xdr:col>
      <xdr:colOff>71057</xdr:colOff>
      <xdr:row>0</xdr:row>
      <xdr:rowOff>47625</xdr:rowOff>
    </xdr:from>
    <xdr:to>
      <xdr:col>1</xdr:col>
      <xdr:colOff>819150</xdr:colOff>
      <xdr:row>1</xdr:row>
      <xdr:rowOff>104775</xdr:rowOff>
    </xdr:to>
    <xdr:sp macro="" textlink="">
      <xdr:nvSpPr>
        <xdr:cNvPr id="10" name="TextBox 9">
          <a:hlinkClick xmlns:r="http://schemas.openxmlformats.org/officeDocument/2006/relationships" r:id="rId7"/>
        </xdr:cNvPr>
        <xdr:cNvSpPr txBox="1"/>
      </xdr:nvSpPr>
      <xdr:spPr>
        <a:xfrm>
          <a:off x="956882" y="47625"/>
          <a:ext cx="748093"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902970</xdr:colOff>
      <xdr:row>0</xdr:row>
      <xdr:rowOff>47625</xdr:rowOff>
    </xdr:from>
    <xdr:to>
      <xdr:col>0</xdr:col>
      <xdr:colOff>1607820</xdr:colOff>
      <xdr:row>1</xdr:row>
      <xdr:rowOff>104775</xdr:rowOff>
    </xdr:to>
    <xdr:sp macro="" textlink="">
      <xdr:nvSpPr>
        <xdr:cNvPr id="2" name="TextBox 1">
          <a:hlinkClick xmlns:r="http://schemas.openxmlformats.org/officeDocument/2006/relationships" r:id="rId1"/>
        </xdr:cNvPr>
        <xdr:cNvSpPr txBox="1"/>
      </xdr:nvSpPr>
      <xdr:spPr>
        <a:xfrm>
          <a:off x="902970"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4565715</xdr:colOff>
      <xdr:row>0</xdr:row>
      <xdr:rowOff>47625</xdr:rowOff>
    </xdr:from>
    <xdr:to>
      <xdr:col>1</xdr:col>
      <xdr:colOff>5803965</xdr:colOff>
      <xdr:row>1</xdr:row>
      <xdr:rowOff>104775</xdr:rowOff>
    </xdr:to>
    <xdr:sp macro="" textlink="">
      <xdr:nvSpPr>
        <xdr:cNvPr id="3" name="TextBox 2">
          <a:hlinkClick xmlns:r="http://schemas.openxmlformats.org/officeDocument/2006/relationships" r:id="rId2"/>
        </xdr:cNvPr>
        <xdr:cNvSpPr txBox="1"/>
      </xdr:nvSpPr>
      <xdr:spPr>
        <a:xfrm>
          <a:off x="6213540" y="47625"/>
          <a:ext cx="12382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1</xdr:col>
      <xdr:colOff>1252729</xdr:colOff>
      <xdr:row>0</xdr:row>
      <xdr:rowOff>47625</xdr:rowOff>
    </xdr:from>
    <xdr:to>
      <xdr:col>1</xdr:col>
      <xdr:colOff>2519554</xdr:colOff>
      <xdr:row>1</xdr:row>
      <xdr:rowOff>104775</xdr:rowOff>
    </xdr:to>
    <xdr:sp macro="" textlink="">
      <xdr:nvSpPr>
        <xdr:cNvPr id="4" name="TextBox 3">
          <a:hlinkClick xmlns:r="http://schemas.openxmlformats.org/officeDocument/2006/relationships" r:id="rId3"/>
        </xdr:cNvPr>
        <xdr:cNvSpPr txBox="1"/>
      </xdr:nvSpPr>
      <xdr:spPr>
        <a:xfrm>
          <a:off x="2900554" y="47625"/>
          <a:ext cx="12668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Nonpoint Source</a:t>
          </a:r>
          <a:r>
            <a:rPr lang="en-US" sz="1100" baseline="0"/>
            <a:t>s</a:t>
          </a:r>
          <a:endParaRPr lang="en-US" sz="1100"/>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1</xdr:col>
      <xdr:colOff>109157</xdr:colOff>
      <xdr:row>0</xdr:row>
      <xdr:rowOff>47625</xdr:rowOff>
    </xdr:from>
    <xdr:to>
      <xdr:col>1</xdr:col>
      <xdr:colOff>1103567</xdr:colOff>
      <xdr:row>1</xdr:row>
      <xdr:rowOff>104775</xdr:rowOff>
    </xdr:to>
    <xdr:sp macro="" textlink="">
      <xdr:nvSpPr>
        <xdr:cNvPr id="6" name="TextBox 5">
          <a:hlinkClick xmlns:r="http://schemas.openxmlformats.org/officeDocument/2006/relationships" r:id="rId5"/>
        </xdr:cNvPr>
        <xdr:cNvSpPr txBox="1"/>
      </xdr:nvSpPr>
      <xdr:spPr>
        <a:xfrm>
          <a:off x="1756982" y="47625"/>
          <a:ext cx="99441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a:t>
          </a:r>
          <a:r>
            <a:rPr lang="en-US" sz="1100" baseline="0"/>
            <a:t> Sources</a:t>
          </a:r>
          <a:endParaRPr lang="en-US" sz="1100"/>
        </a:p>
      </xdr:txBody>
    </xdr:sp>
    <xdr:clientData/>
  </xdr:twoCellAnchor>
  <xdr:twoCellAnchor>
    <xdr:from>
      <xdr:col>1</xdr:col>
      <xdr:colOff>2668716</xdr:colOff>
      <xdr:row>0</xdr:row>
      <xdr:rowOff>47625</xdr:rowOff>
    </xdr:from>
    <xdr:to>
      <xdr:col>1</xdr:col>
      <xdr:colOff>4416553</xdr:colOff>
      <xdr:row>1</xdr:row>
      <xdr:rowOff>104775</xdr:rowOff>
    </xdr:to>
    <xdr:sp macro="" textlink="">
      <xdr:nvSpPr>
        <xdr:cNvPr id="7" name="TextBox 6">
          <a:hlinkClick xmlns:r="http://schemas.openxmlformats.org/officeDocument/2006/relationships" r:id="rId6"/>
        </xdr:cNvPr>
        <xdr:cNvSpPr txBox="1"/>
      </xdr:nvSpPr>
      <xdr:spPr>
        <a:xfrm>
          <a:off x="4316541" y="47625"/>
          <a:ext cx="1747837"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Planning and Mitigation</a:t>
          </a:r>
        </a:p>
      </xdr:txBody>
    </xdr:sp>
    <xdr:clientData/>
  </xdr:twoCellAnchor>
  <xdr:twoCellAnchor>
    <xdr:from>
      <xdr:col>1</xdr:col>
      <xdr:colOff>5962650</xdr:colOff>
      <xdr:row>0</xdr:row>
      <xdr:rowOff>47625</xdr:rowOff>
    </xdr:from>
    <xdr:to>
      <xdr:col>1</xdr:col>
      <xdr:colOff>7015544</xdr:colOff>
      <xdr:row>1</xdr:row>
      <xdr:rowOff>104775</xdr:rowOff>
    </xdr:to>
    <xdr:sp macro="" textlink="">
      <xdr:nvSpPr>
        <xdr:cNvPr id="9" name="TextBox 8">
          <a:hlinkClick xmlns:r="http://schemas.openxmlformats.org/officeDocument/2006/relationships" r:id="rId7"/>
        </xdr:cNvPr>
        <xdr:cNvSpPr txBox="1"/>
      </xdr:nvSpPr>
      <xdr:spPr>
        <a:xfrm>
          <a:off x="7610475" y="47625"/>
          <a:ext cx="1052894"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902970</xdr:colOff>
      <xdr:row>0</xdr:row>
      <xdr:rowOff>47625</xdr:rowOff>
    </xdr:from>
    <xdr:to>
      <xdr:col>0</xdr:col>
      <xdr:colOff>1607820</xdr:colOff>
      <xdr:row>1</xdr:row>
      <xdr:rowOff>104775</xdr:rowOff>
    </xdr:to>
    <xdr:sp macro="" textlink="">
      <xdr:nvSpPr>
        <xdr:cNvPr id="2" name="TextBox 1">
          <a:hlinkClick xmlns:r="http://schemas.openxmlformats.org/officeDocument/2006/relationships" r:id="rId1"/>
        </xdr:cNvPr>
        <xdr:cNvSpPr txBox="1"/>
      </xdr:nvSpPr>
      <xdr:spPr>
        <a:xfrm>
          <a:off x="902970"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3581400</xdr:colOff>
      <xdr:row>0</xdr:row>
      <xdr:rowOff>47625</xdr:rowOff>
    </xdr:from>
    <xdr:to>
      <xdr:col>1</xdr:col>
      <xdr:colOff>4819650</xdr:colOff>
      <xdr:row>1</xdr:row>
      <xdr:rowOff>104775</xdr:rowOff>
    </xdr:to>
    <xdr:sp macro="" textlink="">
      <xdr:nvSpPr>
        <xdr:cNvPr id="3" name="TextBox 2">
          <a:hlinkClick xmlns:r="http://schemas.openxmlformats.org/officeDocument/2006/relationships" r:id="rId2"/>
        </xdr:cNvPr>
        <xdr:cNvSpPr txBox="1"/>
      </xdr:nvSpPr>
      <xdr:spPr>
        <a:xfrm>
          <a:off x="6257925" y="47625"/>
          <a:ext cx="12382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1</xdr:col>
      <xdr:colOff>265747</xdr:colOff>
      <xdr:row>0</xdr:row>
      <xdr:rowOff>47625</xdr:rowOff>
    </xdr:from>
    <xdr:to>
      <xdr:col>1</xdr:col>
      <xdr:colOff>1532572</xdr:colOff>
      <xdr:row>1</xdr:row>
      <xdr:rowOff>104775</xdr:rowOff>
    </xdr:to>
    <xdr:sp macro="" textlink="">
      <xdr:nvSpPr>
        <xdr:cNvPr id="4" name="TextBox 3">
          <a:hlinkClick xmlns:r="http://schemas.openxmlformats.org/officeDocument/2006/relationships" r:id="rId3"/>
        </xdr:cNvPr>
        <xdr:cNvSpPr txBox="1"/>
      </xdr:nvSpPr>
      <xdr:spPr>
        <a:xfrm>
          <a:off x="2942272" y="47625"/>
          <a:ext cx="12668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Nonpoint Source</a:t>
          </a:r>
          <a:r>
            <a:rPr lang="en-US" sz="1100" baseline="0"/>
            <a:t>s</a:t>
          </a:r>
          <a:endParaRPr lang="en-US" sz="1100"/>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0</xdr:col>
      <xdr:colOff>1758315</xdr:colOff>
      <xdr:row>0</xdr:row>
      <xdr:rowOff>47625</xdr:rowOff>
    </xdr:from>
    <xdr:to>
      <xdr:col>1</xdr:col>
      <xdr:colOff>115252</xdr:colOff>
      <xdr:row>1</xdr:row>
      <xdr:rowOff>104775</xdr:rowOff>
    </xdr:to>
    <xdr:sp macro="" textlink="">
      <xdr:nvSpPr>
        <xdr:cNvPr id="6" name="TextBox 5">
          <a:hlinkClick xmlns:r="http://schemas.openxmlformats.org/officeDocument/2006/relationships" r:id="rId5"/>
        </xdr:cNvPr>
        <xdr:cNvSpPr txBox="1"/>
      </xdr:nvSpPr>
      <xdr:spPr>
        <a:xfrm>
          <a:off x="1758315" y="47625"/>
          <a:ext cx="1033462"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a:t>
          </a:r>
          <a:r>
            <a:rPr lang="en-US" sz="1100" baseline="0"/>
            <a:t> Sources</a:t>
          </a:r>
          <a:endParaRPr lang="en-US" sz="1100"/>
        </a:p>
      </xdr:txBody>
    </xdr:sp>
    <xdr:clientData/>
  </xdr:twoCellAnchor>
  <xdr:twoCellAnchor>
    <xdr:from>
      <xdr:col>1</xdr:col>
      <xdr:colOff>1683067</xdr:colOff>
      <xdr:row>0</xdr:row>
      <xdr:rowOff>47625</xdr:rowOff>
    </xdr:from>
    <xdr:to>
      <xdr:col>1</xdr:col>
      <xdr:colOff>3430904</xdr:colOff>
      <xdr:row>1</xdr:row>
      <xdr:rowOff>104775</xdr:rowOff>
    </xdr:to>
    <xdr:sp macro="" textlink="">
      <xdr:nvSpPr>
        <xdr:cNvPr id="7" name="TextBox 6">
          <a:hlinkClick xmlns:r="http://schemas.openxmlformats.org/officeDocument/2006/relationships" r:id="rId6"/>
        </xdr:cNvPr>
        <xdr:cNvSpPr txBox="1"/>
      </xdr:nvSpPr>
      <xdr:spPr>
        <a:xfrm>
          <a:off x="4359592" y="47625"/>
          <a:ext cx="1747837"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Planning and Mitigation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66675</xdr:colOff>
      <xdr:row>0</xdr:row>
      <xdr:rowOff>47625</xdr:rowOff>
    </xdr:from>
    <xdr:to>
      <xdr:col>1</xdr:col>
      <xdr:colOff>771525</xdr:colOff>
      <xdr:row>1</xdr:row>
      <xdr:rowOff>104775</xdr:rowOff>
    </xdr:to>
    <xdr:sp macro="" textlink="">
      <xdr:nvSpPr>
        <xdr:cNvPr id="2" name="TextBox 1">
          <a:hlinkClick xmlns:r="http://schemas.openxmlformats.org/officeDocument/2006/relationships" r:id="rId1"/>
        </xdr:cNvPr>
        <xdr:cNvSpPr txBox="1"/>
      </xdr:nvSpPr>
      <xdr:spPr>
        <a:xfrm>
          <a:off x="904875"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7</xdr:col>
      <xdr:colOff>9525</xdr:colOff>
      <xdr:row>0</xdr:row>
      <xdr:rowOff>47625</xdr:rowOff>
    </xdr:from>
    <xdr:to>
      <xdr:col>9</xdr:col>
      <xdr:colOff>28575</xdr:colOff>
      <xdr:row>1</xdr:row>
      <xdr:rowOff>104775</xdr:rowOff>
    </xdr:to>
    <xdr:sp macro="" textlink="">
      <xdr:nvSpPr>
        <xdr:cNvPr id="3" name="TextBox 2">
          <a:hlinkClick xmlns:r="http://schemas.openxmlformats.org/officeDocument/2006/relationships" r:id="rId2"/>
        </xdr:cNvPr>
        <xdr:cNvSpPr txBox="1"/>
      </xdr:nvSpPr>
      <xdr:spPr>
        <a:xfrm>
          <a:off x="6286500" y="47625"/>
          <a:ext cx="12382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3</xdr:col>
      <xdr:colOff>242887</xdr:colOff>
      <xdr:row>0</xdr:row>
      <xdr:rowOff>47625</xdr:rowOff>
    </xdr:from>
    <xdr:to>
      <xdr:col>5</xdr:col>
      <xdr:colOff>157162</xdr:colOff>
      <xdr:row>1</xdr:row>
      <xdr:rowOff>104775</xdr:rowOff>
    </xdr:to>
    <xdr:sp macro="" textlink="">
      <xdr:nvSpPr>
        <xdr:cNvPr id="4" name="TextBox 3">
          <a:hlinkClick xmlns:r="http://schemas.openxmlformats.org/officeDocument/2006/relationships" r:id="rId3"/>
        </xdr:cNvPr>
        <xdr:cNvSpPr txBox="1"/>
      </xdr:nvSpPr>
      <xdr:spPr>
        <a:xfrm>
          <a:off x="2967037" y="47625"/>
          <a:ext cx="12668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Nonpoint Source</a:t>
          </a:r>
          <a:r>
            <a:rPr lang="en-US" sz="1100" baseline="0"/>
            <a:t>s</a:t>
          </a:r>
          <a:endParaRPr lang="en-US" sz="1100"/>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1</xdr:col>
      <xdr:colOff>923925</xdr:colOff>
      <xdr:row>0</xdr:row>
      <xdr:rowOff>47625</xdr:rowOff>
    </xdr:from>
    <xdr:to>
      <xdr:col>3</xdr:col>
      <xdr:colOff>90487</xdr:colOff>
      <xdr:row>1</xdr:row>
      <xdr:rowOff>104775</xdr:rowOff>
    </xdr:to>
    <xdr:sp macro="" textlink="">
      <xdr:nvSpPr>
        <xdr:cNvPr id="6" name="TextBox 5">
          <a:hlinkClick xmlns:r="http://schemas.openxmlformats.org/officeDocument/2006/relationships" r:id="rId5"/>
        </xdr:cNvPr>
        <xdr:cNvSpPr txBox="1"/>
      </xdr:nvSpPr>
      <xdr:spPr>
        <a:xfrm>
          <a:off x="1762125" y="47625"/>
          <a:ext cx="1052512"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a:t>
          </a:r>
          <a:r>
            <a:rPr lang="en-US" sz="1100" baseline="0"/>
            <a:t> Sources</a:t>
          </a:r>
          <a:endParaRPr lang="en-US" sz="1100"/>
        </a:p>
      </xdr:txBody>
    </xdr:sp>
    <xdr:clientData/>
  </xdr:twoCellAnchor>
  <xdr:twoCellAnchor>
    <xdr:from>
      <xdr:col>5</xdr:col>
      <xdr:colOff>309562</xdr:colOff>
      <xdr:row>0</xdr:row>
      <xdr:rowOff>47625</xdr:rowOff>
    </xdr:from>
    <xdr:to>
      <xdr:col>6</xdr:col>
      <xdr:colOff>466724</xdr:colOff>
      <xdr:row>1</xdr:row>
      <xdr:rowOff>104775</xdr:rowOff>
    </xdr:to>
    <xdr:sp macro="" textlink="">
      <xdr:nvSpPr>
        <xdr:cNvPr id="7" name="TextBox 6">
          <a:hlinkClick xmlns:r="http://schemas.openxmlformats.org/officeDocument/2006/relationships" r:id="rId6"/>
        </xdr:cNvPr>
        <xdr:cNvSpPr txBox="1"/>
      </xdr:nvSpPr>
      <xdr:spPr>
        <a:xfrm>
          <a:off x="4386262" y="47625"/>
          <a:ext cx="1747837"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Planning and Mitigation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152400</xdr:colOff>
      <xdr:row>0</xdr:row>
      <xdr:rowOff>47625</xdr:rowOff>
    </xdr:from>
    <xdr:to>
      <xdr:col>2</xdr:col>
      <xdr:colOff>133350</xdr:colOff>
      <xdr:row>1</xdr:row>
      <xdr:rowOff>104775</xdr:rowOff>
    </xdr:to>
    <xdr:sp macro="" textlink="">
      <xdr:nvSpPr>
        <xdr:cNvPr id="2" name="TextBox 1">
          <a:hlinkClick xmlns:r="http://schemas.openxmlformats.org/officeDocument/2006/relationships" r:id="rId1"/>
        </xdr:cNvPr>
        <xdr:cNvSpPr txBox="1"/>
      </xdr:nvSpPr>
      <xdr:spPr>
        <a:xfrm>
          <a:off x="857250" y="47625"/>
          <a:ext cx="7715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7</xdr:col>
      <xdr:colOff>266700</xdr:colOff>
      <xdr:row>0</xdr:row>
      <xdr:rowOff>47625</xdr:rowOff>
    </xdr:from>
    <xdr:to>
      <xdr:col>9</xdr:col>
      <xdr:colOff>285750</xdr:colOff>
      <xdr:row>1</xdr:row>
      <xdr:rowOff>104775</xdr:rowOff>
    </xdr:to>
    <xdr:sp macro="" textlink="">
      <xdr:nvSpPr>
        <xdr:cNvPr id="3" name="TextBox 2">
          <a:hlinkClick xmlns:r="http://schemas.openxmlformats.org/officeDocument/2006/relationships" r:id="rId2"/>
        </xdr:cNvPr>
        <xdr:cNvSpPr txBox="1"/>
      </xdr:nvSpPr>
      <xdr:spPr>
        <a:xfrm>
          <a:off x="6343650" y="47625"/>
          <a:ext cx="12382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Economic Impact</a:t>
          </a:r>
        </a:p>
      </xdr:txBody>
    </xdr:sp>
    <xdr:clientData/>
  </xdr:twoCellAnchor>
  <xdr:twoCellAnchor>
    <xdr:from>
      <xdr:col>3</xdr:col>
      <xdr:colOff>590550</xdr:colOff>
      <xdr:row>0</xdr:row>
      <xdr:rowOff>47625</xdr:rowOff>
    </xdr:from>
    <xdr:to>
      <xdr:col>5</xdr:col>
      <xdr:colOff>377969</xdr:colOff>
      <xdr:row>1</xdr:row>
      <xdr:rowOff>104775</xdr:rowOff>
    </xdr:to>
    <xdr:sp macro="" textlink="">
      <xdr:nvSpPr>
        <xdr:cNvPr id="4" name="TextBox 3">
          <a:hlinkClick xmlns:r="http://schemas.openxmlformats.org/officeDocument/2006/relationships" r:id="rId3"/>
        </xdr:cNvPr>
        <xdr:cNvSpPr txBox="1"/>
      </xdr:nvSpPr>
      <xdr:spPr>
        <a:xfrm>
          <a:off x="2876550" y="47625"/>
          <a:ext cx="1206644"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Nonpoint Source</a:t>
          </a:r>
          <a:r>
            <a:rPr lang="en-US" sz="1100" baseline="0"/>
            <a:t>s</a:t>
          </a:r>
          <a:endParaRPr lang="en-US" sz="1100"/>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twoCellAnchor>
    <xdr:from>
      <xdr:col>2</xdr:col>
      <xdr:colOff>257175</xdr:colOff>
      <xdr:row>0</xdr:row>
      <xdr:rowOff>47625</xdr:rowOff>
    </xdr:from>
    <xdr:to>
      <xdr:col>3</xdr:col>
      <xdr:colOff>485775</xdr:colOff>
      <xdr:row>1</xdr:row>
      <xdr:rowOff>104775</xdr:rowOff>
    </xdr:to>
    <xdr:sp macro="" textlink="">
      <xdr:nvSpPr>
        <xdr:cNvPr id="6" name="TextBox 5">
          <a:hlinkClick xmlns:r="http://schemas.openxmlformats.org/officeDocument/2006/relationships" r:id="rId5"/>
        </xdr:cNvPr>
        <xdr:cNvSpPr txBox="1"/>
      </xdr:nvSpPr>
      <xdr:spPr>
        <a:xfrm>
          <a:off x="1752600" y="47625"/>
          <a:ext cx="101917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a:t>
          </a:r>
          <a:r>
            <a:rPr lang="en-US" sz="1100" baseline="0"/>
            <a:t> Sources</a:t>
          </a:r>
          <a:endParaRPr lang="en-US" sz="1100"/>
        </a:p>
      </xdr:txBody>
    </xdr:sp>
    <xdr:clientData/>
  </xdr:twoCellAnchor>
  <xdr:twoCellAnchor>
    <xdr:from>
      <xdr:col>5</xdr:col>
      <xdr:colOff>566737</xdr:colOff>
      <xdr:row>0</xdr:row>
      <xdr:rowOff>47625</xdr:rowOff>
    </xdr:from>
    <xdr:to>
      <xdr:col>7</xdr:col>
      <xdr:colOff>114299</xdr:colOff>
      <xdr:row>1</xdr:row>
      <xdr:rowOff>104775</xdr:rowOff>
    </xdr:to>
    <xdr:sp macro="" textlink="">
      <xdr:nvSpPr>
        <xdr:cNvPr id="7" name="TextBox 6">
          <a:hlinkClick xmlns:r="http://schemas.openxmlformats.org/officeDocument/2006/relationships" r:id="rId6"/>
        </xdr:cNvPr>
        <xdr:cNvSpPr txBox="1"/>
      </xdr:nvSpPr>
      <xdr:spPr>
        <a:xfrm>
          <a:off x="4519612" y="47625"/>
          <a:ext cx="1671637"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Planning and Mitigation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156151</xdr:colOff>
      <xdr:row>2</xdr:row>
      <xdr:rowOff>117258</xdr:rowOff>
    </xdr:from>
    <xdr:to>
      <xdr:col>23</xdr:col>
      <xdr:colOff>306916</xdr:colOff>
      <xdr:row>32</xdr:row>
      <xdr:rowOff>66373</xdr:rowOff>
    </xdr:to>
    <xdr:grpSp>
      <xdr:nvGrpSpPr>
        <xdr:cNvPr id="5" name="Group 4"/>
        <xdr:cNvGrpSpPr/>
      </xdr:nvGrpSpPr>
      <xdr:grpSpPr>
        <a:xfrm>
          <a:off x="156151" y="610317"/>
          <a:ext cx="13810736" cy="5664115"/>
          <a:chOff x="156151" y="392425"/>
          <a:chExt cx="13782098" cy="5664115"/>
        </a:xfrm>
      </xdr:grpSpPr>
      <xdr:sp macro="" textlink="">
        <xdr:nvSpPr>
          <xdr:cNvPr id="2" name="TextBox 1"/>
          <xdr:cNvSpPr txBox="1"/>
        </xdr:nvSpPr>
        <xdr:spPr>
          <a:xfrm>
            <a:off x="1109055" y="392431"/>
            <a:ext cx="1325879"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External Nutrient Sources</a:t>
            </a:r>
          </a:p>
        </xdr:txBody>
      </xdr:sp>
      <xdr:sp macro="" textlink="">
        <xdr:nvSpPr>
          <xdr:cNvPr id="8" name="TextBox 7"/>
          <xdr:cNvSpPr txBox="1"/>
        </xdr:nvSpPr>
        <xdr:spPr>
          <a:xfrm>
            <a:off x="4063998" y="392431"/>
            <a:ext cx="1682750"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Mitigating Natural Factors</a:t>
            </a:r>
          </a:p>
        </xdr:txBody>
      </xdr:sp>
      <xdr:sp macro="" textlink="">
        <xdr:nvSpPr>
          <xdr:cNvPr id="9" name="TextBox 8"/>
          <xdr:cNvSpPr txBox="1"/>
        </xdr:nvSpPr>
        <xdr:spPr>
          <a:xfrm>
            <a:off x="2831891" y="1971691"/>
            <a:ext cx="933871"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Nitrogen</a:t>
            </a:r>
          </a:p>
          <a:p>
            <a:pPr algn="ctr"/>
            <a:r>
              <a:rPr lang="en-US" sz="1100"/>
              <a:t>Phosphorus</a:t>
            </a:r>
          </a:p>
        </xdr:txBody>
      </xdr:sp>
      <xdr:sp macro="" textlink="">
        <xdr:nvSpPr>
          <xdr:cNvPr id="10" name="TextBox 9"/>
          <xdr:cNvSpPr txBox="1"/>
        </xdr:nvSpPr>
        <xdr:spPr>
          <a:xfrm>
            <a:off x="6136837" y="392431"/>
            <a:ext cx="1514911" cy="530352"/>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Primary Responses</a:t>
            </a:r>
          </a:p>
        </xdr:txBody>
      </xdr:sp>
      <xdr:sp macro="" textlink="">
        <xdr:nvSpPr>
          <xdr:cNvPr id="11" name="TextBox 10"/>
          <xdr:cNvSpPr txBox="1"/>
        </xdr:nvSpPr>
        <xdr:spPr>
          <a:xfrm>
            <a:off x="4063998" y="1030606"/>
            <a:ext cx="1682750" cy="9696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Color</a:t>
            </a:r>
          </a:p>
          <a:p>
            <a:r>
              <a:rPr lang="en-US" sz="1100"/>
              <a:t>Residence</a:t>
            </a:r>
          </a:p>
          <a:p>
            <a:r>
              <a:rPr lang="en-US" sz="1100"/>
              <a:t>Depth</a:t>
            </a:r>
          </a:p>
          <a:p>
            <a:r>
              <a:rPr lang="en-US" sz="1100"/>
              <a:t>Turbidity</a:t>
            </a:r>
          </a:p>
          <a:p>
            <a:r>
              <a:rPr lang="en-US" sz="1100"/>
              <a:t>Grazing</a:t>
            </a:r>
          </a:p>
        </xdr:txBody>
      </xdr:sp>
      <xdr:sp macro="" textlink="">
        <xdr:nvSpPr>
          <xdr:cNvPr id="12" name="TextBox 11"/>
          <xdr:cNvSpPr txBox="1"/>
        </xdr:nvSpPr>
        <xdr:spPr>
          <a:xfrm>
            <a:off x="6136837" y="1030606"/>
            <a:ext cx="1514911" cy="11195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Algal Dominance Changes</a:t>
            </a:r>
          </a:p>
          <a:p>
            <a:r>
              <a:rPr lang="en-US" sz="1100"/>
              <a:t>- shift to blue-green algae</a:t>
            </a:r>
          </a:p>
          <a:p>
            <a:r>
              <a:rPr lang="en-US" sz="1100"/>
              <a:t>- benthic dominance to pelagic dominance</a:t>
            </a:r>
          </a:p>
        </xdr:txBody>
      </xdr:sp>
      <xdr:sp macro="" textlink="">
        <xdr:nvSpPr>
          <xdr:cNvPr id="13" name="TextBox 12"/>
          <xdr:cNvSpPr txBox="1"/>
        </xdr:nvSpPr>
        <xdr:spPr>
          <a:xfrm>
            <a:off x="6136837" y="2318381"/>
            <a:ext cx="1514911" cy="11876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Decreased Light Availability</a:t>
            </a:r>
          </a:p>
          <a:p>
            <a:r>
              <a:rPr lang="en-US" sz="1100"/>
              <a:t>- extreme Chl-a concentrations</a:t>
            </a:r>
          </a:p>
          <a:p>
            <a:r>
              <a:rPr lang="en-US" sz="1100"/>
              <a:t>- reduced periphyton</a:t>
            </a:r>
            <a:r>
              <a:rPr lang="en-US" sz="1100" baseline="0"/>
              <a:t> growth</a:t>
            </a:r>
            <a:endParaRPr lang="en-US" sz="1100"/>
          </a:p>
        </xdr:txBody>
      </xdr:sp>
      <xdr:sp macro="" textlink="">
        <xdr:nvSpPr>
          <xdr:cNvPr id="14" name="TextBox 13"/>
          <xdr:cNvSpPr txBox="1"/>
        </xdr:nvSpPr>
        <xdr:spPr>
          <a:xfrm>
            <a:off x="6136837" y="3772268"/>
            <a:ext cx="1514911" cy="10385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Increased Organic Decomposition</a:t>
            </a:r>
          </a:p>
          <a:p>
            <a:r>
              <a:rPr lang="en-US" sz="1100"/>
              <a:t>- extreme Chl-a concentrations</a:t>
            </a:r>
          </a:p>
          <a:p>
            <a:r>
              <a:rPr lang="en-US" sz="1100"/>
              <a:t>- bacterial respiration</a:t>
            </a:r>
          </a:p>
        </xdr:txBody>
      </xdr:sp>
      <xdr:sp macro="" textlink="">
        <xdr:nvSpPr>
          <xdr:cNvPr id="16" name="TextBox 15"/>
          <xdr:cNvSpPr txBox="1"/>
        </xdr:nvSpPr>
        <xdr:spPr>
          <a:xfrm>
            <a:off x="7871024" y="392431"/>
            <a:ext cx="1512612"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Secondary Responses</a:t>
            </a:r>
          </a:p>
        </xdr:txBody>
      </xdr:sp>
      <xdr:sp macro="" textlink="">
        <xdr:nvSpPr>
          <xdr:cNvPr id="17" name="TextBox 16"/>
          <xdr:cNvSpPr txBox="1"/>
        </xdr:nvSpPr>
        <xdr:spPr>
          <a:xfrm>
            <a:off x="7871024" y="1213195"/>
            <a:ext cx="1512612" cy="754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Harmful Algae</a:t>
            </a:r>
          </a:p>
          <a:p>
            <a:r>
              <a:rPr lang="en-US" sz="1100"/>
              <a:t>- nuisance blooms</a:t>
            </a:r>
          </a:p>
          <a:p>
            <a:r>
              <a:rPr lang="en-US" sz="1100"/>
              <a:t>- toxic blooms</a:t>
            </a:r>
          </a:p>
        </xdr:txBody>
      </xdr:sp>
      <xdr:sp macro="" textlink="">
        <xdr:nvSpPr>
          <xdr:cNvPr id="18" name="TextBox 17"/>
          <xdr:cNvSpPr txBox="1"/>
        </xdr:nvSpPr>
        <xdr:spPr>
          <a:xfrm>
            <a:off x="7871024" y="2405482"/>
            <a:ext cx="1512612" cy="10235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Loss of SAV</a:t>
            </a:r>
          </a:p>
          <a:p>
            <a:r>
              <a:rPr lang="en-US" sz="1100"/>
              <a:t>- reduced SAV spatial coverage</a:t>
            </a:r>
          </a:p>
          <a:p>
            <a:r>
              <a:rPr lang="en-US" sz="1100"/>
              <a:t>- reduced SAV species diversity</a:t>
            </a:r>
          </a:p>
        </xdr:txBody>
      </xdr:sp>
      <xdr:sp macro="" textlink="">
        <xdr:nvSpPr>
          <xdr:cNvPr id="19" name="TextBox 18"/>
          <xdr:cNvSpPr txBox="1"/>
        </xdr:nvSpPr>
        <xdr:spPr>
          <a:xfrm>
            <a:off x="7871024" y="3801516"/>
            <a:ext cx="1512612" cy="98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Low</a:t>
            </a:r>
            <a:r>
              <a:rPr lang="en-US" sz="1100" u="sng" baseline="0"/>
              <a:t> Dissolved Oxygen</a:t>
            </a:r>
            <a:endParaRPr lang="en-US" sz="1100" u="sng"/>
          </a:p>
          <a:p>
            <a:r>
              <a:rPr lang="en-US" sz="1100"/>
              <a:t>- anoxia/hypoxia</a:t>
            </a:r>
          </a:p>
          <a:p>
            <a:r>
              <a:rPr lang="en-US" sz="1100"/>
              <a:t>-</a:t>
            </a:r>
            <a:r>
              <a:rPr lang="en-US" sz="1100" baseline="0"/>
              <a:t> altered redox chemistry</a:t>
            </a:r>
          </a:p>
          <a:p>
            <a:r>
              <a:rPr lang="en-US" sz="1100" baseline="0"/>
              <a:t>- biological stress</a:t>
            </a:r>
            <a:endParaRPr lang="en-US" sz="1100"/>
          </a:p>
        </xdr:txBody>
      </xdr:sp>
      <xdr:cxnSp macro="">
        <xdr:nvCxnSpPr>
          <xdr:cNvPr id="20" name="Straight Arrow Connector 19"/>
          <xdr:cNvCxnSpPr>
            <a:stCxn id="13" idx="3"/>
            <a:endCxn id="18" idx="1"/>
          </xdr:cNvCxnSpPr>
        </xdr:nvCxnSpPr>
        <xdr:spPr>
          <a:xfrm>
            <a:off x="7651748" y="2912213"/>
            <a:ext cx="219276" cy="502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21" name="Straight Arrow Connector 20"/>
          <xdr:cNvCxnSpPr>
            <a:stCxn id="14" idx="3"/>
            <a:endCxn id="19" idx="1"/>
          </xdr:cNvCxnSpPr>
        </xdr:nvCxnSpPr>
        <xdr:spPr>
          <a:xfrm>
            <a:off x="7651748" y="4291566"/>
            <a:ext cx="219276"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22" name="Straight Arrow Connector 21"/>
          <xdr:cNvCxnSpPr>
            <a:stCxn id="12" idx="3"/>
            <a:endCxn id="17" idx="1"/>
          </xdr:cNvCxnSpPr>
        </xdr:nvCxnSpPr>
        <xdr:spPr>
          <a:xfrm>
            <a:off x="7651748" y="1590385"/>
            <a:ext cx="219276"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23" name="Elbow Connector 22"/>
          <xdr:cNvCxnSpPr>
            <a:stCxn id="9" idx="3"/>
            <a:endCxn id="12" idx="1"/>
          </xdr:cNvCxnSpPr>
        </xdr:nvCxnSpPr>
        <xdr:spPr>
          <a:xfrm flipV="1">
            <a:off x="3765762" y="1590385"/>
            <a:ext cx="2371075" cy="614669"/>
          </a:xfrm>
          <a:prstGeom prst="bentConnector3">
            <a:avLst>
              <a:gd name="adj1" fmla="val 90618"/>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24" name="Elbow Connector 23"/>
          <xdr:cNvCxnSpPr>
            <a:stCxn id="9" idx="3"/>
            <a:endCxn id="14" idx="1"/>
          </xdr:cNvCxnSpPr>
        </xdr:nvCxnSpPr>
        <xdr:spPr>
          <a:xfrm>
            <a:off x="3765762" y="2205054"/>
            <a:ext cx="2371075" cy="2086512"/>
          </a:xfrm>
          <a:prstGeom prst="bentConnector3">
            <a:avLst>
              <a:gd name="adj1" fmla="val 90618"/>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25" name="TextBox 24"/>
          <xdr:cNvSpPr txBox="1"/>
        </xdr:nvSpPr>
        <xdr:spPr>
          <a:xfrm>
            <a:off x="2755904" y="392431"/>
            <a:ext cx="1085844"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Nutrient Loading [1]</a:t>
            </a:r>
          </a:p>
        </xdr:txBody>
      </xdr:sp>
      <xdr:cxnSp macro="">
        <xdr:nvCxnSpPr>
          <xdr:cNvPr id="26" name="Straight Arrow Connector 25"/>
          <xdr:cNvCxnSpPr>
            <a:stCxn id="11" idx="2"/>
          </xdr:cNvCxnSpPr>
        </xdr:nvCxnSpPr>
        <xdr:spPr>
          <a:xfrm>
            <a:off x="4905373" y="2000250"/>
            <a:ext cx="5292" cy="2116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32" name="TextBox 31"/>
          <xdr:cNvSpPr txBox="1"/>
        </xdr:nvSpPr>
        <xdr:spPr>
          <a:xfrm>
            <a:off x="9823812" y="392431"/>
            <a:ext cx="1479192"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Impacts to Designated Uses</a:t>
            </a:r>
          </a:p>
        </xdr:txBody>
      </xdr:sp>
      <xdr:sp macro="" textlink="">
        <xdr:nvSpPr>
          <xdr:cNvPr id="33" name="TextBox 32"/>
          <xdr:cNvSpPr txBox="1"/>
        </xdr:nvSpPr>
        <xdr:spPr>
          <a:xfrm>
            <a:off x="9823812" y="2113606"/>
            <a:ext cx="1479192"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Drinking water (surface water)</a:t>
            </a:r>
          </a:p>
        </xdr:txBody>
      </xdr:sp>
      <xdr:sp macro="" textlink="">
        <xdr:nvSpPr>
          <xdr:cNvPr id="34" name="TextBox 33"/>
          <xdr:cNvSpPr txBox="1"/>
        </xdr:nvSpPr>
        <xdr:spPr>
          <a:xfrm>
            <a:off x="9823812" y="1572105"/>
            <a:ext cx="1479192"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Secondary contact recreation</a:t>
            </a:r>
          </a:p>
        </xdr:txBody>
      </xdr:sp>
      <xdr:sp macro="" textlink="">
        <xdr:nvSpPr>
          <xdr:cNvPr id="35" name="TextBox 34"/>
          <xdr:cNvSpPr txBox="1"/>
        </xdr:nvSpPr>
        <xdr:spPr>
          <a:xfrm>
            <a:off x="9823812" y="4279610"/>
            <a:ext cx="1479192"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Agricultural water supply</a:t>
            </a:r>
          </a:p>
        </xdr:txBody>
      </xdr:sp>
      <xdr:sp macro="" textlink="">
        <xdr:nvSpPr>
          <xdr:cNvPr id="36" name="TextBox 35">
            <a:hlinkClick xmlns:r="http://schemas.openxmlformats.org/officeDocument/2006/relationships" r:id="rId1"/>
          </xdr:cNvPr>
          <xdr:cNvSpPr txBox="1"/>
        </xdr:nvSpPr>
        <xdr:spPr>
          <a:xfrm>
            <a:off x="4063998" y="3525269"/>
            <a:ext cx="1682750" cy="1300731"/>
          </a:xfrm>
          <a:prstGeom prst="rect">
            <a:avLst/>
          </a:prstGeom>
          <a:solidFill>
            <a:schemeClr val="accent4">
              <a:lumMod val="20000"/>
              <a:lumOff val="80000"/>
            </a:schemeClr>
          </a:solidFill>
          <a:ln>
            <a:solidFill>
              <a:schemeClr val="bg2">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Aeration</a:t>
            </a:r>
          </a:p>
          <a:p>
            <a:r>
              <a:rPr lang="en-US" sz="1100"/>
              <a:t>Chemical treatment</a:t>
            </a:r>
          </a:p>
          <a:p>
            <a:r>
              <a:rPr lang="en-US" sz="1100"/>
              <a:t>Artificial</a:t>
            </a:r>
            <a:r>
              <a:rPr lang="en-US" sz="1100" baseline="0"/>
              <a:t> circulation</a:t>
            </a:r>
          </a:p>
          <a:p>
            <a:r>
              <a:rPr lang="en-US" sz="1100" baseline="0"/>
              <a:t>Vegetation harvesting</a:t>
            </a:r>
          </a:p>
          <a:p>
            <a:r>
              <a:rPr lang="en-US" sz="1100" baseline="0"/>
              <a:t>Biomanipulation</a:t>
            </a:r>
          </a:p>
          <a:p>
            <a:r>
              <a:rPr lang="en-US" sz="1100" baseline="0"/>
              <a:t>Water level manipulation</a:t>
            </a:r>
          </a:p>
          <a:p>
            <a:r>
              <a:rPr lang="en-US" sz="1100" baseline="0"/>
              <a:t>Others</a:t>
            </a:r>
            <a:endParaRPr lang="en-US" sz="1100"/>
          </a:p>
        </xdr:txBody>
      </xdr:sp>
      <xdr:cxnSp macro="">
        <xdr:nvCxnSpPr>
          <xdr:cNvPr id="45" name="Elbow Connector 44"/>
          <xdr:cNvCxnSpPr>
            <a:stCxn id="17" idx="3"/>
            <a:endCxn id="34" idx="1"/>
          </xdr:cNvCxnSpPr>
        </xdr:nvCxnSpPr>
        <xdr:spPr>
          <a:xfrm>
            <a:off x="9383636" y="1590385"/>
            <a:ext cx="440176" cy="224036"/>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46" name="Elbow Connector 45"/>
          <xdr:cNvCxnSpPr>
            <a:stCxn id="17" idx="3"/>
            <a:endCxn id="33" idx="1"/>
          </xdr:cNvCxnSpPr>
        </xdr:nvCxnSpPr>
        <xdr:spPr>
          <a:xfrm>
            <a:off x="9383636" y="1590385"/>
            <a:ext cx="440176" cy="765537"/>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47" name="Elbow Connector 46"/>
          <xdr:cNvCxnSpPr>
            <a:stCxn id="17" idx="3"/>
            <a:endCxn id="35" idx="1"/>
          </xdr:cNvCxnSpPr>
        </xdr:nvCxnSpPr>
        <xdr:spPr>
          <a:xfrm>
            <a:off x="9383636" y="1590385"/>
            <a:ext cx="440176" cy="2931541"/>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48" name="TextBox 47">
            <a:hlinkClick xmlns:r="http://schemas.openxmlformats.org/officeDocument/2006/relationships" r:id="rId1"/>
          </xdr:cNvPr>
          <xdr:cNvSpPr txBox="1"/>
        </xdr:nvSpPr>
        <xdr:spPr>
          <a:xfrm>
            <a:off x="4063998" y="2810102"/>
            <a:ext cx="1682750" cy="640080"/>
          </a:xfrm>
          <a:prstGeom prst="rect">
            <a:avLst/>
          </a:prstGeom>
          <a:solidFill>
            <a:schemeClr val="accent1">
              <a:lumMod val="20000"/>
              <a:lumOff val="80000"/>
            </a:schemeClr>
          </a:solidFill>
          <a:ln>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Short-term Mitigation</a:t>
            </a:r>
          </a:p>
        </xdr:txBody>
      </xdr:sp>
      <xdr:cxnSp macro="">
        <xdr:nvCxnSpPr>
          <xdr:cNvPr id="52" name="Straight Arrow Connector 51"/>
          <xdr:cNvCxnSpPr>
            <a:stCxn id="48" idx="0"/>
          </xdr:cNvCxnSpPr>
        </xdr:nvCxnSpPr>
        <xdr:spPr>
          <a:xfrm flipH="1" flipV="1">
            <a:off x="4900081" y="2180167"/>
            <a:ext cx="5292" cy="62993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53" name="TextBox 52"/>
          <xdr:cNvSpPr txBox="1"/>
        </xdr:nvSpPr>
        <xdr:spPr>
          <a:xfrm>
            <a:off x="9823812" y="3196608"/>
            <a:ext cx="1479192"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Aquatic life (spawning</a:t>
            </a:r>
            <a:r>
              <a:rPr lang="en-US" sz="1100" baseline="0"/>
              <a:t>, rearing, etc.)</a:t>
            </a:r>
            <a:endParaRPr lang="en-US" sz="1100"/>
          </a:p>
        </xdr:txBody>
      </xdr:sp>
      <xdr:cxnSp macro="">
        <xdr:nvCxnSpPr>
          <xdr:cNvPr id="55" name="Elbow Connector 54"/>
          <xdr:cNvCxnSpPr>
            <a:stCxn id="19" idx="3"/>
            <a:endCxn id="53" idx="1"/>
          </xdr:cNvCxnSpPr>
        </xdr:nvCxnSpPr>
        <xdr:spPr>
          <a:xfrm flipV="1">
            <a:off x="9383636" y="3438924"/>
            <a:ext cx="440176" cy="852642"/>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57" name="TextBox 56">
            <a:hlinkClick xmlns:r="http://schemas.openxmlformats.org/officeDocument/2006/relationships" r:id="rId2"/>
          </xdr:cNvPr>
          <xdr:cNvSpPr txBox="1"/>
        </xdr:nvSpPr>
        <xdr:spPr>
          <a:xfrm>
            <a:off x="11750481" y="392425"/>
            <a:ext cx="2187768" cy="533400"/>
          </a:xfrm>
          <a:prstGeom prst="rect">
            <a:avLst/>
          </a:prstGeom>
          <a:solidFill>
            <a:schemeClr val="accent1">
              <a:lumMod val="20000"/>
              <a:lumOff val="80000"/>
            </a:schemeClr>
          </a:solidFill>
          <a:ln>
            <a:solidFill>
              <a:schemeClr val="accent2"/>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Economic Sectors Negatively Impacted </a:t>
            </a:r>
          </a:p>
        </xdr:txBody>
      </xdr:sp>
      <xdr:sp macro="" textlink="">
        <xdr:nvSpPr>
          <xdr:cNvPr id="58" name="TextBox 57">
            <a:hlinkClick xmlns:r="http://schemas.openxmlformats.org/officeDocument/2006/relationships" r:id="rId2"/>
          </xdr:cNvPr>
          <xdr:cNvSpPr txBox="1"/>
        </xdr:nvSpPr>
        <xdr:spPr>
          <a:xfrm>
            <a:off x="11750481" y="1030606"/>
            <a:ext cx="2187768" cy="1969823"/>
          </a:xfrm>
          <a:prstGeom prst="rect">
            <a:avLst/>
          </a:prstGeom>
          <a:solidFill>
            <a:schemeClr val="accent4">
              <a:lumMod val="20000"/>
              <a:lumOff val="80000"/>
            </a:schemeClr>
          </a:solidFill>
          <a:ln>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indent="0"/>
            <a:r>
              <a:rPr lang="en-US" sz="1100" u="none">
                <a:solidFill>
                  <a:schemeClr val="dk1"/>
                </a:solidFill>
                <a:latin typeface="+mn-lt"/>
                <a:ea typeface="+mn-ea"/>
                <a:cs typeface="+mn-cs"/>
              </a:rPr>
              <a:t>· Tourism-related industries (lodging, restaurants,</a:t>
            </a:r>
            <a:r>
              <a:rPr lang="en-US" sz="1100" u="none" baseline="0">
                <a:solidFill>
                  <a:schemeClr val="dk1"/>
                </a:solidFill>
                <a:latin typeface="+mn-lt"/>
                <a:ea typeface="+mn-ea"/>
                <a:cs typeface="+mn-cs"/>
              </a:rPr>
              <a:t> etc.)</a:t>
            </a:r>
            <a:endParaRPr lang="en-US" sz="1100" u="none">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u="none">
                <a:solidFill>
                  <a:schemeClr val="dk1"/>
                </a:solidFill>
                <a:latin typeface="+mn-lt"/>
                <a:ea typeface="+mn-ea"/>
                <a:cs typeface="+mn-cs"/>
              </a:rPr>
              <a:t>· Commercial</a:t>
            </a:r>
            <a:r>
              <a:rPr lang="en-US" sz="1100" u="none" baseline="0">
                <a:solidFill>
                  <a:schemeClr val="dk1"/>
                </a:solidFill>
                <a:latin typeface="+mn-lt"/>
                <a:ea typeface="+mn-ea"/>
                <a:cs typeface="+mn-cs"/>
              </a:rPr>
              <a:t> fisheries</a:t>
            </a:r>
            <a:endParaRPr lang="en-US" sz="1100" u="none">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u="none">
                <a:solidFill>
                  <a:schemeClr val="dk1"/>
                </a:solidFill>
                <a:latin typeface="+mn-lt"/>
                <a:ea typeface="+mn-ea"/>
                <a:cs typeface="+mn-cs"/>
              </a:rPr>
              <a:t>· Households</a:t>
            </a:r>
            <a:r>
              <a:rPr lang="en-US" sz="1100" u="none" baseline="0">
                <a:solidFill>
                  <a:schemeClr val="dk1"/>
                </a:solidFill>
                <a:latin typeface="+mn-lt"/>
                <a:ea typeface="+mn-ea"/>
                <a:cs typeface="+mn-cs"/>
              </a:rPr>
              <a:t> (housing values, adverse health effects, increased drinking water treatment costs)</a:t>
            </a:r>
            <a:endParaRPr lang="en-US" sz="1100" u="none">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u="none">
                <a:solidFill>
                  <a:schemeClr val="dk1"/>
                </a:solidFill>
                <a:latin typeface="+mn-lt"/>
                <a:ea typeface="+mn-ea"/>
                <a:cs typeface="+mn-cs"/>
              </a:rPr>
              <a:t>· Private industries (increased operating costs</a:t>
            </a:r>
            <a:r>
              <a:rPr lang="en-US" sz="1100" u="none" baseline="0">
                <a:solidFill>
                  <a:schemeClr val="dk1"/>
                </a:solidFill>
                <a:latin typeface="+mn-lt"/>
                <a:ea typeface="+mn-ea"/>
                <a:cs typeface="+mn-cs"/>
              </a:rPr>
              <a:t>)</a:t>
            </a:r>
            <a:endParaRPr lang="en-US" sz="1100" u="none">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u="none">
                <a:solidFill>
                  <a:schemeClr val="dk1"/>
                </a:solidFill>
                <a:latin typeface="+mn-lt"/>
                <a:ea typeface="+mn-ea"/>
                <a:cs typeface="+mn-cs"/>
              </a:rPr>
              <a:t>· Municipalities (drinking water treatment)</a:t>
            </a:r>
          </a:p>
          <a:p>
            <a:pPr marL="0" indent="0"/>
            <a:endParaRPr lang="en-US" sz="1100" u="none">
              <a:solidFill>
                <a:schemeClr val="dk1"/>
              </a:solidFill>
              <a:latin typeface="+mn-lt"/>
              <a:ea typeface="+mn-ea"/>
              <a:cs typeface="+mn-cs"/>
            </a:endParaRPr>
          </a:p>
          <a:p>
            <a:pPr marL="0" indent="0"/>
            <a:endParaRPr lang="en-US" sz="1100" u="none">
              <a:solidFill>
                <a:schemeClr val="dk1"/>
              </a:solidFill>
              <a:latin typeface="+mn-lt"/>
              <a:ea typeface="+mn-ea"/>
              <a:cs typeface="+mn-cs"/>
            </a:endParaRPr>
          </a:p>
          <a:p>
            <a:pPr marL="0" indent="0"/>
            <a:endParaRPr lang="en-US" sz="1100" u="none">
              <a:solidFill>
                <a:schemeClr val="dk1"/>
              </a:solidFill>
              <a:latin typeface="+mn-lt"/>
              <a:ea typeface="+mn-ea"/>
              <a:cs typeface="+mn-cs"/>
            </a:endParaRPr>
          </a:p>
        </xdr:txBody>
      </xdr:sp>
      <xdr:sp macro="" textlink="">
        <xdr:nvSpPr>
          <xdr:cNvPr id="59" name="TextBox 58"/>
          <xdr:cNvSpPr txBox="1"/>
        </xdr:nvSpPr>
        <xdr:spPr>
          <a:xfrm>
            <a:off x="9823812" y="1030604"/>
            <a:ext cx="1479192"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Primary contact recreation</a:t>
            </a:r>
          </a:p>
        </xdr:txBody>
      </xdr:sp>
      <xdr:cxnSp macro="">
        <xdr:nvCxnSpPr>
          <xdr:cNvPr id="60" name="Elbow Connector 59"/>
          <xdr:cNvCxnSpPr>
            <a:stCxn id="19" idx="3"/>
            <a:endCxn id="59" idx="1"/>
          </xdr:cNvCxnSpPr>
        </xdr:nvCxnSpPr>
        <xdr:spPr>
          <a:xfrm flipV="1">
            <a:off x="9383636" y="1272920"/>
            <a:ext cx="440176" cy="3018646"/>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61" name="Elbow Connector 60"/>
          <xdr:cNvCxnSpPr>
            <a:stCxn id="59" idx="3"/>
            <a:endCxn id="58" idx="1"/>
          </xdr:cNvCxnSpPr>
        </xdr:nvCxnSpPr>
        <xdr:spPr>
          <a:xfrm>
            <a:off x="11303004" y="1272920"/>
            <a:ext cx="447477" cy="742598"/>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62" name="Elbow Connector 61"/>
          <xdr:cNvCxnSpPr>
            <a:stCxn id="34" idx="3"/>
            <a:endCxn id="58" idx="1"/>
          </xdr:cNvCxnSpPr>
        </xdr:nvCxnSpPr>
        <xdr:spPr>
          <a:xfrm>
            <a:off x="11303004" y="1814421"/>
            <a:ext cx="447477" cy="201097"/>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63" name="Elbow Connector 62"/>
          <xdr:cNvCxnSpPr>
            <a:stCxn id="33" idx="3"/>
            <a:endCxn id="58" idx="1"/>
          </xdr:cNvCxnSpPr>
        </xdr:nvCxnSpPr>
        <xdr:spPr>
          <a:xfrm flipV="1">
            <a:off x="11303004" y="2015518"/>
            <a:ext cx="447477" cy="340404"/>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64" name="Elbow Connector 63"/>
          <xdr:cNvCxnSpPr>
            <a:stCxn id="35" idx="3"/>
            <a:endCxn id="58" idx="1"/>
          </xdr:cNvCxnSpPr>
        </xdr:nvCxnSpPr>
        <xdr:spPr>
          <a:xfrm flipV="1">
            <a:off x="11303004" y="2015518"/>
            <a:ext cx="447477" cy="2506408"/>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65" name="Elbow Connector 64"/>
          <xdr:cNvCxnSpPr>
            <a:stCxn id="53" idx="3"/>
            <a:endCxn id="58" idx="1"/>
          </xdr:cNvCxnSpPr>
        </xdr:nvCxnSpPr>
        <xdr:spPr>
          <a:xfrm flipV="1">
            <a:off x="11303004" y="2015518"/>
            <a:ext cx="447477" cy="1423406"/>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67" name="TextBox 66"/>
          <xdr:cNvSpPr txBox="1"/>
        </xdr:nvSpPr>
        <xdr:spPr>
          <a:xfrm>
            <a:off x="9823812" y="3738109"/>
            <a:ext cx="1479192"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Industrial water supply</a:t>
            </a:r>
          </a:p>
        </xdr:txBody>
      </xdr:sp>
      <xdr:sp macro="" textlink="">
        <xdr:nvSpPr>
          <xdr:cNvPr id="68" name="TextBox 67"/>
          <xdr:cNvSpPr txBox="1"/>
        </xdr:nvSpPr>
        <xdr:spPr>
          <a:xfrm>
            <a:off x="9823812" y="2655107"/>
            <a:ext cx="1479192"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Wildlife habitat</a:t>
            </a:r>
          </a:p>
        </xdr:txBody>
      </xdr:sp>
      <xdr:cxnSp macro="">
        <xdr:nvCxnSpPr>
          <xdr:cNvPr id="71" name="Elbow Connector 70"/>
          <xdr:cNvCxnSpPr>
            <a:stCxn id="18" idx="3"/>
            <a:endCxn id="67" idx="1"/>
          </xdr:cNvCxnSpPr>
        </xdr:nvCxnSpPr>
        <xdr:spPr>
          <a:xfrm>
            <a:off x="9383636" y="2917241"/>
            <a:ext cx="440176" cy="1063184"/>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74" name="Elbow Connector 73"/>
          <xdr:cNvCxnSpPr>
            <a:stCxn id="67" idx="3"/>
            <a:endCxn id="58" idx="1"/>
          </xdr:cNvCxnSpPr>
        </xdr:nvCxnSpPr>
        <xdr:spPr>
          <a:xfrm flipV="1">
            <a:off x="11303004" y="2015518"/>
            <a:ext cx="447477" cy="1964907"/>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75" name="Elbow Connector 74"/>
          <xdr:cNvCxnSpPr>
            <a:stCxn id="68" idx="3"/>
            <a:endCxn id="58" idx="1"/>
          </xdr:cNvCxnSpPr>
        </xdr:nvCxnSpPr>
        <xdr:spPr>
          <a:xfrm flipV="1">
            <a:off x="11303004" y="2015518"/>
            <a:ext cx="447477" cy="881905"/>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116" name="TextBox 115"/>
          <xdr:cNvSpPr txBox="1"/>
        </xdr:nvSpPr>
        <xdr:spPr>
          <a:xfrm>
            <a:off x="1109055" y="1030606"/>
            <a:ext cx="1325879" cy="11707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Agriculture</a:t>
            </a:r>
          </a:p>
          <a:p>
            <a:r>
              <a:rPr lang="en-US" sz="1100"/>
              <a:t>Industrial Sources</a:t>
            </a:r>
          </a:p>
          <a:p>
            <a:r>
              <a:rPr lang="en-US" sz="1100"/>
              <a:t>Municipal</a:t>
            </a:r>
            <a:r>
              <a:rPr lang="en-US" sz="1100" baseline="0"/>
              <a:t> Sources</a:t>
            </a:r>
          </a:p>
          <a:p>
            <a:r>
              <a:rPr lang="en-US" sz="1100" baseline="0"/>
              <a:t>Septics</a:t>
            </a:r>
          </a:p>
          <a:p>
            <a:r>
              <a:rPr lang="en-US" sz="1100" baseline="0"/>
              <a:t>Urban Runoff</a:t>
            </a:r>
          </a:p>
        </xdr:txBody>
      </xdr:sp>
      <xdr:cxnSp macro="">
        <xdr:nvCxnSpPr>
          <xdr:cNvPr id="118" name="Elbow Connector 117"/>
          <xdr:cNvCxnSpPr>
            <a:stCxn id="116" idx="3"/>
            <a:endCxn id="9" idx="1"/>
          </xdr:cNvCxnSpPr>
        </xdr:nvCxnSpPr>
        <xdr:spPr>
          <a:xfrm>
            <a:off x="2434934" y="1615970"/>
            <a:ext cx="396957" cy="589084"/>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5" name="Elbow Connector 124"/>
          <xdr:cNvCxnSpPr>
            <a:stCxn id="17" idx="3"/>
            <a:endCxn id="68" idx="1"/>
          </xdr:cNvCxnSpPr>
        </xdr:nvCxnSpPr>
        <xdr:spPr>
          <a:xfrm>
            <a:off x="9383636" y="1590385"/>
            <a:ext cx="440176" cy="1307038"/>
          </a:xfrm>
          <a:prstGeom prst="bentConnector3">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6" name="TextBox 65">
            <a:hlinkClick xmlns:r="http://schemas.openxmlformats.org/officeDocument/2006/relationships" r:id="rId3"/>
          </xdr:cNvPr>
          <xdr:cNvSpPr txBox="1"/>
        </xdr:nvSpPr>
        <xdr:spPr>
          <a:xfrm>
            <a:off x="1256877" y="3504103"/>
            <a:ext cx="1027588" cy="448056"/>
          </a:xfrm>
          <a:prstGeom prst="rect">
            <a:avLst/>
          </a:prstGeom>
          <a:solidFill>
            <a:schemeClr val="accent4">
              <a:lumMod val="20000"/>
              <a:lumOff val="80000"/>
            </a:schemeClr>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Urban</a:t>
            </a:r>
            <a:r>
              <a:rPr lang="en-US" sz="1100" baseline="0"/>
              <a:t> Runoff</a:t>
            </a:r>
            <a:endParaRPr lang="en-US" sz="1100"/>
          </a:p>
        </xdr:txBody>
      </xdr:sp>
      <xdr:sp macro="" textlink="">
        <xdr:nvSpPr>
          <xdr:cNvPr id="69" name="TextBox 68">
            <a:hlinkClick xmlns:r="http://schemas.openxmlformats.org/officeDocument/2006/relationships" r:id="rId4"/>
          </xdr:cNvPr>
          <xdr:cNvSpPr txBox="1"/>
        </xdr:nvSpPr>
        <xdr:spPr>
          <a:xfrm>
            <a:off x="1256877" y="4508057"/>
            <a:ext cx="1027588" cy="448056"/>
          </a:xfrm>
          <a:prstGeom prst="rect">
            <a:avLst/>
          </a:prstGeom>
          <a:solidFill>
            <a:schemeClr val="accent4">
              <a:lumMod val="20000"/>
              <a:lumOff val="80000"/>
            </a:schemeClr>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Livestock Management</a:t>
            </a:r>
          </a:p>
        </xdr:txBody>
      </xdr:sp>
      <xdr:sp macro="" textlink="">
        <xdr:nvSpPr>
          <xdr:cNvPr id="70" name="TextBox 69">
            <a:hlinkClick xmlns:r="http://schemas.openxmlformats.org/officeDocument/2006/relationships" r:id="rId5"/>
          </xdr:cNvPr>
          <xdr:cNvSpPr txBox="1"/>
        </xdr:nvSpPr>
        <xdr:spPr>
          <a:xfrm>
            <a:off x="1256877" y="4006080"/>
            <a:ext cx="1027588" cy="448056"/>
          </a:xfrm>
          <a:prstGeom prst="rect">
            <a:avLst/>
          </a:prstGeom>
          <a:solidFill>
            <a:schemeClr val="accent4">
              <a:lumMod val="20000"/>
              <a:lumOff val="80000"/>
            </a:schemeClr>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baseline="0"/>
              <a:t>Cropland Management</a:t>
            </a:r>
            <a:endParaRPr lang="en-US" sz="1100"/>
          </a:p>
        </xdr:txBody>
      </xdr:sp>
      <xdr:sp macro="" textlink="">
        <xdr:nvSpPr>
          <xdr:cNvPr id="72" name="TextBox 71">
            <a:hlinkClick xmlns:r="http://schemas.openxmlformats.org/officeDocument/2006/relationships" r:id="rId6"/>
          </xdr:cNvPr>
          <xdr:cNvSpPr txBox="1"/>
        </xdr:nvSpPr>
        <xdr:spPr>
          <a:xfrm>
            <a:off x="156151" y="3504103"/>
            <a:ext cx="1027587" cy="448056"/>
          </a:xfrm>
          <a:prstGeom prst="rect">
            <a:avLst/>
          </a:prstGeom>
          <a:solidFill>
            <a:schemeClr val="accent4">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lang="en-US" sz="1100"/>
              <a:t>Municipal</a:t>
            </a:r>
            <a:r>
              <a:rPr lang="en-US" sz="1100" baseline="0"/>
              <a:t> Treatment</a:t>
            </a:r>
            <a:endParaRPr lang="en-US" sz="1100"/>
          </a:p>
        </xdr:txBody>
      </xdr:sp>
      <xdr:sp macro="" textlink="">
        <xdr:nvSpPr>
          <xdr:cNvPr id="73" name="TextBox 72">
            <a:hlinkClick xmlns:r="http://schemas.openxmlformats.org/officeDocument/2006/relationships" r:id="rId7"/>
          </xdr:cNvPr>
          <xdr:cNvSpPr txBox="1"/>
        </xdr:nvSpPr>
        <xdr:spPr>
          <a:xfrm>
            <a:off x="156151" y="4508057"/>
            <a:ext cx="1027587" cy="448056"/>
          </a:xfrm>
          <a:prstGeom prst="rect">
            <a:avLst/>
          </a:prstGeom>
          <a:solidFill>
            <a:schemeClr val="accent4">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lang="en-US" sz="1100"/>
              <a:t>Decentralized</a:t>
            </a:r>
          </a:p>
        </xdr:txBody>
      </xdr:sp>
      <xdr:sp macro="" textlink="">
        <xdr:nvSpPr>
          <xdr:cNvPr id="76" name="TextBox 75">
            <a:hlinkClick xmlns:r="http://schemas.openxmlformats.org/officeDocument/2006/relationships" r:id="rId8"/>
          </xdr:cNvPr>
          <xdr:cNvSpPr txBox="1"/>
        </xdr:nvSpPr>
        <xdr:spPr>
          <a:xfrm>
            <a:off x="156151" y="4006080"/>
            <a:ext cx="1027587" cy="448056"/>
          </a:xfrm>
          <a:prstGeom prst="rect">
            <a:avLst/>
          </a:prstGeom>
          <a:solidFill>
            <a:schemeClr val="accent4">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r>
              <a:rPr lang="en-US" sz="1100" baseline="0"/>
              <a:t>Industrial Treatment</a:t>
            </a:r>
            <a:endParaRPr lang="en-US" sz="1100"/>
          </a:p>
        </xdr:txBody>
      </xdr:sp>
      <xdr:sp macro="" textlink="">
        <xdr:nvSpPr>
          <xdr:cNvPr id="77" name="TextBox 76">
            <a:hlinkClick xmlns:r="http://schemas.openxmlformats.org/officeDocument/2006/relationships" r:id="rId9"/>
          </xdr:cNvPr>
          <xdr:cNvSpPr txBox="1"/>
        </xdr:nvSpPr>
        <xdr:spPr>
          <a:xfrm>
            <a:off x="2357604" y="2814759"/>
            <a:ext cx="1027588" cy="635423"/>
          </a:xfrm>
          <a:prstGeom prst="rect">
            <a:avLst/>
          </a:prstGeom>
          <a:solidFill>
            <a:schemeClr val="accent4">
              <a:lumMod val="40000"/>
              <a:lumOff val="60000"/>
            </a:schemeClr>
          </a:solidFill>
          <a:ln>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Long-Term Restoration</a:t>
            </a:r>
          </a:p>
        </xdr:txBody>
      </xdr:sp>
      <xdr:sp macro="" textlink="">
        <xdr:nvSpPr>
          <xdr:cNvPr id="78" name="TextBox 77">
            <a:hlinkClick xmlns:r="http://schemas.openxmlformats.org/officeDocument/2006/relationships" r:id="rId10"/>
          </xdr:cNvPr>
          <xdr:cNvSpPr txBox="1"/>
        </xdr:nvSpPr>
        <xdr:spPr>
          <a:xfrm>
            <a:off x="156151" y="2814759"/>
            <a:ext cx="1027587" cy="635423"/>
          </a:xfrm>
          <a:prstGeom prst="rect">
            <a:avLst/>
          </a:prstGeom>
          <a:solidFill>
            <a:schemeClr val="accent4">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lang="en-US" sz="1100" b="1"/>
              <a:t>Point Source Controls</a:t>
            </a:r>
          </a:p>
        </xdr:txBody>
      </xdr:sp>
      <xdr:sp macro="" textlink="">
        <xdr:nvSpPr>
          <xdr:cNvPr id="79" name="TextBox 78">
            <a:hlinkClick xmlns:r="http://schemas.openxmlformats.org/officeDocument/2006/relationships" r:id="rId11"/>
          </xdr:cNvPr>
          <xdr:cNvSpPr txBox="1"/>
        </xdr:nvSpPr>
        <xdr:spPr>
          <a:xfrm>
            <a:off x="1256877" y="2814759"/>
            <a:ext cx="1027588" cy="635423"/>
          </a:xfrm>
          <a:prstGeom prst="rect">
            <a:avLst/>
          </a:prstGeom>
          <a:solidFill>
            <a:schemeClr val="accent4">
              <a:lumMod val="40000"/>
              <a:lumOff val="60000"/>
            </a:schemeClr>
          </a:solidFill>
          <a:ln>
            <a:solidFill>
              <a:schemeClr val="accent3"/>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Nonpoint Source Controls</a:t>
            </a:r>
          </a:p>
        </xdr:txBody>
      </xdr:sp>
      <xdr:sp macro="" textlink="">
        <xdr:nvSpPr>
          <xdr:cNvPr id="80" name="TextBox 79">
            <a:hlinkClick xmlns:r="http://schemas.openxmlformats.org/officeDocument/2006/relationships" r:id="rId9"/>
          </xdr:cNvPr>
          <xdr:cNvSpPr txBox="1"/>
        </xdr:nvSpPr>
        <xdr:spPr>
          <a:xfrm>
            <a:off x="2357604" y="3504103"/>
            <a:ext cx="1027588" cy="448056"/>
          </a:xfrm>
          <a:prstGeom prst="rect">
            <a:avLst/>
          </a:prstGeom>
          <a:solidFill>
            <a:schemeClr val="accent4">
              <a:lumMod val="20000"/>
              <a:lumOff val="80000"/>
            </a:schemeClr>
          </a:solidFill>
          <a:ln>
            <a:solidFill>
              <a:schemeClr val="bg2">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TMDLs</a:t>
            </a:r>
          </a:p>
        </xdr:txBody>
      </xdr:sp>
      <xdr:sp macro="" textlink="">
        <xdr:nvSpPr>
          <xdr:cNvPr id="81" name="TextBox 80">
            <a:hlinkClick xmlns:r="http://schemas.openxmlformats.org/officeDocument/2006/relationships" r:id="rId9"/>
          </xdr:cNvPr>
          <xdr:cNvSpPr txBox="1"/>
        </xdr:nvSpPr>
        <xdr:spPr>
          <a:xfrm>
            <a:off x="2357604" y="4508057"/>
            <a:ext cx="1027588" cy="448056"/>
          </a:xfrm>
          <a:prstGeom prst="rect">
            <a:avLst/>
          </a:prstGeom>
          <a:solidFill>
            <a:schemeClr val="accent4">
              <a:lumMod val="20000"/>
              <a:lumOff val="80000"/>
            </a:schemeClr>
          </a:solidFill>
          <a:ln>
            <a:solidFill>
              <a:schemeClr val="bg2">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000"/>
              <a:t>Watershed Planning</a:t>
            </a:r>
          </a:p>
        </xdr:txBody>
      </xdr:sp>
      <xdr:sp macro="" textlink="">
        <xdr:nvSpPr>
          <xdr:cNvPr id="82" name="TextBox 81">
            <a:hlinkClick xmlns:r="http://schemas.openxmlformats.org/officeDocument/2006/relationships" r:id="rId9"/>
          </xdr:cNvPr>
          <xdr:cNvSpPr txBox="1"/>
        </xdr:nvSpPr>
        <xdr:spPr>
          <a:xfrm>
            <a:off x="2357604" y="4006080"/>
            <a:ext cx="1027588" cy="448056"/>
          </a:xfrm>
          <a:prstGeom prst="rect">
            <a:avLst/>
          </a:prstGeom>
          <a:solidFill>
            <a:schemeClr val="accent4">
              <a:lumMod val="20000"/>
              <a:lumOff val="80000"/>
            </a:schemeClr>
          </a:solidFill>
          <a:ln>
            <a:solidFill>
              <a:schemeClr val="bg2">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Pollutant Trading</a:t>
            </a:r>
          </a:p>
        </xdr:txBody>
      </xdr:sp>
      <xdr:sp macro="" textlink="">
        <xdr:nvSpPr>
          <xdr:cNvPr id="83" name="TextBox 82"/>
          <xdr:cNvSpPr txBox="1"/>
        </xdr:nvSpPr>
        <xdr:spPr>
          <a:xfrm>
            <a:off x="1256877" y="5010036"/>
            <a:ext cx="1027588" cy="448056"/>
          </a:xfrm>
          <a:prstGeom prst="rect">
            <a:avLst/>
          </a:prstGeom>
          <a:solidFill>
            <a:schemeClr val="accent4">
              <a:lumMod val="20000"/>
              <a:lumOff val="80000"/>
            </a:schemeClr>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Forestry</a:t>
            </a:r>
          </a:p>
        </xdr:txBody>
      </xdr:sp>
      <xdr:cxnSp macro="">
        <xdr:nvCxnSpPr>
          <xdr:cNvPr id="6" name="Elbow Connector 5"/>
          <xdr:cNvCxnSpPr>
            <a:stCxn id="78" idx="0"/>
            <a:endCxn id="116" idx="2"/>
          </xdr:cNvCxnSpPr>
        </xdr:nvCxnSpPr>
        <xdr:spPr>
          <a:xfrm rot="5400000" flipH="1" flipV="1">
            <a:off x="914257" y="1957021"/>
            <a:ext cx="613426" cy="1102050"/>
          </a:xfrm>
          <a:prstGeom prst="bent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8" name="Elbow Connector 27"/>
          <xdr:cNvCxnSpPr>
            <a:stCxn id="79" idx="0"/>
            <a:endCxn id="116" idx="2"/>
          </xdr:cNvCxnSpPr>
        </xdr:nvCxnSpPr>
        <xdr:spPr>
          <a:xfrm rot="5400000" flipH="1" flipV="1">
            <a:off x="1464620" y="2507384"/>
            <a:ext cx="613426" cy="1324"/>
          </a:xfrm>
          <a:prstGeom prst="bent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xdr:cNvCxnSpPr>
            <a:stCxn id="77" idx="0"/>
            <a:endCxn id="116" idx="2"/>
          </xdr:cNvCxnSpPr>
        </xdr:nvCxnSpPr>
        <xdr:spPr>
          <a:xfrm rot="16200000" flipV="1">
            <a:off x="2014984" y="1958344"/>
            <a:ext cx="613426" cy="1099403"/>
          </a:xfrm>
          <a:prstGeom prst="bent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8" name="Elbow Connector 127"/>
          <xdr:cNvCxnSpPr>
            <a:stCxn id="9" idx="3"/>
            <a:endCxn id="13" idx="1"/>
          </xdr:cNvCxnSpPr>
        </xdr:nvCxnSpPr>
        <xdr:spPr>
          <a:xfrm>
            <a:off x="3765762" y="2205054"/>
            <a:ext cx="2371075" cy="707159"/>
          </a:xfrm>
          <a:prstGeom prst="bentConnector3">
            <a:avLst>
              <a:gd name="adj1" fmla="val 90618"/>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TextBox 3"/>
          <xdr:cNvSpPr txBox="1"/>
        </xdr:nvSpPr>
        <xdr:spPr>
          <a:xfrm>
            <a:off x="156151" y="5619754"/>
            <a:ext cx="1377151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t>Source: </a:t>
            </a:r>
            <a:r>
              <a:rPr lang="en-US" sz="1100">
                <a:solidFill>
                  <a:schemeClr val="tx1"/>
                </a:solidFill>
                <a:effectLst/>
                <a:latin typeface="+mn-lt"/>
                <a:ea typeface="+mn-ea"/>
                <a:cs typeface="+mn-cs"/>
              </a:rPr>
              <a:t>Based on Weaver (2010)</a:t>
            </a:r>
            <a:r>
              <a:rPr lang="en-US" sz="1100" baseline="0">
                <a:solidFill>
                  <a:schemeClr val="tx1"/>
                </a:solidFill>
                <a:effectLst/>
                <a:latin typeface="+mn-lt"/>
                <a:ea typeface="+mn-ea"/>
                <a:cs typeface="+mn-cs"/>
              </a:rPr>
              <a:t> and Dodds et al. (2009)</a:t>
            </a:r>
            <a:endParaRPr lang="en-US">
              <a:effectLst/>
            </a:endParaRPr>
          </a:p>
          <a:p>
            <a:r>
              <a:rPr lang="en-US" sz="1100"/>
              <a:t>1. Loads to surface waters. Infiltration throughout the watershed may also contaminate groundwater used for drinking water source water.</a:t>
            </a:r>
          </a:p>
        </xdr:txBody>
      </xdr:sp>
    </xdr:grpSp>
    <xdr:clientData/>
  </xdr:twoCellAnchor>
  <xdr:twoCellAnchor>
    <xdr:from>
      <xdr:col>1</xdr:col>
      <xdr:colOff>315479</xdr:colOff>
      <xdr:row>0</xdr:row>
      <xdr:rowOff>47625</xdr:rowOff>
    </xdr:from>
    <xdr:to>
      <xdr:col>2</xdr:col>
      <xdr:colOff>384064</xdr:colOff>
      <xdr:row>1</xdr:row>
      <xdr:rowOff>101134</xdr:rowOff>
    </xdr:to>
    <xdr:sp macro="" textlink="">
      <xdr:nvSpPr>
        <xdr:cNvPr id="91" name="TextBox 90">
          <a:hlinkClick xmlns:r="http://schemas.openxmlformats.org/officeDocument/2006/relationships" r:id="rId12"/>
        </xdr:cNvPr>
        <xdr:cNvSpPr txBox="1"/>
      </xdr:nvSpPr>
      <xdr:spPr>
        <a:xfrm>
          <a:off x="908146" y="47625"/>
          <a:ext cx="661251" cy="265176"/>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0</xdr:col>
      <xdr:colOff>95249</xdr:colOff>
      <xdr:row>0</xdr:row>
      <xdr:rowOff>47625</xdr:rowOff>
    </xdr:from>
    <xdr:to>
      <xdr:col>1</xdr:col>
      <xdr:colOff>179916</xdr:colOff>
      <xdr:row>1</xdr:row>
      <xdr:rowOff>101134</xdr:rowOff>
    </xdr:to>
    <xdr:sp macro="" textlink="">
      <xdr:nvSpPr>
        <xdr:cNvPr id="92" name="TextBox 91">
          <a:hlinkClick xmlns:r="http://schemas.openxmlformats.org/officeDocument/2006/relationships" r:id="rId13"/>
        </xdr:cNvPr>
        <xdr:cNvSpPr txBox="1"/>
      </xdr:nvSpPr>
      <xdr:spPr>
        <a:xfrm>
          <a:off x="95249" y="47625"/>
          <a:ext cx="677334" cy="265176"/>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117845</xdr:colOff>
      <xdr:row>2</xdr:row>
      <xdr:rowOff>106674</xdr:rowOff>
    </xdr:from>
    <xdr:to>
      <xdr:col>23</xdr:col>
      <xdr:colOff>290011</xdr:colOff>
      <xdr:row>33</xdr:row>
      <xdr:rowOff>141235</xdr:rowOff>
    </xdr:to>
    <xdr:grpSp>
      <xdr:nvGrpSpPr>
        <xdr:cNvPr id="3" name="Group 2"/>
        <xdr:cNvGrpSpPr/>
      </xdr:nvGrpSpPr>
      <xdr:grpSpPr>
        <a:xfrm>
          <a:off x="117845" y="566115"/>
          <a:ext cx="13832137" cy="5940061"/>
          <a:chOff x="117845" y="350091"/>
          <a:chExt cx="13803499" cy="5940061"/>
        </a:xfrm>
      </xdr:grpSpPr>
      <xdr:sp macro="" textlink="">
        <xdr:nvSpPr>
          <xdr:cNvPr id="2" name="TextBox 1"/>
          <xdr:cNvSpPr txBox="1"/>
        </xdr:nvSpPr>
        <xdr:spPr>
          <a:xfrm>
            <a:off x="1120801" y="350097"/>
            <a:ext cx="1325880"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External Nutrient Sources</a:t>
            </a:r>
          </a:p>
        </xdr:txBody>
      </xdr:sp>
      <xdr:sp macro="" textlink="">
        <xdr:nvSpPr>
          <xdr:cNvPr id="8" name="TextBox 7"/>
          <xdr:cNvSpPr txBox="1"/>
        </xdr:nvSpPr>
        <xdr:spPr>
          <a:xfrm>
            <a:off x="4439231" y="350097"/>
            <a:ext cx="1417269"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Mitigating Natural Factors</a:t>
            </a:r>
          </a:p>
        </xdr:txBody>
      </xdr:sp>
      <xdr:sp macro="" textlink="">
        <xdr:nvSpPr>
          <xdr:cNvPr id="15" name="TextBox 14"/>
          <xdr:cNvSpPr txBox="1"/>
        </xdr:nvSpPr>
        <xdr:spPr>
          <a:xfrm>
            <a:off x="6228117" y="350097"/>
            <a:ext cx="1509966"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Primary Responses</a:t>
            </a:r>
          </a:p>
        </xdr:txBody>
      </xdr:sp>
      <xdr:sp macro="" textlink="">
        <xdr:nvSpPr>
          <xdr:cNvPr id="19" name="TextBox 18"/>
          <xdr:cNvSpPr txBox="1"/>
        </xdr:nvSpPr>
        <xdr:spPr>
          <a:xfrm>
            <a:off x="4437921" y="988272"/>
            <a:ext cx="1418579" cy="11753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Color</a:t>
            </a:r>
          </a:p>
          <a:p>
            <a:r>
              <a:rPr lang="en-US" sz="1100"/>
              <a:t>Flushing</a:t>
            </a:r>
          </a:p>
          <a:p>
            <a:r>
              <a:rPr lang="en-US" sz="1100"/>
              <a:t>Residence</a:t>
            </a:r>
          </a:p>
          <a:p>
            <a:r>
              <a:rPr lang="en-US" sz="1100"/>
              <a:t>Depth</a:t>
            </a:r>
          </a:p>
          <a:p>
            <a:r>
              <a:rPr lang="en-US" sz="1100"/>
              <a:t>Turbidity</a:t>
            </a:r>
          </a:p>
          <a:p>
            <a:r>
              <a:rPr lang="en-US" sz="1100"/>
              <a:t>Grazing</a:t>
            </a:r>
          </a:p>
        </xdr:txBody>
      </xdr:sp>
      <xdr:sp macro="" textlink="">
        <xdr:nvSpPr>
          <xdr:cNvPr id="37" name="TextBox 36"/>
          <xdr:cNvSpPr txBox="1"/>
        </xdr:nvSpPr>
        <xdr:spPr>
          <a:xfrm>
            <a:off x="6228117" y="982557"/>
            <a:ext cx="1509966" cy="9634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Algal Dominance Changes</a:t>
            </a:r>
          </a:p>
          <a:p>
            <a:r>
              <a:rPr lang="en-US" sz="1100"/>
              <a:t>- diatoms to flagellates</a:t>
            </a:r>
          </a:p>
          <a:p>
            <a:r>
              <a:rPr lang="en-US" sz="1100"/>
              <a:t>- benthic dominance to pelagic dominance</a:t>
            </a:r>
          </a:p>
        </xdr:txBody>
      </xdr:sp>
      <xdr:sp macro="" textlink="">
        <xdr:nvSpPr>
          <xdr:cNvPr id="40" name="TextBox 39"/>
          <xdr:cNvSpPr txBox="1"/>
        </xdr:nvSpPr>
        <xdr:spPr>
          <a:xfrm>
            <a:off x="6228117" y="2110314"/>
            <a:ext cx="1509966" cy="14797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Decreased Light Availability</a:t>
            </a:r>
          </a:p>
          <a:p>
            <a:r>
              <a:rPr lang="en-US" sz="1100"/>
              <a:t>- extreme Chl-a concentrations</a:t>
            </a:r>
          </a:p>
          <a:p>
            <a:r>
              <a:rPr lang="en-US" sz="1100"/>
              <a:t>- excess epiphytic</a:t>
            </a:r>
            <a:r>
              <a:rPr lang="en-US" sz="1100" baseline="0"/>
              <a:t> growth</a:t>
            </a:r>
          </a:p>
          <a:p>
            <a:r>
              <a:rPr lang="en-US" sz="1100" baseline="0"/>
              <a:t>- excess macroalgal growth</a:t>
            </a:r>
            <a:endParaRPr lang="en-US" sz="1100"/>
          </a:p>
        </xdr:txBody>
      </xdr:sp>
      <xdr:sp macro="" textlink="">
        <xdr:nvSpPr>
          <xdr:cNvPr id="42" name="TextBox 41"/>
          <xdr:cNvSpPr txBox="1"/>
        </xdr:nvSpPr>
        <xdr:spPr>
          <a:xfrm>
            <a:off x="6228117" y="3754326"/>
            <a:ext cx="1509966" cy="10015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Increased Organic Decomposition</a:t>
            </a:r>
          </a:p>
          <a:p>
            <a:r>
              <a:rPr lang="en-US" sz="1100"/>
              <a:t>- extreme Chl-a concentrations</a:t>
            </a:r>
          </a:p>
          <a:p>
            <a:r>
              <a:rPr lang="en-US" sz="1100"/>
              <a:t>- bacterial respiration</a:t>
            </a:r>
          </a:p>
        </xdr:txBody>
      </xdr:sp>
      <xdr:sp macro="" textlink="">
        <xdr:nvSpPr>
          <xdr:cNvPr id="57" name="TextBox 56"/>
          <xdr:cNvSpPr txBox="1"/>
        </xdr:nvSpPr>
        <xdr:spPr>
          <a:xfrm>
            <a:off x="7974210" y="350097"/>
            <a:ext cx="1509967"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Secondary Responses</a:t>
            </a:r>
          </a:p>
        </xdr:txBody>
      </xdr:sp>
      <xdr:sp macro="" textlink="">
        <xdr:nvSpPr>
          <xdr:cNvPr id="59" name="TextBox 58"/>
          <xdr:cNvSpPr txBox="1"/>
        </xdr:nvSpPr>
        <xdr:spPr>
          <a:xfrm>
            <a:off x="7974210" y="1087094"/>
            <a:ext cx="1509967" cy="754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Harmful Algae</a:t>
            </a:r>
          </a:p>
          <a:p>
            <a:r>
              <a:rPr lang="en-US" sz="1100"/>
              <a:t>- nuisance blooms</a:t>
            </a:r>
          </a:p>
          <a:p>
            <a:r>
              <a:rPr lang="en-US" sz="1100"/>
              <a:t>- toxic blooms</a:t>
            </a:r>
          </a:p>
        </xdr:txBody>
      </xdr:sp>
      <xdr:sp macro="" textlink="">
        <xdr:nvSpPr>
          <xdr:cNvPr id="61" name="TextBox 60"/>
          <xdr:cNvSpPr txBox="1"/>
        </xdr:nvSpPr>
        <xdr:spPr>
          <a:xfrm>
            <a:off x="7974210" y="2335818"/>
            <a:ext cx="1509967"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Loss of SAV</a:t>
            </a:r>
          </a:p>
          <a:p>
            <a:r>
              <a:rPr lang="en-US" sz="1100"/>
              <a:t>- reduced SAV spatial coverage</a:t>
            </a:r>
          </a:p>
          <a:p>
            <a:r>
              <a:rPr lang="en-US" sz="1100"/>
              <a:t>- negative SAV spatial coverage trends</a:t>
            </a:r>
          </a:p>
        </xdr:txBody>
      </xdr:sp>
      <xdr:sp macro="" textlink="">
        <xdr:nvSpPr>
          <xdr:cNvPr id="63" name="TextBox 62"/>
          <xdr:cNvSpPr txBox="1"/>
        </xdr:nvSpPr>
        <xdr:spPr>
          <a:xfrm>
            <a:off x="7974210" y="3821954"/>
            <a:ext cx="1509967" cy="866299"/>
          </a:xfrm>
          <a:prstGeom prst="rect">
            <a:avLst/>
          </a:prstGeom>
          <a:solidFill>
            <a:schemeClr val="lt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Low</a:t>
            </a:r>
            <a:r>
              <a:rPr lang="en-US" sz="1100" u="sng" baseline="0"/>
              <a:t> Dissolved Oxygen</a:t>
            </a:r>
            <a:endParaRPr lang="en-US" sz="1100" u="sng"/>
          </a:p>
          <a:p>
            <a:r>
              <a:rPr lang="en-US" sz="1100"/>
              <a:t>- anoxia</a:t>
            </a:r>
          </a:p>
          <a:p>
            <a:r>
              <a:rPr lang="en-US" sz="1100"/>
              <a:t>-</a:t>
            </a:r>
            <a:r>
              <a:rPr lang="en-US" sz="1100" baseline="0"/>
              <a:t> hypoxia</a:t>
            </a:r>
          </a:p>
          <a:p>
            <a:r>
              <a:rPr lang="en-US" sz="1100" baseline="0"/>
              <a:t>- biological stress</a:t>
            </a:r>
            <a:endParaRPr lang="en-US" sz="1100"/>
          </a:p>
        </xdr:txBody>
      </xdr:sp>
      <xdr:cxnSp macro="">
        <xdr:nvCxnSpPr>
          <xdr:cNvPr id="71" name="Straight Arrow Connector 70"/>
          <xdr:cNvCxnSpPr>
            <a:stCxn id="40" idx="3"/>
            <a:endCxn id="61" idx="1"/>
          </xdr:cNvCxnSpPr>
        </xdr:nvCxnSpPr>
        <xdr:spPr>
          <a:xfrm flipV="1">
            <a:off x="7738083" y="2850168"/>
            <a:ext cx="236127"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74" name="Straight Arrow Connector 73"/>
          <xdr:cNvCxnSpPr>
            <a:stCxn id="42" idx="3"/>
            <a:endCxn id="63" idx="1"/>
          </xdr:cNvCxnSpPr>
        </xdr:nvCxnSpPr>
        <xdr:spPr>
          <a:xfrm>
            <a:off x="7738083" y="4255103"/>
            <a:ext cx="236127"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77" name="Straight Arrow Connector 76"/>
          <xdr:cNvCxnSpPr>
            <a:stCxn id="37" idx="3"/>
            <a:endCxn id="59" idx="1"/>
          </xdr:cNvCxnSpPr>
        </xdr:nvCxnSpPr>
        <xdr:spPr>
          <a:xfrm>
            <a:off x="7738083" y="1464284"/>
            <a:ext cx="236127"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01" name="Straight Arrow Connector 100"/>
          <xdr:cNvCxnSpPr>
            <a:stCxn id="19" idx="2"/>
          </xdr:cNvCxnSpPr>
        </xdr:nvCxnSpPr>
        <xdr:spPr>
          <a:xfrm>
            <a:off x="5147211" y="2163658"/>
            <a:ext cx="10823" cy="18716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118" name="TextBox 117"/>
          <xdr:cNvSpPr txBox="1"/>
        </xdr:nvSpPr>
        <xdr:spPr>
          <a:xfrm>
            <a:off x="9879373" y="350097"/>
            <a:ext cx="1473390"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Impacts to Designated Uses</a:t>
            </a:r>
          </a:p>
        </xdr:txBody>
      </xdr:sp>
      <xdr:sp macro="" textlink="">
        <xdr:nvSpPr>
          <xdr:cNvPr id="120" name="TextBox 119"/>
          <xdr:cNvSpPr txBox="1"/>
        </xdr:nvSpPr>
        <xdr:spPr>
          <a:xfrm>
            <a:off x="9879373" y="2145737"/>
            <a:ext cx="1473390"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Wildlife habitat</a:t>
            </a:r>
          </a:p>
        </xdr:txBody>
      </xdr:sp>
      <xdr:sp macro="" textlink="">
        <xdr:nvSpPr>
          <xdr:cNvPr id="121" name="TextBox 120"/>
          <xdr:cNvSpPr txBox="1"/>
        </xdr:nvSpPr>
        <xdr:spPr>
          <a:xfrm>
            <a:off x="9879373" y="1611593"/>
            <a:ext cx="1473390"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Secondary contact recreation</a:t>
            </a:r>
          </a:p>
        </xdr:txBody>
      </xdr:sp>
      <xdr:sp macro="" textlink="">
        <xdr:nvSpPr>
          <xdr:cNvPr id="123" name="TextBox 122"/>
          <xdr:cNvSpPr txBox="1"/>
        </xdr:nvSpPr>
        <xdr:spPr>
          <a:xfrm>
            <a:off x="9879373" y="2679881"/>
            <a:ext cx="1473390"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Shellfish harvesting</a:t>
            </a:r>
          </a:p>
        </xdr:txBody>
      </xdr:sp>
      <xdr:cxnSp macro="">
        <xdr:nvCxnSpPr>
          <xdr:cNvPr id="136" name="Elbow Connector 135"/>
          <xdr:cNvCxnSpPr>
            <a:stCxn id="59" idx="3"/>
            <a:endCxn id="121" idx="1"/>
          </xdr:cNvCxnSpPr>
        </xdr:nvCxnSpPr>
        <xdr:spPr>
          <a:xfrm>
            <a:off x="9484177" y="1464284"/>
            <a:ext cx="395196" cy="389625"/>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39" name="Elbow Connector 138"/>
          <xdr:cNvCxnSpPr>
            <a:stCxn id="59" idx="3"/>
            <a:endCxn id="120" idx="1"/>
          </xdr:cNvCxnSpPr>
        </xdr:nvCxnSpPr>
        <xdr:spPr>
          <a:xfrm>
            <a:off x="9484177" y="1464284"/>
            <a:ext cx="395196" cy="923769"/>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42" name="Elbow Connector 141"/>
          <xdr:cNvCxnSpPr>
            <a:stCxn id="61" idx="3"/>
            <a:endCxn id="123" idx="1"/>
          </xdr:cNvCxnSpPr>
        </xdr:nvCxnSpPr>
        <xdr:spPr>
          <a:xfrm>
            <a:off x="9484177" y="2850168"/>
            <a:ext cx="395196" cy="7202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64" name="TextBox 63"/>
          <xdr:cNvSpPr txBox="1"/>
        </xdr:nvSpPr>
        <xdr:spPr>
          <a:xfrm>
            <a:off x="9879373" y="3214025"/>
            <a:ext cx="1473390"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Aquatic life (spawning</a:t>
            </a:r>
            <a:r>
              <a:rPr lang="en-US" sz="1100" baseline="0"/>
              <a:t>, rearing, etc.)</a:t>
            </a:r>
            <a:endParaRPr lang="en-US" sz="1100"/>
          </a:p>
        </xdr:txBody>
      </xdr:sp>
      <xdr:cxnSp macro="">
        <xdr:nvCxnSpPr>
          <xdr:cNvPr id="16" name="Elbow Connector 15"/>
          <xdr:cNvCxnSpPr>
            <a:stCxn id="63" idx="3"/>
            <a:endCxn id="64" idx="1"/>
          </xdr:cNvCxnSpPr>
        </xdr:nvCxnSpPr>
        <xdr:spPr>
          <a:xfrm flipV="1">
            <a:off x="9484177" y="3456341"/>
            <a:ext cx="395196" cy="798763"/>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75" name="TextBox 74">
            <a:hlinkClick xmlns:r="http://schemas.openxmlformats.org/officeDocument/2006/relationships" r:id="rId1"/>
          </xdr:cNvPr>
          <xdr:cNvSpPr txBox="1"/>
        </xdr:nvSpPr>
        <xdr:spPr>
          <a:xfrm>
            <a:off x="11746512" y="350091"/>
            <a:ext cx="2174832" cy="533400"/>
          </a:xfrm>
          <a:prstGeom prst="rect">
            <a:avLst/>
          </a:prstGeom>
          <a:solidFill>
            <a:schemeClr val="accent1">
              <a:lumMod val="20000"/>
              <a:lumOff val="80000"/>
            </a:schemeClr>
          </a:solidFill>
          <a:ln>
            <a:solidFill>
              <a:schemeClr val="accent2"/>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Economic Sectors Negatively Impacted</a:t>
            </a:r>
          </a:p>
        </xdr:txBody>
      </xdr:sp>
      <xdr:sp macro="" textlink="">
        <xdr:nvSpPr>
          <xdr:cNvPr id="76" name="TextBox 75">
            <a:hlinkClick xmlns:r="http://schemas.openxmlformats.org/officeDocument/2006/relationships" r:id="rId1"/>
          </xdr:cNvPr>
          <xdr:cNvSpPr txBox="1"/>
        </xdr:nvSpPr>
        <xdr:spPr>
          <a:xfrm>
            <a:off x="11746512" y="1255448"/>
            <a:ext cx="2174832" cy="1401743"/>
          </a:xfrm>
          <a:prstGeom prst="rect">
            <a:avLst/>
          </a:prstGeom>
          <a:solidFill>
            <a:schemeClr val="accent4">
              <a:lumMod val="20000"/>
              <a:lumOff val="80000"/>
            </a:schemeClr>
          </a:solidFill>
          <a:ln>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indent="0"/>
            <a:r>
              <a:rPr lang="en-US" sz="1100" u="none">
                <a:solidFill>
                  <a:schemeClr val="dk1"/>
                </a:solidFill>
                <a:latin typeface="+mn-lt"/>
                <a:ea typeface="+mn-ea"/>
                <a:cs typeface="+mn-cs"/>
              </a:rPr>
              <a:t>· Tourism-related industries (lodging, restaurants,</a:t>
            </a:r>
            <a:r>
              <a:rPr lang="en-US" sz="1100" u="none" baseline="0">
                <a:solidFill>
                  <a:schemeClr val="dk1"/>
                </a:solidFill>
                <a:latin typeface="+mn-lt"/>
                <a:ea typeface="+mn-ea"/>
                <a:cs typeface="+mn-cs"/>
              </a:rPr>
              <a:t> etc.)</a:t>
            </a:r>
            <a:endParaRPr lang="en-US" sz="1100" u="none">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u="none">
                <a:solidFill>
                  <a:schemeClr val="dk1"/>
                </a:solidFill>
                <a:latin typeface="+mn-lt"/>
                <a:ea typeface="+mn-ea"/>
                <a:cs typeface="+mn-cs"/>
              </a:rPr>
              <a:t>· Commercial</a:t>
            </a:r>
            <a:r>
              <a:rPr lang="en-US" sz="1100" u="none" baseline="0">
                <a:solidFill>
                  <a:schemeClr val="dk1"/>
                </a:solidFill>
                <a:latin typeface="+mn-lt"/>
                <a:ea typeface="+mn-ea"/>
                <a:cs typeface="+mn-cs"/>
              </a:rPr>
              <a:t> fisheries</a:t>
            </a:r>
            <a:endParaRPr lang="en-US" sz="1100" u="none">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u="none">
                <a:solidFill>
                  <a:schemeClr val="dk1"/>
                </a:solidFill>
                <a:latin typeface="+mn-lt"/>
                <a:ea typeface="+mn-ea"/>
                <a:cs typeface="+mn-cs"/>
              </a:rPr>
              <a:t>· Households</a:t>
            </a:r>
            <a:r>
              <a:rPr lang="en-US" sz="1100" u="none" baseline="0">
                <a:solidFill>
                  <a:schemeClr val="dk1"/>
                </a:solidFill>
                <a:latin typeface="+mn-lt"/>
                <a:ea typeface="+mn-ea"/>
                <a:cs typeface="+mn-cs"/>
              </a:rPr>
              <a:t> (housing values, adverse health effects, etc.)</a:t>
            </a:r>
            <a:endParaRPr lang="en-US" sz="1100" u="none">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u="none">
                <a:solidFill>
                  <a:schemeClr val="dk1"/>
                </a:solidFill>
                <a:latin typeface="+mn-lt"/>
                <a:ea typeface="+mn-ea"/>
                <a:cs typeface="+mn-cs"/>
              </a:rPr>
              <a:t>· Private industries (increased operating costs</a:t>
            </a:r>
            <a:r>
              <a:rPr lang="en-US" sz="1100" u="none" baseline="0">
                <a:solidFill>
                  <a:schemeClr val="dk1"/>
                </a:solidFill>
                <a:latin typeface="+mn-lt"/>
                <a:ea typeface="+mn-ea"/>
                <a:cs typeface="+mn-cs"/>
              </a:rPr>
              <a:t>)</a:t>
            </a:r>
            <a:endParaRPr lang="en-US" sz="1100" u="none">
              <a:solidFill>
                <a:schemeClr val="dk1"/>
              </a:solidFill>
              <a:latin typeface="+mn-lt"/>
              <a:ea typeface="+mn-ea"/>
              <a:cs typeface="+mn-cs"/>
            </a:endParaRPr>
          </a:p>
          <a:p>
            <a:pPr marL="0" indent="0"/>
            <a:endParaRPr lang="en-US" sz="1100" u="none">
              <a:solidFill>
                <a:schemeClr val="dk1"/>
              </a:solidFill>
              <a:latin typeface="+mn-lt"/>
              <a:ea typeface="+mn-ea"/>
              <a:cs typeface="+mn-cs"/>
            </a:endParaRPr>
          </a:p>
          <a:p>
            <a:pPr marL="0" indent="0"/>
            <a:endParaRPr lang="en-US" sz="1100" u="none">
              <a:solidFill>
                <a:schemeClr val="dk1"/>
              </a:solidFill>
              <a:latin typeface="+mn-lt"/>
              <a:ea typeface="+mn-ea"/>
              <a:cs typeface="+mn-cs"/>
            </a:endParaRPr>
          </a:p>
          <a:p>
            <a:pPr marL="0" indent="0"/>
            <a:endParaRPr lang="en-US" sz="1100" u="none">
              <a:solidFill>
                <a:schemeClr val="dk1"/>
              </a:solidFill>
              <a:latin typeface="+mn-lt"/>
              <a:ea typeface="+mn-ea"/>
              <a:cs typeface="+mn-cs"/>
            </a:endParaRPr>
          </a:p>
        </xdr:txBody>
      </xdr:sp>
      <xdr:sp macro="" textlink="">
        <xdr:nvSpPr>
          <xdr:cNvPr id="84" name="TextBox 83"/>
          <xdr:cNvSpPr txBox="1"/>
        </xdr:nvSpPr>
        <xdr:spPr>
          <a:xfrm>
            <a:off x="9879373" y="1077449"/>
            <a:ext cx="1473390"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Primary contact recreation</a:t>
            </a:r>
          </a:p>
        </xdr:txBody>
      </xdr:sp>
      <xdr:cxnSp macro="">
        <xdr:nvCxnSpPr>
          <xdr:cNvPr id="12" name="Elbow Connector 11"/>
          <xdr:cNvCxnSpPr>
            <a:stCxn id="63" idx="3"/>
            <a:endCxn id="84" idx="1"/>
          </xdr:cNvCxnSpPr>
        </xdr:nvCxnSpPr>
        <xdr:spPr>
          <a:xfrm flipV="1">
            <a:off x="9484177" y="1319765"/>
            <a:ext cx="395196" cy="2935339"/>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87" name="Elbow Connector 86"/>
          <xdr:cNvCxnSpPr>
            <a:stCxn id="84" idx="3"/>
            <a:endCxn id="76" idx="1"/>
          </xdr:cNvCxnSpPr>
        </xdr:nvCxnSpPr>
        <xdr:spPr>
          <a:xfrm>
            <a:off x="11352763" y="1319765"/>
            <a:ext cx="393749" cy="636555"/>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88" name="Elbow Connector 87"/>
          <xdr:cNvCxnSpPr>
            <a:stCxn id="121" idx="3"/>
            <a:endCxn id="76" idx="1"/>
          </xdr:cNvCxnSpPr>
        </xdr:nvCxnSpPr>
        <xdr:spPr>
          <a:xfrm>
            <a:off x="11352763" y="1853909"/>
            <a:ext cx="393749" cy="102411"/>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89" name="Elbow Connector 88"/>
          <xdr:cNvCxnSpPr>
            <a:stCxn id="120" idx="3"/>
            <a:endCxn id="76" idx="1"/>
          </xdr:cNvCxnSpPr>
        </xdr:nvCxnSpPr>
        <xdr:spPr>
          <a:xfrm flipV="1">
            <a:off x="11352763" y="1956320"/>
            <a:ext cx="393749" cy="431733"/>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90" name="Elbow Connector 89"/>
          <xdr:cNvCxnSpPr>
            <a:stCxn id="123" idx="3"/>
            <a:endCxn id="76" idx="1"/>
          </xdr:cNvCxnSpPr>
        </xdr:nvCxnSpPr>
        <xdr:spPr>
          <a:xfrm flipV="1">
            <a:off x="11352763" y="1956320"/>
            <a:ext cx="393749" cy="965877"/>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93" name="Elbow Connector 92"/>
          <xdr:cNvCxnSpPr>
            <a:stCxn id="64" idx="3"/>
            <a:endCxn id="76" idx="1"/>
          </xdr:cNvCxnSpPr>
        </xdr:nvCxnSpPr>
        <xdr:spPr>
          <a:xfrm flipV="1">
            <a:off x="11352763" y="1956320"/>
            <a:ext cx="393749" cy="1500021"/>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180" name="TextBox 179"/>
          <xdr:cNvSpPr txBox="1"/>
        </xdr:nvSpPr>
        <xdr:spPr>
          <a:xfrm>
            <a:off x="9879373" y="3748171"/>
            <a:ext cx="1473390" cy="484632"/>
          </a:xfrm>
          <a:prstGeom prst="rect">
            <a:avLst/>
          </a:prstGeom>
          <a:ln w="9525">
            <a:solidFill>
              <a:srgbClr val="BCBCB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Industrial water supply</a:t>
            </a:r>
          </a:p>
        </xdr:txBody>
      </xdr:sp>
      <xdr:cxnSp macro="">
        <xdr:nvCxnSpPr>
          <xdr:cNvPr id="181" name="Elbow Connector 180"/>
          <xdr:cNvCxnSpPr>
            <a:stCxn id="61" idx="3"/>
            <a:endCxn id="180" idx="1"/>
          </xdr:cNvCxnSpPr>
        </xdr:nvCxnSpPr>
        <xdr:spPr>
          <a:xfrm>
            <a:off x="9484177" y="2850168"/>
            <a:ext cx="395196" cy="114031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84" name="Elbow Connector 183"/>
          <xdr:cNvCxnSpPr>
            <a:stCxn id="180" idx="3"/>
            <a:endCxn id="76" idx="1"/>
          </xdr:cNvCxnSpPr>
        </xdr:nvCxnSpPr>
        <xdr:spPr>
          <a:xfrm flipV="1">
            <a:off x="11352763" y="1956320"/>
            <a:ext cx="393749" cy="2034167"/>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70" name="TextBox 69"/>
          <xdr:cNvSpPr txBox="1"/>
        </xdr:nvSpPr>
        <xdr:spPr>
          <a:xfrm>
            <a:off x="1120801" y="988272"/>
            <a:ext cx="1325880" cy="1068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Agriculture</a:t>
            </a:r>
          </a:p>
          <a:p>
            <a:r>
              <a:rPr lang="en-US" sz="1100"/>
              <a:t>Industrial Sources</a:t>
            </a:r>
          </a:p>
          <a:p>
            <a:r>
              <a:rPr lang="en-US" sz="1100"/>
              <a:t>Municipal</a:t>
            </a:r>
            <a:r>
              <a:rPr lang="en-US" sz="1100" baseline="0"/>
              <a:t> Sources</a:t>
            </a:r>
          </a:p>
          <a:p>
            <a:r>
              <a:rPr lang="en-US" sz="1100" baseline="0"/>
              <a:t>Septics</a:t>
            </a:r>
          </a:p>
          <a:p>
            <a:r>
              <a:rPr lang="en-US" sz="1100" baseline="0"/>
              <a:t>Urban Runoff</a:t>
            </a:r>
          </a:p>
        </xdr:txBody>
      </xdr:sp>
      <xdr:cxnSp macro="">
        <xdr:nvCxnSpPr>
          <xdr:cNvPr id="22" name="Elbow Connector 21"/>
          <xdr:cNvCxnSpPr>
            <a:stCxn id="70" idx="3"/>
            <a:endCxn id="11" idx="1"/>
          </xdr:cNvCxnSpPr>
        </xdr:nvCxnSpPr>
        <xdr:spPr>
          <a:xfrm>
            <a:off x="2446681" y="1522625"/>
            <a:ext cx="568351" cy="818680"/>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xdr:cNvSpPr txBox="1"/>
        </xdr:nvSpPr>
        <xdr:spPr>
          <a:xfrm>
            <a:off x="3015032" y="2107942"/>
            <a:ext cx="936520"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Nitrogen</a:t>
            </a:r>
          </a:p>
          <a:p>
            <a:pPr algn="ctr"/>
            <a:r>
              <a:rPr lang="en-US" sz="1100"/>
              <a:t>Phosphorus</a:t>
            </a:r>
          </a:p>
        </xdr:txBody>
      </xdr:sp>
      <xdr:sp macro="" textlink="">
        <xdr:nvSpPr>
          <xdr:cNvPr id="95" name="TextBox 94"/>
          <xdr:cNvSpPr txBox="1"/>
        </xdr:nvSpPr>
        <xdr:spPr>
          <a:xfrm>
            <a:off x="2784793" y="350097"/>
            <a:ext cx="1396999" cy="533400"/>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Nutrient Loading [1]</a:t>
            </a:r>
          </a:p>
        </xdr:txBody>
      </xdr:sp>
      <xdr:grpSp>
        <xdr:nvGrpSpPr>
          <xdr:cNvPr id="30" name="Group 29"/>
          <xdr:cNvGrpSpPr/>
        </xdr:nvGrpSpPr>
        <xdr:grpSpPr>
          <a:xfrm>
            <a:off x="131656" y="2802584"/>
            <a:ext cx="3288670" cy="2713028"/>
            <a:chOff x="142239" y="3210033"/>
            <a:chExt cx="3301900" cy="2713028"/>
          </a:xfrm>
        </xdr:grpSpPr>
        <xdr:sp macro="" textlink="">
          <xdr:nvSpPr>
            <xdr:cNvPr id="62" name="TextBox 61">
              <a:hlinkClick xmlns:r="http://schemas.openxmlformats.org/officeDocument/2006/relationships" r:id="rId2"/>
            </xdr:cNvPr>
            <xdr:cNvSpPr txBox="1"/>
          </xdr:nvSpPr>
          <xdr:spPr>
            <a:xfrm>
              <a:off x="1277213" y="3917552"/>
              <a:ext cx="1031953" cy="459870"/>
            </a:xfrm>
            <a:prstGeom prst="rect">
              <a:avLst/>
            </a:prstGeom>
            <a:solidFill>
              <a:schemeClr val="accent4">
                <a:lumMod val="20000"/>
                <a:lumOff val="80000"/>
              </a:schemeClr>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Urban</a:t>
              </a:r>
              <a:r>
                <a:rPr lang="en-US" sz="1100" baseline="0"/>
                <a:t> Runoff</a:t>
              </a:r>
              <a:endParaRPr lang="en-US" sz="1100"/>
            </a:p>
          </xdr:txBody>
        </xdr:sp>
        <xdr:sp macro="" textlink="">
          <xdr:nvSpPr>
            <xdr:cNvPr id="67" name="TextBox 66">
              <a:hlinkClick xmlns:r="http://schemas.openxmlformats.org/officeDocument/2006/relationships" r:id="rId3"/>
            </xdr:cNvPr>
            <xdr:cNvSpPr txBox="1"/>
          </xdr:nvSpPr>
          <xdr:spPr>
            <a:xfrm>
              <a:off x="1277213" y="4947977"/>
              <a:ext cx="1031953" cy="459870"/>
            </a:xfrm>
            <a:prstGeom prst="rect">
              <a:avLst/>
            </a:prstGeom>
            <a:solidFill>
              <a:schemeClr val="accent4">
                <a:lumMod val="20000"/>
                <a:lumOff val="80000"/>
              </a:schemeClr>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Livestock Management</a:t>
              </a:r>
            </a:p>
          </xdr:txBody>
        </xdr:sp>
        <xdr:sp macro="" textlink="">
          <xdr:nvSpPr>
            <xdr:cNvPr id="69" name="TextBox 68">
              <a:hlinkClick xmlns:r="http://schemas.openxmlformats.org/officeDocument/2006/relationships" r:id="rId4"/>
            </xdr:cNvPr>
            <xdr:cNvSpPr txBox="1"/>
          </xdr:nvSpPr>
          <xdr:spPr>
            <a:xfrm>
              <a:off x="1277213" y="4432765"/>
              <a:ext cx="1031953" cy="459870"/>
            </a:xfrm>
            <a:prstGeom prst="rect">
              <a:avLst/>
            </a:prstGeom>
            <a:solidFill>
              <a:schemeClr val="accent4">
                <a:lumMod val="20000"/>
                <a:lumOff val="80000"/>
              </a:schemeClr>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baseline="0"/>
                <a:t>Cropland Management</a:t>
              </a:r>
              <a:endParaRPr lang="en-US" sz="1100"/>
            </a:p>
          </xdr:txBody>
        </xdr:sp>
        <xdr:sp macro="" textlink="">
          <xdr:nvSpPr>
            <xdr:cNvPr id="72" name="TextBox 71">
              <a:hlinkClick xmlns:r="http://schemas.openxmlformats.org/officeDocument/2006/relationships" r:id="rId5"/>
            </xdr:cNvPr>
            <xdr:cNvSpPr txBox="1"/>
          </xdr:nvSpPr>
          <xdr:spPr>
            <a:xfrm>
              <a:off x="142239" y="3917552"/>
              <a:ext cx="1031951" cy="459870"/>
            </a:xfrm>
            <a:prstGeom prst="rect">
              <a:avLst/>
            </a:prstGeom>
            <a:solidFill>
              <a:schemeClr val="accent4">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Municipal</a:t>
              </a:r>
              <a:r>
                <a:rPr lang="en-US" sz="1100" baseline="0"/>
                <a:t> Treatment</a:t>
              </a:r>
              <a:endParaRPr lang="en-US" sz="1100"/>
            </a:p>
          </xdr:txBody>
        </xdr:sp>
        <xdr:sp macro="" textlink="">
          <xdr:nvSpPr>
            <xdr:cNvPr id="73" name="TextBox 72">
              <a:hlinkClick xmlns:r="http://schemas.openxmlformats.org/officeDocument/2006/relationships" r:id="rId6"/>
            </xdr:cNvPr>
            <xdr:cNvSpPr txBox="1"/>
          </xdr:nvSpPr>
          <xdr:spPr>
            <a:xfrm>
              <a:off x="142239" y="4947977"/>
              <a:ext cx="1031951" cy="459870"/>
            </a:xfrm>
            <a:prstGeom prst="rect">
              <a:avLst/>
            </a:prstGeom>
            <a:solidFill>
              <a:schemeClr val="accent4">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Decentralized</a:t>
              </a:r>
            </a:p>
          </xdr:txBody>
        </xdr:sp>
        <xdr:sp macro="" textlink="">
          <xdr:nvSpPr>
            <xdr:cNvPr id="78" name="TextBox 77">
              <a:hlinkClick xmlns:r="http://schemas.openxmlformats.org/officeDocument/2006/relationships" r:id="rId7"/>
            </xdr:cNvPr>
            <xdr:cNvSpPr txBox="1"/>
          </xdr:nvSpPr>
          <xdr:spPr>
            <a:xfrm>
              <a:off x="142239" y="4432765"/>
              <a:ext cx="1031951" cy="459870"/>
            </a:xfrm>
            <a:prstGeom prst="rect">
              <a:avLst/>
            </a:prstGeom>
            <a:solidFill>
              <a:schemeClr val="accent4">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baseline="0"/>
                <a:t>Industrial Treatment</a:t>
              </a:r>
              <a:endParaRPr lang="en-US" sz="1100"/>
            </a:p>
          </xdr:txBody>
        </xdr:sp>
        <xdr:sp macro="" textlink="">
          <xdr:nvSpPr>
            <xdr:cNvPr id="79" name="TextBox 78">
              <a:hlinkClick xmlns:r="http://schemas.openxmlformats.org/officeDocument/2006/relationships" r:id="rId8"/>
            </xdr:cNvPr>
            <xdr:cNvSpPr txBox="1"/>
          </xdr:nvSpPr>
          <xdr:spPr>
            <a:xfrm>
              <a:off x="2412187" y="3210033"/>
              <a:ext cx="1031952" cy="652177"/>
            </a:xfrm>
            <a:prstGeom prst="rect">
              <a:avLst/>
            </a:prstGeom>
            <a:solidFill>
              <a:schemeClr val="accent4">
                <a:lumMod val="40000"/>
                <a:lumOff val="60000"/>
              </a:schemeClr>
            </a:solidFill>
            <a:ln>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Long-Term Restoration</a:t>
              </a:r>
            </a:p>
          </xdr:txBody>
        </xdr:sp>
        <xdr:sp macro="" textlink="">
          <xdr:nvSpPr>
            <xdr:cNvPr id="80" name="TextBox 79">
              <a:hlinkClick xmlns:r="http://schemas.openxmlformats.org/officeDocument/2006/relationships" r:id="rId9"/>
            </xdr:cNvPr>
            <xdr:cNvSpPr txBox="1"/>
          </xdr:nvSpPr>
          <xdr:spPr>
            <a:xfrm>
              <a:off x="142239" y="3210033"/>
              <a:ext cx="1031951" cy="652177"/>
            </a:xfrm>
            <a:prstGeom prst="rect">
              <a:avLst/>
            </a:prstGeom>
            <a:solidFill>
              <a:schemeClr val="accent4">
                <a:lumMod val="40000"/>
                <a:lumOff val="60000"/>
              </a:schemeClr>
            </a:solidFill>
            <a:ln>
              <a:solidFill>
                <a:schemeClr val="accent6"/>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Point Source Controls</a:t>
              </a:r>
            </a:p>
          </xdr:txBody>
        </xdr:sp>
        <xdr:sp macro="" textlink="">
          <xdr:nvSpPr>
            <xdr:cNvPr id="81" name="TextBox 80">
              <a:hlinkClick xmlns:r="http://schemas.openxmlformats.org/officeDocument/2006/relationships" r:id="rId10"/>
            </xdr:cNvPr>
            <xdr:cNvSpPr txBox="1"/>
          </xdr:nvSpPr>
          <xdr:spPr>
            <a:xfrm>
              <a:off x="1277213" y="3210033"/>
              <a:ext cx="1031953" cy="652177"/>
            </a:xfrm>
            <a:prstGeom prst="rect">
              <a:avLst/>
            </a:prstGeom>
            <a:solidFill>
              <a:schemeClr val="accent4">
                <a:lumMod val="40000"/>
                <a:lumOff val="60000"/>
              </a:schemeClr>
            </a:solidFill>
            <a:ln>
              <a:solidFill>
                <a:schemeClr val="accent3"/>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Nonpoint Source Controls</a:t>
              </a:r>
            </a:p>
          </xdr:txBody>
        </xdr:sp>
        <xdr:sp macro="" textlink="">
          <xdr:nvSpPr>
            <xdr:cNvPr id="82" name="TextBox 81">
              <a:hlinkClick xmlns:r="http://schemas.openxmlformats.org/officeDocument/2006/relationships" r:id="rId8"/>
            </xdr:cNvPr>
            <xdr:cNvSpPr txBox="1"/>
          </xdr:nvSpPr>
          <xdr:spPr>
            <a:xfrm>
              <a:off x="2412187" y="3917552"/>
              <a:ext cx="1031952" cy="459870"/>
            </a:xfrm>
            <a:prstGeom prst="rect">
              <a:avLst/>
            </a:prstGeom>
            <a:solidFill>
              <a:schemeClr val="accent4">
                <a:lumMod val="20000"/>
                <a:lumOff val="80000"/>
              </a:schemeClr>
            </a:solidFill>
            <a:ln>
              <a:solidFill>
                <a:schemeClr val="bg2">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TMDLs</a:t>
              </a:r>
            </a:p>
          </xdr:txBody>
        </xdr:sp>
        <xdr:sp macro="" textlink="">
          <xdr:nvSpPr>
            <xdr:cNvPr id="83" name="TextBox 82">
              <a:hlinkClick xmlns:r="http://schemas.openxmlformats.org/officeDocument/2006/relationships" r:id="rId8"/>
            </xdr:cNvPr>
            <xdr:cNvSpPr txBox="1"/>
          </xdr:nvSpPr>
          <xdr:spPr>
            <a:xfrm>
              <a:off x="2412187" y="4947977"/>
              <a:ext cx="1031952" cy="459870"/>
            </a:xfrm>
            <a:prstGeom prst="rect">
              <a:avLst/>
            </a:prstGeom>
            <a:solidFill>
              <a:schemeClr val="accent4">
                <a:lumMod val="20000"/>
                <a:lumOff val="80000"/>
              </a:schemeClr>
            </a:solidFill>
            <a:ln>
              <a:solidFill>
                <a:schemeClr val="bg2">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Watershed Planning</a:t>
              </a:r>
            </a:p>
          </xdr:txBody>
        </xdr:sp>
        <xdr:sp macro="" textlink="">
          <xdr:nvSpPr>
            <xdr:cNvPr id="85" name="TextBox 84">
              <a:hlinkClick xmlns:r="http://schemas.openxmlformats.org/officeDocument/2006/relationships" r:id="rId8"/>
            </xdr:cNvPr>
            <xdr:cNvSpPr txBox="1"/>
          </xdr:nvSpPr>
          <xdr:spPr>
            <a:xfrm>
              <a:off x="2412187" y="4432765"/>
              <a:ext cx="1031952" cy="459870"/>
            </a:xfrm>
            <a:prstGeom prst="rect">
              <a:avLst/>
            </a:prstGeom>
            <a:solidFill>
              <a:schemeClr val="accent4">
                <a:lumMod val="20000"/>
                <a:lumOff val="80000"/>
              </a:schemeClr>
            </a:solidFill>
            <a:ln>
              <a:solidFill>
                <a:schemeClr val="bg2">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Pollutant Trading</a:t>
              </a:r>
            </a:p>
          </xdr:txBody>
        </xdr:sp>
        <xdr:sp macro="" textlink="">
          <xdr:nvSpPr>
            <xdr:cNvPr id="86" name="TextBox 85"/>
            <xdr:cNvSpPr txBox="1"/>
          </xdr:nvSpPr>
          <xdr:spPr>
            <a:xfrm>
              <a:off x="1277213" y="5463191"/>
              <a:ext cx="1031953" cy="459870"/>
            </a:xfrm>
            <a:prstGeom prst="rect">
              <a:avLst/>
            </a:prstGeom>
            <a:solidFill>
              <a:schemeClr val="accent4">
                <a:lumMod val="20000"/>
                <a:lumOff val="80000"/>
              </a:schemeClr>
            </a:solidFill>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sz="1100"/>
                <a:t>Forestry</a:t>
              </a:r>
            </a:p>
          </xdr:txBody>
        </xdr:sp>
      </xdr:grpSp>
      <xdr:cxnSp macro="">
        <xdr:nvCxnSpPr>
          <xdr:cNvPr id="50" name="Elbow Connector 49"/>
          <xdr:cNvCxnSpPr>
            <a:stCxn id="80" idx="0"/>
            <a:endCxn id="70" idx="2"/>
          </xdr:cNvCxnSpPr>
        </xdr:nvCxnSpPr>
        <xdr:spPr>
          <a:xfrm rot="5400000" flipH="1" flipV="1">
            <a:off x="841849" y="1860693"/>
            <a:ext cx="745607" cy="1138177"/>
          </a:xfrm>
          <a:prstGeom prst="bent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52" name="Elbow Connector 51"/>
          <xdr:cNvCxnSpPr>
            <a:stCxn id="81" idx="0"/>
            <a:endCxn id="70" idx="2"/>
          </xdr:cNvCxnSpPr>
        </xdr:nvCxnSpPr>
        <xdr:spPr>
          <a:xfrm rot="5400000" flipH="1" flipV="1">
            <a:off x="1407063" y="2425906"/>
            <a:ext cx="745607" cy="7750"/>
          </a:xfrm>
          <a:prstGeom prst="bent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1" name="Elbow Connector 90"/>
          <xdr:cNvCxnSpPr>
            <a:stCxn id="79" idx="0"/>
            <a:endCxn id="70" idx="2"/>
          </xdr:cNvCxnSpPr>
        </xdr:nvCxnSpPr>
        <xdr:spPr>
          <a:xfrm rot="16200000" flipV="1">
            <a:off x="1972277" y="1868442"/>
            <a:ext cx="745607" cy="1122677"/>
          </a:xfrm>
          <a:prstGeom prst="bent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4" name="Elbow Connector 93"/>
          <xdr:cNvCxnSpPr>
            <a:stCxn id="11" idx="3"/>
            <a:endCxn id="40" idx="1"/>
          </xdr:cNvCxnSpPr>
        </xdr:nvCxnSpPr>
        <xdr:spPr>
          <a:xfrm>
            <a:off x="3951552" y="2341305"/>
            <a:ext cx="2276565" cy="508864"/>
          </a:xfrm>
          <a:prstGeom prst="bentConnector3">
            <a:avLst>
              <a:gd name="adj1" fmla="val 91125"/>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7" name="Elbow Connector 96"/>
          <xdr:cNvCxnSpPr>
            <a:stCxn id="11" idx="3"/>
            <a:endCxn id="37" idx="1"/>
          </xdr:cNvCxnSpPr>
        </xdr:nvCxnSpPr>
        <xdr:spPr>
          <a:xfrm flipV="1">
            <a:off x="3951552" y="1464284"/>
            <a:ext cx="2276565" cy="877021"/>
          </a:xfrm>
          <a:prstGeom prst="bentConnector3">
            <a:avLst>
              <a:gd name="adj1" fmla="val 91125"/>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9" name="Elbow Connector 98"/>
          <xdr:cNvCxnSpPr>
            <a:stCxn id="11" idx="3"/>
            <a:endCxn id="42" idx="1"/>
          </xdr:cNvCxnSpPr>
        </xdr:nvCxnSpPr>
        <xdr:spPr>
          <a:xfrm>
            <a:off x="3951552" y="2341305"/>
            <a:ext cx="2276565" cy="1913798"/>
          </a:xfrm>
          <a:prstGeom prst="bentConnector3">
            <a:avLst>
              <a:gd name="adj1" fmla="val 91125"/>
            </a:avLst>
          </a:prstGeom>
          <a:ln>
            <a:solidFill>
              <a:sysClr val="windowText" lastClr="000000"/>
            </a:solidFill>
            <a:beve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5" name="TextBox 64"/>
          <xdr:cNvSpPr txBox="1"/>
        </xdr:nvSpPr>
        <xdr:spPr>
          <a:xfrm>
            <a:off x="117845" y="5681139"/>
            <a:ext cx="13771516"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mn-lt"/>
                <a:ea typeface="+mn-ea"/>
                <a:cs typeface="+mn-cs"/>
              </a:rPr>
              <a:t>Source: Based on Weaver (2010)</a:t>
            </a:r>
            <a:endParaRPr lang="en-US" sz="1100" baseline="0">
              <a:solidFill>
                <a:schemeClr val="tx1"/>
              </a:solidFill>
              <a:effectLst/>
              <a:latin typeface="+mn-lt"/>
              <a:ea typeface="+mn-ea"/>
              <a:cs typeface="+mn-cs"/>
            </a:endParaRPr>
          </a:p>
          <a:p>
            <a:r>
              <a:rPr lang="en-US" sz="1100"/>
              <a:t>1. Loads to surface waters. Infiltration throughout the watershed may also contaminate groundwater used for drinking water source water.</a:t>
            </a:r>
          </a:p>
        </xdr:txBody>
      </xdr:sp>
    </xdr:grpSp>
    <xdr:clientData/>
  </xdr:twoCellAnchor>
  <xdr:twoCellAnchor>
    <xdr:from>
      <xdr:col>1</xdr:col>
      <xdr:colOff>315479</xdr:colOff>
      <xdr:row>0</xdr:row>
      <xdr:rowOff>47625</xdr:rowOff>
    </xdr:from>
    <xdr:to>
      <xdr:col>2</xdr:col>
      <xdr:colOff>384064</xdr:colOff>
      <xdr:row>1</xdr:row>
      <xdr:rowOff>101134</xdr:rowOff>
    </xdr:to>
    <xdr:sp macro="" textlink="">
      <xdr:nvSpPr>
        <xdr:cNvPr id="66" name="TextBox 65">
          <a:hlinkClick xmlns:r="http://schemas.openxmlformats.org/officeDocument/2006/relationships" r:id="rId11"/>
        </xdr:cNvPr>
        <xdr:cNvSpPr txBox="1"/>
      </xdr:nvSpPr>
      <xdr:spPr>
        <a:xfrm>
          <a:off x="908146" y="47625"/>
          <a:ext cx="661251" cy="265176"/>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0</xdr:col>
      <xdr:colOff>95249</xdr:colOff>
      <xdr:row>0</xdr:row>
      <xdr:rowOff>47625</xdr:rowOff>
    </xdr:from>
    <xdr:to>
      <xdr:col>1</xdr:col>
      <xdr:colOff>179916</xdr:colOff>
      <xdr:row>1</xdr:row>
      <xdr:rowOff>101134</xdr:rowOff>
    </xdr:to>
    <xdr:sp macro="" textlink="">
      <xdr:nvSpPr>
        <xdr:cNvPr id="68" name="TextBox 67">
          <a:hlinkClick xmlns:r="http://schemas.openxmlformats.org/officeDocument/2006/relationships" r:id="rId12"/>
        </xdr:cNvPr>
        <xdr:cNvSpPr txBox="1"/>
      </xdr:nvSpPr>
      <xdr:spPr>
        <a:xfrm>
          <a:off x="95249" y="47625"/>
          <a:ext cx="677334" cy="265176"/>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747713</xdr:colOff>
      <xdr:row>0</xdr:row>
      <xdr:rowOff>66675</xdr:rowOff>
    </xdr:from>
    <xdr:to>
      <xdr:col>3</xdr:col>
      <xdr:colOff>338138</xdr:colOff>
      <xdr:row>1</xdr:row>
      <xdr:rowOff>142875</xdr:rowOff>
    </xdr:to>
    <xdr:sp macro="" textlink="">
      <xdr:nvSpPr>
        <xdr:cNvPr id="2" name="TextBox 1">
          <a:hlinkClick xmlns:r="http://schemas.openxmlformats.org/officeDocument/2006/relationships" r:id="rId1"/>
        </xdr:cNvPr>
        <xdr:cNvSpPr txBox="1"/>
      </xdr:nvSpPr>
      <xdr:spPr>
        <a:xfrm>
          <a:off x="900113" y="6667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0</xdr:col>
      <xdr:colOff>123825</xdr:colOff>
      <xdr:row>0</xdr:row>
      <xdr:rowOff>66675</xdr:rowOff>
    </xdr:from>
    <xdr:to>
      <xdr:col>1</xdr:col>
      <xdr:colOff>628651</xdr:colOff>
      <xdr:row>1</xdr:row>
      <xdr:rowOff>142875</xdr:rowOff>
    </xdr:to>
    <xdr:sp macro="" textlink="">
      <xdr:nvSpPr>
        <xdr:cNvPr id="3" name="TextBox 2">
          <a:hlinkClick xmlns:r="http://schemas.openxmlformats.org/officeDocument/2006/relationships" r:id="rId2"/>
        </xdr:cNvPr>
        <xdr:cNvSpPr txBox="1"/>
      </xdr:nvSpPr>
      <xdr:spPr>
        <a:xfrm>
          <a:off x="123825" y="6667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115728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885825</xdr:colOff>
      <xdr:row>0</xdr:row>
      <xdr:rowOff>47625</xdr:rowOff>
    </xdr:from>
    <xdr:to>
      <xdr:col>2</xdr:col>
      <xdr:colOff>866775</xdr:colOff>
      <xdr:row>1</xdr:row>
      <xdr:rowOff>104775</xdr:rowOff>
    </xdr:to>
    <xdr:sp macro="" textlink="">
      <xdr:nvSpPr>
        <xdr:cNvPr id="3" name="TextBox 2">
          <a:hlinkClick xmlns:r="http://schemas.openxmlformats.org/officeDocument/2006/relationships" r:id="rId2"/>
        </xdr:cNvPr>
        <xdr:cNvSpPr txBox="1"/>
      </xdr:nvSpPr>
      <xdr:spPr>
        <a:xfrm>
          <a:off x="1781175" y="47625"/>
          <a:ext cx="128587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 Sources</a:t>
          </a:r>
        </a:p>
      </xdr:txBody>
    </xdr:sp>
    <xdr:clientData/>
  </xdr:twoCellAnchor>
  <xdr:twoCellAnchor>
    <xdr:from>
      <xdr:col>3</xdr:col>
      <xdr:colOff>114300</xdr:colOff>
      <xdr:row>0</xdr:row>
      <xdr:rowOff>47625</xdr:rowOff>
    </xdr:from>
    <xdr:to>
      <xdr:col>4</xdr:col>
      <xdr:colOff>200025</xdr:colOff>
      <xdr:row>1</xdr:row>
      <xdr:rowOff>104775</xdr:rowOff>
    </xdr:to>
    <xdr:sp macro="" textlink="">
      <xdr:nvSpPr>
        <xdr:cNvPr id="4" name="TextBox 3">
          <a:hlinkClick xmlns:r="http://schemas.openxmlformats.org/officeDocument/2006/relationships" r:id="rId3"/>
        </xdr:cNvPr>
        <xdr:cNvSpPr txBox="1"/>
      </xdr:nvSpPr>
      <xdr:spPr>
        <a:xfrm>
          <a:off x="3257550" y="47625"/>
          <a:ext cx="107632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92868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885825</xdr:colOff>
      <xdr:row>0</xdr:row>
      <xdr:rowOff>47625</xdr:rowOff>
    </xdr:from>
    <xdr:to>
      <xdr:col>2</xdr:col>
      <xdr:colOff>638175</xdr:colOff>
      <xdr:row>1</xdr:row>
      <xdr:rowOff>104775</xdr:rowOff>
    </xdr:to>
    <xdr:sp macro="" textlink="">
      <xdr:nvSpPr>
        <xdr:cNvPr id="3" name="TextBox 2">
          <a:hlinkClick xmlns:r="http://schemas.openxmlformats.org/officeDocument/2006/relationships" r:id="rId2"/>
        </xdr:cNvPr>
        <xdr:cNvSpPr txBox="1"/>
      </xdr:nvSpPr>
      <xdr:spPr>
        <a:xfrm>
          <a:off x="1781175" y="47625"/>
          <a:ext cx="129540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 Sources</a:t>
          </a:r>
        </a:p>
      </xdr:txBody>
    </xdr:sp>
    <xdr:clientData/>
  </xdr:twoCellAnchor>
  <xdr:twoCellAnchor>
    <xdr:from>
      <xdr:col>2</xdr:col>
      <xdr:colOff>809625</xdr:colOff>
      <xdr:row>0</xdr:row>
      <xdr:rowOff>47625</xdr:rowOff>
    </xdr:from>
    <xdr:to>
      <xdr:col>3</xdr:col>
      <xdr:colOff>581025</xdr:colOff>
      <xdr:row>1</xdr:row>
      <xdr:rowOff>104775</xdr:rowOff>
    </xdr:to>
    <xdr:sp macro="" textlink="">
      <xdr:nvSpPr>
        <xdr:cNvPr id="4" name="TextBox 3">
          <a:hlinkClick xmlns:r="http://schemas.openxmlformats.org/officeDocument/2006/relationships" r:id="rId3"/>
        </xdr:cNvPr>
        <xdr:cNvSpPr txBox="1"/>
      </xdr:nvSpPr>
      <xdr:spPr>
        <a:xfrm>
          <a:off x="3248025" y="47625"/>
          <a:ext cx="9334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33337</xdr:colOff>
      <xdr:row>0</xdr:row>
      <xdr:rowOff>47625</xdr:rowOff>
    </xdr:from>
    <xdr:to>
      <xdr:col>1</xdr:col>
      <xdr:colOff>738187</xdr:colOff>
      <xdr:row>1</xdr:row>
      <xdr:rowOff>104775</xdr:rowOff>
    </xdr:to>
    <xdr:sp macro="" textlink="">
      <xdr:nvSpPr>
        <xdr:cNvPr id="2" name="TextBox 1">
          <a:hlinkClick xmlns:r="http://schemas.openxmlformats.org/officeDocument/2006/relationships" r:id="rId1"/>
        </xdr:cNvPr>
        <xdr:cNvSpPr txBox="1"/>
      </xdr:nvSpPr>
      <xdr:spPr>
        <a:xfrm>
          <a:off x="928687" y="47625"/>
          <a:ext cx="70485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1</xdr:col>
      <xdr:colOff>885826</xdr:colOff>
      <xdr:row>0</xdr:row>
      <xdr:rowOff>47625</xdr:rowOff>
    </xdr:from>
    <xdr:to>
      <xdr:col>1</xdr:col>
      <xdr:colOff>2105026</xdr:colOff>
      <xdr:row>1</xdr:row>
      <xdr:rowOff>104775</xdr:rowOff>
    </xdr:to>
    <xdr:sp macro="" textlink="">
      <xdr:nvSpPr>
        <xdr:cNvPr id="3" name="TextBox 2">
          <a:hlinkClick xmlns:r="http://schemas.openxmlformats.org/officeDocument/2006/relationships" r:id="rId2"/>
        </xdr:cNvPr>
        <xdr:cNvSpPr txBox="1"/>
      </xdr:nvSpPr>
      <xdr:spPr>
        <a:xfrm>
          <a:off x="1762126" y="47625"/>
          <a:ext cx="121920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 Sources</a:t>
          </a:r>
        </a:p>
      </xdr:txBody>
    </xdr:sp>
    <xdr:clientData/>
  </xdr:twoCellAnchor>
  <xdr:twoCellAnchor>
    <xdr:from>
      <xdr:col>1</xdr:col>
      <xdr:colOff>2286000</xdr:colOff>
      <xdr:row>0</xdr:row>
      <xdr:rowOff>47625</xdr:rowOff>
    </xdr:from>
    <xdr:to>
      <xdr:col>2</xdr:col>
      <xdr:colOff>266700</xdr:colOff>
      <xdr:row>1</xdr:row>
      <xdr:rowOff>104775</xdr:rowOff>
    </xdr:to>
    <xdr:sp macro="" textlink="">
      <xdr:nvSpPr>
        <xdr:cNvPr id="4" name="TextBox 3">
          <a:hlinkClick xmlns:r="http://schemas.openxmlformats.org/officeDocument/2006/relationships" r:id="rId3"/>
        </xdr:cNvPr>
        <xdr:cNvSpPr txBox="1"/>
      </xdr:nvSpPr>
      <xdr:spPr>
        <a:xfrm>
          <a:off x="3162300" y="47625"/>
          <a:ext cx="1028700"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References</a:t>
          </a:r>
        </a:p>
      </xdr:txBody>
    </xdr:sp>
    <xdr:clientData/>
  </xdr:twoCellAnchor>
  <xdr:twoCellAnchor>
    <xdr:from>
      <xdr:col>0</xdr:col>
      <xdr:colOff>95249</xdr:colOff>
      <xdr:row>0</xdr:row>
      <xdr:rowOff>47625</xdr:rowOff>
    </xdr:from>
    <xdr:to>
      <xdr:col>0</xdr:col>
      <xdr:colOff>752475</xdr:colOff>
      <xdr:row>1</xdr:row>
      <xdr:rowOff>104775</xdr:rowOff>
    </xdr:to>
    <xdr:sp macro="" textlink="">
      <xdr:nvSpPr>
        <xdr:cNvPr id="5" name="TextBox 4">
          <a:hlinkClick xmlns:r="http://schemas.openxmlformats.org/officeDocument/2006/relationships" r:id="rId4"/>
        </xdr:cNvPr>
        <xdr:cNvSpPr txBox="1"/>
      </xdr:nvSpPr>
      <xdr:spPr>
        <a:xfrm>
          <a:off x="95249"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61911</xdr:colOff>
      <xdr:row>0</xdr:row>
      <xdr:rowOff>47625</xdr:rowOff>
    </xdr:from>
    <xdr:to>
      <xdr:col>2</xdr:col>
      <xdr:colOff>28574</xdr:colOff>
      <xdr:row>1</xdr:row>
      <xdr:rowOff>104775</xdr:rowOff>
    </xdr:to>
    <xdr:sp macro="" textlink="">
      <xdr:nvSpPr>
        <xdr:cNvPr id="2" name="TextBox 1">
          <a:hlinkClick xmlns:r="http://schemas.openxmlformats.org/officeDocument/2006/relationships" r:id="rId1"/>
        </xdr:cNvPr>
        <xdr:cNvSpPr txBox="1"/>
      </xdr:nvSpPr>
      <xdr:spPr>
        <a:xfrm>
          <a:off x="1547811" y="47625"/>
          <a:ext cx="728663"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File Info</a:t>
          </a:r>
        </a:p>
      </xdr:txBody>
    </xdr:sp>
    <xdr:clientData/>
  </xdr:twoCellAnchor>
  <xdr:twoCellAnchor>
    <xdr:from>
      <xdr:col>2</xdr:col>
      <xdr:colOff>171450</xdr:colOff>
      <xdr:row>0</xdr:row>
      <xdr:rowOff>47625</xdr:rowOff>
    </xdr:from>
    <xdr:to>
      <xdr:col>3</xdr:col>
      <xdr:colOff>95250</xdr:colOff>
      <xdr:row>1</xdr:row>
      <xdr:rowOff>104775</xdr:rowOff>
    </xdr:to>
    <xdr:sp macro="" textlink="">
      <xdr:nvSpPr>
        <xdr:cNvPr id="3" name="TextBox 2">
          <a:hlinkClick xmlns:r="http://schemas.openxmlformats.org/officeDocument/2006/relationships" r:id="rId2"/>
        </xdr:cNvPr>
        <xdr:cNvSpPr txBox="1"/>
      </xdr:nvSpPr>
      <xdr:spPr>
        <a:xfrm>
          <a:off x="2419350" y="47625"/>
          <a:ext cx="1019175" cy="2667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a:t>Point Sources</a:t>
          </a:r>
        </a:p>
      </xdr:txBody>
    </xdr:sp>
    <xdr:clientData/>
  </xdr:twoCellAnchor>
  <xdr:twoCellAnchor>
    <xdr:from>
      <xdr:col>0</xdr:col>
      <xdr:colOff>371474</xdr:colOff>
      <xdr:row>0</xdr:row>
      <xdr:rowOff>47625</xdr:rowOff>
    </xdr:from>
    <xdr:to>
      <xdr:col>0</xdr:col>
      <xdr:colOff>1028700</xdr:colOff>
      <xdr:row>1</xdr:row>
      <xdr:rowOff>104775</xdr:rowOff>
    </xdr:to>
    <xdr:sp macro="" textlink="">
      <xdr:nvSpPr>
        <xdr:cNvPr id="5" name="TextBox 4">
          <a:hlinkClick xmlns:r="http://schemas.openxmlformats.org/officeDocument/2006/relationships" r:id="rId3"/>
        </xdr:cNvPr>
        <xdr:cNvSpPr txBox="1"/>
      </xdr:nvSpPr>
      <xdr:spPr>
        <a:xfrm>
          <a:off x="371474" y="47625"/>
          <a:ext cx="657226" cy="266700"/>
        </a:xfrm>
        <a:prstGeom prst="rect">
          <a:avLst/>
        </a:prstGeom>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pPr algn="ctr"/>
          <a:r>
            <a:rPr lang="en-US" sz="1100" b="1"/>
            <a:t>GO TO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tt.reusswig/AppData/Local/Microsoft/Windows/Temporary%20Internet%20Files/Content.Outlook/QSXK09E2/C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Info"/>
      <sheetName val="Rates"/>
      <sheetName val="DataPull"/>
    </sheetNames>
    <sheetDataSet>
      <sheetData sheetId="0" refreshError="1"/>
      <sheetData sheetId="1" refreshError="1"/>
      <sheetData sheetId="2">
        <row r="1">
          <cell r="A1" t="str">
            <v>Construction Cost Index History</v>
          </cell>
        </row>
        <row r="2">
          <cell r="A2" t="str">
            <v>Text size: A A</v>
          </cell>
        </row>
        <row r="3">
          <cell r="A3" t="str">
            <v>HOW ENR BUILDS THE INDEX: 200 hours of common labor at the 20-city average of common labor rates, plus 25 cwt of standard structural steel shapes at the mill price prior to 1996 and the fabricated 20-city price from 1996, plus 1.128 tons of portland cement at the 20-city price, plus 1,088 board ft of 2 x 4 lumber at the 20-city price.</v>
          </cell>
        </row>
        <row r="4">
          <cell r="A4" t="str">
            <v>Accessed on February 13, 2011</v>
          </cell>
        </row>
        <row r="5">
          <cell r="A5">
            <v>1</v>
          </cell>
          <cell r="B5">
            <v>2</v>
          </cell>
          <cell r="C5">
            <v>3</v>
          </cell>
          <cell r="D5">
            <v>4</v>
          </cell>
          <cell r="E5">
            <v>5</v>
          </cell>
          <cell r="F5">
            <v>6</v>
          </cell>
          <cell r="G5">
            <v>7</v>
          </cell>
          <cell r="H5">
            <v>8</v>
          </cell>
          <cell r="I5">
            <v>9</v>
          </cell>
          <cell r="J5">
            <v>10</v>
          </cell>
          <cell r="K5">
            <v>11</v>
          </cell>
          <cell r="L5">
            <v>12</v>
          </cell>
          <cell r="M5">
            <v>13</v>
          </cell>
          <cell r="N5">
            <v>14</v>
          </cell>
        </row>
        <row r="6">
          <cell r="A6" t="str">
            <v>ENR's Construction Cost Index History (1990-2012)</v>
          </cell>
        </row>
        <row r="7">
          <cell r="A7" t="str">
            <v>1913=100</v>
          </cell>
          <cell r="B7" t="str">
            <v>JAN</v>
          </cell>
          <cell r="C7" t="str">
            <v>FEB</v>
          </cell>
          <cell r="D7" t="str">
            <v>MAR</v>
          </cell>
          <cell r="E7" t="str">
            <v>APR</v>
          </cell>
          <cell r="F7" t="str">
            <v>MAY</v>
          </cell>
          <cell r="G7" t="str">
            <v>JUN</v>
          </cell>
          <cell r="H7" t="str">
            <v>JUL</v>
          </cell>
          <cell r="I7" t="str">
            <v>AUG</v>
          </cell>
          <cell r="J7" t="str">
            <v>SEP</v>
          </cell>
          <cell r="K7" t="str">
            <v>OCT</v>
          </cell>
          <cell r="L7" t="str">
            <v>NOV</v>
          </cell>
          <cell r="M7" t="str">
            <v>DEC</v>
          </cell>
          <cell r="N7" t="str">
            <v>ANNUAL AVERAGE</v>
          </cell>
        </row>
        <row r="8">
          <cell r="A8" t="str">
            <v>* Revised</v>
          </cell>
        </row>
        <row r="9">
          <cell r="A9">
            <v>1990</v>
          </cell>
          <cell r="B9">
            <v>4680</v>
          </cell>
          <cell r="C9">
            <v>4685</v>
          </cell>
          <cell r="D9">
            <v>4691</v>
          </cell>
          <cell r="E9">
            <v>4693</v>
          </cell>
          <cell r="F9">
            <v>4707</v>
          </cell>
          <cell r="G9">
            <v>4732</v>
          </cell>
          <cell r="H9">
            <v>4734</v>
          </cell>
          <cell r="I9">
            <v>4752</v>
          </cell>
          <cell r="J9">
            <v>4774</v>
          </cell>
          <cell r="K9">
            <v>4771</v>
          </cell>
          <cell r="L9">
            <v>4787</v>
          </cell>
          <cell r="M9">
            <v>4777</v>
          </cell>
          <cell r="N9">
            <v>4732</v>
          </cell>
        </row>
        <row r="10">
          <cell r="A10">
            <v>1991</v>
          </cell>
          <cell r="B10">
            <v>4777</v>
          </cell>
          <cell r="C10">
            <v>4773</v>
          </cell>
          <cell r="D10">
            <v>4772</v>
          </cell>
          <cell r="E10">
            <v>4766</v>
          </cell>
          <cell r="F10">
            <v>4801</v>
          </cell>
          <cell r="G10">
            <v>4818</v>
          </cell>
          <cell r="H10">
            <v>4854</v>
          </cell>
          <cell r="I10">
            <v>4892</v>
          </cell>
          <cell r="J10">
            <v>4891</v>
          </cell>
          <cell r="K10">
            <v>4892</v>
          </cell>
          <cell r="L10">
            <v>4896</v>
          </cell>
          <cell r="M10">
            <v>4889</v>
          </cell>
          <cell r="N10">
            <v>4835</v>
          </cell>
        </row>
        <row r="11">
          <cell r="A11">
            <v>1992</v>
          </cell>
          <cell r="B11">
            <v>4888</v>
          </cell>
          <cell r="C11">
            <v>4884</v>
          </cell>
          <cell r="D11">
            <v>4927</v>
          </cell>
          <cell r="E11">
            <v>4946</v>
          </cell>
          <cell r="F11">
            <v>4965</v>
          </cell>
          <cell r="G11">
            <v>4973</v>
          </cell>
          <cell r="H11">
            <v>4992</v>
          </cell>
          <cell r="I11">
            <v>5032</v>
          </cell>
          <cell r="J11">
            <v>5042</v>
          </cell>
          <cell r="K11">
            <v>5052</v>
          </cell>
          <cell r="L11">
            <v>5058</v>
          </cell>
          <cell r="M11">
            <v>5059</v>
          </cell>
          <cell r="N11">
            <v>4985</v>
          </cell>
        </row>
        <row r="12">
          <cell r="A12">
            <v>1993</v>
          </cell>
          <cell r="B12">
            <v>5071</v>
          </cell>
          <cell r="C12">
            <v>5070</v>
          </cell>
          <cell r="D12">
            <v>5106</v>
          </cell>
          <cell r="E12">
            <v>5167</v>
          </cell>
          <cell r="F12">
            <v>5262</v>
          </cell>
          <cell r="G12">
            <v>5260</v>
          </cell>
          <cell r="H12">
            <v>5252</v>
          </cell>
          <cell r="I12">
            <v>5230</v>
          </cell>
          <cell r="J12">
            <v>5255</v>
          </cell>
          <cell r="K12">
            <v>5264</v>
          </cell>
          <cell r="L12">
            <v>5278</v>
          </cell>
          <cell r="M12">
            <v>5310</v>
          </cell>
          <cell r="N12">
            <v>5210</v>
          </cell>
        </row>
        <row r="13">
          <cell r="A13">
            <v>1994</v>
          </cell>
          <cell r="B13">
            <v>5336</v>
          </cell>
          <cell r="C13">
            <v>5371</v>
          </cell>
          <cell r="D13">
            <v>5381</v>
          </cell>
          <cell r="E13">
            <v>5405</v>
          </cell>
          <cell r="F13">
            <v>5405</v>
          </cell>
          <cell r="G13">
            <v>5408</v>
          </cell>
          <cell r="H13">
            <v>5409</v>
          </cell>
          <cell r="I13">
            <v>5424</v>
          </cell>
          <cell r="J13">
            <v>5437</v>
          </cell>
          <cell r="K13">
            <v>5437</v>
          </cell>
          <cell r="L13">
            <v>5439</v>
          </cell>
          <cell r="M13">
            <v>5439</v>
          </cell>
          <cell r="N13">
            <v>5408</v>
          </cell>
        </row>
        <row r="14">
          <cell r="A14">
            <v>1995</v>
          </cell>
          <cell r="B14">
            <v>5443</v>
          </cell>
          <cell r="C14">
            <v>5444</v>
          </cell>
          <cell r="D14">
            <v>5435</v>
          </cell>
          <cell r="E14">
            <v>5432</v>
          </cell>
          <cell r="F14">
            <v>5433</v>
          </cell>
          <cell r="G14">
            <v>5432</v>
          </cell>
          <cell r="H14">
            <v>5484</v>
          </cell>
          <cell r="I14">
            <v>5506</v>
          </cell>
          <cell r="J14">
            <v>5491</v>
          </cell>
          <cell r="K14">
            <v>5511</v>
          </cell>
          <cell r="L14">
            <v>5519</v>
          </cell>
          <cell r="M14">
            <v>5524</v>
          </cell>
          <cell r="N14">
            <v>5471</v>
          </cell>
        </row>
        <row r="15">
          <cell r="A15">
            <v>1996</v>
          </cell>
          <cell r="B15">
            <v>5523</v>
          </cell>
          <cell r="C15">
            <v>5532</v>
          </cell>
          <cell r="D15">
            <v>5537</v>
          </cell>
          <cell r="E15">
            <v>5550</v>
          </cell>
          <cell r="F15">
            <v>5572</v>
          </cell>
          <cell r="G15">
            <v>5597</v>
          </cell>
          <cell r="H15">
            <v>5617</v>
          </cell>
          <cell r="I15">
            <v>5652</v>
          </cell>
          <cell r="J15">
            <v>5683</v>
          </cell>
          <cell r="K15">
            <v>5719</v>
          </cell>
          <cell r="L15">
            <v>5740</v>
          </cell>
          <cell r="M15">
            <v>5744</v>
          </cell>
          <cell r="N15">
            <v>5620</v>
          </cell>
        </row>
        <row r="16">
          <cell r="A16">
            <v>1997</v>
          </cell>
          <cell r="B16">
            <v>5765</v>
          </cell>
          <cell r="C16">
            <v>5769</v>
          </cell>
          <cell r="D16">
            <v>5759</v>
          </cell>
          <cell r="E16">
            <v>5799</v>
          </cell>
          <cell r="F16">
            <v>5837</v>
          </cell>
          <cell r="G16">
            <v>5860</v>
          </cell>
          <cell r="H16">
            <v>5863</v>
          </cell>
          <cell r="I16">
            <v>5854</v>
          </cell>
          <cell r="J16">
            <v>5851</v>
          </cell>
          <cell r="K16">
            <v>5848</v>
          </cell>
          <cell r="L16">
            <v>5838</v>
          </cell>
          <cell r="M16">
            <v>5858</v>
          </cell>
          <cell r="N16">
            <v>5826</v>
          </cell>
        </row>
        <row r="17">
          <cell r="A17">
            <v>1998</v>
          </cell>
          <cell r="B17">
            <v>5852</v>
          </cell>
          <cell r="C17">
            <v>5874</v>
          </cell>
          <cell r="D17">
            <v>5875</v>
          </cell>
          <cell r="E17">
            <v>5883</v>
          </cell>
          <cell r="F17">
            <v>5881</v>
          </cell>
          <cell r="G17">
            <v>5895</v>
          </cell>
          <cell r="H17">
            <v>5921</v>
          </cell>
          <cell r="I17">
            <v>5929</v>
          </cell>
          <cell r="J17">
            <v>5963</v>
          </cell>
          <cell r="K17">
            <v>5986</v>
          </cell>
          <cell r="L17">
            <v>5995</v>
          </cell>
          <cell r="M17">
            <v>5991</v>
          </cell>
          <cell r="N17">
            <v>5920</v>
          </cell>
        </row>
        <row r="18">
          <cell r="A18">
            <v>1999</v>
          </cell>
          <cell r="B18">
            <v>6000</v>
          </cell>
          <cell r="C18">
            <v>5992</v>
          </cell>
          <cell r="D18">
            <v>5986</v>
          </cell>
          <cell r="E18">
            <v>6008</v>
          </cell>
          <cell r="F18">
            <v>6006</v>
          </cell>
          <cell r="G18">
            <v>6039</v>
          </cell>
          <cell r="H18">
            <v>6076</v>
          </cell>
          <cell r="I18">
            <v>6091</v>
          </cell>
          <cell r="J18">
            <v>6128</v>
          </cell>
          <cell r="K18">
            <v>6134</v>
          </cell>
          <cell r="L18">
            <v>6127</v>
          </cell>
          <cell r="M18">
            <v>6127</v>
          </cell>
          <cell r="N18">
            <v>6059</v>
          </cell>
        </row>
        <row r="19">
          <cell r="A19">
            <v>2000</v>
          </cell>
          <cell r="B19">
            <v>6130</v>
          </cell>
          <cell r="C19">
            <v>6160</v>
          </cell>
          <cell r="D19">
            <v>6202</v>
          </cell>
          <cell r="E19">
            <v>6201</v>
          </cell>
          <cell r="F19">
            <v>6233</v>
          </cell>
          <cell r="G19">
            <v>6238</v>
          </cell>
          <cell r="H19">
            <v>6225</v>
          </cell>
          <cell r="I19">
            <v>6233</v>
          </cell>
          <cell r="J19">
            <v>6224</v>
          </cell>
          <cell r="K19">
            <v>6259</v>
          </cell>
          <cell r="L19">
            <v>6266</v>
          </cell>
          <cell r="M19">
            <v>6283</v>
          </cell>
          <cell r="N19">
            <v>6221</v>
          </cell>
        </row>
        <row r="20">
          <cell r="A20">
            <v>2001</v>
          </cell>
          <cell r="B20">
            <v>6281</v>
          </cell>
          <cell r="C20">
            <v>6272</v>
          </cell>
          <cell r="D20">
            <v>6279</v>
          </cell>
          <cell r="E20">
            <v>6286</v>
          </cell>
          <cell r="F20">
            <v>6288</v>
          </cell>
          <cell r="G20">
            <v>6318</v>
          </cell>
          <cell r="H20">
            <v>6404</v>
          </cell>
          <cell r="I20">
            <v>6389</v>
          </cell>
          <cell r="J20">
            <v>6391</v>
          </cell>
          <cell r="K20">
            <v>6397</v>
          </cell>
          <cell r="L20">
            <v>6410</v>
          </cell>
          <cell r="M20">
            <v>6390</v>
          </cell>
          <cell r="N20">
            <v>6343</v>
          </cell>
        </row>
        <row r="21">
          <cell r="A21">
            <v>2002</v>
          </cell>
          <cell r="B21">
            <v>6462</v>
          </cell>
          <cell r="C21">
            <v>6462</v>
          </cell>
          <cell r="D21">
            <v>6502</v>
          </cell>
          <cell r="E21">
            <v>6480</v>
          </cell>
          <cell r="F21">
            <v>6512</v>
          </cell>
          <cell r="G21">
            <v>6532</v>
          </cell>
          <cell r="H21">
            <v>6605</v>
          </cell>
          <cell r="I21">
            <v>6592</v>
          </cell>
          <cell r="J21">
            <v>6589</v>
          </cell>
          <cell r="K21">
            <v>6579</v>
          </cell>
          <cell r="L21">
            <v>6578</v>
          </cell>
          <cell r="M21">
            <v>6563</v>
          </cell>
          <cell r="N21">
            <v>6538</v>
          </cell>
        </row>
        <row r="22">
          <cell r="A22">
            <v>2003</v>
          </cell>
          <cell r="B22">
            <v>6581</v>
          </cell>
          <cell r="C22">
            <v>6640</v>
          </cell>
          <cell r="D22">
            <v>6627</v>
          </cell>
          <cell r="E22">
            <v>6635</v>
          </cell>
          <cell r="F22">
            <v>6642</v>
          </cell>
          <cell r="G22">
            <v>6694</v>
          </cell>
          <cell r="H22">
            <v>6695</v>
          </cell>
          <cell r="I22">
            <v>6733</v>
          </cell>
          <cell r="J22">
            <v>6741</v>
          </cell>
          <cell r="K22">
            <v>6771</v>
          </cell>
          <cell r="L22">
            <v>6794</v>
          </cell>
          <cell r="M22">
            <v>6782</v>
          </cell>
          <cell r="N22">
            <v>6694</v>
          </cell>
        </row>
        <row r="23">
          <cell r="A23">
            <v>2004</v>
          </cell>
          <cell r="B23">
            <v>6825</v>
          </cell>
          <cell r="C23">
            <v>6862</v>
          </cell>
          <cell r="D23">
            <v>6957</v>
          </cell>
          <cell r="E23">
            <v>7017</v>
          </cell>
          <cell r="F23">
            <v>7065</v>
          </cell>
          <cell r="G23">
            <v>7109</v>
          </cell>
          <cell r="H23">
            <v>7126</v>
          </cell>
          <cell r="I23">
            <v>7188</v>
          </cell>
          <cell r="J23">
            <v>7298</v>
          </cell>
          <cell r="K23">
            <v>7314</v>
          </cell>
          <cell r="L23">
            <v>7312</v>
          </cell>
          <cell r="M23">
            <v>7308</v>
          </cell>
          <cell r="N23">
            <v>7115</v>
          </cell>
        </row>
        <row r="24">
          <cell r="A24">
            <v>2005</v>
          </cell>
          <cell r="B24">
            <v>7297</v>
          </cell>
          <cell r="C24">
            <v>7298</v>
          </cell>
          <cell r="D24">
            <v>7309</v>
          </cell>
          <cell r="E24">
            <v>7355</v>
          </cell>
          <cell r="F24">
            <v>7398</v>
          </cell>
          <cell r="G24">
            <v>7415</v>
          </cell>
          <cell r="H24">
            <v>7422</v>
          </cell>
          <cell r="I24">
            <v>7479</v>
          </cell>
          <cell r="J24">
            <v>7540</v>
          </cell>
          <cell r="K24">
            <v>7563</v>
          </cell>
          <cell r="L24">
            <v>7630</v>
          </cell>
          <cell r="M24">
            <v>7647</v>
          </cell>
          <cell r="N24">
            <v>7446</v>
          </cell>
        </row>
        <row r="25">
          <cell r="A25">
            <v>2006</v>
          </cell>
          <cell r="B25">
            <v>7660</v>
          </cell>
          <cell r="C25">
            <v>7689</v>
          </cell>
          <cell r="D25">
            <v>7692</v>
          </cell>
          <cell r="E25">
            <v>7695</v>
          </cell>
          <cell r="F25">
            <v>7691</v>
          </cell>
          <cell r="G25">
            <v>7700</v>
          </cell>
          <cell r="H25">
            <v>7721</v>
          </cell>
          <cell r="I25">
            <v>7722</v>
          </cell>
          <cell r="J25">
            <v>7763</v>
          </cell>
          <cell r="K25">
            <v>7883</v>
          </cell>
          <cell r="L25">
            <v>7911</v>
          </cell>
          <cell r="M25">
            <v>7888</v>
          </cell>
          <cell r="N25">
            <v>7751</v>
          </cell>
        </row>
        <row r="26">
          <cell r="A26">
            <v>2007</v>
          </cell>
          <cell r="B26">
            <v>7880</v>
          </cell>
          <cell r="C26">
            <v>7880</v>
          </cell>
          <cell r="D26">
            <v>7856</v>
          </cell>
          <cell r="E26">
            <v>7865</v>
          </cell>
          <cell r="F26">
            <v>7942</v>
          </cell>
          <cell r="G26">
            <v>7939</v>
          </cell>
          <cell r="H26">
            <v>7959</v>
          </cell>
          <cell r="I26">
            <v>8007</v>
          </cell>
          <cell r="J26">
            <v>8050</v>
          </cell>
          <cell r="K26">
            <v>8045</v>
          </cell>
          <cell r="L26">
            <v>8092</v>
          </cell>
          <cell r="M26">
            <v>8089</v>
          </cell>
          <cell r="N26">
            <v>7966</v>
          </cell>
        </row>
        <row r="27">
          <cell r="A27">
            <v>2008</v>
          </cell>
          <cell r="B27">
            <v>8090</v>
          </cell>
          <cell r="C27">
            <v>8094</v>
          </cell>
          <cell r="D27">
            <v>8109</v>
          </cell>
          <cell r="E27">
            <v>8112</v>
          </cell>
          <cell r="F27">
            <v>8141</v>
          </cell>
          <cell r="G27">
            <v>8185</v>
          </cell>
          <cell r="H27">
            <v>8293</v>
          </cell>
          <cell r="I27">
            <v>8362</v>
          </cell>
          <cell r="J27">
            <v>8557</v>
          </cell>
          <cell r="K27">
            <v>8623</v>
          </cell>
          <cell r="L27">
            <v>8602</v>
          </cell>
          <cell r="M27">
            <v>8551</v>
          </cell>
          <cell r="N27">
            <v>8310</v>
          </cell>
        </row>
        <row r="28">
          <cell r="A28">
            <v>2009</v>
          </cell>
          <cell r="B28">
            <v>8549</v>
          </cell>
          <cell r="C28">
            <v>8533</v>
          </cell>
          <cell r="D28">
            <v>8534</v>
          </cell>
          <cell r="E28">
            <v>8528</v>
          </cell>
          <cell r="F28">
            <v>8574</v>
          </cell>
          <cell r="G28">
            <v>8578</v>
          </cell>
          <cell r="H28">
            <v>8566</v>
          </cell>
          <cell r="I28">
            <v>8564</v>
          </cell>
          <cell r="J28">
            <v>8586</v>
          </cell>
          <cell r="K28">
            <v>8596</v>
          </cell>
          <cell r="L28">
            <v>8592</v>
          </cell>
          <cell r="M28">
            <v>8641</v>
          </cell>
          <cell r="N28">
            <v>8570</v>
          </cell>
        </row>
        <row r="29">
          <cell r="A29">
            <v>2010</v>
          </cell>
          <cell r="B29">
            <v>8660</v>
          </cell>
          <cell r="C29">
            <v>8672</v>
          </cell>
          <cell r="D29">
            <v>8671</v>
          </cell>
          <cell r="E29">
            <v>8677</v>
          </cell>
          <cell r="F29">
            <v>8761</v>
          </cell>
          <cell r="G29">
            <v>8805</v>
          </cell>
          <cell r="H29">
            <v>8844</v>
          </cell>
          <cell r="I29">
            <v>8837</v>
          </cell>
          <cell r="J29">
            <v>8836</v>
          </cell>
          <cell r="K29">
            <v>8921</v>
          </cell>
          <cell r="L29">
            <v>8951</v>
          </cell>
          <cell r="M29">
            <v>8952</v>
          </cell>
          <cell r="N29">
            <v>8799</v>
          </cell>
        </row>
        <row r="30">
          <cell r="A30">
            <v>2011</v>
          </cell>
          <cell r="B30">
            <v>8938</v>
          </cell>
          <cell r="C30">
            <v>8998</v>
          </cell>
          <cell r="D30">
            <v>9011</v>
          </cell>
          <cell r="E30">
            <v>9027</v>
          </cell>
          <cell r="F30">
            <v>9035</v>
          </cell>
          <cell r="G30">
            <v>9053</v>
          </cell>
          <cell r="H30">
            <v>9080</v>
          </cell>
          <cell r="I30">
            <v>9088</v>
          </cell>
          <cell r="J30">
            <v>9116</v>
          </cell>
          <cell r="K30">
            <v>9147</v>
          </cell>
          <cell r="L30">
            <v>9173</v>
          </cell>
          <cell r="M30">
            <v>9172</v>
          </cell>
          <cell r="N30">
            <v>9070</v>
          </cell>
        </row>
        <row r="31">
          <cell r="A31">
            <v>2012</v>
          </cell>
          <cell r="B31">
            <v>9176</v>
          </cell>
          <cell r="C31">
            <v>9198</v>
          </cell>
          <cell r="D31">
            <v>9268</v>
          </cell>
          <cell r="E31">
            <v>9273</v>
          </cell>
          <cell r="F31">
            <v>9290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abSelected="1" workbookViewId="0">
      <pane ySplit="2" topLeftCell="A3" activePane="bottomLeft" state="frozen"/>
      <selection pane="bottomLeft"/>
    </sheetView>
  </sheetViews>
  <sheetFormatPr defaultColWidth="9.140625" defaultRowHeight="15" x14ac:dyDescent="0.25"/>
  <cols>
    <col min="1" max="1" width="115" style="1" customWidth="1"/>
    <col min="2" max="2" width="9.140625" style="1" customWidth="1"/>
    <col min="3" max="16384" width="9.140625" style="1"/>
  </cols>
  <sheetData>
    <row r="1" spans="1:3" s="165" customFormat="1" x14ac:dyDescent="0.25">
      <c r="C1" s="166"/>
    </row>
    <row r="2" spans="1:3" s="165" customFormat="1" ht="16.5" customHeight="1" x14ac:dyDescent="0.25">
      <c r="C2" s="166"/>
    </row>
    <row r="3" spans="1:3" ht="333.75" customHeight="1" x14ac:dyDescent="0.25">
      <c r="A3" s="165" t="s">
        <v>1888</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D39"/>
  <sheetViews>
    <sheetView showGridLines="0" workbookViewId="0">
      <pane ySplit="2" topLeftCell="A12" activePane="bottomLeft" state="frozen"/>
      <selection pane="bottomLeft" activeCell="B6" sqref="B6:C6"/>
    </sheetView>
  </sheetViews>
  <sheetFormatPr defaultColWidth="8.85546875" defaultRowHeight="15" x14ac:dyDescent="0.25"/>
  <cols>
    <col min="1" max="1" width="2.28515625" style="36" customWidth="1"/>
    <col min="2" max="2" width="13.7109375" style="36" customWidth="1"/>
    <col min="3" max="3" width="3" style="97" customWidth="1"/>
    <col min="4" max="4" width="69" style="36" customWidth="1"/>
    <col min="5" max="16384" width="8.85546875" style="36"/>
  </cols>
  <sheetData>
    <row r="1" spans="2:4" s="21" customFormat="1" x14ac:dyDescent="0.25">
      <c r="C1" s="25"/>
    </row>
    <row r="2" spans="2:4" s="21" customFormat="1" ht="16.5" customHeight="1" x14ac:dyDescent="0.25">
      <c r="C2" s="25"/>
    </row>
    <row r="3" spans="2:4" s="21" customFormat="1" x14ac:dyDescent="0.25">
      <c r="B3" s="208" t="s">
        <v>1053</v>
      </c>
      <c r="C3" s="208"/>
      <c r="D3" s="208"/>
    </row>
    <row r="4" spans="2:4" s="3" customFormat="1" ht="30" customHeight="1" x14ac:dyDescent="0.25">
      <c r="B4" s="188" t="s">
        <v>1897</v>
      </c>
      <c r="C4" s="189"/>
      <c r="D4" s="190"/>
    </row>
    <row r="5" spans="2:4" s="3" customFormat="1" x14ac:dyDescent="0.25">
      <c r="B5" s="196" t="s">
        <v>6</v>
      </c>
      <c r="C5" s="196"/>
      <c r="D5" s="68" t="s">
        <v>0</v>
      </c>
    </row>
    <row r="6" spans="2:4" s="3" customFormat="1" ht="72" customHeight="1" x14ac:dyDescent="0.25">
      <c r="B6" s="209" t="s">
        <v>695</v>
      </c>
      <c r="C6" s="209"/>
      <c r="D6" s="65" t="s">
        <v>696</v>
      </c>
    </row>
    <row r="7" spans="2:4" s="3" customFormat="1" x14ac:dyDescent="0.25"/>
    <row r="8" spans="2:4" x14ac:dyDescent="0.25">
      <c r="B8" s="206" t="s">
        <v>1054</v>
      </c>
      <c r="C8" s="206"/>
      <c r="D8" s="206"/>
    </row>
    <row r="9" spans="2:4" x14ac:dyDescent="0.25">
      <c r="B9" s="94" t="s">
        <v>1055</v>
      </c>
      <c r="C9" s="94" t="s">
        <v>701</v>
      </c>
      <c r="D9" s="95" t="s">
        <v>1056</v>
      </c>
    </row>
    <row r="10" spans="2:4" x14ac:dyDescent="0.25">
      <c r="B10" s="94" t="s">
        <v>72</v>
      </c>
      <c r="C10" s="94" t="s">
        <v>701</v>
      </c>
      <c r="D10" s="95" t="s">
        <v>1057</v>
      </c>
    </row>
    <row r="11" spans="2:4" x14ac:dyDescent="0.25">
      <c r="B11" s="94" t="s">
        <v>706</v>
      </c>
      <c r="C11" s="94" t="s">
        <v>701</v>
      </c>
      <c r="D11" s="95" t="s">
        <v>707</v>
      </c>
    </row>
    <row r="13" spans="2:4" x14ac:dyDescent="0.25">
      <c r="B13" s="206" t="s">
        <v>1058</v>
      </c>
      <c r="C13" s="206"/>
      <c r="D13" s="206"/>
    </row>
    <row r="14" spans="2:4" x14ac:dyDescent="0.25">
      <c r="B14" s="219" t="s">
        <v>1059</v>
      </c>
      <c r="C14" s="219"/>
      <c r="D14" s="219"/>
    </row>
    <row r="15" spans="2:4" x14ac:dyDescent="0.25">
      <c r="B15" s="94" t="s">
        <v>1060</v>
      </c>
      <c r="C15" s="94" t="s">
        <v>701</v>
      </c>
      <c r="D15" s="95" t="s">
        <v>1061</v>
      </c>
    </row>
    <row r="16" spans="2:4" x14ac:dyDescent="0.25">
      <c r="B16" s="94" t="s">
        <v>1062</v>
      </c>
      <c r="C16" s="94" t="s">
        <v>701</v>
      </c>
      <c r="D16" s="95" t="s">
        <v>1063</v>
      </c>
    </row>
    <row r="17" spans="2:4" x14ac:dyDescent="0.25">
      <c r="B17" s="94" t="s">
        <v>1064</v>
      </c>
      <c r="C17" s="94" t="s">
        <v>701</v>
      </c>
      <c r="D17" s="95" t="s">
        <v>1065</v>
      </c>
    </row>
    <row r="18" spans="2:4" x14ac:dyDescent="0.25">
      <c r="B18" s="94" t="s">
        <v>1066</v>
      </c>
      <c r="C18" s="94" t="s">
        <v>701</v>
      </c>
      <c r="D18" s="95" t="s">
        <v>1067</v>
      </c>
    </row>
    <row r="19" spans="2:4" x14ac:dyDescent="0.25">
      <c r="B19" s="94" t="s">
        <v>1068</v>
      </c>
      <c r="C19" s="94" t="s">
        <v>701</v>
      </c>
      <c r="D19" s="95" t="s">
        <v>1069</v>
      </c>
    </row>
    <row r="20" spans="2:4" x14ac:dyDescent="0.25">
      <c r="B20" s="94" t="s">
        <v>1070</v>
      </c>
      <c r="C20" s="96" t="s">
        <v>701</v>
      </c>
      <c r="D20" s="95" t="s">
        <v>1071</v>
      </c>
    </row>
    <row r="21" spans="2:4" x14ac:dyDescent="0.25">
      <c r="B21" s="94" t="s">
        <v>738</v>
      </c>
      <c r="C21" s="94" t="s">
        <v>701</v>
      </c>
      <c r="D21" s="95" t="s">
        <v>1072</v>
      </c>
    </row>
    <row r="22" spans="2:4" x14ac:dyDescent="0.25">
      <c r="B22" s="94" t="s">
        <v>1073</v>
      </c>
      <c r="C22" s="96" t="s">
        <v>701</v>
      </c>
      <c r="D22" s="95" t="s">
        <v>1074</v>
      </c>
    </row>
    <row r="23" spans="2:4" x14ac:dyDescent="0.25">
      <c r="B23" s="94" t="s">
        <v>1075</v>
      </c>
      <c r="C23" s="94" t="s">
        <v>701</v>
      </c>
      <c r="D23" s="95" t="s">
        <v>1076</v>
      </c>
    </row>
    <row r="24" spans="2:4" x14ac:dyDescent="0.25">
      <c r="B24" s="94" t="s">
        <v>238</v>
      </c>
      <c r="C24" s="94" t="s">
        <v>701</v>
      </c>
      <c r="D24" s="95" t="s">
        <v>1077</v>
      </c>
    </row>
    <row r="25" spans="2:4" x14ac:dyDescent="0.25">
      <c r="B25" s="94" t="s">
        <v>1078</v>
      </c>
      <c r="C25" s="96" t="s">
        <v>701</v>
      </c>
      <c r="D25" s="95" t="s">
        <v>1079</v>
      </c>
    </row>
    <row r="26" spans="2:4" x14ac:dyDescent="0.25">
      <c r="B26" s="94" t="s">
        <v>1080</v>
      </c>
      <c r="C26" s="94" t="s">
        <v>701</v>
      </c>
      <c r="D26" s="95" t="s">
        <v>1081</v>
      </c>
    </row>
    <row r="27" spans="2:4" x14ac:dyDescent="0.25">
      <c r="B27" s="94" t="s">
        <v>1082</v>
      </c>
      <c r="C27" s="96" t="s">
        <v>701</v>
      </c>
      <c r="D27" s="95" t="s">
        <v>1083</v>
      </c>
    </row>
    <row r="28" spans="2:4" x14ac:dyDescent="0.25">
      <c r="B28" s="94" t="s">
        <v>1084</v>
      </c>
      <c r="C28" s="94" t="s">
        <v>701</v>
      </c>
      <c r="D28" s="95" t="s">
        <v>1085</v>
      </c>
    </row>
    <row r="29" spans="2:4" x14ac:dyDescent="0.25">
      <c r="B29" s="94" t="s">
        <v>761</v>
      </c>
      <c r="C29" s="94" t="s">
        <v>701</v>
      </c>
      <c r="D29" s="95" t="s">
        <v>762</v>
      </c>
    </row>
    <row r="30" spans="2:4" x14ac:dyDescent="0.25">
      <c r="B30" s="94" t="s">
        <v>1086</v>
      </c>
      <c r="C30" s="94" t="s">
        <v>701</v>
      </c>
      <c r="D30" s="95" t="s">
        <v>1087</v>
      </c>
    </row>
    <row r="31" spans="2:4" x14ac:dyDescent="0.25">
      <c r="B31" s="94" t="s">
        <v>1088</v>
      </c>
      <c r="C31" s="94" t="s">
        <v>701</v>
      </c>
      <c r="D31" s="95" t="s">
        <v>1089</v>
      </c>
    </row>
    <row r="32" spans="2:4" x14ac:dyDescent="0.25">
      <c r="B32" s="94" t="s">
        <v>1090</v>
      </c>
      <c r="C32" s="94" t="s">
        <v>701</v>
      </c>
      <c r="D32" s="95" t="s">
        <v>1091</v>
      </c>
    </row>
    <row r="33" spans="2:4" x14ac:dyDescent="0.25">
      <c r="B33" s="97"/>
      <c r="C33" s="98"/>
    </row>
    <row r="34" spans="2:4" x14ac:dyDescent="0.25">
      <c r="B34" s="206" t="s">
        <v>1093</v>
      </c>
      <c r="C34" s="206"/>
      <c r="D34" s="206"/>
    </row>
    <row r="35" spans="2:4" ht="45" x14ac:dyDescent="0.25">
      <c r="B35" s="94" t="s">
        <v>773</v>
      </c>
      <c r="C35" s="94" t="s">
        <v>701</v>
      </c>
      <c r="D35" s="95" t="s">
        <v>774</v>
      </c>
    </row>
    <row r="36" spans="2:4" x14ac:dyDescent="0.25">
      <c r="B36" s="94" t="s">
        <v>775</v>
      </c>
      <c r="C36" s="96" t="s">
        <v>701</v>
      </c>
      <c r="D36" s="95" t="s">
        <v>776</v>
      </c>
    </row>
    <row r="37" spans="2:4" x14ac:dyDescent="0.25">
      <c r="B37" s="97"/>
    </row>
    <row r="38" spans="2:4" x14ac:dyDescent="0.25">
      <c r="B38" s="97"/>
    </row>
    <row r="39" spans="2:4" x14ac:dyDescent="0.25">
      <c r="B39" s="97"/>
    </row>
  </sheetData>
  <mergeCells count="8">
    <mergeCell ref="B34:D34"/>
    <mergeCell ref="B3:D3"/>
    <mergeCell ref="B5:C5"/>
    <mergeCell ref="B6:C6"/>
    <mergeCell ref="B8:D8"/>
    <mergeCell ref="B13:D13"/>
    <mergeCell ref="B14:D14"/>
    <mergeCell ref="B4:D4"/>
  </mergeCells>
  <hyperlinks>
    <hyperlink ref="B6:C6" location="'Urban Runoff'!A1" display="Urban Runoff"/>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M140"/>
  <sheetViews>
    <sheetView showGridLines="0" zoomScaleNormal="100" workbookViewId="0">
      <pane xSplit="1" ySplit="3" topLeftCell="B4" activePane="bottomRight" state="frozen"/>
      <selection activeCell="B5" sqref="B5:C7"/>
      <selection pane="topRight" activeCell="B5" sqref="B5:C7"/>
      <selection pane="bottomLeft" activeCell="B5" sqref="B5:C7"/>
      <selection pane="bottomRight"/>
    </sheetView>
  </sheetViews>
  <sheetFormatPr defaultRowHeight="15" x14ac:dyDescent="0.25"/>
  <cols>
    <col min="1" max="1" width="13.42578125" style="105" customWidth="1"/>
    <col min="2" max="2" width="14.28515625" style="105" customWidth="1"/>
    <col min="3" max="3" width="17.140625" style="105" customWidth="1"/>
    <col min="4" max="4" width="17.28515625" style="105" customWidth="1"/>
    <col min="5" max="5" width="14.28515625" style="105" bestFit="1" customWidth="1"/>
    <col min="6" max="6" width="14.28515625" style="105" customWidth="1"/>
    <col min="7" max="7" width="27.42578125" style="105" customWidth="1"/>
    <col min="8" max="8" width="11.42578125" style="105" customWidth="1"/>
    <col min="9" max="9" width="13.85546875" style="25" customWidth="1"/>
    <col min="10" max="10" width="14.5703125" style="25" customWidth="1"/>
    <col min="11" max="12" width="25.42578125" style="105" customWidth="1"/>
    <col min="13" max="13" width="77.5703125" customWidth="1"/>
  </cols>
  <sheetData>
    <row r="1" spans="1:13" s="5" customFormat="1" ht="16.5" customHeight="1" x14ac:dyDescent="0.2">
      <c r="A1" s="158"/>
      <c r="B1" s="11"/>
      <c r="C1" s="11"/>
      <c r="D1" s="11"/>
      <c r="E1" s="11"/>
      <c r="I1" s="185"/>
      <c r="J1" s="185"/>
    </row>
    <row r="2" spans="1:13" s="5" customFormat="1" ht="16.5" customHeight="1" x14ac:dyDescent="0.2">
      <c r="A2" s="123"/>
      <c r="B2" s="123"/>
      <c r="C2" s="123"/>
      <c r="D2" s="123"/>
      <c r="E2" s="11"/>
      <c r="I2" s="185"/>
      <c r="J2" s="185"/>
    </row>
    <row r="3" spans="1:13" ht="38.25" x14ac:dyDescent="0.25">
      <c r="A3" s="58" t="s">
        <v>777</v>
      </c>
      <c r="B3" s="57" t="s">
        <v>778</v>
      </c>
      <c r="C3" s="57" t="s">
        <v>1094</v>
      </c>
      <c r="D3" s="57" t="s">
        <v>1095</v>
      </c>
      <c r="E3" s="57" t="s">
        <v>1096</v>
      </c>
      <c r="F3" s="57" t="s">
        <v>1100</v>
      </c>
      <c r="G3" s="57" t="s">
        <v>784</v>
      </c>
      <c r="H3" s="57" t="s">
        <v>786</v>
      </c>
      <c r="I3" s="184" t="s">
        <v>1097</v>
      </c>
      <c r="J3" s="184" t="s">
        <v>787</v>
      </c>
      <c r="K3" s="57" t="s">
        <v>1261</v>
      </c>
      <c r="L3" s="57" t="s">
        <v>1262</v>
      </c>
      <c r="M3" s="57" t="s">
        <v>789</v>
      </c>
    </row>
    <row r="4" spans="1:13" ht="51" x14ac:dyDescent="0.25">
      <c r="A4" s="18" t="s">
        <v>72</v>
      </c>
      <c r="B4" s="18" t="s">
        <v>1060</v>
      </c>
      <c r="C4" s="102">
        <v>0.15</v>
      </c>
      <c r="D4" s="100">
        <v>484.42635798555636</v>
      </c>
      <c r="E4" s="18" t="s">
        <v>1098</v>
      </c>
      <c r="F4" s="18">
        <v>2008</v>
      </c>
      <c r="G4" s="8" t="s">
        <v>1121</v>
      </c>
      <c r="H4" s="32" t="s">
        <v>773</v>
      </c>
      <c r="I4" s="74" t="s">
        <v>817</v>
      </c>
      <c r="J4" s="8" t="s">
        <v>610</v>
      </c>
      <c r="K4" s="18" t="s">
        <v>956</v>
      </c>
      <c r="L4" s="18">
        <v>4</v>
      </c>
      <c r="M4" s="103"/>
    </row>
    <row r="5" spans="1:13" ht="51" x14ac:dyDescent="0.25">
      <c r="A5" s="18" t="s">
        <v>72</v>
      </c>
      <c r="B5" s="18" t="s">
        <v>1060</v>
      </c>
      <c r="C5" s="102">
        <v>0.15</v>
      </c>
      <c r="D5" s="100">
        <v>484.42635798555636</v>
      </c>
      <c r="E5" s="18" t="s">
        <v>1098</v>
      </c>
      <c r="F5" s="18">
        <v>2008</v>
      </c>
      <c r="G5" s="8" t="s">
        <v>1122</v>
      </c>
      <c r="H5" s="32" t="s">
        <v>773</v>
      </c>
      <c r="I5" s="74" t="s">
        <v>817</v>
      </c>
      <c r="J5" s="8" t="s">
        <v>610</v>
      </c>
      <c r="K5" s="18" t="s">
        <v>956</v>
      </c>
      <c r="L5" s="18">
        <v>4</v>
      </c>
      <c r="M5" s="103"/>
    </row>
    <row r="6" spans="1:13" ht="51" x14ac:dyDescent="0.25">
      <c r="A6" s="18" t="s">
        <v>72</v>
      </c>
      <c r="B6" s="18" t="s">
        <v>1060</v>
      </c>
      <c r="C6" s="102">
        <v>0.15</v>
      </c>
      <c r="D6" s="100">
        <v>484.42635798555636</v>
      </c>
      <c r="E6" s="18" t="s">
        <v>1098</v>
      </c>
      <c r="F6" s="18">
        <v>2008</v>
      </c>
      <c r="G6" s="8" t="s">
        <v>1123</v>
      </c>
      <c r="H6" s="32" t="s">
        <v>773</v>
      </c>
      <c r="I6" s="74" t="s">
        <v>817</v>
      </c>
      <c r="J6" s="8" t="s">
        <v>610</v>
      </c>
      <c r="K6" s="18" t="s">
        <v>956</v>
      </c>
      <c r="L6" s="18">
        <v>4</v>
      </c>
      <c r="M6" s="103"/>
    </row>
    <row r="7" spans="1:13" ht="51" x14ac:dyDescent="0.25">
      <c r="A7" s="18" t="s">
        <v>72</v>
      </c>
      <c r="B7" s="18" t="s">
        <v>1060</v>
      </c>
      <c r="C7" s="102">
        <v>0.15</v>
      </c>
      <c r="D7" s="100">
        <v>484.42635798555636</v>
      </c>
      <c r="E7" s="18" t="s">
        <v>1098</v>
      </c>
      <c r="F7" s="18">
        <v>2008</v>
      </c>
      <c r="G7" s="8" t="s">
        <v>1124</v>
      </c>
      <c r="H7" s="32" t="s">
        <v>773</v>
      </c>
      <c r="I7" s="74" t="s">
        <v>817</v>
      </c>
      <c r="J7" s="8" t="s">
        <v>610</v>
      </c>
      <c r="K7" s="18" t="s">
        <v>956</v>
      </c>
      <c r="L7" s="18">
        <v>4</v>
      </c>
      <c r="M7" s="103"/>
    </row>
    <row r="8" spans="1:13" ht="51" x14ac:dyDescent="0.25">
      <c r="A8" s="18" t="s">
        <v>72</v>
      </c>
      <c r="B8" s="18" t="s">
        <v>1064</v>
      </c>
      <c r="C8" s="102">
        <v>0.15</v>
      </c>
      <c r="D8" s="100">
        <v>7046.2015706990014</v>
      </c>
      <c r="E8" s="18" t="s">
        <v>1098</v>
      </c>
      <c r="F8" s="18">
        <v>2008</v>
      </c>
      <c r="G8" s="8" t="s">
        <v>1121</v>
      </c>
      <c r="H8" s="32" t="s">
        <v>773</v>
      </c>
      <c r="I8" s="74" t="s">
        <v>817</v>
      </c>
      <c r="J8" s="8" t="s">
        <v>610</v>
      </c>
      <c r="K8" s="18" t="s">
        <v>956</v>
      </c>
      <c r="L8" s="18">
        <v>4</v>
      </c>
      <c r="M8" s="7"/>
    </row>
    <row r="9" spans="1:13" ht="51" x14ac:dyDescent="0.25">
      <c r="A9" s="18" t="s">
        <v>72</v>
      </c>
      <c r="B9" s="18" t="s">
        <v>1064</v>
      </c>
      <c r="C9" s="102">
        <v>0.15</v>
      </c>
      <c r="D9" s="100">
        <v>3523.1007853495007</v>
      </c>
      <c r="E9" s="18" t="s">
        <v>1098</v>
      </c>
      <c r="F9" s="18">
        <v>2008</v>
      </c>
      <c r="G9" s="8" t="s">
        <v>1121</v>
      </c>
      <c r="H9" s="32" t="s">
        <v>773</v>
      </c>
      <c r="I9" s="74" t="s">
        <v>817</v>
      </c>
      <c r="J9" s="8" t="s">
        <v>610</v>
      </c>
      <c r="K9" s="18" t="s">
        <v>956</v>
      </c>
      <c r="L9" s="18">
        <v>4</v>
      </c>
      <c r="M9" s="7"/>
    </row>
    <row r="10" spans="1:13" ht="51" x14ac:dyDescent="0.25">
      <c r="A10" s="18" t="s">
        <v>72</v>
      </c>
      <c r="B10" s="18" t="s">
        <v>1064</v>
      </c>
      <c r="C10" s="102">
        <v>0.25</v>
      </c>
      <c r="D10" s="100">
        <v>7046.2015706990014</v>
      </c>
      <c r="E10" s="18" t="s">
        <v>1098</v>
      </c>
      <c r="F10" s="18">
        <v>2008</v>
      </c>
      <c r="G10" s="8" t="s">
        <v>1122</v>
      </c>
      <c r="H10" s="32" t="s">
        <v>773</v>
      </c>
      <c r="I10" s="74" t="s">
        <v>817</v>
      </c>
      <c r="J10" s="8" t="s">
        <v>610</v>
      </c>
      <c r="K10" s="18" t="s">
        <v>956</v>
      </c>
      <c r="L10" s="18">
        <v>4</v>
      </c>
      <c r="M10" s="7"/>
    </row>
    <row r="11" spans="1:13" ht="51" x14ac:dyDescent="0.25">
      <c r="A11" s="18" t="s">
        <v>72</v>
      </c>
      <c r="B11" s="18" t="s">
        <v>1064</v>
      </c>
      <c r="C11" s="102">
        <v>0.15</v>
      </c>
      <c r="D11" s="100">
        <v>3523.1007853495007</v>
      </c>
      <c r="E11" s="18" t="s">
        <v>1098</v>
      </c>
      <c r="F11" s="18">
        <v>2008</v>
      </c>
      <c r="G11" s="8" t="s">
        <v>1122</v>
      </c>
      <c r="H11" s="32" t="s">
        <v>773</v>
      </c>
      <c r="I11" s="74" t="s">
        <v>817</v>
      </c>
      <c r="J11" s="8" t="s">
        <v>610</v>
      </c>
      <c r="K11" s="18" t="s">
        <v>956</v>
      </c>
      <c r="L11" s="18">
        <v>4</v>
      </c>
      <c r="M11" s="7"/>
    </row>
    <row r="12" spans="1:13" ht="51" x14ac:dyDescent="0.25">
      <c r="A12" s="18" t="s">
        <v>72</v>
      </c>
      <c r="B12" s="18" t="s">
        <v>1064</v>
      </c>
      <c r="C12" s="102">
        <v>0.25</v>
      </c>
      <c r="D12" s="100">
        <v>7046.2015706990014</v>
      </c>
      <c r="E12" s="18" t="s">
        <v>1098</v>
      </c>
      <c r="F12" s="18">
        <v>2008</v>
      </c>
      <c r="G12" s="8" t="s">
        <v>1123</v>
      </c>
      <c r="H12" s="32" t="s">
        <v>773</v>
      </c>
      <c r="I12" s="74" t="s">
        <v>817</v>
      </c>
      <c r="J12" s="8" t="s">
        <v>610</v>
      </c>
      <c r="K12" s="18" t="s">
        <v>956</v>
      </c>
      <c r="L12" s="18">
        <v>4</v>
      </c>
      <c r="M12" s="7"/>
    </row>
    <row r="13" spans="1:13" ht="51" x14ac:dyDescent="0.25">
      <c r="A13" s="18" t="s">
        <v>72</v>
      </c>
      <c r="B13" s="18" t="s">
        <v>1064</v>
      </c>
      <c r="C13" s="102">
        <v>0.15</v>
      </c>
      <c r="D13" s="100">
        <v>3523.1007853495007</v>
      </c>
      <c r="E13" s="18" t="s">
        <v>1098</v>
      </c>
      <c r="F13" s="18">
        <v>2008</v>
      </c>
      <c r="G13" s="8" t="s">
        <v>1123</v>
      </c>
      <c r="H13" s="32" t="s">
        <v>773</v>
      </c>
      <c r="I13" s="74" t="s">
        <v>817</v>
      </c>
      <c r="J13" s="8" t="s">
        <v>610</v>
      </c>
      <c r="K13" s="18" t="s">
        <v>956</v>
      </c>
      <c r="L13" s="18">
        <v>4</v>
      </c>
      <c r="M13" s="7"/>
    </row>
    <row r="14" spans="1:13" ht="51" x14ac:dyDescent="0.25">
      <c r="A14" s="18" t="s">
        <v>72</v>
      </c>
      <c r="B14" s="18" t="s">
        <v>1064</v>
      </c>
      <c r="C14" s="102">
        <v>0.25</v>
      </c>
      <c r="D14" s="100">
        <v>7046.2015706990014</v>
      </c>
      <c r="E14" s="18" t="s">
        <v>1098</v>
      </c>
      <c r="F14" s="18">
        <v>2008</v>
      </c>
      <c r="G14" s="8" t="s">
        <v>1124</v>
      </c>
      <c r="H14" s="32" t="s">
        <v>773</v>
      </c>
      <c r="I14" s="74" t="s">
        <v>817</v>
      </c>
      <c r="J14" s="8" t="s">
        <v>610</v>
      </c>
      <c r="K14" s="18" t="s">
        <v>956</v>
      </c>
      <c r="L14" s="18">
        <v>4</v>
      </c>
      <c r="M14" s="7"/>
    </row>
    <row r="15" spans="1:13" ht="51" x14ac:dyDescent="0.25">
      <c r="A15" s="18" t="s">
        <v>72</v>
      </c>
      <c r="B15" s="18" t="s">
        <v>1064</v>
      </c>
      <c r="C15" s="102">
        <v>0.15</v>
      </c>
      <c r="D15" s="100">
        <v>3523.1007853495007</v>
      </c>
      <c r="E15" s="18" t="s">
        <v>1098</v>
      </c>
      <c r="F15" s="18">
        <v>2008</v>
      </c>
      <c r="G15" s="8" t="s">
        <v>1124</v>
      </c>
      <c r="H15" s="32" t="s">
        <v>773</v>
      </c>
      <c r="I15" s="74" t="s">
        <v>817</v>
      </c>
      <c r="J15" s="8" t="s">
        <v>610</v>
      </c>
      <c r="K15" s="18" t="s">
        <v>956</v>
      </c>
      <c r="L15" s="18">
        <v>4</v>
      </c>
      <c r="M15" s="7"/>
    </row>
    <row r="16" spans="1:13" ht="51" x14ac:dyDescent="0.25">
      <c r="A16" s="18" t="s">
        <v>72</v>
      </c>
      <c r="B16" s="18" t="s">
        <v>1068</v>
      </c>
      <c r="C16" s="102">
        <v>0.2</v>
      </c>
      <c r="D16" s="100">
        <v>8807.751963373752</v>
      </c>
      <c r="E16" s="18" t="s">
        <v>1098</v>
      </c>
      <c r="F16" s="18">
        <v>2008</v>
      </c>
      <c r="G16" s="8" t="s">
        <v>1121</v>
      </c>
      <c r="H16" s="32" t="s">
        <v>773</v>
      </c>
      <c r="I16" s="74" t="s">
        <v>817</v>
      </c>
      <c r="J16" s="8" t="s">
        <v>610</v>
      </c>
      <c r="K16" s="18" t="s">
        <v>956</v>
      </c>
      <c r="L16" s="18">
        <v>4</v>
      </c>
      <c r="M16" s="7"/>
    </row>
    <row r="17" spans="1:13" ht="51" x14ac:dyDescent="0.25">
      <c r="A17" s="18" t="s">
        <v>72</v>
      </c>
      <c r="B17" s="18" t="s">
        <v>1068</v>
      </c>
      <c r="C17" s="102">
        <v>0.15</v>
      </c>
      <c r="D17" s="100">
        <v>4403.875981686876</v>
      </c>
      <c r="E17" s="18" t="s">
        <v>1098</v>
      </c>
      <c r="F17" s="18">
        <v>2008</v>
      </c>
      <c r="G17" s="8" t="s">
        <v>1121</v>
      </c>
      <c r="H17" s="32" t="s">
        <v>773</v>
      </c>
      <c r="I17" s="74" t="s">
        <v>817</v>
      </c>
      <c r="J17" s="8" t="s">
        <v>610</v>
      </c>
      <c r="K17" s="18" t="s">
        <v>956</v>
      </c>
      <c r="L17" s="18">
        <v>4</v>
      </c>
      <c r="M17" s="7"/>
    </row>
    <row r="18" spans="1:13" ht="51" x14ac:dyDescent="0.25">
      <c r="A18" s="18" t="s">
        <v>72</v>
      </c>
      <c r="B18" s="18" t="s">
        <v>1068</v>
      </c>
      <c r="C18" s="102">
        <v>0.2</v>
      </c>
      <c r="D18" s="100">
        <v>8807.751963373752</v>
      </c>
      <c r="E18" s="18" t="s">
        <v>1098</v>
      </c>
      <c r="F18" s="18">
        <v>2008</v>
      </c>
      <c r="G18" s="8" t="s">
        <v>1122</v>
      </c>
      <c r="H18" s="32" t="s">
        <v>773</v>
      </c>
      <c r="I18" s="74" t="s">
        <v>817</v>
      </c>
      <c r="J18" s="8" t="s">
        <v>610</v>
      </c>
      <c r="K18" s="18" t="s">
        <v>956</v>
      </c>
      <c r="L18" s="18">
        <v>4</v>
      </c>
      <c r="M18" s="7"/>
    </row>
    <row r="19" spans="1:13" ht="51" x14ac:dyDescent="0.25">
      <c r="A19" s="18" t="s">
        <v>72</v>
      </c>
      <c r="B19" s="18" t="s">
        <v>1068</v>
      </c>
      <c r="C19" s="102">
        <v>0.15</v>
      </c>
      <c r="D19" s="100">
        <v>4403.875981686876</v>
      </c>
      <c r="E19" s="18" t="s">
        <v>1098</v>
      </c>
      <c r="F19" s="18">
        <v>2008</v>
      </c>
      <c r="G19" s="8" t="s">
        <v>1122</v>
      </c>
      <c r="H19" s="32" t="s">
        <v>773</v>
      </c>
      <c r="I19" s="74" t="s">
        <v>817</v>
      </c>
      <c r="J19" s="8" t="s">
        <v>610</v>
      </c>
      <c r="K19" s="18" t="s">
        <v>956</v>
      </c>
      <c r="L19" s="18">
        <v>4</v>
      </c>
      <c r="M19" s="7"/>
    </row>
    <row r="20" spans="1:13" ht="51" x14ac:dyDescent="0.25">
      <c r="A20" s="18" t="s">
        <v>72</v>
      </c>
      <c r="B20" s="18" t="s">
        <v>1068</v>
      </c>
      <c r="C20" s="102">
        <v>0.2</v>
      </c>
      <c r="D20" s="100">
        <v>8807.751963373752</v>
      </c>
      <c r="E20" s="18" t="s">
        <v>1098</v>
      </c>
      <c r="F20" s="18">
        <v>2008</v>
      </c>
      <c r="G20" s="8" t="s">
        <v>1123</v>
      </c>
      <c r="H20" s="32" t="s">
        <v>773</v>
      </c>
      <c r="I20" s="74" t="s">
        <v>817</v>
      </c>
      <c r="J20" s="8" t="s">
        <v>610</v>
      </c>
      <c r="K20" s="18" t="s">
        <v>956</v>
      </c>
      <c r="L20" s="18">
        <v>4</v>
      </c>
      <c r="M20" s="7"/>
    </row>
    <row r="21" spans="1:13" ht="51" x14ac:dyDescent="0.25">
      <c r="A21" s="18" t="s">
        <v>72</v>
      </c>
      <c r="B21" s="18" t="s">
        <v>1068</v>
      </c>
      <c r="C21" s="102">
        <v>0.15</v>
      </c>
      <c r="D21" s="100">
        <v>4403.875981686876</v>
      </c>
      <c r="E21" s="18" t="s">
        <v>1098</v>
      </c>
      <c r="F21" s="18">
        <v>2008</v>
      </c>
      <c r="G21" s="8" t="s">
        <v>1123</v>
      </c>
      <c r="H21" s="32" t="s">
        <v>773</v>
      </c>
      <c r="I21" s="74" t="s">
        <v>817</v>
      </c>
      <c r="J21" s="8" t="s">
        <v>610</v>
      </c>
      <c r="K21" s="18" t="s">
        <v>956</v>
      </c>
      <c r="L21" s="18">
        <v>4</v>
      </c>
      <c r="M21" s="7"/>
    </row>
    <row r="22" spans="1:13" ht="51" x14ac:dyDescent="0.25">
      <c r="A22" s="18" t="s">
        <v>72</v>
      </c>
      <c r="B22" s="18" t="s">
        <v>1068</v>
      </c>
      <c r="C22" s="102">
        <v>0.2</v>
      </c>
      <c r="D22" s="100">
        <v>8807.751963373752</v>
      </c>
      <c r="E22" s="18" t="s">
        <v>1098</v>
      </c>
      <c r="F22" s="18">
        <v>2008</v>
      </c>
      <c r="G22" s="8" t="s">
        <v>1124</v>
      </c>
      <c r="H22" s="32" t="s">
        <v>773</v>
      </c>
      <c r="I22" s="74" t="s">
        <v>817</v>
      </c>
      <c r="J22" s="8" t="s">
        <v>610</v>
      </c>
      <c r="K22" s="18" t="s">
        <v>956</v>
      </c>
      <c r="L22" s="18">
        <v>4</v>
      </c>
      <c r="M22" s="7"/>
    </row>
    <row r="23" spans="1:13" ht="51" x14ac:dyDescent="0.25">
      <c r="A23" s="18" t="s">
        <v>72</v>
      </c>
      <c r="B23" s="18" t="s">
        <v>1068</v>
      </c>
      <c r="C23" s="102">
        <v>0.15</v>
      </c>
      <c r="D23" s="100">
        <v>4403.875981686876</v>
      </c>
      <c r="E23" s="18" t="s">
        <v>1098</v>
      </c>
      <c r="F23" s="18">
        <v>2008</v>
      </c>
      <c r="G23" s="8" t="s">
        <v>1124</v>
      </c>
      <c r="H23" s="32" t="s">
        <v>773</v>
      </c>
      <c r="I23" s="74" t="s">
        <v>817</v>
      </c>
      <c r="J23" s="8" t="s">
        <v>610</v>
      </c>
      <c r="K23" s="18" t="s">
        <v>956</v>
      </c>
      <c r="L23" s="18">
        <v>4</v>
      </c>
      <c r="M23" s="7"/>
    </row>
    <row r="24" spans="1:13" ht="51" x14ac:dyDescent="0.25">
      <c r="A24" s="18" t="s">
        <v>72</v>
      </c>
      <c r="B24" s="18" t="s">
        <v>1070</v>
      </c>
      <c r="C24" s="102">
        <v>0.15</v>
      </c>
      <c r="D24" s="100">
        <v>12.110658949638909</v>
      </c>
      <c r="E24" s="18" t="s">
        <v>1098</v>
      </c>
      <c r="F24" s="18">
        <v>2008</v>
      </c>
      <c r="G24" s="8" t="s">
        <v>1121</v>
      </c>
      <c r="H24" s="32" t="s">
        <v>773</v>
      </c>
      <c r="I24" s="74" t="s">
        <v>817</v>
      </c>
      <c r="J24" s="8" t="s">
        <v>610</v>
      </c>
      <c r="K24" s="18" t="s">
        <v>956</v>
      </c>
      <c r="L24" s="18">
        <v>4</v>
      </c>
      <c r="M24" s="7" t="s">
        <v>1099</v>
      </c>
    </row>
    <row r="25" spans="1:13" ht="51" x14ac:dyDescent="0.25">
      <c r="A25" s="18" t="s">
        <v>72</v>
      </c>
      <c r="B25" s="18" t="s">
        <v>1070</v>
      </c>
      <c r="C25" s="102">
        <v>0.25</v>
      </c>
      <c r="D25" s="100">
        <v>16.514534931325784</v>
      </c>
      <c r="E25" s="18" t="s">
        <v>1098</v>
      </c>
      <c r="F25" s="18">
        <v>2008</v>
      </c>
      <c r="G25" s="8" t="s">
        <v>1122</v>
      </c>
      <c r="H25" s="32" t="s">
        <v>773</v>
      </c>
      <c r="I25" s="74" t="s">
        <v>817</v>
      </c>
      <c r="J25" s="8" t="s">
        <v>610</v>
      </c>
      <c r="K25" s="18" t="s">
        <v>956</v>
      </c>
      <c r="L25" s="18">
        <v>4</v>
      </c>
      <c r="M25" s="7" t="s">
        <v>1099</v>
      </c>
    </row>
    <row r="26" spans="1:13" ht="51" x14ac:dyDescent="0.25">
      <c r="A26" s="18" t="s">
        <v>72</v>
      </c>
      <c r="B26" s="18" t="s">
        <v>1070</v>
      </c>
      <c r="C26" s="102">
        <v>0.3</v>
      </c>
      <c r="D26" s="100">
        <v>16.514534931325784</v>
      </c>
      <c r="E26" s="18" t="s">
        <v>1098</v>
      </c>
      <c r="F26" s="18">
        <v>2008</v>
      </c>
      <c r="G26" s="8" t="s">
        <v>1123</v>
      </c>
      <c r="H26" s="32" t="s">
        <v>773</v>
      </c>
      <c r="I26" s="74" t="s">
        <v>817</v>
      </c>
      <c r="J26" s="8" t="s">
        <v>610</v>
      </c>
      <c r="K26" s="18" t="s">
        <v>956</v>
      </c>
      <c r="L26" s="18">
        <v>4</v>
      </c>
      <c r="M26" s="7" t="s">
        <v>1099</v>
      </c>
    </row>
    <row r="27" spans="1:13" ht="51" x14ac:dyDescent="0.25">
      <c r="A27" s="18" t="s">
        <v>72</v>
      </c>
      <c r="B27" s="18" t="s">
        <v>1070</v>
      </c>
      <c r="C27" s="102">
        <v>0.25</v>
      </c>
      <c r="D27" s="100">
        <v>16.514534931325784</v>
      </c>
      <c r="E27" s="18" t="s">
        <v>1098</v>
      </c>
      <c r="F27" s="18">
        <v>2008</v>
      </c>
      <c r="G27" s="8" t="s">
        <v>1124</v>
      </c>
      <c r="H27" s="32" t="s">
        <v>773</v>
      </c>
      <c r="I27" s="74" t="s">
        <v>817</v>
      </c>
      <c r="J27" s="8" t="s">
        <v>610</v>
      </c>
      <c r="K27" s="18" t="s">
        <v>956</v>
      </c>
      <c r="L27" s="18">
        <v>4</v>
      </c>
      <c r="M27" s="7" t="s">
        <v>1099</v>
      </c>
    </row>
    <row r="28" spans="1:13" ht="51" x14ac:dyDescent="0.25">
      <c r="A28" s="18" t="s">
        <v>72</v>
      </c>
      <c r="B28" s="18" t="s">
        <v>1086</v>
      </c>
      <c r="C28" s="102">
        <v>0.02</v>
      </c>
      <c r="D28" s="100">
        <v>22.019379908434381</v>
      </c>
      <c r="E28" s="18" t="s">
        <v>1098</v>
      </c>
      <c r="F28" s="18">
        <v>2008</v>
      </c>
      <c r="G28" s="8" t="s">
        <v>1121</v>
      </c>
      <c r="H28" s="32" t="s">
        <v>773</v>
      </c>
      <c r="I28" s="74" t="s">
        <v>817</v>
      </c>
      <c r="J28" s="8" t="s">
        <v>610</v>
      </c>
      <c r="K28" s="18" t="s">
        <v>956</v>
      </c>
      <c r="L28" s="18">
        <v>4</v>
      </c>
      <c r="M28" s="7"/>
    </row>
    <row r="29" spans="1:13" ht="51" x14ac:dyDescent="0.25">
      <c r="A29" s="18" t="s">
        <v>72</v>
      </c>
      <c r="B29" s="18" t="s">
        <v>1086</v>
      </c>
      <c r="C29" s="102">
        <v>0.02</v>
      </c>
      <c r="D29" s="100">
        <v>22.019379908434381</v>
      </c>
      <c r="E29" s="18" t="s">
        <v>1098</v>
      </c>
      <c r="F29" s="18">
        <v>2008</v>
      </c>
      <c r="G29" s="8" t="s">
        <v>1122</v>
      </c>
      <c r="H29" s="32" t="s">
        <v>773</v>
      </c>
      <c r="I29" s="74" t="s">
        <v>817</v>
      </c>
      <c r="J29" s="8" t="s">
        <v>610</v>
      </c>
      <c r="K29" s="18" t="s">
        <v>956</v>
      </c>
      <c r="L29" s="18">
        <v>4</v>
      </c>
      <c r="M29" s="7"/>
    </row>
    <row r="30" spans="1:13" ht="51" x14ac:dyDescent="0.25">
      <c r="A30" s="18" t="s">
        <v>72</v>
      </c>
      <c r="B30" s="18" t="s">
        <v>1086</v>
      </c>
      <c r="C30" s="102">
        <v>0.02</v>
      </c>
      <c r="D30" s="100">
        <v>22.019379908434381</v>
      </c>
      <c r="E30" s="18" t="s">
        <v>1098</v>
      </c>
      <c r="F30" s="18">
        <v>2008</v>
      </c>
      <c r="G30" s="8" t="s">
        <v>1123</v>
      </c>
      <c r="H30" s="32" t="s">
        <v>773</v>
      </c>
      <c r="I30" s="74" t="s">
        <v>817</v>
      </c>
      <c r="J30" s="8" t="s">
        <v>610</v>
      </c>
      <c r="K30" s="18" t="s">
        <v>956</v>
      </c>
      <c r="L30" s="18">
        <v>4</v>
      </c>
      <c r="M30" s="7"/>
    </row>
    <row r="31" spans="1:13" ht="51" x14ac:dyDescent="0.25">
      <c r="A31" s="18" t="s">
        <v>72</v>
      </c>
      <c r="B31" s="18" t="s">
        <v>1086</v>
      </c>
      <c r="C31" s="102">
        <v>0.02</v>
      </c>
      <c r="D31" s="100">
        <v>22.019379908434381</v>
      </c>
      <c r="E31" s="18" t="s">
        <v>1098</v>
      </c>
      <c r="F31" s="18">
        <v>2008</v>
      </c>
      <c r="G31" s="8" t="s">
        <v>1124</v>
      </c>
      <c r="H31" s="32" t="s">
        <v>773</v>
      </c>
      <c r="I31" s="74" t="s">
        <v>817</v>
      </c>
      <c r="J31" s="8" t="s">
        <v>610</v>
      </c>
      <c r="K31" s="18" t="s">
        <v>956</v>
      </c>
      <c r="L31" s="18">
        <v>4</v>
      </c>
      <c r="M31" s="7"/>
    </row>
    <row r="32" spans="1:13" ht="51" x14ac:dyDescent="0.25">
      <c r="A32" s="18" t="s">
        <v>706</v>
      </c>
      <c r="B32" s="18" t="s">
        <v>1060</v>
      </c>
      <c r="C32" s="102">
        <v>0.2</v>
      </c>
      <c r="D32" s="100">
        <v>484.42635798555636</v>
      </c>
      <c r="E32" s="18" t="s">
        <v>1098</v>
      </c>
      <c r="F32" s="18">
        <v>2008</v>
      </c>
      <c r="G32" s="8" t="s">
        <v>1125</v>
      </c>
      <c r="H32" s="32" t="s">
        <v>773</v>
      </c>
      <c r="I32" s="74" t="s">
        <v>817</v>
      </c>
      <c r="J32" s="8" t="s">
        <v>610</v>
      </c>
      <c r="K32" s="18" t="s">
        <v>956</v>
      </c>
      <c r="L32" s="18">
        <v>4</v>
      </c>
      <c r="M32" s="103"/>
    </row>
    <row r="33" spans="1:13" ht="51" x14ac:dyDescent="0.25">
      <c r="A33" s="18" t="s">
        <v>706</v>
      </c>
      <c r="B33" s="18" t="s">
        <v>1060</v>
      </c>
      <c r="C33" s="102">
        <v>0.2</v>
      </c>
      <c r="D33" s="100">
        <v>484.42635798555636</v>
      </c>
      <c r="E33" s="18" t="s">
        <v>1098</v>
      </c>
      <c r="F33" s="18">
        <v>2008</v>
      </c>
      <c r="G33" s="8" t="s">
        <v>1126</v>
      </c>
      <c r="H33" s="32" t="s">
        <v>773</v>
      </c>
      <c r="I33" s="74" t="s">
        <v>817</v>
      </c>
      <c r="J33" s="8" t="s">
        <v>610</v>
      </c>
      <c r="K33" s="18" t="s">
        <v>956</v>
      </c>
      <c r="L33" s="18">
        <v>4</v>
      </c>
      <c r="M33" s="103"/>
    </row>
    <row r="34" spans="1:13" ht="51" x14ac:dyDescent="0.25">
      <c r="A34" s="18" t="s">
        <v>706</v>
      </c>
      <c r="B34" s="18" t="s">
        <v>1060</v>
      </c>
      <c r="C34" s="102">
        <v>0.2</v>
      </c>
      <c r="D34" s="100">
        <v>484.42635798555636</v>
      </c>
      <c r="E34" s="18" t="s">
        <v>1098</v>
      </c>
      <c r="F34" s="18">
        <v>2008</v>
      </c>
      <c r="G34" s="8" t="s">
        <v>1127</v>
      </c>
      <c r="H34" s="32" t="s">
        <v>773</v>
      </c>
      <c r="I34" s="74" t="s">
        <v>817</v>
      </c>
      <c r="J34" s="8" t="s">
        <v>610</v>
      </c>
      <c r="K34" s="18" t="s">
        <v>956</v>
      </c>
      <c r="L34" s="18">
        <v>4</v>
      </c>
      <c r="M34" s="103"/>
    </row>
    <row r="35" spans="1:13" ht="51" x14ac:dyDescent="0.25">
      <c r="A35" s="18" t="s">
        <v>706</v>
      </c>
      <c r="B35" s="18" t="s">
        <v>1060</v>
      </c>
      <c r="C35" s="102">
        <v>0.2</v>
      </c>
      <c r="D35" s="100">
        <v>484.42635798555636</v>
      </c>
      <c r="E35" s="18" t="s">
        <v>1098</v>
      </c>
      <c r="F35" s="18">
        <v>2008</v>
      </c>
      <c r="G35" s="8" t="s">
        <v>1128</v>
      </c>
      <c r="H35" s="32" t="s">
        <v>773</v>
      </c>
      <c r="I35" s="74" t="s">
        <v>817</v>
      </c>
      <c r="J35" s="8" t="s">
        <v>610</v>
      </c>
      <c r="K35" s="18" t="s">
        <v>956</v>
      </c>
      <c r="L35" s="18">
        <v>4</v>
      </c>
      <c r="M35" s="103"/>
    </row>
    <row r="36" spans="1:13" ht="51" x14ac:dyDescent="0.25">
      <c r="A36" s="18" t="s">
        <v>706</v>
      </c>
      <c r="B36" s="18" t="s">
        <v>1064</v>
      </c>
      <c r="C36" s="102">
        <v>0.5</v>
      </c>
      <c r="D36" s="100">
        <v>7046.2015706990014</v>
      </c>
      <c r="E36" s="18" t="s">
        <v>1098</v>
      </c>
      <c r="F36" s="18">
        <v>2008</v>
      </c>
      <c r="G36" s="8" t="s">
        <v>1125</v>
      </c>
      <c r="H36" s="32" t="s">
        <v>773</v>
      </c>
      <c r="I36" s="74" t="s">
        <v>817</v>
      </c>
      <c r="J36" s="8" t="s">
        <v>610</v>
      </c>
      <c r="K36" s="18" t="s">
        <v>956</v>
      </c>
      <c r="L36" s="18">
        <v>4</v>
      </c>
      <c r="M36" s="7"/>
    </row>
    <row r="37" spans="1:13" ht="51" x14ac:dyDescent="0.25">
      <c r="A37" s="18" t="s">
        <v>706</v>
      </c>
      <c r="B37" s="18" t="s">
        <v>1064</v>
      </c>
      <c r="C37" s="102">
        <v>0.25</v>
      </c>
      <c r="D37" s="100">
        <v>3523.1007853495007</v>
      </c>
      <c r="E37" s="18" t="s">
        <v>1098</v>
      </c>
      <c r="F37" s="18">
        <v>2008</v>
      </c>
      <c r="G37" s="8" t="s">
        <v>1125</v>
      </c>
      <c r="H37" s="32" t="s">
        <v>773</v>
      </c>
      <c r="I37" s="74" t="s">
        <v>817</v>
      </c>
      <c r="J37" s="8" t="s">
        <v>610</v>
      </c>
      <c r="K37" s="18" t="s">
        <v>956</v>
      </c>
      <c r="L37" s="18">
        <v>4</v>
      </c>
      <c r="M37" s="7"/>
    </row>
    <row r="38" spans="1:13" ht="51" x14ac:dyDescent="0.25">
      <c r="A38" s="18" t="s">
        <v>706</v>
      </c>
      <c r="B38" s="18" t="s">
        <v>1064</v>
      </c>
      <c r="C38" s="102">
        <v>0.5</v>
      </c>
      <c r="D38" s="100">
        <v>7046.2015706990014</v>
      </c>
      <c r="E38" s="18" t="s">
        <v>1098</v>
      </c>
      <c r="F38" s="18">
        <v>2008</v>
      </c>
      <c r="G38" s="8" t="s">
        <v>1126</v>
      </c>
      <c r="H38" s="32" t="s">
        <v>773</v>
      </c>
      <c r="I38" s="74" t="s">
        <v>817</v>
      </c>
      <c r="J38" s="8" t="s">
        <v>610</v>
      </c>
      <c r="K38" s="18" t="s">
        <v>956</v>
      </c>
      <c r="L38" s="18">
        <v>4</v>
      </c>
      <c r="M38" s="7"/>
    </row>
    <row r="39" spans="1:13" ht="51" x14ac:dyDescent="0.25">
      <c r="A39" s="18" t="s">
        <v>706</v>
      </c>
      <c r="B39" s="18" t="s">
        <v>1064</v>
      </c>
      <c r="C39" s="102">
        <v>0.25</v>
      </c>
      <c r="D39" s="100">
        <v>3523.1007853495007</v>
      </c>
      <c r="E39" s="18" t="s">
        <v>1098</v>
      </c>
      <c r="F39" s="18">
        <v>2008</v>
      </c>
      <c r="G39" s="8" t="s">
        <v>1126</v>
      </c>
      <c r="H39" s="32" t="s">
        <v>773</v>
      </c>
      <c r="I39" s="74" t="s">
        <v>817</v>
      </c>
      <c r="J39" s="8" t="s">
        <v>610</v>
      </c>
      <c r="K39" s="18" t="s">
        <v>956</v>
      </c>
      <c r="L39" s="18">
        <v>4</v>
      </c>
      <c r="M39" s="7"/>
    </row>
    <row r="40" spans="1:13" ht="51" x14ac:dyDescent="0.25">
      <c r="A40" s="18" t="s">
        <v>706</v>
      </c>
      <c r="B40" s="18" t="s">
        <v>1064</v>
      </c>
      <c r="C40" s="102">
        <v>0.5</v>
      </c>
      <c r="D40" s="100">
        <v>7046.2015706990014</v>
      </c>
      <c r="E40" s="18" t="s">
        <v>1098</v>
      </c>
      <c r="F40" s="18">
        <v>2008</v>
      </c>
      <c r="G40" s="8" t="s">
        <v>1127</v>
      </c>
      <c r="H40" s="32" t="s">
        <v>773</v>
      </c>
      <c r="I40" s="74" t="s">
        <v>817</v>
      </c>
      <c r="J40" s="8" t="s">
        <v>610</v>
      </c>
      <c r="K40" s="18" t="s">
        <v>956</v>
      </c>
      <c r="L40" s="18">
        <v>4</v>
      </c>
      <c r="M40" s="7"/>
    </row>
    <row r="41" spans="1:13" ht="51" x14ac:dyDescent="0.25">
      <c r="A41" s="18" t="s">
        <v>706</v>
      </c>
      <c r="B41" s="18" t="s">
        <v>1064</v>
      </c>
      <c r="C41" s="102">
        <v>0.25</v>
      </c>
      <c r="D41" s="100">
        <v>3523.1007853495007</v>
      </c>
      <c r="E41" s="18" t="s">
        <v>1098</v>
      </c>
      <c r="F41" s="18">
        <v>2008</v>
      </c>
      <c r="G41" s="8" t="s">
        <v>1127</v>
      </c>
      <c r="H41" s="32" t="s">
        <v>773</v>
      </c>
      <c r="I41" s="74" t="s">
        <v>817</v>
      </c>
      <c r="J41" s="8" t="s">
        <v>610</v>
      </c>
      <c r="K41" s="18" t="s">
        <v>956</v>
      </c>
      <c r="L41" s="18">
        <v>4</v>
      </c>
      <c r="M41" s="7"/>
    </row>
    <row r="42" spans="1:13" ht="51" x14ac:dyDescent="0.25">
      <c r="A42" s="18" t="s">
        <v>706</v>
      </c>
      <c r="B42" s="18" t="s">
        <v>1064</v>
      </c>
      <c r="C42" s="102">
        <v>0.5</v>
      </c>
      <c r="D42" s="100">
        <v>7046.2015706990014</v>
      </c>
      <c r="E42" s="18" t="s">
        <v>1098</v>
      </c>
      <c r="F42" s="18">
        <v>2008</v>
      </c>
      <c r="G42" s="8" t="s">
        <v>1128</v>
      </c>
      <c r="H42" s="32" t="s">
        <v>773</v>
      </c>
      <c r="I42" s="74" t="s">
        <v>817</v>
      </c>
      <c r="J42" s="8" t="s">
        <v>610</v>
      </c>
      <c r="K42" s="18" t="s">
        <v>956</v>
      </c>
      <c r="L42" s="18">
        <v>4</v>
      </c>
      <c r="M42" s="7"/>
    </row>
    <row r="43" spans="1:13" ht="51" x14ac:dyDescent="0.25">
      <c r="A43" s="18" t="s">
        <v>706</v>
      </c>
      <c r="B43" s="18" t="s">
        <v>1064</v>
      </c>
      <c r="C43" s="102">
        <v>0.25</v>
      </c>
      <c r="D43" s="100">
        <v>3523.1007853495007</v>
      </c>
      <c r="E43" s="18" t="s">
        <v>1098</v>
      </c>
      <c r="F43" s="18">
        <v>2008</v>
      </c>
      <c r="G43" s="8" t="s">
        <v>1128</v>
      </c>
      <c r="H43" s="32" t="s">
        <v>773</v>
      </c>
      <c r="I43" s="74" t="s">
        <v>817</v>
      </c>
      <c r="J43" s="8" t="s">
        <v>610</v>
      </c>
      <c r="K43" s="18" t="s">
        <v>956</v>
      </c>
      <c r="L43" s="18">
        <v>4</v>
      </c>
      <c r="M43" s="7"/>
    </row>
    <row r="44" spans="1:13" ht="51" x14ac:dyDescent="0.25">
      <c r="A44" s="18" t="s">
        <v>706</v>
      </c>
      <c r="B44" s="18" t="s">
        <v>1068</v>
      </c>
      <c r="C44" s="102">
        <v>0.8</v>
      </c>
      <c r="D44" s="100">
        <v>8807.751963373752</v>
      </c>
      <c r="E44" s="18" t="s">
        <v>1098</v>
      </c>
      <c r="F44" s="18">
        <v>2008</v>
      </c>
      <c r="G44" s="8" t="s">
        <v>1125</v>
      </c>
      <c r="H44" s="32" t="s">
        <v>773</v>
      </c>
      <c r="I44" s="74" t="s">
        <v>817</v>
      </c>
      <c r="J44" s="8" t="s">
        <v>610</v>
      </c>
      <c r="K44" s="18" t="s">
        <v>956</v>
      </c>
      <c r="L44" s="18">
        <v>4</v>
      </c>
      <c r="M44" s="7"/>
    </row>
    <row r="45" spans="1:13" ht="51" x14ac:dyDescent="0.25">
      <c r="A45" s="18" t="s">
        <v>706</v>
      </c>
      <c r="B45" s="18" t="s">
        <v>1068</v>
      </c>
      <c r="C45" s="102">
        <v>0.65</v>
      </c>
      <c r="D45" s="100">
        <v>4403.875981686876</v>
      </c>
      <c r="E45" s="18" t="s">
        <v>1098</v>
      </c>
      <c r="F45" s="18">
        <v>2008</v>
      </c>
      <c r="G45" s="8" t="s">
        <v>1125</v>
      </c>
      <c r="H45" s="32" t="s">
        <v>773</v>
      </c>
      <c r="I45" s="74" t="s">
        <v>817</v>
      </c>
      <c r="J45" s="8" t="s">
        <v>610</v>
      </c>
      <c r="K45" s="18" t="s">
        <v>956</v>
      </c>
      <c r="L45" s="18">
        <v>4</v>
      </c>
      <c r="M45" s="7"/>
    </row>
    <row r="46" spans="1:13" ht="51" x14ac:dyDescent="0.25">
      <c r="A46" s="18" t="s">
        <v>706</v>
      </c>
      <c r="B46" s="18" t="s">
        <v>1068</v>
      </c>
      <c r="C46" s="102">
        <v>0.8</v>
      </c>
      <c r="D46" s="100">
        <v>8807.751963373752</v>
      </c>
      <c r="E46" s="18" t="s">
        <v>1098</v>
      </c>
      <c r="F46" s="18">
        <v>2008</v>
      </c>
      <c r="G46" s="8" t="s">
        <v>1126</v>
      </c>
      <c r="H46" s="32" t="s">
        <v>773</v>
      </c>
      <c r="I46" s="74" t="s">
        <v>817</v>
      </c>
      <c r="J46" s="8" t="s">
        <v>610</v>
      </c>
      <c r="K46" s="18" t="s">
        <v>956</v>
      </c>
      <c r="L46" s="18">
        <v>4</v>
      </c>
      <c r="M46" s="7"/>
    </row>
    <row r="47" spans="1:13" ht="51" x14ac:dyDescent="0.25">
      <c r="A47" s="18" t="s">
        <v>706</v>
      </c>
      <c r="B47" s="18" t="s">
        <v>1068</v>
      </c>
      <c r="C47" s="102">
        <v>0.65</v>
      </c>
      <c r="D47" s="100">
        <v>4403.875981686876</v>
      </c>
      <c r="E47" s="18" t="s">
        <v>1098</v>
      </c>
      <c r="F47" s="18">
        <v>2008</v>
      </c>
      <c r="G47" s="8" t="s">
        <v>1126</v>
      </c>
      <c r="H47" s="32" t="s">
        <v>773</v>
      </c>
      <c r="I47" s="74" t="s">
        <v>817</v>
      </c>
      <c r="J47" s="8" t="s">
        <v>610</v>
      </c>
      <c r="K47" s="18" t="s">
        <v>956</v>
      </c>
      <c r="L47" s="18">
        <v>4</v>
      </c>
      <c r="M47" s="7"/>
    </row>
    <row r="48" spans="1:13" ht="51" x14ac:dyDescent="0.25">
      <c r="A48" s="18" t="s">
        <v>706</v>
      </c>
      <c r="B48" s="18" t="s">
        <v>1068</v>
      </c>
      <c r="C48" s="102">
        <v>0.8</v>
      </c>
      <c r="D48" s="100">
        <v>8807.751963373752</v>
      </c>
      <c r="E48" s="18" t="s">
        <v>1098</v>
      </c>
      <c r="F48" s="18">
        <v>2008</v>
      </c>
      <c r="G48" s="8" t="s">
        <v>1127</v>
      </c>
      <c r="H48" s="32" t="s">
        <v>773</v>
      </c>
      <c r="I48" s="74" t="s">
        <v>817</v>
      </c>
      <c r="J48" s="8" t="s">
        <v>610</v>
      </c>
      <c r="K48" s="18" t="s">
        <v>956</v>
      </c>
      <c r="L48" s="18">
        <v>4</v>
      </c>
      <c r="M48" s="7"/>
    </row>
    <row r="49" spans="1:13" ht="51" x14ac:dyDescent="0.25">
      <c r="A49" s="18" t="s">
        <v>706</v>
      </c>
      <c r="B49" s="18" t="s">
        <v>1068</v>
      </c>
      <c r="C49" s="102">
        <v>0.65</v>
      </c>
      <c r="D49" s="100">
        <v>4403.875981686876</v>
      </c>
      <c r="E49" s="18" t="s">
        <v>1098</v>
      </c>
      <c r="F49" s="18">
        <v>2008</v>
      </c>
      <c r="G49" s="8" t="s">
        <v>1127</v>
      </c>
      <c r="H49" s="32" t="s">
        <v>773</v>
      </c>
      <c r="I49" s="74" t="s">
        <v>817</v>
      </c>
      <c r="J49" s="8" t="s">
        <v>610</v>
      </c>
      <c r="K49" s="18" t="s">
        <v>956</v>
      </c>
      <c r="L49" s="18">
        <v>4</v>
      </c>
      <c r="M49" s="7"/>
    </row>
    <row r="50" spans="1:13" ht="51" x14ac:dyDescent="0.25">
      <c r="A50" s="18" t="s">
        <v>706</v>
      </c>
      <c r="B50" s="18" t="s">
        <v>1068</v>
      </c>
      <c r="C50" s="102">
        <v>0.8</v>
      </c>
      <c r="D50" s="100">
        <v>8807.751963373752</v>
      </c>
      <c r="E50" s="18" t="s">
        <v>1098</v>
      </c>
      <c r="F50" s="18">
        <v>2008</v>
      </c>
      <c r="G50" s="8" t="s">
        <v>1128</v>
      </c>
      <c r="H50" s="32" t="s">
        <v>773</v>
      </c>
      <c r="I50" s="74" t="s">
        <v>817</v>
      </c>
      <c r="J50" s="8" t="s">
        <v>610</v>
      </c>
      <c r="K50" s="18" t="s">
        <v>956</v>
      </c>
      <c r="L50" s="18">
        <v>4</v>
      </c>
      <c r="M50" s="7"/>
    </row>
    <row r="51" spans="1:13" ht="51" x14ac:dyDescent="0.25">
      <c r="A51" s="18" t="s">
        <v>706</v>
      </c>
      <c r="B51" s="18" t="s">
        <v>1068</v>
      </c>
      <c r="C51" s="102">
        <v>0.65</v>
      </c>
      <c r="D51" s="100">
        <v>4403.875981686876</v>
      </c>
      <c r="E51" s="18" t="s">
        <v>1098</v>
      </c>
      <c r="F51" s="18">
        <v>2008</v>
      </c>
      <c r="G51" s="8" t="s">
        <v>1128</v>
      </c>
      <c r="H51" s="32" t="s">
        <v>773</v>
      </c>
      <c r="I51" s="74" t="s">
        <v>817</v>
      </c>
      <c r="J51" s="8" t="s">
        <v>610</v>
      </c>
      <c r="K51" s="18" t="s">
        <v>956</v>
      </c>
      <c r="L51" s="18">
        <v>4</v>
      </c>
      <c r="M51" s="7"/>
    </row>
    <row r="52" spans="1:13" ht="51" x14ac:dyDescent="0.25">
      <c r="A52" s="18" t="s">
        <v>706</v>
      </c>
      <c r="B52" s="18" t="s">
        <v>1070</v>
      </c>
      <c r="C52" s="102">
        <v>0.05</v>
      </c>
      <c r="D52" s="100">
        <v>0</v>
      </c>
      <c r="E52" s="18" t="s">
        <v>1098</v>
      </c>
      <c r="F52" s="18">
        <v>2008</v>
      </c>
      <c r="G52" s="8" t="s">
        <v>1125</v>
      </c>
      <c r="H52" s="32" t="s">
        <v>773</v>
      </c>
      <c r="I52" s="74" t="s">
        <v>817</v>
      </c>
      <c r="J52" s="8" t="s">
        <v>610</v>
      </c>
      <c r="K52" s="18" t="s">
        <v>956</v>
      </c>
      <c r="L52" s="18">
        <v>4</v>
      </c>
      <c r="M52" s="7" t="s">
        <v>1099</v>
      </c>
    </row>
    <row r="53" spans="1:13" ht="51" x14ac:dyDescent="0.25">
      <c r="A53" s="18" t="s">
        <v>706</v>
      </c>
      <c r="B53" s="18" t="s">
        <v>1070</v>
      </c>
      <c r="C53" s="102">
        <v>0.05</v>
      </c>
      <c r="D53" s="100">
        <v>0</v>
      </c>
      <c r="E53" s="18" t="s">
        <v>1098</v>
      </c>
      <c r="F53" s="18">
        <v>2008</v>
      </c>
      <c r="G53" s="8" t="s">
        <v>1126</v>
      </c>
      <c r="H53" s="32" t="s">
        <v>773</v>
      </c>
      <c r="I53" s="74" t="s">
        <v>817</v>
      </c>
      <c r="J53" s="8" t="s">
        <v>610</v>
      </c>
      <c r="K53" s="18" t="s">
        <v>956</v>
      </c>
      <c r="L53" s="18">
        <v>4</v>
      </c>
      <c r="M53" s="7" t="s">
        <v>1099</v>
      </c>
    </row>
    <row r="54" spans="1:13" ht="51" x14ac:dyDescent="0.25">
      <c r="A54" s="18" t="s">
        <v>706</v>
      </c>
      <c r="B54" s="18" t="s">
        <v>1070</v>
      </c>
      <c r="C54" s="102">
        <v>0.05</v>
      </c>
      <c r="D54" s="100">
        <v>0</v>
      </c>
      <c r="E54" s="18" t="s">
        <v>1098</v>
      </c>
      <c r="F54" s="18">
        <v>2008</v>
      </c>
      <c r="G54" s="8" t="s">
        <v>1127</v>
      </c>
      <c r="H54" s="32" t="s">
        <v>773</v>
      </c>
      <c r="I54" s="74" t="s">
        <v>817</v>
      </c>
      <c r="J54" s="8" t="s">
        <v>610</v>
      </c>
      <c r="K54" s="18" t="s">
        <v>956</v>
      </c>
      <c r="L54" s="18">
        <v>4</v>
      </c>
      <c r="M54" s="7" t="s">
        <v>1099</v>
      </c>
    </row>
    <row r="55" spans="1:13" ht="51" x14ac:dyDescent="0.25">
      <c r="A55" s="18" t="s">
        <v>706</v>
      </c>
      <c r="B55" s="18" t="s">
        <v>1070</v>
      </c>
      <c r="C55" s="102">
        <v>0.05</v>
      </c>
      <c r="D55" s="100">
        <v>0</v>
      </c>
      <c r="E55" s="18" t="s">
        <v>1098</v>
      </c>
      <c r="F55" s="18">
        <v>2008</v>
      </c>
      <c r="G55" s="8" t="s">
        <v>1128</v>
      </c>
      <c r="H55" s="32" t="s">
        <v>773</v>
      </c>
      <c r="I55" s="74" t="s">
        <v>817</v>
      </c>
      <c r="J55" s="8" t="s">
        <v>610</v>
      </c>
      <c r="K55" s="18" t="s">
        <v>956</v>
      </c>
      <c r="L55" s="18">
        <v>4</v>
      </c>
      <c r="M55" s="7" t="s">
        <v>1099</v>
      </c>
    </row>
    <row r="56" spans="1:13" ht="51" x14ac:dyDescent="0.25">
      <c r="A56" s="18" t="s">
        <v>706</v>
      </c>
      <c r="B56" s="18" t="s">
        <v>1086</v>
      </c>
      <c r="C56" s="102">
        <v>0.15</v>
      </c>
      <c r="D56" s="100">
        <v>22.019379908434381</v>
      </c>
      <c r="E56" s="18" t="s">
        <v>1098</v>
      </c>
      <c r="F56" s="18">
        <v>2008</v>
      </c>
      <c r="G56" s="8" t="s">
        <v>1125</v>
      </c>
      <c r="H56" s="32" t="s">
        <v>773</v>
      </c>
      <c r="I56" s="74" t="s">
        <v>817</v>
      </c>
      <c r="J56" s="8" t="s">
        <v>610</v>
      </c>
      <c r="K56" s="18" t="s">
        <v>956</v>
      </c>
      <c r="L56" s="18">
        <v>4</v>
      </c>
      <c r="M56" s="7"/>
    </row>
    <row r="57" spans="1:13" ht="51" x14ac:dyDescent="0.25">
      <c r="A57" s="18" t="s">
        <v>706</v>
      </c>
      <c r="B57" s="18" t="s">
        <v>1086</v>
      </c>
      <c r="C57" s="102">
        <v>0.15</v>
      </c>
      <c r="D57" s="100">
        <v>22.019379908434381</v>
      </c>
      <c r="E57" s="18" t="s">
        <v>1098</v>
      </c>
      <c r="F57" s="18">
        <v>2008</v>
      </c>
      <c r="G57" s="8" t="s">
        <v>1126</v>
      </c>
      <c r="H57" s="32" t="s">
        <v>773</v>
      </c>
      <c r="I57" s="74" t="s">
        <v>817</v>
      </c>
      <c r="J57" s="8" t="s">
        <v>610</v>
      </c>
      <c r="K57" s="18" t="s">
        <v>956</v>
      </c>
      <c r="L57" s="18">
        <v>4</v>
      </c>
      <c r="M57" s="7"/>
    </row>
    <row r="58" spans="1:13" ht="51" x14ac:dyDescent="0.25">
      <c r="A58" s="18" t="s">
        <v>706</v>
      </c>
      <c r="B58" s="18" t="s">
        <v>1086</v>
      </c>
      <c r="C58" s="102">
        <v>0.15</v>
      </c>
      <c r="D58" s="100">
        <v>22.019379908434381</v>
      </c>
      <c r="E58" s="18" t="s">
        <v>1098</v>
      </c>
      <c r="F58" s="18">
        <v>2008</v>
      </c>
      <c r="G58" s="8" t="s">
        <v>1127</v>
      </c>
      <c r="H58" s="32" t="s">
        <v>773</v>
      </c>
      <c r="I58" s="74" t="s">
        <v>817</v>
      </c>
      <c r="J58" s="8" t="s">
        <v>610</v>
      </c>
      <c r="K58" s="18" t="s">
        <v>956</v>
      </c>
      <c r="L58" s="18">
        <v>4</v>
      </c>
      <c r="M58" s="7"/>
    </row>
    <row r="59" spans="1:13" ht="51" x14ac:dyDescent="0.25">
      <c r="A59" s="18" t="s">
        <v>706</v>
      </c>
      <c r="B59" s="18" t="s">
        <v>1086</v>
      </c>
      <c r="C59" s="102">
        <v>0.15</v>
      </c>
      <c r="D59" s="100">
        <v>22.019379908434381</v>
      </c>
      <c r="E59" s="18" t="s">
        <v>1098</v>
      </c>
      <c r="F59" s="18">
        <v>2008</v>
      </c>
      <c r="G59" s="8" t="s">
        <v>1128</v>
      </c>
      <c r="H59" s="32" t="s">
        <v>773</v>
      </c>
      <c r="I59" s="74" t="s">
        <v>817</v>
      </c>
      <c r="J59" s="8" t="s">
        <v>610</v>
      </c>
      <c r="K59" s="18" t="s">
        <v>956</v>
      </c>
      <c r="L59" s="18">
        <v>4</v>
      </c>
      <c r="M59" s="7"/>
    </row>
    <row r="60" spans="1:13" ht="51" x14ac:dyDescent="0.25">
      <c r="A60" s="18" t="s">
        <v>706</v>
      </c>
      <c r="B60" s="18" t="s">
        <v>1146</v>
      </c>
      <c r="C60" s="102">
        <v>0.7</v>
      </c>
      <c r="D60" s="100">
        <v>3523.1007853495007</v>
      </c>
      <c r="E60" s="18" t="s">
        <v>1098</v>
      </c>
      <c r="F60" s="18">
        <v>2008</v>
      </c>
      <c r="G60" s="8" t="s">
        <v>1125</v>
      </c>
      <c r="H60" s="32" t="s">
        <v>773</v>
      </c>
      <c r="I60" s="74" t="s">
        <v>817</v>
      </c>
      <c r="J60" s="8" t="s">
        <v>610</v>
      </c>
      <c r="K60" s="18" t="s">
        <v>956</v>
      </c>
      <c r="L60" s="18">
        <v>4</v>
      </c>
      <c r="M60" s="7"/>
    </row>
    <row r="61" spans="1:13" ht="51" x14ac:dyDescent="0.25">
      <c r="A61" s="18" t="s">
        <v>706</v>
      </c>
      <c r="B61" s="18" t="s">
        <v>1146</v>
      </c>
      <c r="C61" s="102">
        <v>0.7</v>
      </c>
      <c r="D61" s="100">
        <v>3523.1007853495007</v>
      </c>
      <c r="E61" s="18" t="s">
        <v>1098</v>
      </c>
      <c r="F61" s="18">
        <v>2008</v>
      </c>
      <c r="G61" s="8" t="s">
        <v>1127</v>
      </c>
      <c r="H61" s="32" t="s">
        <v>773</v>
      </c>
      <c r="I61" s="74" t="s">
        <v>817</v>
      </c>
      <c r="J61" s="8" t="s">
        <v>610</v>
      </c>
      <c r="K61" s="18" t="s">
        <v>956</v>
      </c>
      <c r="L61" s="18">
        <v>4</v>
      </c>
      <c r="M61" s="7"/>
    </row>
    <row r="62" spans="1:13" ht="51" x14ac:dyDescent="0.25">
      <c r="A62" s="18" t="s">
        <v>706</v>
      </c>
      <c r="B62" s="18" t="s">
        <v>1146</v>
      </c>
      <c r="C62" s="102">
        <v>0.7</v>
      </c>
      <c r="D62" s="100">
        <v>3523.1007853495007</v>
      </c>
      <c r="E62" s="18" t="s">
        <v>1098</v>
      </c>
      <c r="F62" s="18">
        <v>2008</v>
      </c>
      <c r="G62" s="8" t="s">
        <v>1127</v>
      </c>
      <c r="H62" s="32" t="s">
        <v>773</v>
      </c>
      <c r="I62" s="74" t="s">
        <v>817</v>
      </c>
      <c r="J62" s="8" t="s">
        <v>610</v>
      </c>
      <c r="K62" s="18" t="s">
        <v>956</v>
      </c>
      <c r="L62" s="18">
        <v>4</v>
      </c>
      <c r="M62" s="7"/>
    </row>
    <row r="63" spans="1:13" ht="51" x14ac:dyDescent="0.25">
      <c r="A63" s="18" t="s">
        <v>706</v>
      </c>
      <c r="B63" s="18" t="s">
        <v>1146</v>
      </c>
      <c r="C63" s="102">
        <v>0.7</v>
      </c>
      <c r="D63" s="100">
        <v>3523.1007853495007</v>
      </c>
      <c r="E63" s="18" t="s">
        <v>1098</v>
      </c>
      <c r="F63" s="18">
        <v>2008</v>
      </c>
      <c r="G63" s="8" t="s">
        <v>1128</v>
      </c>
      <c r="H63" s="32" t="s">
        <v>773</v>
      </c>
      <c r="I63" s="74" t="s">
        <v>817</v>
      </c>
      <c r="J63" s="8" t="s">
        <v>610</v>
      </c>
      <c r="K63" s="18" t="s">
        <v>956</v>
      </c>
      <c r="L63" s="18">
        <v>4</v>
      </c>
      <c r="M63" s="7"/>
    </row>
    <row r="64" spans="1:13" ht="63.75" x14ac:dyDescent="0.25">
      <c r="A64" s="32" t="s">
        <v>706</v>
      </c>
      <c r="B64" s="32" t="s">
        <v>1062</v>
      </c>
      <c r="C64" s="99">
        <v>0.72</v>
      </c>
      <c r="D64" s="100">
        <v>939.51113657980477</v>
      </c>
      <c r="E64" s="32" t="s">
        <v>1129</v>
      </c>
      <c r="F64" s="32">
        <v>2007</v>
      </c>
      <c r="G64" s="32" t="s">
        <v>1130</v>
      </c>
      <c r="H64" s="32" t="s">
        <v>773</v>
      </c>
      <c r="I64" s="74" t="s">
        <v>817</v>
      </c>
      <c r="J64" s="22" t="s">
        <v>612</v>
      </c>
      <c r="K64" s="22" t="s">
        <v>1131</v>
      </c>
      <c r="L64" s="22" t="s">
        <v>1291</v>
      </c>
      <c r="M64" s="7"/>
    </row>
    <row r="65" spans="1:13" ht="63.75" x14ac:dyDescent="0.25">
      <c r="A65" s="32" t="s">
        <v>706</v>
      </c>
      <c r="B65" s="32" t="s">
        <v>1062</v>
      </c>
      <c r="C65" s="99">
        <v>0.72</v>
      </c>
      <c r="D65" s="100">
        <v>694.79384479565931</v>
      </c>
      <c r="E65" s="32" t="s">
        <v>1129</v>
      </c>
      <c r="F65" s="32">
        <v>2007</v>
      </c>
      <c r="G65" s="32" t="s">
        <v>1132</v>
      </c>
      <c r="H65" s="32" t="s">
        <v>773</v>
      </c>
      <c r="I65" s="74" t="s">
        <v>817</v>
      </c>
      <c r="J65" s="22" t="s">
        <v>612</v>
      </c>
      <c r="K65" s="22" t="s">
        <v>1131</v>
      </c>
      <c r="L65" s="22" t="s">
        <v>1291</v>
      </c>
      <c r="M65" s="7"/>
    </row>
    <row r="66" spans="1:13" ht="63.75" x14ac:dyDescent="0.25">
      <c r="A66" s="32" t="s">
        <v>706</v>
      </c>
      <c r="B66" s="32" t="s">
        <v>1062</v>
      </c>
      <c r="C66" s="99">
        <v>0.72</v>
      </c>
      <c r="D66" s="100">
        <v>484.49207929071258</v>
      </c>
      <c r="E66" s="32" t="s">
        <v>1129</v>
      </c>
      <c r="F66" s="32">
        <v>2007</v>
      </c>
      <c r="G66" s="32" t="s">
        <v>1133</v>
      </c>
      <c r="H66" s="32" t="s">
        <v>773</v>
      </c>
      <c r="I66" s="74" t="s">
        <v>817</v>
      </c>
      <c r="J66" s="22" t="s">
        <v>612</v>
      </c>
      <c r="K66" s="22" t="s">
        <v>1131</v>
      </c>
      <c r="L66" s="22" t="s">
        <v>1291</v>
      </c>
      <c r="M66" s="7"/>
    </row>
    <row r="67" spans="1:13" ht="63.75" x14ac:dyDescent="0.25">
      <c r="A67" s="32" t="s">
        <v>706</v>
      </c>
      <c r="B67" s="32" t="s">
        <v>1062</v>
      </c>
      <c r="C67" s="99">
        <v>0.72</v>
      </c>
      <c r="D67" s="100">
        <v>415.75136021013878</v>
      </c>
      <c r="E67" s="32" t="s">
        <v>1129</v>
      </c>
      <c r="F67" s="32">
        <v>2007</v>
      </c>
      <c r="G67" s="32" t="s">
        <v>1134</v>
      </c>
      <c r="H67" s="32" t="s">
        <v>773</v>
      </c>
      <c r="I67" s="74" t="s">
        <v>817</v>
      </c>
      <c r="J67" s="22" t="s">
        <v>612</v>
      </c>
      <c r="K67" s="22" t="s">
        <v>1131</v>
      </c>
      <c r="L67" s="22" t="s">
        <v>1291</v>
      </c>
      <c r="M67" s="7"/>
    </row>
    <row r="68" spans="1:13" ht="63.75" x14ac:dyDescent="0.25">
      <c r="A68" s="32" t="s">
        <v>706</v>
      </c>
      <c r="B68" s="32" t="s">
        <v>1068</v>
      </c>
      <c r="C68" s="99">
        <v>0.25</v>
      </c>
      <c r="D68" s="100">
        <v>318.53223698968503</v>
      </c>
      <c r="E68" s="32" t="s">
        <v>1129</v>
      </c>
      <c r="F68" s="32">
        <v>2007</v>
      </c>
      <c r="G68" s="32" t="s">
        <v>1135</v>
      </c>
      <c r="H68" s="32" t="s">
        <v>773</v>
      </c>
      <c r="I68" s="74" t="s">
        <v>817</v>
      </c>
      <c r="J68" s="22" t="s">
        <v>612</v>
      </c>
      <c r="K68" s="22" t="s">
        <v>1131</v>
      </c>
      <c r="L68" s="22" t="s">
        <v>1291</v>
      </c>
      <c r="M68" s="10"/>
    </row>
    <row r="69" spans="1:13" ht="63.75" x14ac:dyDescent="0.25">
      <c r="A69" s="32" t="s">
        <v>706</v>
      </c>
      <c r="B69" s="32" t="s">
        <v>1068</v>
      </c>
      <c r="C69" s="99">
        <v>0.25</v>
      </c>
      <c r="D69" s="100">
        <v>129.21731671855031</v>
      </c>
      <c r="E69" s="32" t="s">
        <v>1129</v>
      </c>
      <c r="F69" s="32">
        <v>2007</v>
      </c>
      <c r="G69" s="32" t="s">
        <v>1136</v>
      </c>
      <c r="H69" s="32" t="s">
        <v>773</v>
      </c>
      <c r="I69" s="74" t="s">
        <v>817</v>
      </c>
      <c r="J69" s="22" t="s">
        <v>612</v>
      </c>
      <c r="K69" s="22" t="s">
        <v>1131</v>
      </c>
      <c r="L69" s="22" t="s">
        <v>1291</v>
      </c>
      <c r="M69" s="10"/>
    </row>
    <row r="70" spans="1:13" ht="63.75" x14ac:dyDescent="0.25">
      <c r="A70" s="32" t="s">
        <v>706</v>
      </c>
      <c r="B70" s="32" t="s">
        <v>1068</v>
      </c>
      <c r="C70" s="99">
        <v>0.25</v>
      </c>
      <c r="D70" s="100">
        <v>55.631493383671298</v>
      </c>
      <c r="E70" s="32" t="s">
        <v>1129</v>
      </c>
      <c r="F70" s="32">
        <v>2007</v>
      </c>
      <c r="G70" s="32" t="s">
        <v>1137</v>
      </c>
      <c r="H70" s="32" t="s">
        <v>773</v>
      </c>
      <c r="I70" s="74" t="s">
        <v>817</v>
      </c>
      <c r="J70" s="22" t="s">
        <v>612</v>
      </c>
      <c r="K70" s="22" t="s">
        <v>1131</v>
      </c>
      <c r="L70" s="22" t="s">
        <v>1291</v>
      </c>
      <c r="M70" s="10"/>
    </row>
    <row r="71" spans="1:13" ht="63.75" x14ac:dyDescent="0.25">
      <c r="A71" s="32" t="s">
        <v>706</v>
      </c>
      <c r="B71" s="32" t="s">
        <v>1068</v>
      </c>
      <c r="C71" s="99">
        <v>0.25</v>
      </c>
      <c r="D71" s="100">
        <v>23.950838283063952</v>
      </c>
      <c r="E71" s="32" t="s">
        <v>1129</v>
      </c>
      <c r="F71" s="32">
        <v>2007</v>
      </c>
      <c r="G71" s="32" t="s">
        <v>1138</v>
      </c>
      <c r="H71" s="32" t="s">
        <v>773</v>
      </c>
      <c r="I71" s="74" t="s">
        <v>817</v>
      </c>
      <c r="J71" s="22" t="s">
        <v>612</v>
      </c>
      <c r="K71" s="22" t="s">
        <v>1131</v>
      </c>
      <c r="L71" s="22" t="s">
        <v>1291</v>
      </c>
      <c r="M71" s="10"/>
    </row>
    <row r="72" spans="1:13" ht="63.75" x14ac:dyDescent="0.25">
      <c r="A72" s="32" t="s">
        <v>706</v>
      </c>
      <c r="B72" s="32" t="s">
        <v>1080</v>
      </c>
      <c r="C72" s="99">
        <v>0.65</v>
      </c>
      <c r="D72" s="100">
        <v>1768.4221228752183</v>
      </c>
      <c r="E72" s="32" t="s">
        <v>1129</v>
      </c>
      <c r="F72" s="32">
        <v>2007</v>
      </c>
      <c r="G72" s="32" t="s">
        <v>1139</v>
      </c>
      <c r="H72" s="32" t="s">
        <v>773</v>
      </c>
      <c r="I72" s="74" t="s">
        <v>817</v>
      </c>
      <c r="J72" s="22" t="s">
        <v>612</v>
      </c>
      <c r="K72" s="22" t="s">
        <v>1131</v>
      </c>
      <c r="L72" s="22" t="s">
        <v>1291</v>
      </c>
      <c r="M72" s="10"/>
    </row>
    <row r="73" spans="1:13" ht="63.75" x14ac:dyDescent="0.25">
      <c r="A73" s="32" t="s">
        <v>706</v>
      </c>
      <c r="B73" s="32" t="s">
        <v>1080</v>
      </c>
      <c r="C73" s="99">
        <v>0.65</v>
      </c>
      <c r="D73" s="100">
        <v>1382.057340475197</v>
      </c>
      <c r="E73" s="32" t="s">
        <v>1129</v>
      </c>
      <c r="F73" s="32">
        <v>2007</v>
      </c>
      <c r="G73" s="32" t="s">
        <v>1140</v>
      </c>
      <c r="H73" s="32" t="s">
        <v>773</v>
      </c>
      <c r="I73" s="74" t="s">
        <v>817</v>
      </c>
      <c r="J73" s="22" t="s">
        <v>612</v>
      </c>
      <c r="K73" s="22" t="s">
        <v>1131</v>
      </c>
      <c r="L73" s="22" t="s">
        <v>1291</v>
      </c>
      <c r="M73" s="10"/>
    </row>
    <row r="74" spans="1:13" ht="63.75" x14ac:dyDescent="0.25">
      <c r="A74" s="32" t="s">
        <v>706</v>
      </c>
      <c r="B74" s="32" t="s">
        <v>1080</v>
      </c>
      <c r="C74" s="99">
        <v>0.65</v>
      </c>
      <c r="D74" s="100">
        <v>1029.4720288246317</v>
      </c>
      <c r="E74" s="32" t="s">
        <v>1129</v>
      </c>
      <c r="F74" s="32">
        <v>2007</v>
      </c>
      <c r="G74" s="32" t="s">
        <v>1141</v>
      </c>
      <c r="H74" s="32" t="s">
        <v>773</v>
      </c>
      <c r="I74" s="74" t="s">
        <v>817</v>
      </c>
      <c r="J74" s="22" t="s">
        <v>612</v>
      </c>
      <c r="K74" s="22" t="s">
        <v>1131</v>
      </c>
      <c r="L74" s="22" t="s">
        <v>1291</v>
      </c>
      <c r="M74" s="10"/>
    </row>
    <row r="75" spans="1:13" ht="63.75" x14ac:dyDescent="0.25">
      <c r="A75" s="32" t="s">
        <v>706</v>
      </c>
      <c r="B75" s="32" t="s">
        <v>1080</v>
      </c>
      <c r="C75" s="99">
        <v>0.65</v>
      </c>
      <c r="D75" s="100">
        <v>819.41809382426595</v>
      </c>
      <c r="E75" s="32" t="s">
        <v>1129</v>
      </c>
      <c r="F75" s="32">
        <v>2007</v>
      </c>
      <c r="G75" s="32" t="s">
        <v>1142</v>
      </c>
      <c r="H75" s="32" t="s">
        <v>773</v>
      </c>
      <c r="I75" s="74" t="s">
        <v>817</v>
      </c>
      <c r="J75" s="22" t="s">
        <v>612</v>
      </c>
      <c r="K75" s="22" t="s">
        <v>1131</v>
      </c>
      <c r="L75" s="22" t="s">
        <v>1291</v>
      </c>
      <c r="M75" s="10"/>
    </row>
    <row r="76" spans="1:13" ht="63.75" x14ac:dyDescent="0.25">
      <c r="A76" s="32" t="s">
        <v>706</v>
      </c>
      <c r="B76" s="32" t="s">
        <v>761</v>
      </c>
      <c r="C76" s="99">
        <v>0.42</v>
      </c>
      <c r="D76" s="100">
        <v>4979.0590204516811</v>
      </c>
      <c r="E76" s="32" t="s">
        <v>1129</v>
      </c>
      <c r="F76" s="32">
        <v>2007</v>
      </c>
      <c r="G76" s="32" t="s">
        <v>1143</v>
      </c>
      <c r="H76" s="32" t="s">
        <v>773</v>
      </c>
      <c r="I76" s="74" t="s">
        <v>817</v>
      </c>
      <c r="J76" s="22" t="s">
        <v>612</v>
      </c>
      <c r="K76" s="22" t="s">
        <v>1131</v>
      </c>
      <c r="L76" s="22" t="s">
        <v>1291</v>
      </c>
      <c r="M76" s="7"/>
    </row>
    <row r="77" spans="1:13" ht="63.75" x14ac:dyDescent="0.25">
      <c r="A77" s="32" t="s">
        <v>706</v>
      </c>
      <c r="B77" s="32" t="s">
        <v>761</v>
      </c>
      <c r="C77" s="99">
        <v>0.42</v>
      </c>
      <c r="D77" s="100">
        <v>2590.3917756923174</v>
      </c>
      <c r="E77" s="32" t="s">
        <v>1129</v>
      </c>
      <c r="F77" s="32">
        <v>2007</v>
      </c>
      <c r="G77" s="32" t="s">
        <v>1144</v>
      </c>
      <c r="H77" s="32" t="s">
        <v>773</v>
      </c>
      <c r="I77" s="74" t="s">
        <v>817</v>
      </c>
      <c r="J77" s="22" t="s">
        <v>612</v>
      </c>
      <c r="K77" s="22" t="s">
        <v>1131</v>
      </c>
      <c r="L77" s="22" t="s">
        <v>1291</v>
      </c>
      <c r="M77" s="7"/>
    </row>
    <row r="78" spans="1:13" ht="63.75" x14ac:dyDescent="0.25">
      <c r="A78" s="32" t="s">
        <v>706</v>
      </c>
      <c r="B78" s="32" t="s">
        <v>761</v>
      </c>
      <c r="C78" s="99">
        <v>0.42</v>
      </c>
      <c r="D78" s="100">
        <v>1199.1085613062749</v>
      </c>
      <c r="E78" s="32" t="s">
        <v>1129</v>
      </c>
      <c r="F78" s="32">
        <v>2007</v>
      </c>
      <c r="G78" s="32" t="s">
        <v>1132</v>
      </c>
      <c r="H78" s="32" t="s">
        <v>773</v>
      </c>
      <c r="I78" s="74" t="s">
        <v>817</v>
      </c>
      <c r="J78" s="22" t="s">
        <v>612</v>
      </c>
      <c r="K78" s="22" t="s">
        <v>1131</v>
      </c>
      <c r="L78" s="22" t="s">
        <v>1291</v>
      </c>
      <c r="M78" s="7"/>
    </row>
    <row r="79" spans="1:13" ht="63.75" x14ac:dyDescent="0.25">
      <c r="A79" s="32" t="s">
        <v>706</v>
      </c>
      <c r="B79" s="32" t="s">
        <v>761</v>
      </c>
      <c r="C79" s="99">
        <v>0.42</v>
      </c>
      <c r="D79" s="100">
        <v>470.82390359120922</v>
      </c>
      <c r="E79" s="32" t="s">
        <v>1129</v>
      </c>
      <c r="F79" s="32">
        <v>2007</v>
      </c>
      <c r="G79" s="32" t="s">
        <v>1136</v>
      </c>
      <c r="H79" s="32" t="s">
        <v>773</v>
      </c>
      <c r="I79" s="74" t="s">
        <v>817</v>
      </c>
      <c r="J79" s="22" t="s">
        <v>612</v>
      </c>
      <c r="K79" s="22" t="s">
        <v>1131</v>
      </c>
      <c r="L79" s="22" t="s">
        <v>1291</v>
      </c>
      <c r="M79" s="7"/>
    </row>
    <row r="80" spans="1:13" ht="63.75" x14ac:dyDescent="0.25">
      <c r="A80" s="32" t="s">
        <v>706</v>
      </c>
      <c r="B80" s="32" t="s">
        <v>761</v>
      </c>
      <c r="C80" s="99">
        <v>0.42</v>
      </c>
      <c r="D80" s="100">
        <v>235.6520660851603</v>
      </c>
      <c r="E80" s="32" t="s">
        <v>1129</v>
      </c>
      <c r="F80" s="32">
        <v>2007</v>
      </c>
      <c r="G80" s="32" t="s">
        <v>1145</v>
      </c>
      <c r="H80" s="32" t="s">
        <v>773</v>
      </c>
      <c r="I80" s="74" t="s">
        <v>817</v>
      </c>
      <c r="J80" s="22" t="s">
        <v>612</v>
      </c>
      <c r="K80" s="22" t="s">
        <v>1131</v>
      </c>
      <c r="L80" s="22" t="s">
        <v>1291</v>
      </c>
      <c r="M80" s="7"/>
    </row>
    <row r="81" spans="1:13" ht="63.75" x14ac:dyDescent="0.25">
      <c r="A81" s="32" t="s">
        <v>706</v>
      </c>
      <c r="B81" s="32" t="s">
        <v>1090</v>
      </c>
      <c r="C81" s="99">
        <v>0.52</v>
      </c>
      <c r="D81" s="100">
        <v>295.11296643006636</v>
      </c>
      <c r="E81" s="32" t="s">
        <v>1129</v>
      </c>
      <c r="F81" s="32">
        <v>2007</v>
      </c>
      <c r="G81" s="32" t="s">
        <v>1147</v>
      </c>
      <c r="H81" s="32" t="s">
        <v>773</v>
      </c>
      <c r="I81" s="74" t="s">
        <v>817</v>
      </c>
      <c r="J81" s="22" t="s">
        <v>612</v>
      </c>
      <c r="K81" s="22" t="s">
        <v>1131</v>
      </c>
      <c r="L81" s="22" t="s">
        <v>1291</v>
      </c>
      <c r="M81" s="7"/>
    </row>
    <row r="82" spans="1:13" ht="63.75" x14ac:dyDescent="0.25">
      <c r="A82" s="32" t="s">
        <v>706</v>
      </c>
      <c r="B82" s="32" t="s">
        <v>1090</v>
      </c>
      <c r="C82" s="99">
        <v>0.52</v>
      </c>
      <c r="D82" s="100">
        <v>190.99711779967703</v>
      </c>
      <c r="E82" s="32" t="s">
        <v>1129</v>
      </c>
      <c r="F82" s="32">
        <v>2007</v>
      </c>
      <c r="G82" s="32" t="s">
        <v>1136</v>
      </c>
      <c r="H82" s="32" t="s">
        <v>773</v>
      </c>
      <c r="I82" s="74" t="s">
        <v>817</v>
      </c>
      <c r="J82" s="22" t="s">
        <v>612</v>
      </c>
      <c r="K82" s="22" t="s">
        <v>1131</v>
      </c>
      <c r="L82" s="22" t="s">
        <v>1291</v>
      </c>
      <c r="M82" s="7"/>
    </row>
    <row r="83" spans="1:13" ht="63.75" x14ac:dyDescent="0.25">
      <c r="A83" s="32" t="s">
        <v>706</v>
      </c>
      <c r="B83" s="32" t="s">
        <v>1090</v>
      </c>
      <c r="C83" s="99">
        <v>0.52</v>
      </c>
      <c r="D83" s="100">
        <v>62.090736833904408</v>
      </c>
      <c r="E83" s="32" t="s">
        <v>1129</v>
      </c>
      <c r="F83" s="32">
        <v>2007</v>
      </c>
      <c r="G83" s="32" t="s">
        <v>1137</v>
      </c>
      <c r="H83" s="32" t="s">
        <v>773</v>
      </c>
      <c r="I83" s="74" t="s">
        <v>817</v>
      </c>
      <c r="J83" s="22" t="s">
        <v>612</v>
      </c>
      <c r="K83" s="22" t="s">
        <v>1131</v>
      </c>
      <c r="L83" s="22" t="s">
        <v>1291</v>
      </c>
      <c r="M83" s="7"/>
    </row>
    <row r="84" spans="1:13" ht="63.75" x14ac:dyDescent="0.25">
      <c r="A84" s="32" t="s">
        <v>706</v>
      </c>
      <c r="B84" s="32" t="s">
        <v>1090</v>
      </c>
      <c r="C84" s="99">
        <v>0.52</v>
      </c>
      <c r="D84" s="100">
        <v>16.561294469658382</v>
      </c>
      <c r="E84" s="32" t="s">
        <v>1129</v>
      </c>
      <c r="F84" s="32">
        <v>2007</v>
      </c>
      <c r="G84" s="32" t="s">
        <v>1148</v>
      </c>
      <c r="H84" s="32" t="s">
        <v>773</v>
      </c>
      <c r="I84" s="74" t="s">
        <v>817</v>
      </c>
      <c r="J84" s="22" t="s">
        <v>612</v>
      </c>
      <c r="K84" s="22" t="s">
        <v>1131</v>
      </c>
      <c r="L84" s="22" t="s">
        <v>1291</v>
      </c>
      <c r="M84" s="7"/>
    </row>
    <row r="85" spans="1:13" ht="63.75" x14ac:dyDescent="0.25">
      <c r="A85" s="32" t="s">
        <v>706</v>
      </c>
      <c r="B85" s="32" t="s">
        <v>1090</v>
      </c>
      <c r="C85" s="99">
        <v>0.52</v>
      </c>
      <c r="D85" s="100">
        <v>13.893025896377475</v>
      </c>
      <c r="E85" s="32" t="s">
        <v>1129</v>
      </c>
      <c r="F85" s="32">
        <v>2007</v>
      </c>
      <c r="G85" s="32" t="s">
        <v>1149</v>
      </c>
      <c r="H85" s="32" t="s">
        <v>773</v>
      </c>
      <c r="I85" s="74" t="s">
        <v>817</v>
      </c>
      <c r="J85" s="22" t="s">
        <v>612</v>
      </c>
      <c r="K85" s="22" t="s">
        <v>1131</v>
      </c>
      <c r="L85" s="22" t="s">
        <v>1291</v>
      </c>
      <c r="M85" s="7"/>
    </row>
    <row r="86" spans="1:13" ht="63.75" x14ac:dyDescent="0.25">
      <c r="A86" s="32" t="s">
        <v>706</v>
      </c>
      <c r="B86" s="32" t="s">
        <v>1092</v>
      </c>
      <c r="C86" s="99">
        <v>0.46</v>
      </c>
      <c r="D86" s="100">
        <v>191.08921369475829</v>
      </c>
      <c r="E86" s="32" t="s">
        <v>1129</v>
      </c>
      <c r="F86" s="32">
        <v>2007</v>
      </c>
      <c r="G86" s="32" t="s">
        <v>1150</v>
      </c>
      <c r="H86" s="32" t="s">
        <v>773</v>
      </c>
      <c r="I86" s="74" t="s">
        <v>817</v>
      </c>
      <c r="J86" s="22" t="s">
        <v>612</v>
      </c>
      <c r="K86" s="22" t="s">
        <v>1131</v>
      </c>
      <c r="L86" s="22" t="s">
        <v>1291</v>
      </c>
      <c r="M86" s="7"/>
    </row>
    <row r="87" spans="1:13" ht="63.75" x14ac:dyDescent="0.25">
      <c r="A87" s="32" t="s">
        <v>706</v>
      </c>
      <c r="B87" s="32" t="s">
        <v>1092</v>
      </c>
      <c r="C87" s="99">
        <v>0.46</v>
      </c>
      <c r="D87" s="100">
        <v>94.882085413600549</v>
      </c>
      <c r="E87" s="32" t="s">
        <v>1129</v>
      </c>
      <c r="F87" s="32">
        <v>2007</v>
      </c>
      <c r="G87" s="32" t="s">
        <v>1136</v>
      </c>
      <c r="H87" s="32" t="s">
        <v>773</v>
      </c>
      <c r="I87" s="74" t="s">
        <v>817</v>
      </c>
      <c r="J87" s="22" t="s">
        <v>612</v>
      </c>
      <c r="K87" s="22" t="s">
        <v>1131</v>
      </c>
      <c r="L87" s="22" t="s">
        <v>1291</v>
      </c>
      <c r="M87" s="7"/>
    </row>
    <row r="88" spans="1:13" ht="63.75" x14ac:dyDescent="0.25">
      <c r="A88" s="32" t="s">
        <v>706</v>
      </c>
      <c r="B88" s="32" t="s">
        <v>1092</v>
      </c>
      <c r="C88" s="99">
        <v>0.46</v>
      </c>
      <c r="D88" s="100">
        <v>34.848510606762922</v>
      </c>
      <c r="E88" s="32" t="s">
        <v>1129</v>
      </c>
      <c r="F88" s="32">
        <v>2007</v>
      </c>
      <c r="G88" s="32" t="s">
        <v>1137</v>
      </c>
      <c r="H88" s="32" t="s">
        <v>773</v>
      </c>
      <c r="I88" s="74" t="s">
        <v>817</v>
      </c>
      <c r="J88" s="22" t="s">
        <v>612</v>
      </c>
      <c r="K88" s="22" t="s">
        <v>1131</v>
      </c>
      <c r="L88" s="22" t="s">
        <v>1291</v>
      </c>
      <c r="M88" s="7"/>
    </row>
    <row r="89" spans="1:13" ht="63.75" x14ac:dyDescent="0.25">
      <c r="A89" s="32" t="s">
        <v>706</v>
      </c>
      <c r="B89" s="32" t="s">
        <v>1092</v>
      </c>
      <c r="C89" s="99">
        <v>0.46</v>
      </c>
      <c r="D89" s="100">
        <v>17.303432757902137</v>
      </c>
      <c r="E89" s="32" t="s">
        <v>1129</v>
      </c>
      <c r="F89" s="32">
        <v>2007</v>
      </c>
      <c r="G89" s="32" t="s">
        <v>1151</v>
      </c>
      <c r="H89" s="32" t="s">
        <v>773</v>
      </c>
      <c r="I89" s="74" t="s">
        <v>817</v>
      </c>
      <c r="J89" s="22" t="s">
        <v>612</v>
      </c>
      <c r="K89" s="22" t="s">
        <v>1131</v>
      </c>
      <c r="L89" s="22" t="s">
        <v>1291</v>
      </c>
      <c r="M89" s="10"/>
    </row>
    <row r="90" spans="1:13" ht="63.75" x14ac:dyDescent="0.25">
      <c r="A90" s="32" t="s">
        <v>706</v>
      </c>
      <c r="B90" s="32" t="s">
        <v>1092</v>
      </c>
      <c r="C90" s="99">
        <v>0.46</v>
      </c>
      <c r="D90" s="100">
        <v>9.1743117018808551</v>
      </c>
      <c r="E90" s="32" t="s">
        <v>1129</v>
      </c>
      <c r="F90" s="32">
        <v>2007</v>
      </c>
      <c r="G90" s="32" t="s">
        <v>1149</v>
      </c>
      <c r="H90" s="32" t="s">
        <v>773</v>
      </c>
      <c r="I90" s="74" t="s">
        <v>817</v>
      </c>
      <c r="J90" s="22" t="s">
        <v>612</v>
      </c>
      <c r="K90" s="22" t="s">
        <v>1131</v>
      </c>
      <c r="L90" s="22" t="s">
        <v>1291</v>
      </c>
      <c r="M90" s="10"/>
    </row>
    <row r="91" spans="1:13" ht="26.25" x14ac:dyDescent="0.25">
      <c r="A91" s="18" t="s">
        <v>72</v>
      </c>
      <c r="B91" s="32" t="s">
        <v>1062</v>
      </c>
      <c r="C91" s="32" t="s">
        <v>817</v>
      </c>
      <c r="D91" s="32" t="s">
        <v>817</v>
      </c>
      <c r="E91" s="32" t="s">
        <v>1006</v>
      </c>
      <c r="F91" s="32">
        <v>2013</v>
      </c>
      <c r="G91" s="32" t="s">
        <v>817</v>
      </c>
      <c r="H91" s="32" t="s">
        <v>775</v>
      </c>
      <c r="I91" s="87">
        <v>338</v>
      </c>
      <c r="J91" s="22" t="s">
        <v>611</v>
      </c>
      <c r="K91" s="22" t="s">
        <v>800</v>
      </c>
      <c r="L91" s="22">
        <v>3</v>
      </c>
      <c r="M91" s="104" t="s">
        <v>1101</v>
      </c>
    </row>
    <row r="92" spans="1:13" ht="26.25" x14ac:dyDescent="0.25">
      <c r="A92" s="18" t="s">
        <v>72</v>
      </c>
      <c r="B92" s="32" t="s">
        <v>1062</v>
      </c>
      <c r="C92" s="32" t="s">
        <v>817</v>
      </c>
      <c r="D92" s="32" t="s">
        <v>817</v>
      </c>
      <c r="E92" s="32" t="s">
        <v>1006</v>
      </c>
      <c r="F92" s="32">
        <v>2013</v>
      </c>
      <c r="G92" s="32" t="s">
        <v>817</v>
      </c>
      <c r="H92" s="32" t="s">
        <v>775</v>
      </c>
      <c r="I92" s="87">
        <v>385</v>
      </c>
      <c r="J92" s="22" t="s">
        <v>611</v>
      </c>
      <c r="K92" s="22" t="s">
        <v>800</v>
      </c>
      <c r="L92" s="22">
        <v>3</v>
      </c>
      <c r="M92" s="104" t="s">
        <v>1102</v>
      </c>
    </row>
    <row r="93" spans="1:13" ht="26.25" x14ac:dyDescent="0.25">
      <c r="A93" s="18" t="s">
        <v>72</v>
      </c>
      <c r="B93" s="32" t="s">
        <v>1062</v>
      </c>
      <c r="C93" s="32" t="s">
        <v>817</v>
      </c>
      <c r="D93" s="32" t="s">
        <v>817</v>
      </c>
      <c r="E93" s="32" t="s">
        <v>1006</v>
      </c>
      <c r="F93" s="32">
        <v>2013</v>
      </c>
      <c r="G93" s="32" t="s">
        <v>817</v>
      </c>
      <c r="H93" s="32" t="s">
        <v>775</v>
      </c>
      <c r="I93" s="87">
        <v>1079</v>
      </c>
      <c r="J93" s="22" t="s">
        <v>611</v>
      </c>
      <c r="K93" s="22" t="s">
        <v>800</v>
      </c>
      <c r="L93" s="22">
        <v>3</v>
      </c>
      <c r="M93" s="104" t="s">
        <v>1103</v>
      </c>
    </row>
    <row r="94" spans="1:13" x14ac:dyDescent="0.25">
      <c r="A94" s="18" t="s">
        <v>72</v>
      </c>
      <c r="B94" s="32" t="s">
        <v>1062</v>
      </c>
      <c r="C94" s="32" t="s">
        <v>817</v>
      </c>
      <c r="D94" s="32" t="s">
        <v>817</v>
      </c>
      <c r="E94" s="32" t="s">
        <v>1006</v>
      </c>
      <c r="F94" s="32">
        <v>2013</v>
      </c>
      <c r="G94" s="32" t="s">
        <v>817</v>
      </c>
      <c r="H94" s="32" t="s">
        <v>775</v>
      </c>
      <c r="I94" s="87">
        <v>2069</v>
      </c>
      <c r="J94" s="22" t="s">
        <v>611</v>
      </c>
      <c r="K94" s="22" t="s">
        <v>800</v>
      </c>
      <c r="L94" s="22">
        <v>3</v>
      </c>
      <c r="M94" s="104" t="s">
        <v>1104</v>
      </c>
    </row>
    <row r="95" spans="1:13" x14ac:dyDescent="0.25">
      <c r="A95" s="18" t="s">
        <v>72</v>
      </c>
      <c r="B95" s="32" t="s">
        <v>1064</v>
      </c>
      <c r="C95" s="32" t="s">
        <v>817</v>
      </c>
      <c r="D95" s="32" t="s">
        <v>817</v>
      </c>
      <c r="E95" s="32" t="s">
        <v>1006</v>
      </c>
      <c r="F95" s="32">
        <v>2013</v>
      </c>
      <c r="G95" s="32" t="s">
        <v>817</v>
      </c>
      <c r="H95" s="32" t="s">
        <v>775</v>
      </c>
      <c r="I95" s="8">
        <v>308</v>
      </c>
      <c r="J95" s="22" t="s">
        <v>611</v>
      </c>
      <c r="K95" s="22" t="s">
        <v>800</v>
      </c>
      <c r="L95" s="22">
        <v>3</v>
      </c>
      <c r="M95" s="104" t="s">
        <v>1105</v>
      </c>
    </row>
    <row r="96" spans="1:13" x14ac:dyDescent="0.25">
      <c r="A96" s="18" t="s">
        <v>72</v>
      </c>
      <c r="B96" s="32" t="s">
        <v>1068</v>
      </c>
      <c r="C96" s="32" t="s">
        <v>817</v>
      </c>
      <c r="D96" s="32" t="s">
        <v>817</v>
      </c>
      <c r="E96" s="32" t="s">
        <v>1006</v>
      </c>
      <c r="F96" s="32">
        <v>2013</v>
      </c>
      <c r="G96" s="32" t="s">
        <v>817</v>
      </c>
      <c r="H96" s="32" t="s">
        <v>775</v>
      </c>
      <c r="I96" s="8">
        <v>4577</v>
      </c>
      <c r="J96" s="22" t="s">
        <v>611</v>
      </c>
      <c r="K96" s="22" t="s">
        <v>800</v>
      </c>
      <c r="L96" s="22">
        <v>3</v>
      </c>
      <c r="M96" s="104" t="s">
        <v>1105</v>
      </c>
    </row>
    <row r="97" spans="1:13" x14ac:dyDescent="0.25">
      <c r="A97" s="18" t="s">
        <v>72</v>
      </c>
      <c r="B97" s="32" t="s">
        <v>1068</v>
      </c>
      <c r="C97" s="32" t="s">
        <v>817</v>
      </c>
      <c r="D97" s="32" t="s">
        <v>817</v>
      </c>
      <c r="E97" s="32" t="s">
        <v>1006</v>
      </c>
      <c r="F97" s="32">
        <v>2013</v>
      </c>
      <c r="G97" s="32" t="s">
        <v>817</v>
      </c>
      <c r="H97" s="32" t="s">
        <v>775</v>
      </c>
      <c r="I97" s="8">
        <v>1144</v>
      </c>
      <c r="J97" s="22" t="s">
        <v>611</v>
      </c>
      <c r="K97" s="22" t="s">
        <v>800</v>
      </c>
      <c r="L97" s="22">
        <v>3</v>
      </c>
      <c r="M97" s="104" t="s">
        <v>1105</v>
      </c>
    </row>
    <row r="98" spans="1:13" x14ac:dyDescent="0.25">
      <c r="A98" s="18" t="s">
        <v>72</v>
      </c>
      <c r="B98" s="32" t="s">
        <v>738</v>
      </c>
      <c r="C98" s="32" t="s">
        <v>817</v>
      </c>
      <c r="D98" s="32" t="s">
        <v>817</v>
      </c>
      <c r="E98" s="32" t="s">
        <v>1006</v>
      </c>
      <c r="F98" s="32">
        <v>2013</v>
      </c>
      <c r="G98" s="32" t="s">
        <v>817</v>
      </c>
      <c r="H98" s="32" t="s">
        <v>775</v>
      </c>
      <c r="I98" s="8">
        <v>975</v>
      </c>
      <c r="J98" s="22" t="s">
        <v>611</v>
      </c>
      <c r="K98" s="22" t="s">
        <v>800</v>
      </c>
      <c r="L98" s="22">
        <v>3</v>
      </c>
      <c r="M98" s="104" t="s">
        <v>1106</v>
      </c>
    </row>
    <row r="99" spans="1:13" x14ac:dyDescent="0.25">
      <c r="A99" s="18" t="s">
        <v>72</v>
      </c>
      <c r="B99" s="32" t="s">
        <v>738</v>
      </c>
      <c r="C99" s="32" t="s">
        <v>817</v>
      </c>
      <c r="D99" s="32" t="s">
        <v>817</v>
      </c>
      <c r="E99" s="32" t="s">
        <v>1006</v>
      </c>
      <c r="F99" s="32">
        <v>2013</v>
      </c>
      <c r="G99" s="32" t="s">
        <v>817</v>
      </c>
      <c r="H99" s="32" t="s">
        <v>775</v>
      </c>
      <c r="I99" s="8">
        <v>1060</v>
      </c>
      <c r="J99" s="22" t="s">
        <v>611</v>
      </c>
      <c r="K99" s="22" t="s">
        <v>800</v>
      </c>
      <c r="L99" s="22">
        <v>3</v>
      </c>
      <c r="M99" s="104" t="s">
        <v>1107</v>
      </c>
    </row>
    <row r="100" spans="1:13" x14ac:dyDescent="0.25">
      <c r="A100" s="18" t="s">
        <v>72</v>
      </c>
      <c r="B100" s="32" t="s">
        <v>1108</v>
      </c>
      <c r="C100" s="32" t="s">
        <v>817</v>
      </c>
      <c r="D100" s="32" t="s">
        <v>817</v>
      </c>
      <c r="E100" s="32" t="s">
        <v>1006</v>
      </c>
      <c r="F100" s="32">
        <v>2013</v>
      </c>
      <c r="G100" s="32" t="s">
        <v>817</v>
      </c>
      <c r="H100" s="32" t="s">
        <v>775</v>
      </c>
      <c r="I100" s="8">
        <v>149</v>
      </c>
      <c r="J100" s="22" t="s">
        <v>611</v>
      </c>
      <c r="K100" s="22" t="s">
        <v>800</v>
      </c>
      <c r="L100" s="22">
        <v>3</v>
      </c>
      <c r="M100" s="104" t="s">
        <v>1105</v>
      </c>
    </row>
    <row r="101" spans="1:13" x14ac:dyDescent="0.25">
      <c r="A101" s="18" t="s">
        <v>72</v>
      </c>
      <c r="B101" s="32" t="s">
        <v>1073</v>
      </c>
      <c r="C101" s="32" t="s">
        <v>817</v>
      </c>
      <c r="D101" s="32" t="s">
        <v>817</v>
      </c>
      <c r="E101" s="32" t="s">
        <v>1006</v>
      </c>
      <c r="F101" s="32">
        <v>2013</v>
      </c>
      <c r="G101" s="32" t="s">
        <v>817</v>
      </c>
      <c r="H101" s="32" t="s">
        <v>775</v>
      </c>
      <c r="I101" s="8">
        <v>7115</v>
      </c>
      <c r="J101" s="22" t="s">
        <v>611</v>
      </c>
      <c r="K101" s="22" t="s">
        <v>800</v>
      </c>
      <c r="L101" s="22">
        <v>3</v>
      </c>
      <c r="M101" s="104" t="s">
        <v>1105</v>
      </c>
    </row>
    <row r="102" spans="1:13" x14ac:dyDescent="0.25">
      <c r="A102" s="18" t="s">
        <v>72</v>
      </c>
      <c r="B102" s="32" t="s">
        <v>238</v>
      </c>
      <c r="C102" s="32" t="s">
        <v>817</v>
      </c>
      <c r="D102" s="32" t="s">
        <v>817</v>
      </c>
      <c r="E102" s="32" t="s">
        <v>1006</v>
      </c>
      <c r="F102" s="32">
        <v>2013</v>
      </c>
      <c r="G102" s="32" t="s">
        <v>817</v>
      </c>
      <c r="H102" s="32" t="s">
        <v>775</v>
      </c>
      <c r="I102" s="8">
        <v>17.62</v>
      </c>
      <c r="J102" s="22" t="s">
        <v>611</v>
      </c>
      <c r="K102" s="22" t="s">
        <v>800</v>
      </c>
      <c r="L102" s="22">
        <v>3</v>
      </c>
      <c r="M102" s="104" t="s">
        <v>1109</v>
      </c>
    </row>
    <row r="103" spans="1:13" x14ac:dyDescent="0.25">
      <c r="A103" s="18" t="s">
        <v>72</v>
      </c>
      <c r="B103" s="32" t="s">
        <v>238</v>
      </c>
      <c r="C103" s="32" t="s">
        <v>817</v>
      </c>
      <c r="D103" s="32" t="s">
        <v>817</v>
      </c>
      <c r="E103" s="32" t="s">
        <v>1006</v>
      </c>
      <c r="F103" s="32">
        <v>2013</v>
      </c>
      <c r="G103" s="32" t="s">
        <v>817</v>
      </c>
      <c r="H103" s="32" t="s">
        <v>775</v>
      </c>
      <c r="I103" s="8">
        <v>8.82</v>
      </c>
      <c r="J103" s="22" t="s">
        <v>611</v>
      </c>
      <c r="K103" s="22" t="s">
        <v>800</v>
      </c>
      <c r="L103" s="22">
        <v>3</v>
      </c>
      <c r="M103" s="104" t="s">
        <v>1110</v>
      </c>
    </row>
    <row r="104" spans="1:13" x14ac:dyDescent="0.25">
      <c r="A104" s="18" t="s">
        <v>72</v>
      </c>
      <c r="B104" s="32" t="s">
        <v>1078</v>
      </c>
      <c r="C104" s="32" t="s">
        <v>817</v>
      </c>
      <c r="D104" s="32" t="s">
        <v>817</v>
      </c>
      <c r="E104" s="32" t="s">
        <v>1006</v>
      </c>
      <c r="F104" s="32">
        <v>2013</v>
      </c>
      <c r="G104" s="32" t="s">
        <v>817</v>
      </c>
      <c r="H104" s="32" t="s">
        <v>775</v>
      </c>
      <c r="I104" s="8">
        <v>2428</v>
      </c>
      <c r="J104" s="22" t="s">
        <v>611</v>
      </c>
      <c r="K104" s="22" t="s">
        <v>800</v>
      </c>
      <c r="L104" s="22">
        <v>3</v>
      </c>
      <c r="M104" s="104" t="s">
        <v>1105</v>
      </c>
    </row>
    <row r="105" spans="1:13" x14ac:dyDescent="0.25">
      <c r="A105" s="18" t="s">
        <v>72</v>
      </c>
      <c r="B105" s="32" t="s">
        <v>1075</v>
      </c>
      <c r="C105" s="32" t="s">
        <v>817</v>
      </c>
      <c r="D105" s="32" t="s">
        <v>817</v>
      </c>
      <c r="E105" s="32" t="s">
        <v>1006</v>
      </c>
      <c r="F105" s="32">
        <v>2013</v>
      </c>
      <c r="G105" s="32" t="s">
        <v>817</v>
      </c>
      <c r="H105" s="32" t="s">
        <v>775</v>
      </c>
      <c r="I105" s="8">
        <v>486</v>
      </c>
      <c r="J105" s="22" t="s">
        <v>611</v>
      </c>
      <c r="K105" s="22" t="s">
        <v>800</v>
      </c>
      <c r="L105" s="22">
        <v>3</v>
      </c>
      <c r="M105" s="104" t="s">
        <v>1111</v>
      </c>
    </row>
    <row r="106" spans="1:13" x14ac:dyDescent="0.25">
      <c r="A106" s="18" t="s">
        <v>72</v>
      </c>
      <c r="B106" s="32" t="s">
        <v>1075</v>
      </c>
      <c r="C106" s="32" t="s">
        <v>817</v>
      </c>
      <c r="D106" s="32" t="s">
        <v>817</v>
      </c>
      <c r="E106" s="32" t="s">
        <v>1006</v>
      </c>
      <c r="F106" s="32">
        <v>2013</v>
      </c>
      <c r="G106" s="32" t="s">
        <v>817</v>
      </c>
      <c r="H106" s="32" t="s">
        <v>775</v>
      </c>
      <c r="I106" s="8">
        <v>494</v>
      </c>
      <c r="J106" s="22" t="s">
        <v>611</v>
      </c>
      <c r="K106" s="22" t="s">
        <v>800</v>
      </c>
      <c r="L106" s="22">
        <v>3</v>
      </c>
      <c r="M106" s="104" t="s">
        <v>1112</v>
      </c>
    </row>
    <row r="107" spans="1:13" x14ac:dyDescent="0.25">
      <c r="A107" s="18" t="s">
        <v>72</v>
      </c>
      <c r="B107" s="32" t="s">
        <v>1084</v>
      </c>
      <c r="C107" s="32" t="s">
        <v>817</v>
      </c>
      <c r="D107" s="32" t="s">
        <v>817</v>
      </c>
      <c r="E107" s="32" t="s">
        <v>1006</v>
      </c>
      <c r="F107" s="32">
        <v>2013</v>
      </c>
      <c r="G107" s="32" t="s">
        <v>817</v>
      </c>
      <c r="H107" s="32" t="s">
        <v>775</v>
      </c>
      <c r="I107" s="8">
        <v>2517</v>
      </c>
      <c r="J107" s="22" t="s">
        <v>611</v>
      </c>
      <c r="K107" s="22" t="s">
        <v>800</v>
      </c>
      <c r="L107" s="22">
        <v>3</v>
      </c>
      <c r="M107" s="104" t="s">
        <v>1113</v>
      </c>
    </row>
    <row r="108" spans="1:13" x14ac:dyDescent="0.25">
      <c r="A108" s="18" t="s">
        <v>72</v>
      </c>
      <c r="B108" s="32" t="s">
        <v>1084</v>
      </c>
      <c r="C108" s="32" t="s">
        <v>817</v>
      </c>
      <c r="D108" s="32" t="s">
        <v>817</v>
      </c>
      <c r="E108" s="32" t="s">
        <v>1006</v>
      </c>
      <c r="F108" s="32">
        <v>2013</v>
      </c>
      <c r="G108" s="32" t="s">
        <v>817</v>
      </c>
      <c r="H108" s="32" t="s">
        <v>775</v>
      </c>
      <c r="I108" s="8">
        <v>4027</v>
      </c>
      <c r="J108" s="22" t="s">
        <v>611</v>
      </c>
      <c r="K108" s="22" t="s">
        <v>800</v>
      </c>
      <c r="L108" s="22">
        <v>3</v>
      </c>
      <c r="M108" s="104" t="s">
        <v>1114</v>
      </c>
    </row>
    <row r="109" spans="1:13" x14ac:dyDescent="0.25">
      <c r="A109" s="18" t="s">
        <v>72</v>
      </c>
      <c r="B109" s="32" t="s">
        <v>1084</v>
      </c>
      <c r="C109" s="32" t="s">
        <v>817</v>
      </c>
      <c r="D109" s="32" t="s">
        <v>817</v>
      </c>
      <c r="E109" s="32" t="s">
        <v>1006</v>
      </c>
      <c r="F109" s="32">
        <v>2013</v>
      </c>
      <c r="G109" s="32" t="s">
        <v>817</v>
      </c>
      <c r="H109" s="32" t="s">
        <v>775</v>
      </c>
      <c r="I109" s="8">
        <v>10068</v>
      </c>
      <c r="J109" s="22" t="s">
        <v>611</v>
      </c>
      <c r="K109" s="22" t="s">
        <v>800</v>
      </c>
      <c r="L109" s="22">
        <v>3</v>
      </c>
      <c r="M109" s="104" t="s">
        <v>1115</v>
      </c>
    </row>
    <row r="110" spans="1:13" x14ac:dyDescent="0.25">
      <c r="A110" s="18" t="s">
        <v>72</v>
      </c>
      <c r="B110" s="32" t="s">
        <v>1084</v>
      </c>
      <c r="C110" s="32" t="s">
        <v>817</v>
      </c>
      <c r="D110" s="32" t="s">
        <v>817</v>
      </c>
      <c r="E110" s="32" t="s">
        <v>1006</v>
      </c>
      <c r="F110" s="32">
        <v>2013</v>
      </c>
      <c r="G110" s="32" t="s">
        <v>817</v>
      </c>
      <c r="H110" s="32" t="s">
        <v>775</v>
      </c>
      <c r="I110" s="8">
        <v>1918</v>
      </c>
      <c r="J110" s="22" t="s">
        <v>611</v>
      </c>
      <c r="K110" s="22" t="s">
        <v>800</v>
      </c>
      <c r="L110" s="22">
        <v>3</v>
      </c>
      <c r="M110" s="104" t="s">
        <v>1116</v>
      </c>
    </row>
    <row r="111" spans="1:13" x14ac:dyDescent="0.25">
      <c r="A111" s="18" t="s">
        <v>72</v>
      </c>
      <c r="B111" s="32" t="s">
        <v>1084</v>
      </c>
      <c r="C111" s="32" t="s">
        <v>817</v>
      </c>
      <c r="D111" s="32" t="s">
        <v>817</v>
      </c>
      <c r="E111" s="32" t="s">
        <v>1006</v>
      </c>
      <c r="F111" s="32">
        <v>2013</v>
      </c>
      <c r="G111" s="32" t="s">
        <v>817</v>
      </c>
      <c r="H111" s="32" t="s">
        <v>775</v>
      </c>
      <c r="I111" s="8">
        <v>3196</v>
      </c>
      <c r="J111" s="22" t="s">
        <v>611</v>
      </c>
      <c r="K111" s="22" t="s">
        <v>800</v>
      </c>
      <c r="L111" s="22">
        <v>3</v>
      </c>
      <c r="M111" s="104" t="s">
        <v>1117</v>
      </c>
    </row>
    <row r="112" spans="1:13" x14ac:dyDescent="0.25">
      <c r="A112" s="18" t="s">
        <v>72</v>
      </c>
      <c r="B112" s="32" t="s">
        <v>1084</v>
      </c>
      <c r="C112" s="32" t="s">
        <v>817</v>
      </c>
      <c r="D112" s="32" t="s">
        <v>817</v>
      </c>
      <c r="E112" s="32" t="s">
        <v>1006</v>
      </c>
      <c r="F112" s="32">
        <v>2013</v>
      </c>
      <c r="G112" s="32" t="s">
        <v>817</v>
      </c>
      <c r="H112" s="32" t="s">
        <v>775</v>
      </c>
      <c r="I112" s="8">
        <v>14386</v>
      </c>
      <c r="J112" s="22" t="s">
        <v>611</v>
      </c>
      <c r="K112" s="22" t="s">
        <v>800</v>
      </c>
      <c r="L112" s="22">
        <v>3</v>
      </c>
      <c r="M112" s="104" t="s">
        <v>1118</v>
      </c>
    </row>
    <row r="113" spans="1:13" x14ac:dyDescent="0.25">
      <c r="A113" s="18" t="s">
        <v>72</v>
      </c>
      <c r="B113" s="32" t="s">
        <v>1082</v>
      </c>
      <c r="C113" s="32" t="s">
        <v>817</v>
      </c>
      <c r="D113" s="32" t="s">
        <v>817</v>
      </c>
      <c r="E113" s="32" t="s">
        <v>1006</v>
      </c>
      <c r="F113" s="32">
        <v>2013</v>
      </c>
      <c r="G113" s="32" t="s">
        <v>817</v>
      </c>
      <c r="H113" s="32" t="s">
        <v>775</v>
      </c>
      <c r="I113" s="8">
        <v>0.438</v>
      </c>
      <c r="J113" s="22" t="s">
        <v>611</v>
      </c>
      <c r="K113" s="22" t="s">
        <v>800</v>
      </c>
      <c r="L113" s="22">
        <v>3</v>
      </c>
      <c r="M113" s="104" t="s">
        <v>1105</v>
      </c>
    </row>
    <row r="114" spans="1:13" x14ac:dyDescent="0.25">
      <c r="A114" s="18" t="s">
        <v>72</v>
      </c>
      <c r="B114" s="32" t="s">
        <v>1086</v>
      </c>
      <c r="C114" s="32" t="s">
        <v>817</v>
      </c>
      <c r="D114" s="32" t="s">
        <v>817</v>
      </c>
      <c r="E114" s="32" t="s">
        <v>1006</v>
      </c>
      <c r="F114" s="32">
        <v>2013</v>
      </c>
      <c r="G114" s="32" t="s">
        <v>817</v>
      </c>
      <c r="H114" s="32" t="s">
        <v>775</v>
      </c>
      <c r="I114" s="8">
        <v>1384</v>
      </c>
      <c r="J114" s="22" t="s">
        <v>611</v>
      </c>
      <c r="K114" s="22" t="s">
        <v>800</v>
      </c>
      <c r="L114" s="22">
        <v>3</v>
      </c>
      <c r="M114" s="104" t="s">
        <v>1119</v>
      </c>
    </row>
    <row r="115" spans="1:13" x14ac:dyDescent="0.25">
      <c r="A115" s="18" t="s">
        <v>72</v>
      </c>
      <c r="B115" s="32" t="s">
        <v>1086</v>
      </c>
      <c r="C115" s="32" t="s">
        <v>817</v>
      </c>
      <c r="D115" s="32" t="s">
        <v>817</v>
      </c>
      <c r="E115" s="32" t="s">
        <v>1006</v>
      </c>
      <c r="F115" s="32">
        <v>2013</v>
      </c>
      <c r="G115" s="32" t="s">
        <v>817</v>
      </c>
      <c r="H115" s="32" t="s">
        <v>775</v>
      </c>
      <c r="I115" s="8">
        <v>2249</v>
      </c>
      <c r="J115" s="22" t="s">
        <v>611</v>
      </c>
      <c r="K115" s="22" t="s">
        <v>800</v>
      </c>
      <c r="L115" s="22">
        <v>3</v>
      </c>
      <c r="M115" s="104" t="s">
        <v>1120</v>
      </c>
    </row>
    <row r="116" spans="1:13" ht="26.25" x14ac:dyDescent="0.25">
      <c r="A116" s="32" t="s">
        <v>706</v>
      </c>
      <c r="B116" s="32" t="s">
        <v>1062</v>
      </c>
      <c r="C116" s="32" t="s">
        <v>817</v>
      </c>
      <c r="D116" s="32" t="s">
        <v>817</v>
      </c>
      <c r="E116" s="32" t="s">
        <v>1006</v>
      </c>
      <c r="F116" s="32">
        <v>2013</v>
      </c>
      <c r="G116" s="32" t="s">
        <v>817</v>
      </c>
      <c r="H116" s="32" t="s">
        <v>775</v>
      </c>
      <c r="I116" s="87" t="s">
        <v>1152</v>
      </c>
      <c r="J116" s="22" t="s">
        <v>611</v>
      </c>
      <c r="K116" s="22" t="s">
        <v>800</v>
      </c>
      <c r="L116" s="22">
        <v>3</v>
      </c>
      <c r="M116" s="104" t="s">
        <v>1101</v>
      </c>
    </row>
    <row r="117" spans="1:13" ht="26.25" x14ac:dyDescent="0.25">
      <c r="A117" s="32" t="s">
        <v>706</v>
      </c>
      <c r="B117" s="32" t="s">
        <v>1062</v>
      </c>
      <c r="C117" s="32" t="s">
        <v>817</v>
      </c>
      <c r="D117" s="32" t="s">
        <v>817</v>
      </c>
      <c r="E117" s="32" t="s">
        <v>1006</v>
      </c>
      <c r="F117" s="32">
        <v>2013</v>
      </c>
      <c r="G117" s="32" t="s">
        <v>817</v>
      </c>
      <c r="H117" s="32" t="s">
        <v>775</v>
      </c>
      <c r="I117" s="87" t="s">
        <v>1153</v>
      </c>
      <c r="J117" s="22" t="s">
        <v>611</v>
      </c>
      <c r="K117" s="22" t="s">
        <v>800</v>
      </c>
      <c r="L117" s="22">
        <v>3</v>
      </c>
      <c r="M117" s="104" t="s">
        <v>1102</v>
      </c>
    </row>
    <row r="118" spans="1:13" ht="26.25" x14ac:dyDescent="0.25">
      <c r="A118" s="32" t="s">
        <v>706</v>
      </c>
      <c r="B118" s="32" t="s">
        <v>1062</v>
      </c>
      <c r="C118" s="32" t="s">
        <v>817</v>
      </c>
      <c r="D118" s="32" t="s">
        <v>817</v>
      </c>
      <c r="E118" s="32" t="s">
        <v>1006</v>
      </c>
      <c r="F118" s="32">
        <v>2013</v>
      </c>
      <c r="G118" s="32" t="s">
        <v>817</v>
      </c>
      <c r="H118" s="32" t="s">
        <v>775</v>
      </c>
      <c r="I118" s="87" t="s">
        <v>1154</v>
      </c>
      <c r="J118" s="22" t="s">
        <v>611</v>
      </c>
      <c r="K118" s="22" t="s">
        <v>800</v>
      </c>
      <c r="L118" s="22">
        <v>3</v>
      </c>
      <c r="M118" s="104" t="s">
        <v>1103</v>
      </c>
    </row>
    <row r="119" spans="1:13" ht="25.5" x14ac:dyDescent="0.25">
      <c r="A119" s="32" t="s">
        <v>706</v>
      </c>
      <c r="B119" s="32" t="s">
        <v>1062</v>
      </c>
      <c r="C119" s="32" t="s">
        <v>817</v>
      </c>
      <c r="D119" s="32" t="s">
        <v>817</v>
      </c>
      <c r="E119" s="32" t="s">
        <v>1006</v>
      </c>
      <c r="F119" s="32">
        <v>2013</v>
      </c>
      <c r="G119" s="32" t="s">
        <v>817</v>
      </c>
      <c r="H119" s="32" t="s">
        <v>775</v>
      </c>
      <c r="I119" s="87" t="s">
        <v>1155</v>
      </c>
      <c r="J119" s="22" t="s">
        <v>611</v>
      </c>
      <c r="K119" s="22" t="s">
        <v>800</v>
      </c>
      <c r="L119" s="22">
        <v>3</v>
      </c>
      <c r="M119" s="104" t="s">
        <v>1104</v>
      </c>
    </row>
    <row r="120" spans="1:13" ht="25.5" x14ac:dyDescent="0.25">
      <c r="A120" s="32" t="s">
        <v>706</v>
      </c>
      <c r="B120" s="32" t="s">
        <v>1064</v>
      </c>
      <c r="C120" s="32" t="s">
        <v>817</v>
      </c>
      <c r="D120" s="32" t="s">
        <v>817</v>
      </c>
      <c r="E120" s="32" t="s">
        <v>1006</v>
      </c>
      <c r="F120" s="32">
        <v>2013</v>
      </c>
      <c r="G120" s="32" t="s">
        <v>817</v>
      </c>
      <c r="H120" s="32" t="s">
        <v>775</v>
      </c>
      <c r="I120" s="87" t="s">
        <v>1156</v>
      </c>
      <c r="J120" s="22" t="s">
        <v>611</v>
      </c>
      <c r="K120" s="22" t="s">
        <v>800</v>
      </c>
      <c r="L120" s="22">
        <v>3</v>
      </c>
      <c r="M120" s="104" t="s">
        <v>1105</v>
      </c>
    </row>
    <row r="121" spans="1:13" ht="25.5" x14ac:dyDescent="0.25">
      <c r="A121" s="32" t="s">
        <v>706</v>
      </c>
      <c r="B121" s="32" t="s">
        <v>1068</v>
      </c>
      <c r="C121" s="32" t="s">
        <v>817</v>
      </c>
      <c r="D121" s="32" t="s">
        <v>817</v>
      </c>
      <c r="E121" s="32" t="s">
        <v>1006</v>
      </c>
      <c r="F121" s="32">
        <v>2013</v>
      </c>
      <c r="G121" s="32" t="s">
        <v>817</v>
      </c>
      <c r="H121" s="32" t="s">
        <v>775</v>
      </c>
      <c r="I121" s="87" t="s">
        <v>1157</v>
      </c>
      <c r="J121" s="22" t="s">
        <v>611</v>
      </c>
      <c r="K121" s="22" t="s">
        <v>800</v>
      </c>
      <c r="L121" s="22">
        <v>3</v>
      </c>
      <c r="M121" s="104" t="s">
        <v>1105</v>
      </c>
    </row>
    <row r="122" spans="1:13" ht="25.5" x14ac:dyDescent="0.25">
      <c r="A122" s="32" t="s">
        <v>706</v>
      </c>
      <c r="B122" s="32" t="s">
        <v>1068</v>
      </c>
      <c r="C122" s="32" t="s">
        <v>817</v>
      </c>
      <c r="D122" s="32" t="s">
        <v>817</v>
      </c>
      <c r="E122" s="32" t="s">
        <v>1006</v>
      </c>
      <c r="F122" s="32">
        <v>2013</v>
      </c>
      <c r="G122" s="32" t="s">
        <v>817</v>
      </c>
      <c r="H122" s="32" t="s">
        <v>775</v>
      </c>
      <c r="I122" s="87" t="s">
        <v>1158</v>
      </c>
      <c r="J122" s="22" t="s">
        <v>611</v>
      </c>
      <c r="K122" s="22" t="s">
        <v>800</v>
      </c>
      <c r="L122" s="22">
        <v>3</v>
      </c>
      <c r="M122" s="104" t="s">
        <v>1105</v>
      </c>
    </row>
    <row r="123" spans="1:13" ht="25.5" x14ac:dyDescent="0.25">
      <c r="A123" s="32" t="s">
        <v>706</v>
      </c>
      <c r="B123" s="32" t="s">
        <v>738</v>
      </c>
      <c r="C123" s="32" t="s">
        <v>817</v>
      </c>
      <c r="D123" s="32" t="s">
        <v>817</v>
      </c>
      <c r="E123" s="32" t="s">
        <v>1006</v>
      </c>
      <c r="F123" s="32">
        <v>2013</v>
      </c>
      <c r="G123" s="32" t="s">
        <v>817</v>
      </c>
      <c r="H123" s="32" t="s">
        <v>775</v>
      </c>
      <c r="I123" s="87" t="s">
        <v>1159</v>
      </c>
      <c r="J123" s="22" t="s">
        <v>611</v>
      </c>
      <c r="K123" s="22" t="s">
        <v>800</v>
      </c>
      <c r="L123" s="22">
        <v>3</v>
      </c>
      <c r="M123" s="104" t="s">
        <v>1106</v>
      </c>
    </row>
    <row r="124" spans="1:13" ht="25.5" x14ac:dyDescent="0.25">
      <c r="A124" s="32" t="s">
        <v>706</v>
      </c>
      <c r="B124" s="32" t="s">
        <v>738</v>
      </c>
      <c r="C124" s="32" t="s">
        <v>817</v>
      </c>
      <c r="D124" s="32" t="s">
        <v>817</v>
      </c>
      <c r="E124" s="32" t="s">
        <v>1006</v>
      </c>
      <c r="F124" s="32">
        <v>2013</v>
      </c>
      <c r="G124" s="32" t="s">
        <v>817</v>
      </c>
      <c r="H124" s="32" t="s">
        <v>775</v>
      </c>
      <c r="I124" s="87" t="s">
        <v>1160</v>
      </c>
      <c r="J124" s="22" t="s">
        <v>611</v>
      </c>
      <c r="K124" s="22" t="s">
        <v>800</v>
      </c>
      <c r="L124" s="22">
        <v>3</v>
      </c>
      <c r="M124" s="104" t="s">
        <v>1107</v>
      </c>
    </row>
    <row r="125" spans="1:13" ht="25.5" x14ac:dyDescent="0.25">
      <c r="A125" s="32" t="s">
        <v>706</v>
      </c>
      <c r="B125" s="32" t="s">
        <v>1108</v>
      </c>
      <c r="C125" s="32" t="s">
        <v>817</v>
      </c>
      <c r="D125" s="32" t="s">
        <v>817</v>
      </c>
      <c r="E125" s="32" t="s">
        <v>1006</v>
      </c>
      <c r="F125" s="32">
        <v>2013</v>
      </c>
      <c r="G125" s="32" t="s">
        <v>817</v>
      </c>
      <c r="H125" s="32" t="s">
        <v>775</v>
      </c>
      <c r="I125" s="87" t="s">
        <v>1161</v>
      </c>
      <c r="J125" s="22" t="s">
        <v>611</v>
      </c>
      <c r="K125" s="22" t="s">
        <v>800</v>
      </c>
      <c r="L125" s="22">
        <v>3</v>
      </c>
      <c r="M125" s="104" t="s">
        <v>1105</v>
      </c>
    </row>
    <row r="126" spans="1:13" ht="25.5" x14ac:dyDescent="0.25">
      <c r="A126" s="32" t="s">
        <v>706</v>
      </c>
      <c r="B126" s="32" t="s">
        <v>1073</v>
      </c>
      <c r="C126" s="32" t="s">
        <v>817</v>
      </c>
      <c r="D126" s="32" t="s">
        <v>817</v>
      </c>
      <c r="E126" s="32" t="s">
        <v>1006</v>
      </c>
      <c r="F126" s="32">
        <v>2013</v>
      </c>
      <c r="G126" s="32" t="s">
        <v>817</v>
      </c>
      <c r="H126" s="32" t="s">
        <v>775</v>
      </c>
      <c r="I126" s="87" t="s">
        <v>1162</v>
      </c>
      <c r="J126" s="22" t="s">
        <v>611</v>
      </c>
      <c r="K126" s="22" t="s">
        <v>800</v>
      </c>
      <c r="L126" s="22">
        <v>3</v>
      </c>
      <c r="M126" s="104" t="s">
        <v>1105</v>
      </c>
    </row>
    <row r="127" spans="1:13" ht="25.5" x14ac:dyDescent="0.25">
      <c r="A127" s="32" t="s">
        <v>706</v>
      </c>
      <c r="B127" s="32" t="s">
        <v>238</v>
      </c>
      <c r="C127" s="32" t="s">
        <v>817</v>
      </c>
      <c r="D127" s="32" t="s">
        <v>817</v>
      </c>
      <c r="E127" s="32" t="s">
        <v>1006</v>
      </c>
      <c r="F127" s="32">
        <v>2013</v>
      </c>
      <c r="G127" s="32" t="s">
        <v>817</v>
      </c>
      <c r="H127" s="32" t="s">
        <v>775</v>
      </c>
      <c r="I127" s="87" t="s">
        <v>1163</v>
      </c>
      <c r="J127" s="22" t="s">
        <v>611</v>
      </c>
      <c r="K127" s="22" t="s">
        <v>800</v>
      </c>
      <c r="L127" s="22">
        <v>3</v>
      </c>
      <c r="M127" s="104" t="s">
        <v>1109</v>
      </c>
    </row>
    <row r="128" spans="1:13" ht="25.5" x14ac:dyDescent="0.25">
      <c r="A128" s="32" t="s">
        <v>706</v>
      </c>
      <c r="B128" s="32" t="s">
        <v>238</v>
      </c>
      <c r="C128" s="32" t="s">
        <v>817</v>
      </c>
      <c r="D128" s="32" t="s">
        <v>817</v>
      </c>
      <c r="E128" s="32" t="s">
        <v>1006</v>
      </c>
      <c r="F128" s="32">
        <v>2013</v>
      </c>
      <c r="G128" s="32" t="s">
        <v>817</v>
      </c>
      <c r="H128" s="32" t="s">
        <v>775</v>
      </c>
      <c r="I128" s="87" t="s">
        <v>1164</v>
      </c>
      <c r="J128" s="22" t="s">
        <v>611</v>
      </c>
      <c r="K128" s="22" t="s">
        <v>800</v>
      </c>
      <c r="L128" s="22">
        <v>3</v>
      </c>
      <c r="M128" s="104" t="s">
        <v>1110</v>
      </c>
    </row>
    <row r="129" spans="1:13" ht="25.5" x14ac:dyDescent="0.25">
      <c r="A129" s="32" t="s">
        <v>706</v>
      </c>
      <c r="B129" s="32" t="s">
        <v>1078</v>
      </c>
      <c r="C129" s="32" t="s">
        <v>817</v>
      </c>
      <c r="D129" s="32" t="s">
        <v>817</v>
      </c>
      <c r="E129" s="32" t="s">
        <v>1006</v>
      </c>
      <c r="F129" s="32">
        <v>2013</v>
      </c>
      <c r="G129" s="32" t="s">
        <v>817</v>
      </c>
      <c r="H129" s="32" t="s">
        <v>775</v>
      </c>
      <c r="I129" s="87" t="s">
        <v>1165</v>
      </c>
      <c r="J129" s="22" t="s">
        <v>611</v>
      </c>
      <c r="K129" s="22" t="s">
        <v>800</v>
      </c>
      <c r="L129" s="22">
        <v>3</v>
      </c>
      <c r="M129" s="104" t="s">
        <v>1105</v>
      </c>
    </row>
    <row r="130" spans="1:13" ht="25.5" x14ac:dyDescent="0.25">
      <c r="A130" s="32" t="s">
        <v>706</v>
      </c>
      <c r="B130" s="32" t="s">
        <v>1075</v>
      </c>
      <c r="C130" s="32" t="s">
        <v>817</v>
      </c>
      <c r="D130" s="32" t="s">
        <v>817</v>
      </c>
      <c r="E130" s="32" t="s">
        <v>1006</v>
      </c>
      <c r="F130" s="32">
        <v>2013</v>
      </c>
      <c r="G130" s="32" t="s">
        <v>817</v>
      </c>
      <c r="H130" s="32" t="s">
        <v>775</v>
      </c>
      <c r="I130" s="87" t="s">
        <v>1166</v>
      </c>
      <c r="J130" s="22" t="s">
        <v>611</v>
      </c>
      <c r="K130" s="22" t="s">
        <v>800</v>
      </c>
      <c r="L130" s="22">
        <v>3</v>
      </c>
      <c r="M130" s="104" t="s">
        <v>1111</v>
      </c>
    </row>
    <row r="131" spans="1:13" ht="25.5" x14ac:dyDescent="0.25">
      <c r="A131" s="32" t="s">
        <v>706</v>
      </c>
      <c r="B131" s="32" t="s">
        <v>1075</v>
      </c>
      <c r="C131" s="32" t="s">
        <v>817</v>
      </c>
      <c r="D131" s="32" t="s">
        <v>817</v>
      </c>
      <c r="E131" s="32" t="s">
        <v>1006</v>
      </c>
      <c r="F131" s="32">
        <v>2013</v>
      </c>
      <c r="G131" s="32" t="s">
        <v>817</v>
      </c>
      <c r="H131" s="32" t="s">
        <v>775</v>
      </c>
      <c r="I131" s="87" t="s">
        <v>1167</v>
      </c>
      <c r="J131" s="22" t="s">
        <v>611</v>
      </c>
      <c r="K131" s="22" t="s">
        <v>800</v>
      </c>
      <c r="L131" s="22">
        <v>3</v>
      </c>
      <c r="M131" s="104" t="s">
        <v>1112</v>
      </c>
    </row>
    <row r="132" spans="1:13" ht="25.5" x14ac:dyDescent="0.25">
      <c r="A132" s="32" t="s">
        <v>706</v>
      </c>
      <c r="B132" s="32" t="s">
        <v>1084</v>
      </c>
      <c r="C132" s="32" t="s">
        <v>817</v>
      </c>
      <c r="D132" s="32" t="s">
        <v>817</v>
      </c>
      <c r="E132" s="32" t="s">
        <v>1006</v>
      </c>
      <c r="F132" s="32">
        <v>2013</v>
      </c>
      <c r="G132" s="32" t="s">
        <v>817</v>
      </c>
      <c r="H132" s="32" t="s">
        <v>775</v>
      </c>
      <c r="I132" s="87" t="s">
        <v>1168</v>
      </c>
      <c r="J132" s="22" t="s">
        <v>611</v>
      </c>
      <c r="K132" s="22" t="s">
        <v>800</v>
      </c>
      <c r="L132" s="22">
        <v>3</v>
      </c>
      <c r="M132" s="104" t="s">
        <v>1113</v>
      </c>
    </row>
    <row r="133" spans="1:13" ht="25.5" x14ac:dyDescent="0.25">
      <c r="A133" s="32" t="s">
        <v>706</v>
      </c>
      <c r="B133" s="32" t="s">
        <v>1084</v>
      </c>
      <c r="C133" s="32" t="s">
        <v>817</v>
      </c>
      <c r="D133" s="32" t="s">
        <v>817</v>
      </c>
      <c r="E133" s="32" t="s">
        <v>1006</v>
      </c>
      <c r="F133" s="32">
        <v>2013</v>
      </c>
      <c r="G133" s="32" t="s">
        <v>817</v>
      </c>
      <c r="H133" s="32" t="s">
        <v>775</v>
      </c>
      <c r="I133" s="87" t="s">
        <v>1169</v>
      </c>
      <c r="J133" s="22" t="s">
        <v>611</v>
      </c>
      <c r="K133" s="22" t="s">
        <v>800</v>
      </c>
      <c r="L133" s="22">
        <v>3</v>
      </c>
      <c r="M133" s="104" t="s">
        <v>1114</v>
      </c>
    </row>
    <row r="134" spans="1:13" ht="25.5" x14ac:dyDescent="0.25">
      <c r="A134" s="32" t="s">
        <v>706</v>
      </c>
      <c r="B134" s="32" t="s">
        <v>1084</v>
      </c>
      <c r="C134" s="32" t="s">
        <v>817</v>
      </c>
      <c r="D134" s="32" t="s">
        <v>817</v>
      </c>
      <c r="E134" s="32" t="s">
        <v>1006</v>
      </c>
      <c r="F134" s="32">
        <v>2013</v>
      </c>
      <c r="G134" s="32" t="s">
        <v>817</v>
      </c>
      <c r="H134" s="32" t="s">
        <v>775</v>
      </c>
      <c r="I134" s="87" t="s">
        <v>1170</v>
      </c>
      <c r="J134" s="22" t="s">
        <v>611</v>
      </c>
      <c r="K134" s="22" t="s">
        <v>800</v>
      </c>
      <c r="L134" s="22">
        <v>3</v>
      </c>
      <c r="M134" s="104" t="s">
        <v>1115</v>
      </c>
    </row>
    <row r="135" spans="1:13" ht="25.5" x14ac:dyDescent="0.25">
      <c r="A135" s="32" t="s">
        <v>706</v>
      </c>
      <c r="B135" s="32" t="s">
        <v>1084</v>
      </c>
      <c r="C135" s="32" t="s">
        <v>817</v>
      </c>
      <c r="D135" s="32" t="s">
        <v>817</v>
      </c>
      <c r="E135" s="32" t="s">
        <v>1006</v>
      </c>
      <c r="F135" s="32">
        <v>2013</v>
      </c>
      <c r="G135" s="32" t="s">
        <v>817</v>
      </c>
      <c r="H135" s="32" t="s">
        <v>775</v>
      </c>
      <c r="I135" s="87" t="s">
        <v>1171</v>
      </c>
      <c r="J135" s="22" t="s">
        <v>611</v>
      </c>
      <c r="K135" s="22" t="s">
        <v>800</v>
      </c>
      <c r="L135" s="22">
        <v>3</v>
      </c>
      <c r="M135" s="104" t="s">
        <v>1116</v>
      </c>
    </row>
    <row r="136" spans="1:13" ht="25.5" x14ac:dyDescent="0.25">
      <c r="A136" s="32" t="s">
        <v>706</v>
      </c>
      <c r="B136" s="32" t="s">
        <v>1084</v>
      </c>
      <c r="C136" s="32" t="s">
        <v>817</v>
      </c>
      <c r="D136" s="32" t="s">
        <v>817</v>
      </c>
      <c r="E136" s="32" t="s">
        <v>1006</v>
      </c>
      <c r="F136" s="32">
        <v>2013</v>
      </c>
      <c r="G136" s="32" t="s">
        <v>817</v>
      </c>
      <c r="H136" s="32" t="s">
        <v>775</v>
      </c>
      <c r="I136" s="87" t="s">
        <v>1172</v>
      </c>
      <c r="J136" s="22" t="s">
        <v>611</v>
      </c>
      <c r="K136" s="22" t="s">
        <v>800</v>
      </c>
      <c r="L136" s="22">
        <v>3</v>
      </c>
      <c r="M136" s="104" t="s">
        <v>1117</v>
      </c>
    </row>
    <row r="137" spans="1:13" ht="25.5" x14ac:dyDescent="0.25">
      <c r="A137" s="32" t="s">
        <v>706</v>
      </c>
      <c r="B137" s="32" t="s">
        <v>1084</v>
      </c>
      <c r="C137" s="32" t="s">
        <v>817</v>
      </c>
      <c r="D137" s="32" t="s">
        <v>817</v>
      </c>
      <c r="E137" s="32" t="s">
        <v>1006</v>
      </c>
      <c r="F137" s="32">
        <v>2013</v>
      </c>
      <c r="G137" s="32" t="s">
        <v>817</v>
      </c>
      <c r="H137" s="32" t="s">
        <v>775</v>
      </c>
      <c r="I137" s="87" t="s">
        <v>1173</v>
      </c>
      <c r="J137" s="22" t="s">
        <v>611</v>
      </c>
      <c r="K137" s="22" t="s">
        <v>800</v>
      </c>
      <c r="L137" s="22">
        <v>3</v>
      </c>
      <c r="M137" s="104" t="s">
        <v>1118</v>
      </c>
    </row>
    <row r="138" spans="1:13" ht="25.5" x14ac:dyDescent="0.25">
      <c r="A138" s="32" t="s">
        <v>706</v>
      </c>
      <c r="B138" s="32" t="s">
        <v>1082</v>
      </c>
      <c r="C138" s="32" t="s">
        <v>817</v>
      </c>
      <c r="D138" s="32" t="s">
        <v>817</v>
      </c>
      <c r="E138" s="32" t="s">
        <v>1006</v>
      </c>
      <c r="F138" s="32">
        <v>2013</v>
      </c>
      <c r="G138" s="32" t="s">
        <v>817</v>
      </c>
      <c r="H138" s="32" t="s">
        <v>775</v>
      </c>
      <c r="I138" s="78" t="s">
        <v>1174</v>
      </c>
      <c r="J138" s="22" t="s">
        <v>611</v>
      </c>
      <c r="K138" s="22" t="s">
        <v>800</v>
      </c>
      <c r="L138" s="22">
        <v>3</v>
      </c>
      <c r="M138" s="104" t="s">
        <v>1105</v>
      </c>
    </row>
    <row r="139" spans="1:13" ht="25.5" x14ac:dyDescent="0.25">
      <c r="A139" s="32" t="s">
        <v>706</v>
      </c>
      <c r="B139" s="32" t="s">
        <v>1086</v>
      </c>
      <c r="C139" s="32" t="s">
        <v>817</v>
      </c>
      <c r="D139" s="32" t="s">
        <v>817</v>
      </c>
      <c r="E139" s="32" t="s">
        <v>1006</v>
      </c>
      <c r="F139" s="32">
        <v>2013</v>
      </c>
      <c r="G139" s="32" t="s">
        <v>817</v>
      </c>
      <c r="H139" s="32" t="s">
        <v>775</v>
      </c>
      <c r="I139" s="87" t="s">
        <v>1175</v>
      </c>
      <c r="J139" s="22" t="s">
        <v>611</v>
      </c>
      <c r="K139" s="22" t="s">
        <v>800</v>
      </c>
      <c r="L139" s="22">
        <v>3</v>
      </c>
      <c r="M139" s="104" t="s">
        <v>1119</v>
      </c>
    </row>
    <row r="140" spans="1:13" ht="25.5" x14ac:dyDescent="0.25">
      <c r="A140" s="32" t="s">
        <v>706</v>
      </c>
      <c r="B140" s="32" t="s">
        <v>1086</v>
      </c>
      <c r="C140" s="32" t="s">
        <v>817</v>
      </c>
      <c r="D140" s="32" t="s">
        <v>817</v>
      </c>
      <c r="E140" s="32" t="s">
        <v>1006</v>
      </c>
      <c r="F140" s="32">
        <v>2013</v>
      </c>
      <c r="G140" s="32" t="s">
        <v>817</v>
      </c>
      <c r="H140" s="32" t="s">
        <v>775</v>
      </c>
      <c r="I140" s="87" t="s">
        <v>1176</v>
      </c>
      <c r="J140" s="22" t="s">
        <v>611</v>
      </c>
      <c r="K140" s="22" t="s">
        <v>800</v>
      </c>
      <c r="L140" s="22">
        <v>3</v>
      </c>
      <c r="M140" s="104" t="s">
        <v>1120</v>
      </c>
    </row>
  </sheetData>
  <autoFilter ref="A3:M140">
    <sortState ref="A2:M138">
      <sortCondition ref="K1:K138"/>
    </sortState>
  </autoFilter>
  <pageMargins left="0.7" right="0.7" top="0.75" bottom="0.75" header="0.3" footer="0.3"/>
  <pageSetup scale="56" fitToHeight="6"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2:E20"/>
  <sheetViews>
    <sheetView showGridLines="0" workbookViewId="0">
      <pane ySplit="2" topLeftCell="A3" activePane="bottomLeft" state="frozen"/>
      <selection pane="bottomLeft"/>
    </sheetView>
  </sheetViews>
  <sheetFormatPr defaultColWidth="9.140625" defaultRowHeight="15" x14ac:dyDescent="0.25"/>
  <cols>
    <col min="1" max="1" width="2.28515625" style="21" customWidth="1"/>
    <col min="2" max="2" width="13.7109375" style="21" customWidth="1"/>
    <col min="3" max="3" width="3" style="25" customWidth="1"/>
    <col min="4" max="4" width="70.5703125" style="21" customWidth="1"/>
    <col min="5" max="16384" width="9.140625" style="21"/>
  </cols>
  <sheetData>
    <row r="2" spans="2:5" ht="16.5" customHeight="1" x14ac:dyDescent="0.25"/>
    <row r="3" spans="2:5" x14ac:dyDescent="0.25">
      <c r="B3" s="208" t="s">
        <v>1891</v>
      </c>
      <c r="C3" s="208"/>
      <c r="D3" s="208"/>
    </row>
    <row r="4" spans="2:5" s="3" customFormat="1" ht="78" customHeight="1" x14ac:dyDescent="0.25">
      <c r="B4" s="188" t="s">
        <v>1892</v>
      </c>
      <c r="C4" s="189"/>
      <c r="D4" s="190"/>
    </row>
    <row r="5" spans="2:5" s="3" customFormat="1" x14ac:dyDescent="0.25">
      <c r="B5" s="196" t="s">
        <v>6</v>
      </c>
      <c r="C5" s="196"/>
      <c r="D5" s="68" t="s">
        <v>0</v>
      </c>
    </row>
    <row r="6" spans="2:5" s="3" customFormat="1" ht="76.5" customHeight="1" x14ac:dyDescent="0.25">
      <c r="B6" s="222" t="s">
        <v>1894</v>
      </c>
      <c r="C6" s="222"/>
      <c r="D6" s="59" t="s">
        <v>1893</v>
      </c>
    </row>
    <row r="7" spans="2:5" s="3" customFormat="1" ht="77.25" customHeight="1" x14ac:dyDescent="0.25">
      <c r="B7" s="222" t="s">
        <v>686</v>
      </c>
      <c r="C7" s="222"/>
      <c r="D7" s="59" t="s">
        <v>1455</v>
      </c>
    </row>
    <row r="8" spans="2:5" s="3" customFormat="1" ht="77.25" customHeight="1" x14ac:dyDescent="0.25">
      <c r="B8" s="220" t="s">
        <v>1816</v>
      </c>
      <c r="C8" s="221"/>
      <c r="D8" s="59" t="s">
        <v>1837</v>
      </c>
    </row>
    <row r="9" spans="2:5" s="3" customFormat="1" x14ac:dyDescent="0.25"/>
    <row r="10" spans="2:5" x14ac:dyDescent="0.25">
      <c r="B10" s="208" t="s">
        <v>446</v>
      </c>
      <c r="C10" s="208"/>
      <c r="D10" s="208"/>
    </row>
    <row r="11" spans="2:5" s="3" customFormat="1" ht="15" customHeight="1" x14ac:dyDescent="0.25">
      <c r="B11" s="204" t="s">
        <v>1836</v>
      </c>
      <c r="C11" s="204"/>
      <c r="D11" s="204"/>
      <c r="E11" s="119"/>
    </row>
    <row r="12" spans="2:5" s="3" customFormat="1" ht="15" customHeight="1" x14ac:dyDescent="0.25">
      <c r="B12" s="204" t="s">
        <v>1824</v>
      </c>
      <c r="C12" s="204"/>
      <c r="D12" s="204"/>
      <c r="E12" s="119"/>
    </row>
    <row r="13" spans="2:5" s="3" customFormat="1" ht="45.75" customHeight="1" x14ac:dyDescent="0.25">
      <c r="B13" s="204" t="s">
        <v>1825</v>
      </c>
      <c r="C13" s="204"/>
      <c r="D13" s="204"/>
      <c r="E13" s="119"/>
    </row>
    <row r="14" spans="2:5" s="3" customFormat="1" ht="31.5" customHeight="1" x14ac:dyDescent="0.25">
      <c r="B14" s="204" t="s">
        <v>1826</v>
      </c>
      <c r="C14" s="204"/>
      <c r="D14" s="204"/>
      <c r="E14" s="119"/>
    </row>
    <row r="15" spans="2:5" s="3" customFormat="1" x14ac:dyDescent="0.25">
      <c r="B15" s="204" t="s">
        <v>1827</v>
      </c>
      <c r="C15" s="204"/>
      <c r="D15" s="204"/>
      <c r="E15" s="119"/>
    </row>
    <row r="16" spans="2:5" s="3" customFormat="1" ht="30" customHeight="1" x14ac:dyDescent="0.25">
      <c r="B16" s="204" t="s">
        <v>1828</v>
      </c>
      <c r="C16" s="204"/>
      <c r="D16" s="204"/>
      <c r="E16" s="119"/>
    </row>
    <row r="17" spans="2:5" s="3" customFormat="1" ht="15" customHeight="1" x14ac:dyDescent="0.25">
      <c r="B17" s="204" t="s">
        <v>1829</v>
      </c>
      <c r="C17" s="204"/>
      <c r="D17" s="204"/>
      <c r="E17" s="119"/>
    </row>
    <row r="18" spans="2:5" s="3" customFormat="1" ht="54" customHeight="1" x14ac:dyDescent="0.25">
      <c r="B18" s="210" t="s">
        <v>1817</v>
      </c>
      <c r="C18" s="210"/>
      <c r="D18" s="210"/>
    </row>
    <row r="19" spans="2:5" s="3" customFormat="1" x14ac:dyDescent="0.25"/>
    <row r="20" spans="2:5" x14ac:dyDescent="0.25">
      <c r="B20" s="25"/>
    </row>
  </sheetData>
  <mergeCells count="15">
    <mergeCell ref="B10:D10"/>
    <mergeCell ref="B8:C8"/>
    <mergeCell ref="B3:D3"/>
    <mergeCell ref="B5:C5"/>
    <mergeCell ref="B6:C6"/>
    <mergeCell ref="B7:C7"/>
    <mergeCell ref="B4:D4"/>
    <mergeCell ref="B16:D16"/>
    <mergeCell ref="B17:D17"/>
    <mergeCell ref="B18:D18"/>
    <mergeCell ref="B11:D11"/>
    <mergeCell ref="B12:D12"/>
    <mergeCell ref="B13:D13"/>
    <mergeCell ref="B14:D14"/>
    <mergeCell ref="B15:D15"/>
  </mergeCells>
  <hyperlinks>
    <hyperlink ref="B6:C6" location="Planning!A1" display="Planning"/>
    <hyperlink ref="B8:C8" location="'Mitigation Anecdotal'!A1" display="Mitigation Anecdotal"/>
    <hyperlink ref="B7:C7" location="Mitigation!A1" display="Mitigation"/>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L19"/>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defaultColWidth="9.140625" defaultRowHeight="12.75" x14ac:dyDescent="0.2"/>
  <cols>
    <col min="1" max="1" width="16.85546875" style="5" customWidth="1"/>
    <col min="2" max="2" width="15.140625" style="5" customWidth="1"/>
    <col min="3" max="3" width="15.85546875" style="5" customWidth="1"/>
    <col min="4" max="4" width="29.7109375" style="5" customWidth="1"/>
    <col min="5" max="5" width="18.42578125" style="5" customWidth="1"/>
    <col min="6" max="6" width="13.7109375" style="38" bestFit="1" customWidth="1"/>
    <col min="7" max="10" width="20.7109375" style="5" customWidth="1"/>
    <col min="11" max="11" width="41.28515625" style="5" bestFit="1" customWidth="1"/>
    <col min="12" max="12" width="36.42578125" style="5" customWidth="1"/>
    <col min="13" max="16384" width="9.140625" style="5"/>
  </cols>
  <sheetData>
    <row r="1" spans="1:12" ht="16.5" customHeight="1" x14ac:dyDescent="0.2">
      <c r="A1" s="158"/>
      <c r="B1" s="11"/>
      <c r="C1" s="11"/>
      <c r="D1" s="11"/>
      <c r="E1" s="11"/>
      <c r="F1" s="5"/>
    </row>
    <row r="2" spans="1:12" ht="16.5" customHeight="1" x14ac:dyDescent="0.2">
      <c r="A2" s="123"/>
      <c r="B2" s="123"/>
      <c r="C2" s="123"/>
      <c r="D2" s="123"/>
      <c r="E2" s="11"/>
      <c r="F2" s="5"/>
    </row>
    <row r="3" spans="1:12" ht="25.5" x14ac:dyDescent="0.2">
      <c r="A3" s="58" t="s">
        <v>17</v>
      </c>
      <c r="B3" s="57" t="s">
        <v>1177</v>
      </c>
      <c r="C3" s="57" t="s">
        <v>1178</v>
      </c>
      <c r="D3" s="57" t="s">
        <v>1179</v>
      </c>
      <c r="E3" s="58" t="s">
        <v>1180</v>
      </c>
      <c r="F3" s="57" t="s">
        <v>30</v>
      </c>
      <c r="G3" s="57" t="s">
        <v>16</v>
      </c>
      <c r="H3" s="58" t="s">
        <v>12</v>
      </c>
      <c r="I3" s="58" t="s">
        <v>1181</v>
      </c>
      <c r="J3" s="58" t="s">
        <v>40</v>
      </c>
      <c r="K3" s="58" t="s">
        <v>569</v>
      </c>
      <c r="L3" s="58" t="s">
        <v>9</v>
      </c>
    </row>
    <row r="4" spans="1:12" ht="63.75" x14ac:dyDescent="0.2">
      <c r="A4" s="16" t="s">
        <v>1182</v>
      </c>
      <c r="B4" s="7" t="s">
        <v>1183</v>
      </c>
      <c r="C4" s="7" t="s">
        <v>1184</v>
      </c>
      <c r="D4" s="16" t="s">
        <v>1185</v>
      </c>
      <c r="E4" s="7" t="s">
        <v>1186</v>
      </c>
      <c r="F4" s="7" t="s">
        <v>1187</v>
      </c>
      <c r="G4" s="16" t="s">
        <v>1188</v>
      </c>
      <c r="H4" s="16" t="s">
        <v>1189</v>
      </c>
      <c r="I4" s="16" t="s">
        <v>1190</v>
      </c>
      <c r="J4" s="7" t="s">
        <v>1191</v>
      </c>
      <c r="K4" s="16" t="s">
        <v>1192</v>
      </c>
      <c r="L4" s="30" t="s">
        <v>1193</v>
      </c>
    </row>
    <row r="5" spans="1:12" ht="76.150000000000006" customHeight="1" x14ac:dyDescent="0.2">
      <c r="A5" s="16" t="s">
        <v>1182</v>
      </c>
      <c r="B5" s="7" t="s">
        <v>1183</v>
      </c>
      <c r="C5" s="7" t="s">
        <v>1184</v>
      </c>
      <c r="D5" s="16" t="s">
        <v>1194</v>
      </c>
      <c r="E5" s="7" t="s">
        <v>1186</v>
      </c>
      <c r="F5" s="7" t="s">
        <v>1187</v>
      </c>
      <c r="G5" s="16" t="s">
        <v>1188</v>
      </c>
      <c r="H5" s="16" t="s">
        <v>1189</v>
      </c>
      <c r="I5" s="16" t="s">
        <v>1190</v>
      </c>
      <c r="J5" s="7" t="s">
        <v>1191</v>
      </c>
      <c r="K5" s="16" t="s">
        <v>1195</v>
      </c>
      <c r="L5" s="30" t="s">
        <v>1196</v>
      </c>
    </row>
    <row r="6" spans="1:12" ht="93" customHeight="1" x14ac:dyDescent="0.2">
      <c r="A6" s="16" t="s">
        <v>1182</v>
      </c>
      <c r="B6" s="7" t="s">
        <v>1183</v>
      </c>
      <c r="C6" s="7" t="s">
        <v>1184</v>
      </c>
      <c r="D6" s="16" t="s">
        <v>1197</v>
      </c>
      <c r="E6" s="7" t="s">
        <v>1186</v>
      </c>
      <c r="F6" s="7" t="s">
        <v>1187</v>
      </c>
      <c r="G6" s="16" t="s">
        <v>1188</v>
      </c>
      <c r="H6" s="16" t="s">
        <v>1189</v>
      </c>
      <c r="I6" s="16" t="s">
        <v>1190</v>
      </c>
      <c r="J6" s="7" t="s">
        <v>1191</v>
      </c>
      <c r="K6" s="16" t="s">
        <v>1198</v>
      </c>
      <c r="L6" s="30" t="s">
        <v>1199</v>
      </c>
    </row>
    <row r="7" spans="1:12" ht="83.45" customHeight="1" x14ac:dyDescent="0.2">
      <c r="A7" s="33" t="s">
        <v>1200</v>
      </c>
      <c r="B7" s="6" t="s">
        <v>1006</v>
      </c>
      <c r="C7" s="6" t="s">
        <v>1201</v>
      </c>
      <c r="D7" s="6" t="s">
        <v>1202</v>
      </c>
      <c r="E7" s="6" t="s">
        <v>1203</v>
      </c>
      <c r="F7" s="33">
        <v>2005</v>
      </c>
      <c r="G7" s="6" t="s">
        <v>1204</v>
      </c>
      <c r="H7" s="6" t="s">
        <v>1189</v>
      </c>
      <c r="I7" s="6" t="s">
        <v>1205</v>
      </c>
      <c r="J7" s="6" t="s">
        <v>1206</v>
      </c>
      <c r="K7" s="6" t="s">
        <v>1207</v>
      </c>
      <c r="L7" s="33" t="s">
        <v>1208</v>
      </c>
    </row>
    <row r="8" spans="1:12" ht="135" customHeight="1" x14ac:dyDescent="0.2">
      <c r="A8" s="33" t="s">
        <v>1200</v>
      </c>
      <c r="B8" s="6" t="s">
        <v>1006</v>
      </c>
      <c r="C8" s="6" t="s">
        <v>1201</v>
      </c>
      <c r="D8" s="6" t="s">
        <v>1202</v>
      </c>
      <c r="E8" s="6" t="s">
        <v>1209</v>
      </c>
      <c r="F8" s="33">
        <v>2005</v>
      </c>
      <c r="G8" s="6" t="s">
        <v>1204</v>
      </c>
      <c r="H8" s="6" t="s">
        <v>1189</v>
      </c>
      <c r="I8" s="6" t="s">
        <v>1205</v>
      </c>
      <c r="J8" s="6" t="s">
        <v>1210</v>
      </c>
      <c r="K8" s="106" t="s">
        <v>1211</v>
      </c>
      <c r="L8" s="33" t="s">
        <v>1208</v>
      </c>
    </row>
    <row r="9" spans="1:12" s="107" customFormat="1" ht="96" customHeight="1" x14ac:dyDescent="0.2">
      <c r="A9" s="33" t="s">
        <v>1212</v>
      </c>
      <c r="B9" s="108" t="s">
        <v>1213</v>
      </c>
      <c r="C9" s="33" t="s">
        <v>1863</v>
      </c>
      <c r="D9" s="33" t="s">
        <v>1215</v>
      </c>
      <c r="E9" s="33" t="s">
        <v>1216</v>
      </c>
      <c r="F9" s="33">
        <v>2004</v>
      </c>
      <c r="G9" s="33" t="s">
        <v>1864</v>
      </c>
      <c r="H9" s="33" t="s">
        <v>1189</v>
      </c>
      <c r="I9" s="33" t="s">
        <v>1217</v>
      </c>
      <c r="J9" s="33" t="s">
        <v>1218</v>
      </c>
      <c r="K9" s="33" t="s">
        <v>1219</v>
      </c>
      <c r="L9" s="33"/>
    </row>
    <row r="10" spans="1:12" s="107" customFormat="1" ht="127.5" x14ac:dyDescent="0.2">
      <c r="A10" s="33" t="s">
        <v>1212</v>
      </c>
      <c r="B10" s="108" t="s">
        <v>1220</v>
      </c>
      <c r="C10" s="33" t="s">
        <v>1214</v>
      </c>
      <c r="D10" s="33" t="s">
        <v>1221</v>
      </c>
      <c r="E10" s="33" t="s">
        <v>1216</v>
      </c>
      <c r="F10" s="33">
        <v>2004</v>
      </c>
      <c r="G10" s="33" t="s">
        <v>1222</v>
      </c>
      <c r="H10" s="33" t="s">
        <v>1189</v>
      </c>
      <c r="I10" s="33" t="s">
        <v>1223</v>
      </c>
      <c r="J10" s="33" t="s">
        <v>1218</v>
      </c>
      <c r="K10" s="33" t="s">
        <v>1224</v>
      </c>
      <c r="L10" s="33"/>
    </row>
    <row r="11" spans="1:12" s="107" customFormat="1" ht="147.6" customHeight="1" x14ac:dyDescent="0.2">
      <c r="A11" s="33" t="s">
        <v>1212</v>
      </c>
      <c r="B11" s="108" t="s">
        <v>1213</v>
      </c>
      <c r="C11" s="33" t="s">
        <v>1214</v>
      </c>
      <c r="D11" s="33" t="s">
        <v>1225</v>
      </c>
      <c r="E11" s="33" t="s">
        <v>1216</v>
      </c>
      <c r="F11" s="33">
        <v>2004</v>
      </c>
      <c r="G11" s="33" t="s">
        <v>1222</v>
      </c>
      <c r="H11" s="33" t="s">
        <v>1189</v>
      </c>
      <c r="I11" s="33" t="s">
        <v>1226</v>
      </c>
      <c r="J11" s="33" t="s">
        <v>1218</v>
      </c>
      <c r="K11" s="33" t="s">
        <v>1227</v>
      </c>
      <c r="L11" s="33"/>
    </row>
    <row r="12" spans="1:12" s="107" customFormat="1" ht="154.9" customHeight="1" x14ac:dyDescent="0.2">
      <c r="A12" s="33" t="s">
        <v>1212</v>
      </c>
      <c r="B12" s="108" t="s">
        <v>1228</v>
      </c>
      <c r="C12" s="33" t="s">
        <v>1214</v>
      </c>
      <c r="D12" s="33" t="s">
        <v>1229</v>
      </c>
      <c r="E12" s="33" t="s">
        <v>1230</v>
      </c>
      <c r="F12" s="33">
        <v>2004</v>
      </c>
      <c r="G12" s="33" t="s">
        <v>1231</v>
      </c>
      <c r="H12" s="33" t="s">
        <v>1189</v>
      </c>
      <c r="I12" s="33" t="s">
        <v>1232</v>
      </c>
      <c r="J12" s="33" t="s">
        <v>1218</v>
      </c>
      <c r="K12" s="33" t="s">
        <v>1233</v>
      </c>
      <c r="L12" s="33"/>
    </row>
    <row r="13" spans="1:12" s="107" customFormat="1" ht="178.5" x14ac:dyDescent="0.2">
      <c r="A13" s="33" t="s">
        <v>1212</v>
      </c>
      <c r="B13" s="108" t="s">
        <v>1006</v>
      </c>
      <c r="C13" s="33" t="s">
        <v>1214</v>
      </c>
      <c r="D13" s="108" t="s">
        <v>1865</v>
      </c>
      <c r="E13" s="108" t="s">
        <v>973</v>
      </c>
      <c r="F13" s="108">
        <v>2004</v>
      </c>
      <c r="G13" s="108" t="s">
        <v>1866</v>
      </c>
      <c r="H13" s="108" t="s">
        <v>1189</v>
      </c>
      <c r="I13" s="108" t="s">
        <v>1234</v>
      </c>
      <c r="J13" s="108" t="s">
        <v>1218</v>
      </c>
      <c r="K13" s="108" t="s">
        <v>1235</v>
      </c>
      <c r="L13" s="33" t="s">
        <v>1236</v>
      </c>
    </row>
    <row r="14" spans="1:12" s="107" customFormat="1" ht="209.45" customHeight="1" x14ac:dyDescent="0.2">
      <c r="A14" s="33" t="s">
        <v>1212</v>
      </c>
      <c r="B14" s="108" t="s">
        <v>1237</v>
      </c>
      <c r="C14" s="33" t="s">
        <v>1214</v>
      </c>
      <c r="D14" s="33" t="s">
        <v>1238</v>
      </c>
      <c r="E14" s="33" t="s">
        <v>862</v>
      </c>
      <c r="F14" s="33">
        <v>2004</v>
      </c>
      <c r="G14" s="33" t="s">
        <v>1222</v>
      </c>
      <c r="H14" s="33" t="s">
        <v>1189</v>
      </c>
      <c r="I14" s="33" t="s">
        <v>1239</v>
      </c>
      <c r="J14" s="33" t="s">
        <v>1218</v>
      </c>
      <c r="K14" s="33" t="s">
        <v>1240</v>
      </c>
      <c r="L14" s="109"/>
    </row>
    <row r="15" spans="1:12" s="107" customFormat="1" ht="63.75" x14ac:dyDescent="0.2">
      <c r="A15" s="33" t="s">
        <v>1212</v>
      </c>
      <c r="B15" s="108" t="s">
        <v>1213</v>
      </c>
      <c r="C15" s="33" t="s">
        <v>1214</v>
      </c>
      <c r="D15" s="33" t="s">
        <v>1241</v>
      </c>
      <c r="E15" s="33" t="s">
        <v>840</v>
      </c>
      <c r="F15" s="33">
        <v>2004</v>
      </c>
      <c r="G15" s="33" t="s">
        <v>1242</v>
      </c>
      <c r="H15" s="33" t="s">
        <v>1189</v>
      </c>
      <c r="I15" s="33" t="s">
        <v>1243</v>
      </c>
      <c r="J15" s="33" t="s">
        <v>1218</v>
      </c>
      <c r="K15" s="33" t="s">
        <v>1244</v>
      </c>
      <c r="L15" s="33"/>
    </row>
    <row r="16" spans="1:12" s="107" customFormat="1" ht="75" customHeight="1" x14ac:dyDescent="0.2">
      <c r="A16" s="33" t="s">
        <v>1212</v>
      </c>
      <c r="B16" s="108" t="s">
        <v>1237</v>
      </c>
      <c r="C16" s="33" t="s">
        <v>1214</v>
      </c>
      <c r="D16" s="33" t="s">
        <v>1245</v>
      </c>
      <c r="E16" s="33" t="s">
        <v>1246</v>
      </c>
      <c r="F16" s="33">
        <v>2004</v>
      </c>
      <c r="G16" s="33" t="s">
        <v>1242</v>
      </c>
      <c r="H16" s="33" t="s">
        <v>1189</v>
      </c>
      <c r="I16" s="33" t="s">
        <v>1247</v>
      </c>
      <c r="J16" s="33" t="s">
        <v>1218</v>
      </c>
      <c r="K16" s="30" t="s">
        <v>1248</v>
      </c>
      <c r="L16" s="33"/>
    </row>
    <row r="17" spans="1:12" s="107" customFormat="1" ht="63.75" x14ac:dyDescent="0.2">
      <c r="A17" s="33" t="s">
        <v>606</v>
      </c>
      <c r="B17" s="108" t="s">
        <v>1213</v>
      </c>
      <c r="C17" s="33" t="s">
        <v>1214</v>
      </c>
      <c r="D17" s="33" t="s">
        <v>1249</v>
      </c>
      <c r="E17" s="33" t="s">
        <v>869</v>
      </c>
      <c r="F17" s="33">
        <v>2012</v>
      </c>
      <c r="G17" s="33" t="s">
        <v>1250</v>
      </c>
      <c r="H17" s="33" t="s">
        <v>1189</v>
      </c>
      <c r="I17" s="33" t="s">
        <v>1251</v>
      </c>
      <c r="J17" s="33" t="s">
        <v>1252</v>
      </c>
      <c r="K17" s="30" t="s">
        <v>1253</v>
      </c>
      <c r="L17" s="33" t="s">
        <v>1254</v>
      </c>
    </row>
    <row r="18" spans="1:12" s="107" customFormat="1" x14ac:dyDescent="0.2">
      <c r="A18" s="11"/>
      <c r="B18" s="11"/>
      <c r="C18" s="11"/>
      <c r="D18" s="11"/>
      <c r="E18" s="11"/>
      <c r="F18" s="37"/>
      <c r="G18" s="11"/>
      <c r="H18" s="11"/>
      <c r="I18" s="11"/>
      <c r="J18" s="11"/>
      <c r="K18" s="11"/>
      <c r="L18" s="11"/>
    </row>
    <row r="19" spans="1:12" s="11" customFormat="1" x14ac:dyDescent="0.2">
      <c r="A19" s="5" t="s">
        <v>570</v>
      </c>
      <c r="B19" s="5"/>
      <c r="C19" s="5"/>
      <c r="D19" s="5"/>
      <c r="E19" s="5"/>
      <c r="F19" s="5"/>
      <c r="G19" s="5"/>
      <c r="H19" s="5"/>
      <c r="I19" s="5"/>
      <c r="J19" s="5"/>
      <c r="K19" s="5"/>
      <c r="L19" s="5"/>
    </row>
  </sheetData>
  <autoFilter ref="A3:L17"/>
  <pageMargins left="0.7" right="0.7" top="0.75" bottom="0.75" header="0.3" footer="0.3"/>
  <pageSetup scale="33" orientation="landscape"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T34"/>
  <sheetViews>
    <sheetView showGridLines="0" zoomScaleNormal="100" workbookViewId="0">
      <pane xSplit="1" ySplit="3" topLeftCell="M6" activePane="bottomRight" state="frozen"/>
      <selection activeCell="B2" sqref="B2"/>
      <selection pane="topRight" activeCell="B2" sqref="B2"/>
      <selection pane="bottomLeft" activeCell="B2" sqref="B2"/>
      <selection pane="bottomRight"/>
    </sheetView>
  </sheetViews>
  <sheetFormatPr defaultColWidth="9.140625" defaultRowHeight="15" x14ac:dyDescent="0.25"/>
  <cols>
    <col min="1" max="1" width="14.28515625" style="138" bestFit="1" customWidth="1"/>
    <col min="2" max="2" width="18.85546875" style="138" customWidth="1"/>
    <col min="3" max="3" width="16" style="138" customWidth="1"/>
    <col min="4" max="4" width="13.7109375" style="138" customWidth="1"/>
    <col min="5" max="5" width="12.7109375" style="138" customWidth="1"/>
    <col min="6" max="6" width="12" style="138" customWidth="1"/>
    <col min="7" max="7" width="37.5703125" style="138" customWidth="1"/>
    <col min="8" max="8" width="22.42578125" style="138" customWidth="1"/>
    <col min="9" max="9" width="21.7109375" style="138" customWidth="1"/>
    <col min="10" max="10" width="10" style="138" customWidth="1"/>
    <col min="11" max="11" width="14.5703125" style="138" customWidth="1"/>
    <col min="12" max="12" width="17.28515625" style="139" customWidth="1"/>
    <col min="13" max="13" width="16.28515625" style="138" bestFit="1" customWidth="1"/>
    <col min="14" max="15" width="14.5703125" style="138" customWidth="1"/>
    <col min="16" max="17" width="14.5703125" style="139" customWidth="1"/>
    <col min="18" max="18" width="18.85546875" style="138" customWidth="1"/>
    <col min="19" max="19" width="50.42578125" style="138" customWidth="1"/>
    <col min="20" max="20" width="29.85546875" customWidth="1"/>
    <col min="21" max="21" width="11.5703125" style="138" bestFit="1" customWidth="1"/>
    <col min="22" max="16384" width="9.140625" style="138"/>
  </cols>
  <sheetData>
    <row r="1" spans="1:20" s="5" customFormat="1" ht="16.5" customHeight="1" x14ac:dyDescent="0.2">
      <c r="A1" s="158"/>
      <c r="B1" s="11"/>
      <c r="C1" s="11"/>
      <c r="D1" s="11"/>
      <c r="E1" s="11"/>
    </row>
    <row r="2" spans="1:20" s="5" customFormat="1" ht="16.5" customHeight="1" x14ac:dyDescent="0.2">
      <c r="A2" s="123"/>
      <c r="B2" s="123"/>
      <c r="C2" s="123"/>
      <c r="D2" s="123"/>
      <c r="E2" s="11"/>
    </row>
    <row r="3" spans="1:20" ht="25.5" x14ac:dyDescent="0.25">
      <c r="A3" s="124" t="s">
        <v>1453</v>
      </c>
      <c r="B3" s="124" t="s">
        <v>1302</v>
      </c>
      <c r="C3" s="124" t="s">
        <v>1452</v>
      </c>
      <c r="D3" s="124" t="s">
        <v>12</v>
      </c>
      <c r="E3" s="124" t="s">
        <v>1303</v>
      </c>
      <c r="F3" s="124" t="s">
        <v>205</v>
      </c>
      <c r="G3" s="124" t="s">
        <v>40</v>
      </c>
      <c r="H3" s="124" t="s">
        <v>1304</v>
      </c>
      <c r="I3" s="124" t="s">
        <v>1305</v>
      </c>
      <c r="J3" s="124" t="s">
        <v>1306</v>
      </c>
      <c r="K3" s="124" t="s">
        <v>1451</v>
      </c>
      <c r="L3" s="126" t="s">
        <v>1450</v>
      </c>
      <c r="M3" s="124" t="s">
        <v>1449</v>
      </c>
      <c r="N3" s="124" t="s">
        <v>1448</v>
      </c>
      <c r="O3" s="124" t="s">
        <v>1447</v>
      </c>
      <c r="P3" s="126" t="s">
        <v>1446</v>
      </c>
      <c r="Q3" s="126" t="s">
        <v>1445</v>
      </c>
      <c r="R3" s="124" t="s">
        <v>17</v>
      </c>
      <c r="S3" s="124" t="s">
        <v>9</v>
      </c>
      <c r="T3" s="138"/>
    </row>
    <row r="4" spans="1:20" ht="51" x14ac:dyDescent="0.25">
      <c r="A4" s="8" t="s">
        <v>1307</v>
      </c>
      <c r="B4" s="127" t="s">
        <v>1308</v>
      </c>
      <c r="C4" s="128">
        <v>74</v>
      </c>
      <c r="D4" s="127" t="s">
        <v>1309</v>
      </c>
      <c r="E4" s="127" t="s">
        <v>1310</v>
      </c>
      <c r="F4" s="129" t="s">
        <v>215</v>
      </c>
      <c r="G4" s="129" t="s">
        <v>1441</v>
      </c>
      <c r="H4" s="22" t="s">
        <v>1311</v>
      </c>
      <c r="I4" s="22" t="s">
        <v>1311</v>
      </c>
      <c r="J4" s="22">
        <v>2005</v>
      </c>
      <c r="K4" s="130">
        <v>141000</v>
      </c>
      <c r="L4" s="137">
        <f>K4*(VLOOKUP(2012,CPI,2,0)/VLOOKUP(J4,CPI,2,0))</f>
        <v>165759.10906298002</v>
      </c>
      <c r="M4" s="131" t="s">
        <v>1311</v>
      </c>
      <c r="N4" s="130"/>
      <c r="O4" s="137" t="s">
        <v>1312</v>
      </c>
      <c r="P4" s="137">
        <f>L4/C4</f>
        <v>2239.987960310541</v>
      </c>
      <c r="Q4" s="132" t="s">
        <v>1312</v>
      </c>
      <c r="R4" s="22" t="s">
        <v>1313</v>
      </c>
      <c r="S4" s="22" t="s">
        <v>1314</v>
      </c>
      <c r="T4" s="138"/>
    </row>
    <row r="5" spans="1:20" ht="51" x14ac:dyDescent="0.25">
      <c r="A5" s="8" t="s">
        <v>1315</v>
      </c>
      <c r="B5" s="127" t="s">
        <v>1308</v>
      </c>
      <c r="C5" s="128">
        <v>74</v>
      </c>
      <c r="D5" s="127" t="s">
        <v>1309</v>
      </c>
      <c r="E5" s="127" t="s">
        <v>1310</v>
      </c>
      <c r="F5" s="129" t="s">
        <v>215</v>
      </c>
      <c r="G5" s="129" t="s">
        <v>1444</v>
      </c>
      <c r="H5" s="22" t="s">
        <v>1311</v>
      </c>
      <c r="I5" s="22" t="s">
        <v>1311</v>
      </c>
      <c r="J5" s="22">
        <v>2005</v>
      </c>
      <c r="K5" s="130" t="s">
        <v>1316</v>
      </c>
      <c r="L5" s="137" t="s">
        <v>1443</v>
      </c>
      <c r="M5" s="131" t="s">
        <v>1311</v>
      </c>
      <c r="N5" s="130"/>
      <c r="O5" s="137" t="s">
        <v>1312</v>
      </c>
      <c r="P5" s="137" t="s">
        <v>1442</v>
      </c>
      <c r="Q5" s="132" t="s">
        <v>1312</v>
      </c>
      <c r="R5" s="22" t="s">
        <v>1313</v>
      </c>
      <c r="S5" s="22" t="s">
        <v>1317</v>
      </c>
      <c r="T5" s="138"/>
    </row>
    <row r="6" spans="1:20" ht="51" x14ac:dyDescent="0.25">
      <c r="A6" s="8" t="s">
        <v>1307</v>
      </c>
      <c r="B6" s="127" t="s">
        <v>1318</v>
      </c>
      <c r="C6" s="128">
        <v>72</v>
      </c>
      <c r="D6" s="127" t="s">
        <v>1309</v>
      </c>
      <c r="E6" s="127" t="s">
        <v>1310</v>
      </c>
      <c r="F6" s="129" t="s">
        <v>215</v>
      </c>
      <c r="G6" s="129" t="s">
        <v>1441</v>
      </c>
      <c r="H6" s="22" t="s">
        <v>1311</v>
      </c>
      <c r="I6" s="22" t="s">
        <v>1311</v>
      </c>
      <c r="J6" s="22">
        <v>2005</v>
      </c>
      <c r="K6" s="130">
        <v>50000</v>
      </c>
      <c r="L6" s="137">
        <f>K6*(VLOOKUP(2012,CPI,2,0)/VLOOKUP(J6,CPI,2,0))</f>
        <v>58779.825908858162</v>
      </c>
      <c r="M6" s="131" t="s">
        <v>1311</v>
      </c>
      <c r="N6" s="130"/>
      <c r="O6" s="137" t="s">
        <v>1312</v>
      </c>
      <c r="P6" s="137">
        <f>L6/C6</f>
        <v>816.38647095636338</v>
      </c>
      <c r="Q6" s="132" t="s">
        <v>1312</v>
      </c>
      <c r="R6" s="22" t="s">
        <v>1313</v>
      </c>
      <c r="S6" s="22" t="s">
        <v>1314</v>
      </c>
      <c r="T6" s="138"/>
    </row>
    <row r="7" spans="1:20" ht="51" x14ac:dyDescent="0.25">
      <c r="A7" s="8" t="s">
        <v>1315</v>
      </c>
      <c r="B7" s="127" t="s">
        <v>1318</v>
      </c>
      <c r="C7" s="128">
        <v>72</v>
      </c>
      <c r="D7" s="127" t="s">
        <v>1309</v>
      </c>
      <c r="E7" s="127" t="s">
        <v>1310</v>
      </c>
      <c r="F7" s="129" t="s">
        <v>215</v>
      </c>
      <c r="G7" s="129" t="s">
        <v>1440</v>
      </c>
      <c r="H7" s="22" t="s">
        <v>1311</v>
      </c>
      <c r="I7" s="22" t="s">
        <v>1311</v>
      </c>
      <c r="J7" s="22">
        <v>2005</v>
      </c>
      <c r="K7" s="130" t="s">
        <v>1319</v>
      </c>
      <c r="L7" s="137" t="s">
        <v>1439</v>
      </c>
      <c r="M7" s="131" t="s">
        <v>1311</v>
      </c>
      <c r="N7" s="130"/>
      <c r="O7" s="137" t="s">
        <v>1312</v>
      </c>
      <c r="P7" s="137" t="s">
        <v>1438</v>
      </c>
      <c r="Q7" s="132" t="s">
        <v>1312</v>
      </c>
      <c r="R7" s="22" t="s">
        <v>1313</v>
      </c>
      <c r="S7" s="22" t="s">
        <v>1317</v>
      </c>
      <c r="T7" s="138"/>
    </row>
    <row r="8" spans="1:20" ht="51" x14ac:dyDescent="0.25">
      <c r="A8" s="8" t="s">
        <v>1307</v>
      </c>
      <c r="B8" s="133" t="s">
        <v>1320</v>
      </c>
      <c r="C8" s="134">
        <f>194+215</f>
        <v>409</v>
      </c>
      <c r="D8" s="127" t="s">
        <v>1309</v>
      </c>
      <c r="E8" s="127" t="s">
        <v>1310</v>
      </c>
      <c r="F8" s="129" t="s">
        <v>215</v>
      </c>
      <c r="G8" s="129" t="s">
        <v>1321</v>
      </c>
      <c r="H8" s="22" t="s">
        <v>1311</v>
      </c>
      <c r="I8" s="22" t="s">
        <v>1322</v>
      </c>
      <c r="J8" s="8">
        <v>2012</v>
      </c>
      <c r="K8" s="8" t="s">
        <v>1323</v>
      </c>
      <c r="L8" s="8" t="s">
        <v>1323</v>
      </c>
      <c r="M8" s="131" t="s">
        <v>1437</v>
      </c>
      <c r="N8" s="8"/>
      <c r="O8" s="137" t="s">
        <v>1312</v>
      </c>
      <c r="P8" s="137" t="s">
        <v>1436</v>
      </c>
      <c r="Q8" s="132" t="s">
        <v>1312</v>
      </c>
      <c r="R8" s="8" t="s">
        <v>1324</v>
      </c>
      <c r="S8" s="8" t="s">
        <v>1435</v>
      </c>
      <c r="T8" s="138"/>
    </row>
    <row r="9" spans="1:20" ht="53.25" customHeight="1" x14ac:dyDescent="0.25">
      <c r="A9" s="8" t="s">
        <v>1325</v>
      </c>
      <c r="B9" s="133" t="s">
        <v>1326</v>
      </c>
      <c r="C9" s="134">
        <v>617</v>
      </c>
      <c r="D9" s="133" t="s">
        <v>1327</v>
      </c>
      <c r="E9" s="127" t="s">
        <v>1310</v>
      </c>
      <c r="F9" s="129" t="s">
        <v>245</v>
      </c>
      <c r="G9" s="135" t="s">
        <v>1328</v>
      </c>
      <c r="H9" s="22" t="s">
        <v>1311</v>
      </c>
      <c r="I9" s="22" t="s">
        <v>1311</v>
      </c>
      <c r="J9" s="8">
        <v>1999</v>
      </c>
      <c r="K9" s="136">
        <v>125000</v>
      </c>
      <c r="L9" s="137">
        <f>K9*(VLOOKUP(2012,CPI,2,0)/VLOOKUP(J9,CPI,2,0))</f>
        <v>172264.40576230493</v>
      </c>
      <c r="M9" s="131" t="s">
        <v>1311</v>
      </c>
      <c r="N9" s="136"/>
      <c r="O9" s="137" t="s">
        <v>1312</v>
      </c>
      <c r="P9" s="137">
        <f>L9/C9</f>
        <v>279.19676784814413</v>
      </c>
      <c r="Q9" s="132" t="s">
        <v>1312</v>
      </c>
      <c r="R9" s="8" t="s">
        <v>1329</v>
      </c>
      <c r="S9" s="8"/>
      <c r="T9" s="138"/>
    </row>
    <row r="10" spans="1:20" ht="112.5" customHeight="1" x14ac:dyDescent="0.25">
      <c r="A10" s="8" t="s">
        <v>1330</v>
      </c>
      <c r="B10" s="133" t="s">
        <v>1326</v>
      </c>
      <c r="C10" s="134">
        <v>617</v>
      </c>
      <c r="D10" s="133" t="s">
        <v>1327</v>
      </c>
      <c r="E10" s="127" t="s">
        <v>1310</v>
      </c>
      <c r="F10" s="129" t="s">
        <v>245</v>
      </c>
      <c r="G10" s="129" t="s">
        <v>1331</v>
      </c>
      <c r="H10" s="22" t="s">
        <v>1311</v>
      </c>
      <c r="I10" s="22" t="s">
        <v>1311</v>
      </c>
      <c r="J10" s="8">
        <v>2003</v>
      </c>
      <c r="K10" s="136" t="s">
        <v>1332</v>
      </c>
      <c r="L10" s="131" t="s">
        <v>1434</v>
      </c>
      <c r="M10" s="131" t="s">
        <v>1311</v>
      </c>
      <c r="N10" s="136">
        <v>40000</v>
      </c>
      <c r="O10" s="137">
        <f>N10*(VLOOKUP(2012,CPI,2,0)/VLOOKUP(J10,CPI,2,0))</f>
        <v>49911.739130434777</v>
      </c>
      <c r="P10" s="137" t="s">
        <v>1433</v>
      </c>
      <c r="Q10" s="132">
        <f>O10/C10</f>
        <v>80.894228736523132</v>
      </c>
      <c r="R10" s="8" t="s">
        <v>1329</v>
      </c>
      <c r="S10" s="8" t="s">
        <v>1333</v>
      </c>
      <c r="T10" s="138"/>
    </row>
    <row r="11" spans="1:20" ht="78.75" customHeight="1" x14ac:dyDescent="0.25">
      <c r="A11" s="8" t="s">
        <v>1307</v>
      </c>
      <c r="B11" s="133" t="s">
        <v>1334</v>
      </c>
      <c r="C11" s="134">
        <v>25.5</v>
      </c>
      <c r="D11" s="133" t="s">
        <v>1335</v>
      </c>
      <c r="E11" s="127" t="s">
        <v>1310</v>
      </c>
      <c r="F11" s="129" t="s">
        <v>264</v>
      </c>
      <c r="G11" s="129" t="s">
        <v>1336</v>
      </c>
      <c r="H11" s="22" t="s">
        <v>1337</v>
      </c>
      <c r="I11" s="22" t="s">
        <v>1458</v>
      </c>
      <c r="J11" s="8">
        <v>2011</v>
      </c>
      <c r="K11" s="136">
        <v>194000</v>
      </c>
      <c r="L11" s="137">
        <f t="shared" ref="L11:L20" si="0">K11*(VLOOKUP(2012,CPI,2,0)/VLOOKUP(J11,CPI,2,0))</f>
        <v>198014.73288313719</v>
      </c>
      <c r="M11" s="131" t="s">
        <v>1459</v>
      </c>
      <c r="N11" s="136"/>
      <c r="O11" s="137" t="s">
        <v>1312</v>
      </c>
      <c r="P11" s="137">
        <f>L11/C11</f>
        <v>7765.283642475968</v>
      </c>
      <c r="Q11" s="132" t="s">
        <v>1312</v>
      </c>
      <c r="R11" s="8" t="s">
        <v>1338</v>
      </c>
      <c r="S11" s="8" t="s">
        <v>1339</v>
      </c>
      <c r="T11" s="138"/>
    </row>
    <row r="12" spans="1:20" ht="72" customHeight="1" x14ac:dyDescent="0.25">
      <c r="A12" s="8" t="s">
        <v>1340</v>
      </c>
      <c r="B12" s="133" t="s">
        <v>1334</v>
      </c>
      <c r="C12" s="134">
        <v>25.5</v>
      </c>
      <c r="D12" s="133" t="s">
        <v>1335</v>
      </c>
      <c r="E12" s="127" t="s">
        <v>1310</v>
      </c>
      <c r="F12" s="129" t="s">
        <v>264</v>
      </c>
      <c r="G12" s="129" t="s">
        <v>1341</v>
      </c>
      <c r="H12" s="22" t="s">
        <v>1337</v>
      </c>
      <c r="I12" s="22" t="s">
        <v>1311</v>
      </c>
      <c r="J12" s="8">
        <v>2011</v>
      </c>
      <c r="K12" s="136">
        <v>36000</v>
      </c>
      <c r="L12" s="130">
        <f t="shared" si="0"/>
        <v>36745.001978314118</v>
      </c>
      <c r="M12" s="131" t="s">
        <v>1342</v>
      </c>
      <c r="N12" s="136"/>
      <c r="O12" s="137" t="s">
        <v>1312</v>
      </c>
      <c r="P12" s="137">
        <f>L12/C12</f>
        <v>1440.9804697378086</v>
      </c>
      <c r="Q12" s="132" t="s">
        <v>1312</v>
      </c>
      <c r="R12" s="8" t="s">
        <v>1338</v>
      </c>
      <c r="S12" s="8" t="s">
        <v>1343</v>
      </c>
      <c r="T12" s="138"/>
    </row>
    <row r="13" spans="1:20" ht="78.75" x14ac:dyDescent="0.25">
      <c r="A13" s="8" t="s">
        <v>1307</v>
      </c>
      <c r="B13" s="133" t="s">
        <v>1344</v>
      </c>
      <c r="C13" s="134" t="s">
        <v>1311</v>
      </c>
      <c r="D13" s="133" t="s">
        <v>1335</v>
      </c>
      <c r="E13" s="133" t="s">
        <v>1310</v>
      </c>
      <c r="F13" s="129" t="s">
        <v>211</v>
      </c>
      <c r="G13" s="129" t="s">
        <v>1345</v>
      </c>
      <c r="H13" s="22" t="s">
        <v>1346</v>
      </c>
      <c r="I13" s="22" t="s">
        <v>1347</v>
      </c>
      <c r="J13" s="8">
        <v>2013</v>
      </c>
      <c r="K13" s="136">
        <v>2200000</v>
      </c>
      <c r="L13" s="130">
        <f t="shared" si="0"/>
        <v>2175880.8300199453</v>
      </c>
      <c r="M13" s="131" t="s">
        <v>1460</v>
      </c>
      <c r="N13" s="136"/>
      <c r="O13" s="137" t="s">
        <v>1312</v>
      </c>
      <c r="P13" s="137" t="s">
        <v>1312</v>
      </c>
      <c r="Q13" s="132" t="s">
        <v>1312</v>
      </c>
      <c r="R13" s="8" t="s">
        <v>1348</v>
      </c>
      <c r="S13" s="8"/>
      <c r="T13" s="138"/>
    </row>
    <row r="14" spans="1:20" ht="84" customHeight="1" x14ac:dyDescent="0.25">
      <c r="A14" s="8" t="s">
        <v>1307</v>
      </c>
      <c r="B14" s="133" t="s">
        <v>1349</v>
      </c>
      <c r="C14" s="134">
        <v>19</v>
      </c>
      <c r="D14" s="133" t="s">
        <v>1335</v>
      </c>
      <c r="E14" s="133" t="s">
        <v>1310</v>
      </c>
      <c r="F14" s="129" t="s">
        <v>215</v>
      </c>
      <c r="G14" s="129" t="s">
        <v>1350</v>
      </c>
      <c r="H14" s="22" t="s">
        <v>1351</v>
      </c>
      <c r="I14" s="22" t="s">
        <v>1352</v>
      </c>
      <c r="J14" s="8">
        <v>2013</v>
      </c>
      <c r="K14" s="136">
        <v>148000</v>
      </c>
      <c r="L14" s="130">
        <f t="shared" si="0"/>
        <v>146377.43765588722</v>
      </c>
      <c r="M14" s="131" t="s">
        <v>1353</v>
      </c>
      <c r="N14" s="136">
        <v>0</v>
      </c>
      <c r="O14" s="137">
        <f t="shared" ref="O14:O20" si="1">N14*(VLOOKUP(2012,CPI,2,0)/VLOOKUP(J14,CPI,2,0))</f>
        <v>0</v>
      </c>
      <c r="P14" s="137">
        <f t="shared" ref="P14:P20" si="2">L14/C14</f>
        <v>7704.0756660993275</v>
      </c>
      <c r="Q14" s="132">
        <f t="shared" ref="Q14:Q20" si="3">O14/C14</f>
        <v>0</v>
      </c>
      <c r="R14" s="8" t="s">
        <v>1354</v>
      </c>
      <c r="S14" s="8" t="s">
        <v>1849</v>
      </c>
      <c r="T14" s="138"/>
    </row>
    <row r="15" spans="1:20" ht="89.25" x14ac:dyDescent="0.25">
      <c r="A15" s="8" t="s">
        <v>1355</v>
      </c>
      <c r="B15" s="133" t="s">
        <v>1349</v>
      </c>
      <c r="C15" s="134">
        <v>20</v>
      </c>
      <c r="D15" s="133" t="s">
        <v>1335</v>
      </c>
      <c r="E15" s="133" t="s">
        <v>1310</v>
      </c>
      <c r="F15" s="129" t="s">
        <v>215</v>
      </c>
      <c r="G15" s="129" t="s">
        <v>1356</v>
      </c>
      <c r="H15" s="22" t="s">
        <v>1351</v>
      </c>
      <c r="I15" s="22" t="s">
        <v>1311</v>
      </c>
      <c r="J15" s="8">
        <v>2013</v>
      </c>
      <c r="K15" s="130">
        <f>400000*1.45+10000</f>
        <v>590000</v>
      </c>
      <c r="L15" s="130">
        <f t="shared" si="0"/>
        <v>583531.67714171251</v>
      </c>
      <c r="M15" s="131" t="s">
        <v>1357</v>
      </c>
      <c r="N15" s="130">
        <v>40000</v>
      </c>
      <c r="O15" s="137">
        <f t="shared" si="1"/>
        <v>39561.469636726273</v>
      </c>
      <c r="P15" s="137">
        <f t="shared" si="2"/>
        <v>29176.583857085625</v>
      </c>
      <c r="Q15" s="132">
        <f t="shared" si="3"/>
        <v>1978.0734818363137</v>
      </c>
      <c r="R15" s="8" t="s">
        <v>1354</v>
      </c>
      <c r="S15" s="8" t="s">
        <v>1852</v>
      </c>
      <c r="T15" s="138"/>
    </row>
    <row r="16" spans="1:20" ht="114" customHeight="1" x14ac:dyDescent="0.25">
      <c r="A16" s="8" t="s">
        <v>1358</v>
      </c>
      <c r="B16" s="133" t="s">
        <v>1349</v>
      </c>
      <c r="C16" s="134">
        <v>20</v>
      </c>
      <c r="D16" s="133" t="s">
        <v>1335</v>
      </c>
      <c r="E16" s="133" t="s">
        <v>1310</v>
      </c>
      <c r="F16" s="129" t="s">
        <v>215</v>
      </c>
      <c r="G16" s="129" t="s">
        <v>1359</v>
      </c>
      <c r="H16" s="22" t="s">
        <v>1351</v>
      </c>
      <c r="I16" s="22" t="s">
        <v>1311</v>
      </c>
      <c r="J16" s="8">
        <v>2013</v>
      </c>
      <c r="K16" s="130">
        <f>223600+55900+3000</f>
        <v>282500</v>
      </c>
      <c r="L16" s="130">
        <f t="shared" si="0"/>
        <v>279402.87930937932</v>
      </c>
      <c r="M16" s="131" t="s">
        <v>1389</v>
      </c>
      <c r="N16" s="130">
        <v>0</v>
      </c>
      <c r="O16" s="137">
        <f t="shared" si="1"/>
        <v>0</v>
      </c>
      <c r="P16" s="137">
        <f t="shared" si="2"/>
        <v>13970.143965468966</v>
      </c>
      <c r="Q16" s="132">
        <f t="shared" si="3"/>
        <v>0</v>
      </c>
      <c r="R16" s="8" t="s">
        <v>1354</v>
      </c>
      <c r="S16" s="8" t="s">
        <v>1853</v>
      </c>
      <c r="T16" s="138"/>
    </row>
    <row r="17" spans="1:20" ht="65.25" customHeight="1" x14ac:dyDescent="0.25">
      <c r="A17" s="8" t="s">
        <v>1360</v>
      </c>
      <c r="B17" s="133" t="s">
        <v>1349</v>
      </c>
      <c r="C17" s="134">
        <v>20</v>
      </c>
      <c r="D17" s="133" t="s">
        <v>1335</v>
      </c>
      <c r="E17" s="133" t="s">
        <v>1310</v>
      </c>
      <c r="F17" s="129" t="s">
        <v>215</v>
      </c>
      <c r="G17" s="129" t="s">
        <v>1361</v>
      </c>
      <c r="H17" s="22" t="s">
        <v>1351</v>
      </c>
      <c r="I17" s="22" t="s">
        <v>1311</v>
      </c>
      <c r="J17" s="8">
        <v>2013</v>
      </c>
      <c r="K17" s="136">
        <v>11180</v>
      </c>
      <c r="L17" s="130">
        <f t="shared" si="0"/>
        <v>11057.430763464994</v>
      </c>
      <c r="M17" s="131" t="s">
        <v>1342</v>
      </c>
      <c r="N17" s="136">
        <v>0</v>
      </c>
      <c r="O17" s="137">
        <f t="shared" si="1"/>
        <v>0</v>
      </c>
      <c r="P17" s="137">
        <f t="shared" si="2"/>
        <v>552.87153817324975</v>
      </c>
      <c r="Q17" s="132">
        <f t="shared" si="3"/>
        <v>0</v>
      </c>
      <c r="R17" s="8" t="s">
        <v>1354</v>
      </c>
      <c r="S17" s="8" t="s">
        <v>1854</v>
      </c>
      <c r="T17" s="138"/>
    </row>
    <row r="18" spans="1:20" ht="63.75" x14ac:dyDescent="0.25">
      <c r="A18" s="8" t="s">
        <v>1362</v>
      </c>
      <c r="B18" s="133" t="s">
        <v>1349</v>
      </c>
      <c r="C18" s="134">
        <v>20</v>
      </c>
      <c r="D18" s="133" t="s">
        <v>1335</v>
      </c>
      <c r="E18" s="133" t="s">
        <v>1310</v>
      </c>
      <c r="F18" s="129" t="s">
        <v>215</v>
      </c>
      <c r="G18" s="129" t="s">
        <v>1363</v>
      </c>
      <c r="H18" s="22" t="s">
        <v>1351</v>
      </c>
      <c r="I18" s="22" t="s">
        <v>1311</v>
      </c>
      <c r="J18" s="8">
        <v>2013</v>
      </c>
      <c r="K18" s="130">
        <f>160000+32000+40000+3000</f>
        <v>235000</v>
      </c>
      <c r="L18" s="130">
        <f t="shared" si="0"/>
        <v>232423.63411576685</v>
      </c>
      <c r="M18" s="131" t="s">
        <v>1357</v>
      </c>
      <c r="N18" s="130">
        <v>35000</v>
      </c>
      <c r="O18" s="137">
        <f t="shared" si="1"/>
        <v>34616.285932135492</v>
      </c>
      <c r="P18" s="137">
        <f t="shared" si="2"/>
        <v>11621.181705788342</v>
      </c>
      <c r="Q18" s="132">
        <f t="shared" si="3"/>
        <v>1730.8142966067746</v>
      </c>
      <c r="R18" s="8" t="s">
        <v>1354</v>
      </c>
      <c r="S18" s="8" t="s">
        <v>1850</v>
      </c>
      <c r="T18" s="138"/>
    </row>
    <row r="19" spans="1:20" ht="76.5" x14ac:dyDescent="0.25">
      <c r="A19" s="8" t="s">
        <v>1364</v>
      </c>
      <c r="B19" s="133" t="s">
        <v>1349</v>
      </c>
      <c r="C19" s="134">
        <v>20</v>
      </c>
      <c r="D19" s="133" t="s">
        <v>1335</v>
      </c>
      <c r="E19" s="133" t="s">
        <v>1310</v>
      </c>
      <c r="F19" s="129" t="s">
        <v>215</v>
      </c>
      <c r="G19" s="129" t="s">
        <v>1365</v>
      </c>
      <c r="H19" s="22" t="s">
        <v>1351</v>
      </c>
      <c r="I19" s="22" t="s">
        <v>1311</v>
      </c>
      <c r="J19" s="8">
        <v>2013</v>
      </c>
      <c r="K19" s="130">
        <f>102000+35700+3000</f>
        <v>140700</v>
      </c>
      <c r="L19" s="130">
        <f t="shared" si="0"/>
        <v>139157.46944718467</v>
      </c>
      <c r="M19" s="131" t="s">
        <v>1357</v>
      </c>
      <c r="N19" s="130">
        <v>5000</v>
      </c>
      <c r="O19" s="137">
        <f t="shared" si="1"/>
        <v>4945.1837045907841</v>
      </c>
      <c r="P19" s="137">
        <f t="shared" si="2"/>
        <v>6957.8734723592333</v>
      </c>
      <c r="Q19" s="132">
        <f t="shared" si="3"/>
        <v>247.25918522953921</v>
      </c>
      <c r="R19" s="8" t="s">
        <v>1354</v>
      </c>
      <c r="S19" s="8" t="s">
        <v>1851</v>
      </c>
      <c r="T19" s="138"/>
    </row>
    <row r="20" spans="1:20" ht="76.5" x14ac:dyDescent="0.25">
      <c r="A20" s="8" t="s">
        <v>1315</v>
      </c>
      <c r="B20" s="133" t="s">
        <v>1349</v>
      </c>
      <c r="C20" s="134">
        <v>20</v>
      </c>
      <c r="D20" s="133" t="s">
        <v>1335</v>
      </c>
      <c r="E20" s="133" t="s">
        <v>1310</v>
      </c>
      <c r="F20" s="129" t="s">
        <v>215</v>
      </c>
      <c r="G20" s="129" t="s">
        <v>1366</v>
      </c>
      <c r="H20" s="22" t="s">
        <v>1351</v>
      </c>
      <c r="I20" s="22" t="s">
        <v>1311</v>
      </c>
      <c r="J20" s="8">
        <v>2013</v>
      </c>
      <c r="K20" s="136">
        <v>2570000</v>
      </c>
      <c r="L20" s="130">
        <f t="shared" si="0"/>
        <v>2541824.4241596633</v>
      </c>
      <c r="M20" s="131" t="s">
        <v>1311</v>
      </c>
      <c r="N20" s="136">
        <v>0</v>
      </c>
      <c r="O20" s="137">
        <f t="shared" si="1"/>
        <v>0</v>
      </c>
      <c r="P20" s="137">
        <f t="shared" si="2"/>
        <v>127091.22120798317</v>
      </c>
      <c r="Q20" s="132">
        <f t="shared" si="3"/>
        <v>0</v>
      </c>
      <c r="R20" s="8" t="s">
        <v>1354</v>
      </c>
      <c r="S20" s="8" t="s">
        <v>1855</v>
      </c>
      <c r="T20" s="138"/>
    </row>
    <row r="21" spans="1:20" ht="38.25" x14ac:dyDescent="0.25">
      <c r="A21" s="8" t="s">
        <v>1330</v>
      </c>
      <c r="B21" s="133" t="s">
        <v>1367</v>
      </c>
      <c r="C21" s="134">
        <v>1013</v>
      </c>
      <c r="D21" s="133" t="s">
        <v>1335</v>
      </c>
      <c r="E21" s="133" t="s">
        <v>1310</v>
      </c>
      <c r="F21" s="129" t="s">
        <v>264</v>
      </c>
      <c r="G21" s="129" t="s">
        <v>1368</v>
      </c>
      <c r="H21" s="22" t="s">
        <v>1311</v>
      </c>
      <c r="I21" s="22" t="s">
        <v>1311</v>
      </c>
      <c r="J21" s="8">
        <v>2012</v>
      </c>
      <c r="K21" s="136" t="s">
        <v>1461</v>
      </c>
      <c r="L21" s="140" t="s">
        <v>1312</v>
      </c>
      <c r="M21" s="131" t="s">
        <v>1311</v>
      </c>
      <c r="N21" s="136" t="s">
        <v>1462</v>
      </c>
      <c r="O21" s="136" t="s">
        <v>1462</v>
      </c>
      <c r="P21" s="141" t="s">
        <v>1312</v>
      </c>
      <c r="Q21" s="132" t="s">
        <v>1463</v>
      </c>
      <c r="R21" s="8" t="s">
        <v>1369</v>
      </c>
      <c r="S21" s="8" t="s">
        <v>1370</v>
      </c>
      <c r="T21" s="138"/>
    </row>
    <row r="22" spans="1:20" ht="89.25" x14ac:dyDescent="0.25">
      <c r="A22" s="8" t="s">
        <v>1315</v>
      </c>
      <c r="B22" s="133" t="s">
        <v>1371</v>
      </c>
      <c r="C22" s="128">
        <f>10.18+8.83</f>
        <v>19.009999999999998</v>
      </c>
      <c r="D22" s="133" t="s">
        <v>1372</v>
      </c>
      <c r="E22" s="133" t="s">
        <v>1310</v>
      </c>
      <c r="F22" s="129" t="s">
        <v>245</v>
      </c>
      <c r="G22" s="129" t="s">
        <v>1373</v>
      </c>
      <c r="H22" s="22" t="s">
        <v>1374</v>
      </c>
      <c r="I22" s="22" t="s">
        <v>1465</v>
      </c>
      <c r="J22" s="8">
        <v>2008</v>
      </c>
      <c r="K22" s="136">
        <v>1450000</v>
      </c>
      <c r="L22" s="130">
        <f>K22*(VLOOKUP(2012,CPI,2,0)/VLOOKUP(J22,CPI,2,0))</f>
        <v>1546245.5237502498</v>
      </c>
      <c r="M22" s="131" t="s">
        <v>1375</v>
      </c>
      <c r="N22" s="136">
        <v>0</v>
      </c>
      <c r="O22" s="137">
        <f t="shared" ref="O22:O28" si="4">N22*(VLOOKUP(2012,CPI,2,0)/VLOOKUP(J22,CPI,2,0))</f>
        <v>0</v>
      </c>
      <c r="P22" s="137">
        <f>L22/C22</f>
        <v>81338.533600749608</v>
      </c>
      <c r="Q22" s="137">
        <f>O22/C22</f>
        <v>0</v>
      </c>
      <c r="R22" s="8" t="s">
        <v>1376</v>
      </c>
      <c r="S22" s="8" t="s">
        <v>1464</v>
      </c>
      <c r="T22" s="138"/>
    </row>
    <row r="23" spans="1:20" ht="102" x14ac:dyDescent="0.25">
      <c r="A23" s="8" t="s">
        <v>1377</v>
      </c>
      <c r="B23" s="133" t="s">
        <v>1371</v>
      </c>
      <c r="C23" s="134">
        <f>37.7+17.8</f>
        <v>55.5</v>
      </c>
      <c r="D23" s="133" t="s">
        <v>1372</v>
      </c>
      <c r="E23" s="133" t="s">
        <v>1310</v>
      </c>
      <c r="F23" s="129" t="s">
        <v>245</v>
      </c>
      <c r="G23" s="129" t="s">
        <v>1378</v>
      </c>
      <c r="H23" s="22" t="s">
        <v>1374</v>
      </c>
      <c r="I23" s="22" t="s">
        <v>1379</v>
      </c>
      <c r="J23" s="8">
        <v>2008</v>
      </c>
      <c r="K23" s="137">
        <f>1800*C23+10000</f>
        <v>109900</v>
      </c>
      <c r="L23" s="130">
        <f>K23*(VLOOKUP(2012,CPI,2,0)/VLOOKUP(J23,CPI,2,0))</f>
        <v>117194.74693803617</v>
      </c>
      <c r="M23" s="131" t="s">
        <v>1380</v>
      </c>
      <c r="N23" s="137">
        <f>135*C23</f>
        <v>7492.5</v>
      </c>
      <c r="O23" s="137">
        <f t="shared" si="4"/>
        <v>7989.8238528956872</v>
      </c>
      <c r="P23" s="137">
        <f>L23/C23</f>
        <v>2111.6170619465979</v>
      </c>
      <c r="Q23" s="137">
        <f>O23/C23</f>
        <v>143.96079014226464</v>
      </c>
      <c r="R23" s="8" t="s">
        <v>1376</v>
      </c>
      <c r="S23" s="8" t="s">
        <v>1856</v>
      </c>
      <c r="T23" s="138"/>
    </row>
    <row r="24" spans="1:20" ht="51" x14ac:dyDescent="0.25">
      <c r="A24" s="8" t="s">
        <v>1466</v>
      </c>
      <c r="B24" s="133" t="s">
        <v>1371</v>
      </c>
      <c r="C24" s="134">
        <f>37.7+17.8</f>
        <v>55.5</v>
      </c>
      <c r="D24" s="133" t="s">
        <v>1372</v>
      </c>
      <c r="E24" s="133" t="s">
        <v>1310</v>
      </c>
      <c r="F24" s="129" t="s">
        <v>245</v>
      </c>
      <c r="G24" s="129" t="s">
        <v>1381</v>
      </c>
      <c r="H24" s="22" t="s">
        <v>1374</v>
      </c>
      <c r="I24" s="22" t="s">
        <v>1311</v>
      </c>
      <c r="J24" s="8">
        <v>2008</v>
      </c>
      <c r="K24" s="130">
        <v>89000</v>
      </c>
      <c r="L24" s="130">
        <f>K24*(VLOOKUP(2012,CPI,2,0)/VLOOKUP(J24,CPI,2,0))</f>
        <v>94907.483871567048</v>
      </c>
      <c r="M24" s="131" t="s">
        <v>1380</v>
      </c>
      <c r="N24" s="130">
        <v>4933</v>
      </c>
      <c r="O24" s="137">
        <f t="shared" si="4"/>
        <v>5260.4339094206771</v>
      </c>
      <c r="P24" s="137">
        <f>L24/C24</f>
        <v>1710.0447544426495</v>
      </c>
      <c r="Q24" s="137">
        <f>O24/C24</f>
        <v>94.782592962534721</v>
      </c>
      <c r="R24" s="8" t="s">
        <v>1376</v>
      </c>
      <c r="S24" s="8" t="s">
        <v>1467</v>
      </c>
      <c r="T24" s="138"/>
    </row>
    <row r="25" spans="1:20" ht="51" x14ac:dyDescent="0.25">
      <c r="A25" s="8" t="s">
        <v>1307</v>
      </c>
      <c r="B25" s="133" t="s">
        <v>1371</v>
      </c>
      <c r="C25" s="134">
        <v>28.25</v>
      </c>
      <c r="D25" s="133" t="s">
        <v>1372</v>
      </c>
      <c r="E25" s="133" t="s">
        <v>1310</v>
      </c>
      <c r="F25" s="129" t="s">
        <v>245</v>
      </c>
      <c r="G25" s="129" t="s">
        <v>1382</v>
      </c>
      <c r="H25" s="22" t="s">
        <v>1374</v>
      </c>
      <c r="I25" s="22" t="s">
        <v>1383</v>
      </c>
      <c r="J25" s="8">
        <v>2008</v>
      </c>
      <c r="K25" s="130" t="s">
        <v>1384</v>
      </c>
      <c r="L25" s="131" t="s">
        <v>1432</v>
      </c>
      <c r="M25" s="131" t="s">
        <v>1380</v>
      </c>
      <c r="N25" s="130">
        <v>0</v>
      </c>
      <c r="O25" s="137">
        <f t="shared" si="4"/>
        <v>0</v>
      </c>
      <c r="P25" s="137" t="s">
        <v>1468</v>
      </c>
      <c r="Q25" s="137">
        <f>O25/C25</f>
        <v>0</v>
      </c>
      <c r="R25" s="8" t="s">
        <v>1376</v>
      </c>
      <c r="S25" s="8" t="s">
        <v>1385</v>
      </c>
      <c r="T25" s="138"/>
    </row>
    <row r="26" spans="1:20" ht="51" x14ac:dyDescent="0.25">
      <c r="A26" s="8" t="s">
        <v>1307</v>
      </c>
      <c r="B26" s="133" t="s">
        <v>1386</v>
      </c>
      <c r="C26" s="134">
        <f>105*2.47</f>
        <v>259.35000000000002</v>
      </c>
      <c r="D26" s="133" t="s">
        <v>1372</v>
      </c>
      <c r="E26" s="133" t="s">
        <v>1310</v>
      </c>
      <c r="F26" s="129" t="s">
        <v>264</v>
      </c>
      <c r="G26" s="129" t="s">
        <v>1387</v>
      </c>
      <c r="H26" s="22" t="s">
        <v>1469</v>
      </c>
      <c r="I26" s="22" t="s">
        <v>1388</v>
      </c>
      <c r="J26" s="8">
        <v>2003</v>
      </c>
      <c r="K26" s="130">
        <v>1509156</v>
      </c>
      <c r="L26" s="130">
        <f>K26*(VLOOKUP(2012,CPI,2,0)/VLOOKUP(J26,CPI,2,0))</f>
        <v>1883115.0144782609</v>
      </c>
      <c r="M26" s="131" t="s">
        <v>1389</v>
      </c>
      <c r="N26" s="130">
        <v>0</v>
      </c>
      <c r="O26" s="137">
        <f t="shared" si="4"/>
        <v>0</v>
      </c>
      <c r="P26" s="137">
        <f>L26/C26</f>
        <v>7260.9023114642787</v>
      </c>
      <c r="Q26" s="137">
        <v>0</v>
      </c>
      <c r="R26" s="8" t="s">
        <v>1390</v>
      </c>
      <c r="S26" s="8" t="s">
        <v>1470</v>
      </c>
      <c r="T26" s="138"/>
    </row>
    <row r="27" spans="1:20" ht="63.75" x14ac:dyDescent="0.25">
      <c r="A27" s="8" t="s">
        <v>1307</v>
      </c>
      <c r="B27" s="133" t="s">
        <v>1391</v>
      </c>
      <c r="C27" s="134">
        <v>40.6</v>
      </c>
      <c r="D27" s="133" t="s">
        <v>1372</v>
      </c>
      <c r="E27" s="133" t="s">
        <v>1310</v>
      </c>
      <c r="F27" s="129" t="s">
        <v>211</v>
      </c>
      <c r="G27" s="129" t="s">
        <v>1392</v>
      </c>
      <c r="H27" s="22" t="s">
        <v>1393</v>
      </c>
      <c r="I27" s="22" t="s">
        <v>1394</v>
      </c>
      <c r="J27" s="8">
        <v>2011</v>
      </c>
      <c r="K27" s="136">
        <v>164810</v>
      </c>
      <c r="L27" s="130">
        <f>K27*(VLOOKUP(2012,CPI,2,0)/VLOOKUP(J27,CPI,2,0))</f>
        <v>168220.66044572083</v>
      </c>
      <c r="M27" s="131" t="s">
        <v>1311</v>
      </c>
      <c r="N27" s="136">
        <v>0</v>
      </c>
      <c r="O27" s="137">
        <f t="shared" si="4"/>
        <v>0</v>
      </c>
      <c r="P27" s="137">
        <f>L27/C27</f>
        <v>4143.3660208305619</v>
      </c>
      <c r="Q27" s="137">
        <f>O27/C27</f>
        <v>0</v>
      </c>
      <c r="R27" s="8" t="s">
        <v>1395</v>
      </c>
      <c r="S27" s="8" t="s">
        <v>1396</v>
      </c>
      <c r="T27" s="138"/>
    </row>
    <row r="28" spans="1:20" ht="76.5" x14ac:dyDescent="0.25">
      <c r="A28" s="8" t="s">
        <v>1307</v>
      </c>
      <c r="B28" s="133" t="s">
        <v>1397</v>
      </c>
      <c r="C28" s="134">
        <v>4</v>
      </c>
      <c r="D28" s="133" t="s">
        <v>1335</v>
      </c>
      <c r="E28" s="133" t="s">
        <v>1310</v>
      </c>
      <c r="F28" s="129" t="s">
        <v>264</v>
      </c>
      <c r="G28" s="129" t="s">
        <v>1398</v>
      </c>
      <c r="H28" s="22" t="s">
        <v>1471</v>
      </c>
      <c r="I28" s="22" t="s">
        <v>1311</v>
      </c>
      <c r="J28" s="8">
        <v>2005</v>
      </c>
      <c r="K28" s="136">
        <v>46582</v>
      </c>
      <c r="L28" s="130">
        <f>K28*(VLOOKUP(2012,CPI,2,0)/VLOOKUP(J28,CPI,2,0))</f>
        <v>54761.63700972862</v>
      </c>
      <c r="M28" s="131" t="s">
        <v>1311</v>
      </c>
      <c r="N28" s="136">
        <v>0</v>
      </c>
      <c r="O28" s="137">
        <f t="shared" si="4"/>
        <v>0</v>
      </c>
      <c r="P28" s="137">
        <f>L28/C28</f>
        <v>13690.409252432155</v>
      </c>
      <c r="Q28" s="137">
        <f>O28/C28</f>
        <v>0</v>
      </c>
      <c r="R28" s="8" t="s">
        <v>1399</v>
      </c>
      <c r="S28" s="8" t="s">
        <v>1472</v>
      </c>
      <c r="T28" s="138"/>
    </row>
    <row r="29" spans="1:20" ht="63.75" x14ac:dyDescent="0.25">
      <c r="A29" s="8" t="s">
        <v>1307</v>
      </c>
      <c r="B29" s="133" t="s">
        <v>1400</v>
      </c>
      <c r="C29" s="134" t="s">
        <v>1401</v>
      </c>
      <c r="D29" s="133" t="s">
        <v>1335</v>
      </c>
      <c r="E29" s="133" t="s">
        <v>1310</v>
      </c>
      <c r="F29" s="129" t="s">
        <v>260</v>
      </c>
      <c r="G29" s="129" t="s">
        <v>1476</v>
      </c>
      <c r="H29" s="22" t="s">
        <v>1473</v>
      </c>
      <c r="I29" s="22" t="s">
        <v>1474</v>
      </c>
      <c r="J29" s="8">
        <v>2002</v>
      </c>
      <c r="K29" s="8" t="s">
        <v>1475</v>
      </c>
      <c r="L29" s="131" t="s">
        <v>1477</v>
      </c>
      <c r="M29" s="131" t="s">
        <v>1342</v>
      </c>
      <c r="N29" s="8">
        <v>0</v>
      </c>
      <c r="O29" s="137" t="s">
        <v>1312</v>
      </c>
      <c r="P29" s="137" t="s">
        <v>1478</v>
      </c>
      <c r="Q29" s="132" t="s">
        <v>1312</v>
      </c>
      <c r="R29" s="8" t="s">
        <v>1402</v>
      </c>
      <c r="S29" s="8" t="s">
        <v>1857</v>
      </c>
      <c r="T29" s="138"/>
    </row>
    <row r="30" spans="1:20" ht="51" x14ac:dyDescent="0.25">
      <c r="A30" s="8" t="s">
        <v>1307</v>
      </c>
      <c r="B30" s="133" t="s">
        <v>1403</v>
      </c>
      <c r="C30" s="134">
        <v>330</v>
      </c>
      <c r="D30" s="133" t="s">
        <v>1335</v>
      </c>
      <c r="E30" s="133" t="s">
        <v>1310</v>
      </c>
      <c r="F30" s="129" t="s">
        <v>264</v>
      </c>
      <c r="G30" s="129" t="s">
        <v>1404</v>
      </c>
      <c r="H30" s="22" t="s">
        <v>1405</v>
      </c>
      <c r="I30" s="22" t="s">
        <v>1311</v>
      </c>
      <c r="J30" s="8">
        <v>2004</v>
      </c>
      <c r="K30" s="136">
        <v>811996</v>
      </c>
      <c r="L30" s="130">
        <f>K30*(VLOOKUP(2012,CPI,2,0)/VLOOKUP(J30,CPI,2,0))</f>
        <v>986921.17323451559</v>
      </c>
      <c r="M30" s="131" t="s">
        <v>1406</v>
      </c>
      <c r="N30" s="136">
        <v>168000</v>
      </c>
      <c r="O30" s="137">
        <f>N30*(VLOOKUP(2012,CPI,2,0)/VLOOKUP(J30,CPI,2,0))</f>
        <v>204191.59343568023</v>
      </c>
      <c r="P30" s="137">
        <f>L30/C30</f>
        <v>2990.6702219227745</v>
      </c>
      <c r="Q30" s="137">
        <f>O30/C30</f>
        <v>618.76240435054615</v>
      </c>
      <c r="R30" s="8" t="s">
        <v>1407</v>
      </c>
      <c r="S30" s="8" t="s">
        <v>1408</v>
      </c>
      <c r="T30" s="138"/>
    </row>
    <row r="31" spans="1:20" ht="51" x14ac:dyDescent="0.25">
      <c r="A31" s="8" t="s">
        <v>1409</v>
      </c>
      <c r="B31" s="133" t="s">
        <v>1403</v>
      </c>
      <c r="C31" s="134">
        <v>330</v>
      </c>
      <c r="D31" s="133" t="s">
        <v>1335</v>
      </c>
      <c r="E31" s="133" t="s">
        <v>1310</v>
      </c>
      <c r="F31" s="129" t="s">
        <v>264</v>
      </c>
      <c r="G31" s="129" t="s">
        <v>1410</v>
      </c>
      <c r="H31" s="22" t="s">
        <v>1405</v>
      </c>
      <c r="I31" s="22" t="s">
        <v>1311</v>
      </c>
      <c r="J31" s="8">
        <v>2004</v>
      </c>
      <c r="K31" s="136">
        <v>23139318</v>
      </c>
      <c r="L31" s="130">
        <f>K31*(VLOOKUP(2012,CPI,2,0)/VLOOKUP(J31,CPI,2,0))</f>
        <v>28124132.222826891</v>
      </c>
      <c r="M31" s="131" t="s">
        <v>1411</v>
      </c>
      <c r="N31" s="136">
        <v>1155330</v>
      </c>
      <c r="O31" s="137">
        <f>N31*(VLOOKUP(2012,CPI,2,0)/VLOOKUP(J31,CPI,2,0))</f>
        <v>1404218.2955002645</v>
      </c>
      <c r="P31" s="137">
        <f>L31/C31</f>
        <v>85224.643099475419</v>
      </c>
      <c r="Q31" s="137">
        <f>O31/C31</f>
        <v>4255.2069560614073</v>
      </c>
      <c r="R31" s="8" t="s">
        <v>1407</v>
      </c>
      <c r="S31" s="8" t="s">
        <v>1412</v>
      </c>
      <c r="T31" s="138"/>
    </row>
    <row r="32" spans="1:20" ht="25.5" x14ac:dyDescent="0.25">
      <c r="A32" s="8" t="s">
        <v>1484</v>
      </c>
      <c r="B32" s="133" t="s">
        <v>1413</v>
      </c>
      <c r="C32" s="134">
        <v>35</v>
      </c>
      <c r="D32" s="133" t="s">
        <v>1372</v>
      </c>
      <c r="E32" s="133" t="s">
        <v>1310</v>
      </c>
      <c r="F32" s="129" t="s">
        <v>253</v>
      </c>
      <c r="G32" s="129" t="s">
        <v>1414</v>
      </c>
      <c r="H32" s="22" t="s">
        <v>1311</v>
      </c>
      <c r="I32" s="22" t="s">
        <v>1311</v>
      </c>
      <c r="J32" s="8">
        <v>2001</v>
      </c>
      <c r="K32" s="136">
        <v>22500</v>
      </c>
      <c r="L32" s="130">
        <f>K32*(VLOOKUP(2012,CPI,2,0)/VLOOKUP(J32,CPI,2,0))</f>
        <v>29169.198193111239</v>
      </c>
      <c r="M32" s="131" t="s">
        <v>1481</v>
      </c>
      <c r="N32" s="142" t="s">
        <v>1312</v>
      </c>
      <c r="O32" s="137" t="s">
        <v>1312</v>
      </c>
      <c r="P32" s="137">
        <f>L32/C32</f>
        <v>833.40566266032113</v>
      </c>
      <c r="Q32" s="132" t="s">
        <v>1312</v>
      </c>
      <c r="R32" s="8" t="s">
        <v>1415</v>
      </c>
      <c r="S32" s="8" t="s">
        <v>1482</v>
      </c>
      <c r="T32" s="138"/>
    </row>
    <row r="33" spans="1:20" ht="25.5" x14ac:dyDescent="0.25">
      <c r="A33" s="8" t="s">
        <v>1307</v>
      </c>
      <c r="B33" s="133" t="s">
        <v>1413</v>
      </c>
      <c r="C33" s="134">
        <v>35</v>
      </c>
      <c r="D33" s="133" t="s">
        <v>1372</v>
      </c>
      <c r="E33" s="133" t="s">
        <v>1310</v>
      </c>
      <c r="F33" s="129" t="s">
        <v>253</v>
      </c>
      <c r="G33" s="129" t="s">
        <v>1414</v>
      </c>
      <c r="H33" s="22" t="s">
        <v>1311</v>
      </c>
      <c r="I33" s="22" t="s">
        <v>1311</v>
      </c>
      <c r="J33" s="8">
        <v>2001</v>
      </c>
      <c r="K33" s="136">
        <v>17500</v>
      </c>
      <c r="L33" s="130">
        <f>K33*(VLOOKUP(2012,CPI,2,0)/VLOOKUP(J33,CPI,2,0))</f>
        <v>22687.154150197628</v>
      </c>
      <c r="M33" s="131" t="s">
        <v>1481</v>
      </c>
      <c r="N33" s="142" t="s">
        <v>1312</v>
      </c>
      <c r="O33" s="137" t="s">
        <v>1312</v>
      </c>
      <c r="P33" s="137">
        <f>L33/C33</f>
        <v>648.20440429136079</v>
      </c>
      <c r="Q33" s="132" t="s">
        <v>1312</v>
      </c>
      <c r="R33" s="8" t="s">
        <v>1415</v>
      </c>
      <c r="S33" s="8" t="s">
        <v>1483</v>
      </c>
      <c r="T33" s="138"/>
    </row>
    <row r="34" spans="1:20" ht="38.25" x14ac:dyDescent="0.25">
      <c r="A34" s="8" t="s">
        <v>1315</v>
      </c>
      <c r="B34" s="133" t="s">
        <v>1413</v>
      </c>
      <c r="C34" s="134">
        <v>300</v>
      </c>
      <c r="D34" s="133" t="s">
        <v>1372</v>
      </c>
      <c r="E34" s="133" t="s">
        <v>1310</v>
      </c>
      <c r="F34" s="129" t="s">
        <v>253</v>
      </c>
      <c r="G34" s="129" t="s">
        <v>1416</v>
      </c>
      <c r="H34" s="22" t="s">
        <v>1311</v>
      </c>
      <c r="I34" s="22" t="s">
        <v>1311</v>
      </c>
      <c r="J34" s="8">
        <v>2001</v>
      </c>
      <c r="K34" s="136" t="s">
        <v>1485</v>
      </c>
      <c r="L34" s="131" t="s">
        <v>1486</v>
      </c>
      <c r="M34" s="131" t="s">
        <v>1311</v>
      </c>
      <c r="N34" s="142" t="s">
        <v>1312</v>
      </c>
      <c r="O34" s="137" t="s">
        <v>1312</v>
      </c>
      <c r="P34" s="137" t="s">
        <v>1487</v>
      </c>
      <c r="Q34" s="132" t="s">
        <v>1312</v>
      </c>
      <c r="R34" s="8" t="s">
        <v>1415</v>
      </c>
      <c r="S34" s="8"/>
      <c r="T34" s="138"/>
    </row>
  </sheetData>
  <autoFilter ref="A3:S34"/>
  <pageMargins left="0.7" right="0.7" top="0.75" bottom="0.75" header="0.3" footer="0.3"/>
  <pageSetup scale="53" fitToHeight="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T34"/>
  <sheetViews>
    <sheetView showGridLines="0" zoomScaleNormal="100" workbookViewId="0">
      <pane xSplit="1" ySplit="3" topLeftCell="B4" activePane="bottomRight" state="frozen"/>
      <selection activeCell="B2" sqref="B2"/>
      <selection pane="topRight" activeCell="B2" sqref="B2"/>
      <selection pane="bottomLeft" activeCell="B2" sqref="B2"/>
      <selection pane="bottomRight"/>
    </sheetView>
  </sheetViews>
  <sheetFormatPr defaultColWidth="9.140625" defaultRowHeight="15" x14ac:dyDescent="0.25"/>
  <cols>
    <col min="1" max="1" width="15.28515625" style="138" customWidth="1"/>
    <col min="2" max="2" width="48.5703125" style="138" customWidth="1"/>
    <col min="3" max="3" width="16" style="138" customWidth="1"/>
    <col min="4" max="4" width="13.7109375" style="138" customWidth="1"/>
    <col min="5" max="5" width="29.7109375" style="138" customWidth="1"/>
    <col min="6" max="6" width="26.42578125" style="138" customWidth="1"/>
    <col min="7" max="7" width="37.5703125" style="138" customWidth="1"/>
    <col min="8" max="8" width="22.42578125" style="138" customWidth="1"/>
    <col min="9" max="9" width="21.7109375" style="138" customWidth="1"/>
    <col min="10" max="10" width="10" style="138" customWidth="1"/>
    <col min="11" max="11" width="14.5703125" style="138" customWidth="1"/>
    <col min="12" max="12" width="14.5703125" style="139" customWidth="1"/>
    <col min="13" max="13" width="16.28515625" style="138" bestFit="1" customWidth="1"/>
    <col min="14" max="15" width="14.5703125" style="138" customWidth="1"/>
    <col min="16" max="17" width="14.5703125" style="139" customWidth="1"/>
    <col min="18" max="18" width="18.85546875" style="138" customWidth="1"/>
    <col min="19" max="19" width="50.42578125" style="138" customWidth="1"/>
    <col min="20" max="20" width="29.85546875" customWidth="1"/>
    <col min="21" max="21" width="11.5703125" style="138" bestFit="1" customWidth="1"/>
    <col min="22" max="16384" width="9.140625" style="138"/>
  </cols>
  <sheetData>
    <row r="1" spans="1:7" s="5" customFormat="1" ht="16.5" customHeight="1" x14ac:dyDescent="0.2">
      <c r="A1" s="158"/>
      <c r="B1" s="11"/>
      <c r="C1" s="11"/>
      <c r="D1" s="11"/>
      <c r="E1" s="11"/>
    </row>
    <row r="2" spans="1:7" s="5" customFormat="1" ht="16.5" customHeight="1" x14ac:dyDescent="0.2">
      <c r="A2" s="123"/>
      <c r="B2" s="123"/>
      <c r="C2" s="123"/>
      <c r="D2" s="123"/>
      <c r="E2" s="11"/>
    </row>
    <row r="3" spans="1:7" customFormat="1" ht="51" x14ac:dyDescent="0.25">
      <c r="A3" s="171" t="s">
        <v>1756</v>
      </c>
      <c r="B3" s="171" t="s">
        <v>1757</v>
      </c>
      <c r="C3" s="171" t="s">
        <v>1758</v>
      </c>
      <c r="D3" s="171" t="s">
        <v>1759</v>
      </c>
      <c r="E3" s="171" t="s">
        <v>1760</v>
      </c>
      <c r="F3" s="174" t="s">
        <v>1754</v>
      </c>
      <c r="G3" s="171" t="s">
        <v>1753</v>
      </c>
    </row>
    <row r="4" spans="1:7" customFormat="1" ht="51" x14ac:dyDescent="0.25">
      <c r="A4" s="8" t="s">
        <v>1761</v>
      </c>
      <c r="B4" s="127" t="s">
        <v>1744</v>
      </c>
      <c r="C4" s="128">
        <v>5000</v>
      </c>
      <c r="D4" s="127" t="s">
        <v>1762</v>
      </c>
      <c r="E4" s="127" t="s">
        <v>1763</v>
      </c>
      <c r="F4" s="173">
        <v>5200000</v>
      </c>
      <c r="G4" s="183" t="s">
        <v>1847</v>
      </c>
    </row>
    <row r="5" spans="1:7" customFormat="1" ht="51" x14ac:dyDescent="0.25">
      <c r="A5" s="8" t="s">
        <v>1764</v>
      </c>
      <c r="B5" s="127" t="s">
        <v>1745</v>
      </c>
      <c r="C5" s="128" t="s">
        <v>1765</v>
      </c>
      <c r="D5" s="127" t="s">
        <v>1766</v>
      </c>
      <c r="E5" s="127" t="s">
        <v>1767</v>
      </c>
      <c r="F5" s="173">
        <v>12000000</v>
      </c>
      <c r="G5" s="183" t="s">
        <v>1848</v>
      </c>
    </row>
    <row r="6" spans="1:7" customFormat="1" ht="63.75" x14ac:dyDescent="0.25">
      <c r="A6" s="8" t="s">
        <v>1768</v>
      </c>
      <c r="B6" s="127" t="s">
        <v>1769</v>
      </c>
      <c r="C6" s="128" t="s">
        <v>1765</v>
      </c>
      <c r="D6" s="127" t="s">
        <v>1766</v>
      </c>
      <c r="E6" s="175" t="s">
        <v>1755</v>
      </c>
      <c r="F6" s="173" t="s">
        <v>1770</v>
      </c>
      <c r="G6" s="129" t="s">
        <v>1771</v>
      </c>
    </row>
    <row r="7" spans="1:7" customFormat="1" ht="76.5" x14ac:dyDescent="0.25">
      <c r="A7" s="8" t="s">
        <v>1772</v>
      </c>
      <c r="B7" s="127" t="s">
        <v>1746</v>
      </c>
      <c r="C7" s="128" t="s">
        <v>1765</v>
      </c>
      <c r="D7" s="127" t="s">
        <v>1773</v>
      </c>
      <c r="E7" s="127" t="s">
        <v>1774</v>
      </c>
      <c r="F7" s="173" t="s">
        <v>1770</v>
      </c>
      <c r="G7" s="129" t="s">
        <v>1771</v>
      </c>
    </row>
    <row r="8" spans="1:7" customFormat="1" ht="102" x14ac:dyDescent="0.25">
      <c r="A8" s="8" t="s">
        <v>1775</v>
      </c>
      <c r="B8" s="133" t="s">
        <v>1747</v>
      </c>
      <c r="C8" s="134" t="s">
        <v>1776</v>
      </c>
      <c r="D8" s="127" t="s">
        <v>1777</v>
      </c>
      <c r="E8" s="127" t="s">
        <v>1778</v>
      </c>
      <c r="F8" s="173" t="s">
        <v>1779</v>
      </c>
      <c r="G8" s="129" t="s">
        <v>1771</v>
      </c>
    </row>
    <row r="9" spans="1:7" customFormat="1" ht="102" x14ac:dyDescent="0.25">
      <c r="A9" s="8" t="s">
        <v>1780</v>
      </c>
      <c r="B9" s="133" t="s">
        <v>1748</v>
      </c>
      <c r="C9" s="134">
        <v>41450</v>
      </c>
      <c r="D9" s="133" t="s">
        <v>1781</v>
      </c>
      <c r="E9" s="127" t="s">
        <v>1782</v>
      </c>
      <c r="F9" s="173" t="s">
        <v>1783</v>
      </c>
      <c r="G9" s="135" t="s">
        <v>1771</v>
      </c>
    </row>
    <row r="10" spans="1:7" customFormat="1" ht="89.25" x14ac:dyDescent="0.25">
      <c r="A10" s="8" t="s">
        <v>1784</v>
      </c>
      <c r="B10" s="133" t="s">
        <v>1749</v>
      </c>
      <c r="C10" s="134" t="s">
        <v>1765</v>
      </c>
      <c r="D10" s="133" t="s">
        <v>1781</v>
      </c>
      <c r="E10" s="127" t="s">
        <v>1785</v>
      </c>
      <c r="F10" s="173" t="s">
        <v>1786</v>
      </c>
      <c r="G10" s="129" t="s">
        <v>1771</v>
      </c>
    </row>
    <row r="11" spans="1:7" customFormat="1" ht="84.75" customHeight="1" x14ac:dyDescent="0.25">
      <c r="A11" s="8" t="s">
        <v>1787</v>
      </c>
      <c r="B11" s="133" t="s">
        <v>1750</v>
      </c>
      <c r="C11" s="134">
        <v>6665</v>
      </c>
      <c r="D11" s="133" t="s">
        <v>1788</v>
      </c>
      <c r="E11" s="127" t="s">
        <v>1789</v>
      </c>
      <c r="F11" s="173">
        <v>550000</v>
      </c>
      <c r="G11" s="129" t="s">
        <v>1771</v>
      </c>
    </row>
    <row r="12" spans="1:7" customFormat="1" ht="51" x14ac:dyDescent="0.25">
      <c r="A12" s="8" t="s">
        <v>1790</v>
      </c>
      <c r="B12" s="133" t="s">
        <v>1791</v>
      </c>
      <c r="C12" s="134" t="s">
        <v>1765</v>
      </c>
      <c r="D12" s="133" t="s">
        <v>1788</v>
      </c>
      <c r="E12" s="127" t="s">
        <v>1789</v>
      </c>
      <c r="F12" s="173">
        <v>5000000</v>
      </c>
      <c r="G12" s="183" t="s">
        <v>1847</v>
      </c>
    </row>
    <row r="13" spans="1:7" customFormat="1" ht="76.5" x14ac:dyDescent="0.25">
      <c r="A13" s="8" t="s">
        <v>1792</v>
      </c>
      <c r="B13" s="133" t="s">
        <v>1751</v>
      </c>
      <c r="C13" s="134" t="s">
        <v>1793</v>
      </c>
      <c r="D13" s="133" t="s">
        <v>1794</v>
      </c>
      <c r="E13" s="133" t="s">
        <v>1795</v>
      </c>
      <c r="F13" s="173" t="s">
        <v>1796</v>
      </c>
      <c r="G13" s="129" t="s">
        <v>1771</v>
      </c>
    </row>
    <row r="14" spans="1:7" customFormat="1" ht="38.25" x14ac:dyDescent="0.25">
      <c r="A14" s="8" t="s">
        <v>1797</v>
      </c>
      <c r="B14" s="133" t="s">
        <v>1752</v>
      </c>
      <c r="C14" s="134">
        <v>99960</v>
      </c>
      <c r="D14" s="133" t="s">
        <v>1794</v>
      </c>
      <c r="E14" s="176" t="s">
        <v>1799</v>
      </c>
      <c r="F14" s="173" t="s">
        <v>1798</v>
      </c>
      <c r="G14" s="129" t="s">
        <v>1771</v>
      </c>
    </row>
    <row r="15" spans="1:7" customFormat="1" ht="51" x14ac:dyDescent="0.25">
      <c r="A15" s="177" t="s">
        <v>1812</v>
      </c>
      <c r="B15" s="177" t="s">
        <v>1813</v>
      </c>
      <c r="C15" s="177" t="s">
        <v>1538</v>
      </c>
      <c r="D15" s="177" t="s">
        <v>1800</v>
      </c>
      <c r="E15" s="177" t="s">
        <v>1801</v>
      </c>
      <c r="F15" s="177" t="s">
        <v>1802</v>
      </c>
      <c r="G15" s="177" t="s">
        <v>1803</v>
      </c>
    </row>
    <row r="16" spans="1:7" customFormat="1" ht="63.75" x14ac:dyDescent="0.25">
      <c r="A16" s="177" t="s">
        <v>1804</v>
      </c>
      <c r="B16" s="178" t="s">
        <v>1805</v>
      </c>
      <c r="C16" s="177" t="s">
        <v>1538</v>
      </c>
      <c r="D16" s="177" t="s">
        <v>1800</v>
      </c>
      <c r="E16" s="177" t="s">
        <v>1815</v>
      </c>
      <c r="F16" s="177" t="s">
        <v>1806</v>
      </c>
      <c r="G16" s="177" t="s">
        <v>1803</v>
      </c>
    </row>
    <row r="17" spans="1:7" customFormat="1" ht="102" x14ac:dyDescent="0.25">
      <c r="A17" s="177" t="s">
        <v>1807</v>
      </c>
      <c r="B17" s="177" t="s">
        <v>1814</v>
      </c>
      <c r="C17" s="177" t="s">
        <v>1808</v>
      </c>
      <c r="D17" s="177" t="s">
        <v>1809</v>
      </c>
      <c r="E17" s="177" t="s">
        <v>1810</v>
      </c>
      <c r="F17" s="179" t="s">
        <v>1811</v>
      </c>
      <c r="G17" s="177" t="s">
        <v>1803</v>
      </c>
    </row>
    <row r="18" spans="1:7" customFormat="1" ht="15" customHeight="1" x14ac:dyDescent="0.25">
      <c r="A18" s="182" t="s">
        <v>1838</v>
      </c>
    </row>
    <row r="19" spans="1:7" customFormat="1" ht="15" customHeight="1" x14ac:dyDescent="0.25"/>
    <row r="20" spans="1:7" customFormat="1" ht="15" customHeight="1" x14ac:dyDescent="0.25"/>
    <row r="21" spans="1:7" customFormat="1" ht="15" customHeight="1" x14ac:dyDescent="0.25"/>
    <row r="22" spans="1:7" customFormat="1" ht="15" customHeight="1" x14ac:dyDescent="0.25"/>
    <row r="23" spans="1:7" customFormat="1" ht="15" customHeight="1" x14ac:dyDescent="0.25"/>
    <row r="24" spans="1:7" customFormat="1" ht="15" customHeight="1" x14ac:dyDescent="0.25"/>
    <row r="25" spans="1:7" customFormat="1" ht="15" customHeight="1" x14ac:dyDescent="0.25"/>
    <row r="26" spans="1:7" customFormat="1" ht="15" customHeight="1" x14ac:dyDescent="0.25"/>
    <row r="27" spans="1:7" customFormat="1" ht="15" customHeight="1" x14ac:dyDescent="0.25"/>
    <row r="28" spans="1:7" customFormat="1" ht="15" customHeight="1" x14ac:dyDescent="0.25"/>
    <row r="29" spans="1:7" customFormat="1" ht="15" customHeight="1" x14ac:dyDescent="0.25"/>
    <row r="30" spans="1:7" customFormat="1" ht="15" customHeight="1" x14ac:dyDescent="0.25"/>
    <row r="31" spans="1:7" customFormat="1" ht="15" customHeight="1" x14ac:dyDescent="0.25"/>
    <row r="32" spans="1:7" customFormat="1" ht="15" customHeight="1" x14ac:dyDescent="0.25"/>
    <row r="33" customFormat="1" x14ac:dyDescent="0.25"/>
    <row r="34" customFormat="1" x14ac:dyDescent="0.25"/>
  </sheetData>
  <pageMargins left="0.7" right="0.7" top="0.75" bottom="0.75" header="0.3" footer="0.3"/>
  <pageSetup scale="53" fitToHeight="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F22"/>
  <sheetViews>
    <sheetView showGridLines="0" workbookViewId="0">
      <pane ySplit="2" topLeftCell="A3" activePane="bottomLeft" state="frozen"/>
      <selection pane="bottomLeft"/>
    </sheetView>
  </sheetViews>
  <sheetFormatPr defaultColWidth="9.140625" defaultRowHeight="15" x14ac:dyDescent="0.25"/>
  <cols>
    <col min="1" max="1" width="2.28515625" style="21" customWidth="1"/>
    <col min="2" max="2" width="13.7109375" style="21" customWidth="1"/>
    <col min="3" max="3" width="3" style="25" customWidth="1"/>
    <col min="4" max="4" width="69" style="21" customWidth="1"/>
    <col min="5" max="16384" width="9.140625" style="21"/>
  </cols>
  <sheetData>
    <row r="2" spans="2:6" ht="16.5" customHeight="1" x14ac:dyDescent="0.25"/>
    <row r="3" spans="2:6" x14ac:dyDescent="0.25">
      <c r="B3" s="208" t="s">
        <v>678</v>
      </c>
      <c r="C3" s="208"/>
      <c r="D3" s="208"/>
    </row>
    <row r="4" spans="2:6" s="3" customFormat="1" ht="63.75" customHeight="1" x14ac:dyDescent="0.25">
      <c r="B4" s="188" t="s">
        <v>1457</v>
      </c>
      <c r="C4" s="189"/>
      <c r="D4" s="190"/>
    </row>
    <row r="5" spans="2:6" s="3" customFormat="1" x14ac:dyDescent="0.25">
      <c r="B5" s="196" t="s">
        <v>6</v>
      </c>
      <c r="C5" s="196"/>
      <c r="D5" s="64" t="s">
        <v>0</v>
      </c>
    </row>
    <row r="6" spans="2:6" s="3" customFormat="1" ht="45.75" customHeight="1" x14ac:dyDescent="0.25">
      <c r="B6" s="220" t="s">
        <v>417</v>
      </c>
      <c r="C6" s="221"/>
      <c r="D6" s="65" t="s">
        <v>434</v>
      </c>
    </row>
    <row r="7" spans="2:6" s="3" customFormat="1" ht="63.75" customHeight="1" x14ac:dyDescent="0.25">
      <c r="B7" s="209" t="s">
        <v>87</v>
      </c>
      <c r="C7" s="209"/>
      <c r="D7" s="59" t="s">
        <v>1297</v>
      </c>
    </row>
    <row r="8" spans="2:6" s="3" customFormat="1" ht="62.25" customHeight="1" x14ac:dyDescent="0.25">
      <c r="B8" s="209" t="s">
        <v>84</v>
      </c>
      <c r="C8" s="209"/>
      <c r="D8" s="59" t="s">
        <v>1298</v>
      </c>
    </row>
    <row r="9" spans="2:6" s="3" customFormat="1" ht="60.75" customHeight="1" x14ac:dyDescent="0.25">
      <c r="B9" s="209" t="s">
        <v>83</v>
      </c>
      <c r="C9" s="209"/>
      <c r="D9" s="59" t="s">
        <v>1299</v>
      </c>
    </row>
    <row r="10" spans="2:6" s="3" customFormat="1" ht="62.25" customHeight="1" x14ac:dyDescent="0.25">
      <c r="B10" s="209" t="s">
        <v>86</v>
      </c>
      <c r="C10" s="209"/>
      <c r="D10" s="59" t="s">
        <v>1300</v>
      </c>
    </row>
    <row r="11" spans="2:6" s="3" customFormat="1" ht="69" customHeight="1" x14ac:dyDescent="0.25">
      <c r="B11" s="209" t="s">
        <v>85</v>
      </c>
      <c r="C11" s="209"/>
      <c r="D11" s="59" t="s">
        <v>1301</v>
      </c>
    </row>
    <row r="12" spans="2:6" s="3" customFormat="1" x14ac:dyDescent="0.25"/>
    <row r="13" spans="2:6" x14ac:dyDescent="0.25">
      <c r="B13" s="208" t="s">
        <v>678</v>
      </c>
      <c r="C13" s="208"/>
      <c r="D13" s="208"/>
    </row>
    <row r="14" spans="2:6" s="3" customFormat="1" x14ac:dyDescent="0.25">
      <c r="B14" s="204" t="s">
        <v>1820</v>
      </c>
      <c r="C14" s="204"/>
      <c r="D14" s="204"/>
      <c r="E14" s="119"/>
      <c r="F14" s="3" t="s">
        <v>1724</v>
      </c>
    </row>
    <row r="15" spans="2:6" s="3" customFormat="1" x14ac:dyDescent="0.25">
      <c r="B15" s="204" t="s">
        <v>1821</v>
      </c>
      <c r="C15" s="204"/>
      <c r="D15" s="204"/>
      <c r="E15" s="119"/>
    </row>
    <row r="16" spans="2:6" s="3" customFormat="1" x14ac:dyDescent="0.25">
      <c r="B16" s="205" t="s">
        <v>1822</v>
      </c>
      <c r="C16" s="205"/>
      <c r="D16" s="205"/>
      <c r="E16" s="120"/>
    </row>
    <row r="17" spans="2:5" s="3" customFormat="1" ht="29.25" customHeight="1" x14ac:dyDescent="0.25">
      <c r="B17" s="204" t="s">
        <v>1819</v>
      </c>
      <c r="C17" s="204"/>
      <c r="D17" s="204"/>
      <c r="E17" s="119"/>
    </row>
    <row r="18" spans="2:5" s="3" customFormat="1" x14ac:dyDescent="0.25">
      <c r="B18" s="204" t="s">
        <v>1823</v>
      </c>
      <c r="C18" s="204"/>
      <c r="D18" s="204"/>
      <c r="E18" s="119"/>
    </row>
    <row r="19" spans="2:5" s="3" customFormat="1" ht="51.75" customHeight="1" x14ac:dyDescent="0.2">
      <c r="B19" s="223" t="s">
        <v>447</v>
      </c>
      <c r="C19" s="223"/>
      <c r="D19" s="223"/>
      <c r="E19" s="121"/>
    </row>
    <row r="20" spans="2:5" s="3" customFormat="1" x14ac:dyDescent="0.25"/>
    <row r="21" spans="2:5" x14ac:dyDescent="0.25">
      <c r="B21" s="25"/>
    </row>
    <row r="22" spans="2:5" x14ac:dyDescent="0.25">
      <c r="B22" s="25"/>
    </row>
  </sheetData>
  <mergeCells count="16">
    <mergeCell ref="B3:D3"/>
    <mergeCell ref="B5:C5"/>
    <mergeCell ref="B7:C7"/>
    <mergeCell ref="B6:C6"/>
    <mergeCell ref="B13:D13"/>
    <mergeCell ref="B19:D19"/>
    <mergeCell ref="B4:D4"/>
    <mergeCell ref="B14:D14"/>
    <mergeCell ref="B15:D15"/>
    <mergeCell ref="B16:D16"/>
    <mergeCell ref="B17:D17"/>
    <mergeCell ref="B18:D18"/>
    <mergeCell ref="B10:C10"/>
    <mergeCell ref="B11:C11"/>
    <mergeCell ref="B8:C8"/>
    <mergeCell ref="B9:C9"/>
  </mergeCells>
  <hyperlinks>
    <hyperlink ref="B7:C7" location="Tourism!A2" display="Tourism"/>
    <hyperlink ref="B10:C10" location="'Health Effects'!A2" display="Health Effects"/>
    <hyperlink ref="B11:C11" location="'Drinking Water Treatment'!A2" display="Drinking Water Treatment"/>
    <hyperlink ref="B8:C8" location="Fisheries!A2" display="Fisheries"/>
    <hyperlink ref="B9:C9" location="'Property Value'!A2" display="Property Value"/>
    <hyperlink ref="B6" location="Index!A1" display="Index"/>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H57"/>
  <sheetViews>
    <sheetView showGridLines="0" workbookViewId="0">
      <pane ySplit="3" topLeftCell="A4" activePane="bottomLeft" state="frozen"/>
      <selection activeCell="H16" sqref="H16"/>
      <selection pane="bottomLeft"/>
    </sheetView>
  </sheetViews>
  <sheetFormatPr defaultColWidth="9.140625" defaultRowHeight="15" x14ac:dyDescent="0.25"/>
  <cols>
    <col min="1" max="1" width="13" style="25" customWidth="1"/>
    <col min="2" max="2" width="18.140625" style="29" customWidth="1"/>
    <col min="3" max="3" width="14.5703125" style="25" customWidth="1"/>
    <col min="4" max="4" width="16.140625" style="25" customWidth="1"/>
    <col min="5" max="5" width="12.140625" style="25" customWidth="1"/>
    <col min="6" max="6" width="24.7109375" style="25" customWidth="1"/>
    <col min="7" max="7" width="25.42578125" style="25" customWidth="1"/>
    <col min="8" max="8" width="36.85546875" style="25" customWidth="1"/>
    <col min="9" max="16384" width="9.140625" style="21"/>
  </cols>
  <sheetData>
    <row r="1" spans="1:8" s="5" customFormat="1" ht="16.5" customHeight="1" x14ac:dyDescent="0.2">
      <c r="A1" s="158"/>
      <c r="B1" s="11"/>
      <c r="C1" s="11"/>
      <c r="D1" s="11"/>
      <c r="E1" s="11"/>
    </row>
    <row r="2" spans="1:8" s="5" customFormat="1" ht="16.5" customHeight="1" x14ac:dyDescent="0.2">
      <c r="A2" s="123"/>
      <c r="B2" s="123"/>
      <c r="C2" s="123"/>
      <c r="D2" s="123"/>
      <c r="E2" s="11"/>
    </row>
    <row r="3" spans="1:8" ht="30" x14ac:dyDescent="0.25">
      <c r="A3" s="55" t="s">
        <v>205</v>
      </c>
      <c r="B3" s="53" t="s">
        <v>223</v>
      </c>
      <c r="C3" s="54" t="s">
        <v>404</v>
      </c>
      <c r="D3" s="54" t="s">
        <v>403</v>
      </c>
      <c r="E3" s="54" t="s">
        <v>221</v>
      </c>
      <c r="F3" s="54" t="s">
        <v>227</v>
      </c>
      <c r="G3" s="54" t="s">
        <v>1</v>
      </c>
      <c r="H3" s="54" t="s">
        <v>17</v>
      </c>
    </row>
    <row r="4" spans="1:8" x14ac:dyDescent="0.25">
      <c r="A4" s="27" t="s">
        <v>209</v>
      </c>
      <c r="B4" s="28" t="str">
        <f>IFERROR((VLOOKUP(A4,Regions!D:F,3,0)),"ENTER")</f>
        <v>Mid-Atlantic</v>
      </c>
      <c r="C4" s="26" t="s">
        <v>402</v>
      </c>
      <c r="D4" s="27">
        <v>2003</v>
      </c>
      <c r="E4" s="27" t="s">
        <v>59</v>
      </c>
      <c r="F4" s="27" t="s">
        <v>222</v>
      </c>
      <c r="G4" s="26" t="s">
        <v>220</v>
      </c>
      <c r="H4" s="42" t="s">
        <v>58</v>
      </c>
    </row>
    <row r="5" spans="1:8" x14ac:dyDescent="0.25">
      <c r="A5" s="27" t="s">
        <v>217</v>
      </c>
      <c r="B5" s="28" t="str">
        <f>IFERROR((VLOOKUP(A5,Regions!D:F,3,0)),"ENTER")</f>
        <v>Midwest</v>
      </c>
      <c r="C5" s="26" t="s">
        <v>402</v>
      </c>
      <c r="D5" s="27">
        <v>1996</v>
      </c>
      <c r="E5" s="26" t="s">
        <v>15</v>
      </c>
      <c r="F5" s="27" t="s">
        <v>216</v>
      </c>
      <c r="G5" s="26" t="s">
        <v>220</v>
      </c>
      <c r="H5" s="42" t="s">
        <v>225</v>
      </c>
    </row>
    <row r="6" spans="1:8" x14ac:dyDescent="0.25">
      <c r="A6" s="27" t="s">
        <v>217</v>
      </c>
      <c r="B6" s="28" t="str">
        <f>IFERROR((VLOOKUP(A6,Regions!D:F,3,0)),"ENTER")</f>
        <v>Midwest</v>
      </c>
      <c r="C6" s="26" t="s">
        <v>402</v>
      </c>
      <c r="D6" s="27">
        <v>2010</v>
      </c>
      <c r="E6" s="26" t="s">
        <v>15</v>
      </c>
      <c r="F6" s="27" t="s">
        <v>212</v>
      </c>
      <c r="G6" s="26" t="s">
        <v>318</v>
      </c>
      <c r="H6" s="42" t="s">
        <v>22</v>
      </c>
    </row>
    <row r="7" spans="1:8" x14ac:dyDescent="0.25">
      <c r="A7" s="27" t="s">
        <v>217</v>
      </c>
      <c r="B7" s="28" t="str">
        <f>IFERROR((VLOOKUP(A7,Regions!D:F,3,0)),"ENTER")</f>
        <v>Midwest</v>
      </c>
      <c r="C7" s="26" t="s">
        <v>402</v>
      </c>
      <c r="D7" s="27">
        <v>2010</v>
      </c>
      <c r="E7" s="26" t="s">
        <v>15</v>
      </c>
      <c r="F7" s="27" t="s">
        <v>212</v>
      </c>
      <c r="G7" s="26" t="s">
        <v>85</v>
      </c>
      <c r="H7" s="42" t="s">
        <v>22</v>
      </c>
    </row>
    <row r="8" spans="1:8" x14ac:dyDescent="0.25">
      <c r="A8" s="27" t="s">
        <v>217</v>
      </c>
      <c r="B8" s="28" t="str">
        <f>IFERROR((VLOOKUP(A8,Regions!D:F,3,0)),"ENTER")</f>
        <v>Midwest</v>
      </c>
      <c r="C8" s="26" t="s">
        <v>402</v>
      </c>
      <c r="D8" s="27">
        <v>2010</v>
      </c>
      <c r="E8" s="26" t="s">
        <v>15</v>
      </c>
      <c r="F8" s="27" t="s">
        <v>212</v>
      </c>
      <c r="G8" s="26" t="s">
        <v>318</v>
      </c>
      <c r="H8" s="42" t="s">
        <v>106</v>
      </c>
    </row>
    <row r="9" spans="1:8" x14ac:dyDescent="0.25">
      <c r="A9" s="27" t="s">
        <v>206</v>
      </c>
      <c r="B9" s="28" t="str">
        <f>IFERROR((VLOOKUP(A9,Regions!D:F,3,0)),"ENTER")</f>
        <v>South Central</v>
      </c>
      <c r="C9" s="26" t="s">
        <v>402</v>
      </c>
      <c r="D9" s="27">
        <v>2000</v>
      </c>
      <c r="E9" s="27" t="s">
        <v>228</v>
      </c>
      <c r="F9" s="27" t="s">
        <v>207</v>
      </c>
      <c r="G9" s="26" t="s">
        <v>84</v>
      </c>
      <c r="H9" s="42" t="s">
        <v>29</v>
      </c>
    </row>
    <row r="10" spans="1:8" x14ac:dyDescent="0.25">
      <c r="A10" s="27" t="s">
        <v>206</v>
      </c>
      <c r="B10" s="28" t="str">
        <f>IFERROR((VLOOKUP(A10,Regions!D:F,3,0)),"ENTER")</f>
        <v>South Central</v>
      </c>
      <c r="C10" s="26" t="s">
        <v>402</v>
      </c>
      <c r="D10" s="27">
        <v>2000</v>
      </c>
      <c r="E10" s="27" t="s">
        <v>228</v>
      </c>
      <c r="F10" s="27" t="s">
        <v>207</v>
      </c>
      <c r="G10" s="26" t="s">
        <v>318</v>
      </c>
      <c r="H10" s="42" t="s">
        <v>29</v>
      </c>
    </row>
    <row r="11" spans="1:8" x14ac:dyDescent="0.25">
      <c r="A11" s="26" t="s">
        <v>211</v>
      </c>
      <c r="B11" s="28" t="str">
        <f>IFERROR((VLOOKUP(A11,Regions!D:F,3,0)),"ENTER")</f>
        <v>Midwest</v>
      </c>
      <c r="C11" s="26" t="s">
        <v>402</v>
      </c>
      <c r="D11" s="26">
        <v>2010</v>
      </c>
      <c r="E11" s="26" t="s">
        <v>15</v>
      </c>
      <c r="F11" s="26" t="s">
        <v>212</v>
      </c>
      <c r="G11" s="26" t="s">
        <v>220</v>
      </c>
      <c r="H11" s="42" t="s">
        <v>349</v>
      </c>
    </row>
    <row r="12" spans="1:8" x14ac:dyDescent="0.25">
      <c r="A12" s="27" t="s">
        <v>213</v>
      </c>
      <c r="B12" s="28" t="str">
        <f>IFERROR((VLOOKUP(A12,Regions!D:F,3,0)),"ENTER")</f>
        <v>Southeast</v>
      </c>
      <c r="C12" s="26" t="s">
        <v>402</v>
      </c>
      <c r="D12" s="27">
        <v>2006</v>
      </c>
      <c r="E12" s="27" t="s">
        <v>24</v>
      </c>
      <c r="F12" s="27" t="s">
        <v>207</v>
      </c>
      <c r="G12" s="26" t="s">
        <v>229</v>
      </c>
      <c r="H12" s="42" t="s">
        <v>26</v>
      </c>
    </row>
    <row r="13" spans="1:8" x14ac:dyDescent="0.25">
      <c r="A13" s="27" t="s">
        <v>155</v>
      </c>
      <c r="B13" s="28" t="str">
        <f>IFERROR((VLOOKUP(A13,Regions!D:F,3,0)),"ENTER")</f>
        <v>New England</v>
      </c>
      <c r="C13" s="26" t="s">
        <v>402</v>
      </c>
      <c r="D13" s="27">
        <v>2005</v>
      </c>
      <c r="E13" s="27" t="s">
        <v>24</v>
      </c>
      <c r="F13" s="27" t="s">
        <v>207</v>
      </c>
      <c r="G13" s="26" t="s">
        <v>84</v>
      </c>
      <c r="H13" s="42" t="s">
        <v>27</v>
      </c>
    </row>
    <row r="14" spans="1:8" x14ac:dyDescent="0.25">
      <c r="A14" s="27" t="s">
        <v>215</v>
      </c>
      <c r="B14" s="28" t="str">
        <f>IFERROR((VLOOKUP(A14,Regions!D:F,3,0)),"ENTER")</f>
        <v>Midwest</v>
      </c>
      <c r="C14" s="26" t="s">
        <v>402</v>
      </c>
      <c r="D14" s="27">
        <v>2001</v>
      </c>
      <c r="E14" s="26" t="s">
        <v>15</v>
      </c>
      <c r="F14" s="27" t="s">
        <v>216</v>
      </c>
      <c r="G14" s="26" t="s">
        <v>220</v>
      </c>
      <c r="H14" s="42" t="s">
        <v>224</v>
      </c>
    </row>
    <row r="15" spans="1:8" x14ac:dyDescent="0.25">
      <c r="A15" s="27" t="s">
        <v>155</v>
      </c>
      <c r="B15" s="28" t="str">
        <f>IFERROR((VLOOKUP(A15,Regions!D:F,3,0)),"ENTER")</f>
        <v>New England</v>
      </c>
      <c r="C15" s="26" t="s">
        <v>402</v>
      </c>
      <c r="D15" s="27">
        <v>1995</v>
      </c>
      <c r="E15" s="26" t="s">
        <v>15</v>
      </c>
      <c r="F15" s="27" t="s">
        <v>216</v>
      </c>
      <c r="G15" s="26" t="s">
        <v>220</v>
      </c>
      <c r="H15" s="42" t="s">
        <v>226</v>
      </c>
    </row>
    <row r="16" spans="1:8" x14ac:dyDescent="0.25">
      <c r="A16" s="27" t="s">
        <v>156</v>
      </c>
      <c r="B16" s="28" t="str">
        <f>IFERROR((VLOOKUP(A16,Regions!D:F,3,0)),"ENTER")</f>
        <v>New England</v>
      </c>
      <c r="C16" s="26" t="s">
        <v>402</v>
      </c>
      <c r="D16" s="27">
        <v>1995</v>
      </c>
      <c r="E16" s="26" t="s">
        <v>15</v>
      </c>
      <c r="F16" s="27" t="s">
        <v>216</v>
      </c>
      <c r="G16" s="26" t="s">
        <v>220</v>
      </c>
      <c r="H16" s="42" t="s">
        <v>64</v>
      </c>
    </row>
    <row r="17" spans="1:8" x14ac:dyDescent="0.25">
      <c r="A17" s="27" t="s">
        <v>209</v>
      </c>
      <c r="B17" s="28" t="str">
        <f>IFERROR((VLOOKUP(A17,Regions!D:F,3,0)),"ENTER")</f>
        <v>Mid-Atlantic</v>
      </c>
      <c r="C17" s="26" t="s">
        <v>402</v>
      </c>
      <c r="D17" s="27" t="s">
        <v>277</v>
      </c>
      <c r="E17" s="27" t="s">
        <v>59</v>
      </c>
      <c r="F17" s="27" t="s">
        <v>210</v>
      </c>
      <c r="G17" s="26" t="s">
        <v>84</v>
      </c>
      <c r="H17" s="42" t="s">
        <v>20</v>
      </c>
    </row>
    <row r="18" spans="1:8" x14ac:dyDescent="0.25">
      <c r="A18" s="27" t="s">
        <v>206</v>
      </c>
      <c r="B18" s="28" t="str">
        <f>IFERROR((VLOOKUP(A18,Regions!D:F,3,0)),"ENTER")</f>
        <v>South Central</v>
      </c>
      <c r="C18" s="26" t="s">
        <v>402</v>
      </c>
      <c r="D18" s="27">
        <v>2003</v>
      </c>
      <c r="E18" s="26" t="s">
        <v>15</v>
      </c>
      <c r="F18" s="27" t="s">
        <v>212</v>
      </c>
      <c r="G18" s="26" t="s">
        <v>318</v>
      </c>
      <c r="H18" s="42" t="s">
        <v>47</v>
      </c>
    </row>
    <row r="19" spans="1:8" x14ac:dyDescent="0.25">
      <c r="A19" s="27" t="s">
        <v>155</v>
      </c>
      <c r="B19" s="28" t="str">
        <f>IFERROR((VLOOKUP(A19,Regions!D:F,3,0)),"ENTER")</f>
        <v>New England</v>
      </c>
      <c r="C19" s="26" t="s">
        <v>402</v>
      </c>
      <c r="D19" s="27">
        <v>1994</v>
      </c>
      <c r="E19" s="26" t="s">
        <v>15</v>
      </c>
      <c r="F19" s="27" t="s">
        <v>216</v>
      </c>
      <c r="G19" s="26" t="s">
        <v>220</v>
      </c>
      <c r="H19" s="42" t="s">
        <v>61</v>
      </c>
    </row>
    <row r="20" spans="1:8" x14ac:dyDescent="0.25">
      <c r="A20" s="27" t="s">
        <v>155</v>
      </c>
      <c r="B20" s="28" t="str">
        <f>IFERROR((VLOOKUP(A20,Regions!D:F,3,0)),"ENTER")</f>
        <v>New England</v>
      </c>
      <c r="C20" s="26" t="s">
        <v>402</v>
      </c>
      <c r="D20" s="27">
        <v>1995</v>
      </c>
      <c r="E20" s="27" t="s">
        <v>15</v>
      </c>
      <c r="F20" s="27" t="s">
        <v>216</v>
      </c>
      <c r="G20" s="26" t="s">
        <v>220</v>
      </c>
      <c r="H20" s="42" t="s">
        <v>361</v>
      </c>
    </row>
    <row r="21" spans="1:8" x14ac:dyDescent="0.25">
      <c r="A21" s="27" t="s">
        <v>165</v>
      </c>
      <c r="B21" s="28" t="str">
        <f>IFERROR((VLOOKUP(A21,Regions!D:F,3,0)),"ENTER")</f>
        <v>Pacific Northwest</v>
      </c>
      <c r="C21" s="26" t="s">
        <v>402</v>
      </c>
      <c r="D21" s="27">
        <v>1998</v>
      </c>
      <c r="E21" s="27" t="s">
        <v>24</v>
      </c>
      <c r="F21" s="27" t="s">
        <v>212</v>
      </c>
      <c r="G21" s="26" t="s">
        <v>84</v>
      </c>
      <c r="H21" s="42" t="s">
        <v>363</v>
      </c>
    </row>
    <row r="22" spans="1:8" x14ac:dyDescent="0.25">
      <c r="A22" s="26" t="s">
        <v>213</v>
      </c>
      <c r="B22" s="28" t="str">
        <f>IFERROR((VLOOKUP(A22,Regions!D:F,3,0)),"ENTER")</f>
        <v>Southeast</v>
      </c>
      <c r="C22" s="26" t="s">
        <v>402</v>
      </c>
      <c r="D22" s="26">
        <v>2004</v>
      </c>
      <c r="E22" s="26" t="s">
        <v>15</v>
      </c>
      <c r="F22" s="26" t="s">
        <v>222</v>
      </c>
      <c r="G22" s="26" t="s">
        <v>220</v>
      </c>
      <c r="H22" s="42" t="s">
        <v>56</v>
      </c>
    </row>
    <row r="23" spans="1:8" x14ac:dyDescent="0.25">
      <c r="A23" s="26" t="s">
        <v>206</v>
      </c>
      <c r="B23" s="28" t="str">
        <f>IFERROR((VLOOKUP(A23,Regions!D:F,3,0)),"ENTER")</f>
        <v>South Central</v>
      </c>
      <c r="C23" s="26" t="s">
        <v>402</v>
      </c>
      <c r="D23" s="26">
        <v>2012</v>
      </c>
      <c r="E23" s="26" t="s">
        <v>15</v>
      </c>
      <c r="F23" s="26" t="s">
        <v>222</v>
      </c>
      <c r="G23" s="26" t="s">
        <v>85</v>
      </c>
      <c r="H23" s="42" t="s">
        <v>1870</v>
      </c>
    </row>
    <row r="24" spans="1:8" x14ac:dyDescent="0.25">
      <c r="A24" s="27" t="s">
        <v>241</v>
      </c>
      <c r="B24" s="28" t="str">
        <f>IFERROR((VLOOKUP(A24,Regions!D:F,3,0)),"ENTER")</f>
        <v>Midwest</v>
      </c>
      <c r="C24" s="39" t="s">
        <v>283</v>
      </c>
      <c r="D24" s="27">
        <v>2013</v>
      </c>
      <c r="E24" s="27" t="s">
        <v>59</v>
      </c>
      <c r="F24" s="27" t="s">
        <v>372</v>
      </c>
      <c r="G24" s="26" t="s">
        <v>85</v>
      </c>
      <c r="H24" s="42" t="s">
        <v>370</v>
      </c>
    </row>
    <row r="25" spans="1:8" x14ac:dyDescent="0.25">
      <c r="A25" s="27" t="s">
        <v>217</v>
      </c>
      <c r="B25" s="28" t="str">
        <f>IFERROR((VLOOKUP(A25,Regions!D:F,3,0)),"ENTER")</f>
        <v>Midwest</v>
      </c>
      <c r="C25" s="39" t="s">
        <v>283</v>
      </c>
      <c r="D25" s="27">
        <v>2013</v>
      </c>
      <c r="E25" s="27" t="s">
        <v>15</v>
      </c>
      <c r="F25" s="27" t="s">
        <v>212</v>
      </c>
      <c r="G25" s="26" t="s">
        <v>85</v>
      </c>
      <c r="H25" s="42" t="s">
        <v>374</v>
      </c>
    </row>
    <row r="26" spans="1:8" x14ac:dyDescent="0.25">
      <c r="A26" s="27" t="s">
        <v>217</v>
      </c>
      <c r="B26" s="28" t="str">
        <f>IFERROR((VLOOKUP(A26,Regions!D:F,3,0)),"ENTER")</f>
        <v>Midwest</v>
      </c>
      <c r="C26" s="39" t="s">
        <v>283</v>
      </c>
      <c r="D26" s="27">
        <v>2013</v>
      </c>
      <c r="E26" s="26" t="s">
        <v>15</v>
      </c>
      <c r="F26" s="27" t="s">
        <v>212</v>
      </c>
      <c r="G26" s="26" t="s">
        <v>318</v>
      </c>
      <c r="H26" s="42" t="s">
        <v>280</v>
      </c>
    </row>
    <row r="27" spans="1:8" x14ac:dyDescent="0.25">
      <c r="A27" s="27" t="s">
        <v>217</v>
      </c>
      <c r="B27" s="28" t="str">
        <f>IFERROR((VLOOKUP(A27,Regions!D:F,3,0)),"ENTER")</f>
        <v>Midwest</v>
      </c>
      <c r="C27" s="26" t="s">
        <v>283</v>
      </c>
      <c r="D27" s="27">
        <v>2010</v>
      </c>
      <c r="E27" s="27" t="s">
        <v>15</v>
      </c>
      <c r="F27" s="27" t="s">
        <v>212</v>
      </c>
      <c r="G27" s="26" t="s">
        <v>85</v>
      </c>
      <c r="H27" s="42" t="s">
        <v>293</v>
      </c>
    </row>
    <row r="28" spans="1:8" x14ac:dyDescent="0.25">
      <c r="A28" s="27" t="s">
        <v>242</v>
      </c>
      <c r="B28" s="28" t="str">
        <f>IFERROR((VLOOKUP(A28,Regions!D:F,3,0)),"ENTER")</f>
        <v>Midwest</v>
      </c>
      <c r="C28" s="26" t="s">
        <v>283</v>
      </c>
      <c r="D28" s="27">
        <v>2011</v>
      </c>
      <c r="E28" s="27" t="s">
        <v>15</v>
      </c>
      <c r="F28" s="27" t="s">
        <v>212</v>
      </c>
      <c r="G28" s="26" t="s">
        <v>85</v>
      </c>
      <c r="H28" s="42" t="s">
        <v>1881</v>
      </c>
    </row>
    <row r="29" spans="1:8" x14ac:dyDescent="0.25">
      <c r="A29" s="27" t="s">
        <v>213</v>
      </c>
      <c r="B29" s="28" t="str">
        <f>IFERROR((VLOOKUP(A29,Regions!D:F,3,0)),"ENTER")</f>
        <v>Southeast</v>
      </c>
      <c r="C29" s="26" t="s">
        <v>283</v>
      </c>
      <c r="D29" s="27">
        <v>2008</v>
      </c>
      <c r="E29" s="27" t="s">
        <v>59</v>
      </c>
      <c r="F29" s="27" t="s">
        <v>212</v>
      </c>
      <c r="G29" s="26" t="s">
        <v>85</v>
      </c>
      <c r="H29" s="42" t="s">
        <v>320</v>
      </c>
    </row>
    <row r="30" spans="1:8" x14ac:dyDescent="0.25">
      <c r="A30" s="27" t="s">
        <v>209</v>
      </c>
      <c r="B30" s="28" t="str">
        <f>IFERROR((VLOOKUP(A30,Regions!D:F,3,0)),"ENTER")</f>
        <v>Mid-Atlantic</v>
      </c>
      <c r="C30" s="26" t="s">
        <v>283</v>
      </c>
      <c r="D30" s="27">
        <v>2013</v>
      </c>
      <c r="E30" s="26" t="s">
        <v>59</v>
      </c>
      <c r="F30" s="27" t="s">
        <v>212</v>
      </c>
      <c r="G30" s="26" t="s">
        <v>318</v>
      </c>
      <c r="H30" s="42" t="s">
        <v>282</v>
      </c>
    </row>
    <row r="31" spans="1:8" x14ac:dyDescent="0.25">
      <c r="A31" s="27" t="s">
        <v>209</v>
      </c>
      <c r="B31" s="28" t="str">
        <f>IFERROR((VLOOKUP(A31,Regions!D:F,3,0)),"ENTER")</f>
        <v>Mid-Atlantic</v>
      </c>
      <c r="C31" s="26" t="s">
        <v>283</v>
      </c>
      <c r="D31" s="27">
        <v>2013</v>
      </c>
      <c r="E31" s="26" t="s">
        <v>59</v>
      </c>
      <c r="F31" s="27" t="s">
        <v>212</v>
      </c>
      <c r="G31" s="26" t="s">
        <v>220</v>
      </c>
      <c r="H31" s="42" t="s">
        <v>282</v>
      </c>
    </row>
    <row r="32" spans="1:8" x14ac:dyDescent="0.25">
      <c r="A32" s="27" t="s">
        <v>213</v>
      </c>
      <c r="B32" s="28" t="str">
        <f>IFERROR((VLOOKUP(A32,Regions!D:F,3,0)),"ENTER")</f>
        <v>Southeast</v>
      </c>
      <c r="C32" s="26" t="s">
        <v>422</v>
      </c>
      <c r="D32" s="27">
        <v>2000</v>
      </c>
      <c r="E32" s="27" t="s">
        <v>24</v>
      </c>
      <c r="F32" s="27" t="s">
        <v>207</v>
      </c>
      <c r="G32" s="26" t="s">
        <v>318</v>
      </c>
      <c r="H32" s="42" t="s">
        <v>295</v>
      </c>
    </row>
    <row r="33" spans="1:8" x14ac:dyDescent="0.25">
      <c r="A33" s="27" t="s">
        <v>42</v>
      </c>
      <c r="B33" s="28" t="s">
        <v>308</v>
      </c>
      <c r="C33" s="26" t="s">
        <v>422</v>
      </c>
      <c r="D33" s="27">
        <v>1992</v>
      </c>
      <c r="E33" s="27" t="s">
        <v>24</v>
      </c>
      <c r="F33" s="27" t="s">
        <v>212</v>
      </c>
      <c r="G33" s="26" t="s">
        <v>229</v>
      </c>
      <c r="H33" s="42" t="s">
        <v>326</v>
      </c>
    </row>
    <row r="34" spans="1:8" x14ac:dyDescent="0.25">
      <c r="A34" s="27" t="s">
        <v>42</v>
      </c>
      <c r="B34" s="28" t="s">
        <v>308</v>
      </c>
      <c r="C34" s="26" t="s">
        <v>422</v>
      </c>
      <c r="D34" s="27">
        <v>1992</v>
      </c>
      <c r="E34" s="27" t="s">
        <v>24</v>
      </c>
      <c r="F34" s="27" t="s">
        <v>212</v>
      </c>
      <c r="G34" s="26" t="s">
        <v>318</v>
      </c>
      <c r="H34" s="42" t="s">
        <v>326</v>
      </c>
    </row>
    <row r="35" spans="1:8" x14ac:dyDescent="0.25">
      <c r="A35" s="27" t="s">
        <v>42</v>
      </c>
      <c r="B35" s="28" t="s">
        <v>308</v>
      </c>
      <c r="C35" s="26" t="s">
        <v>422</v>
      </c>
      <c r="D35" s="27">
        <v>1992</v>
      </c>
      <c r="E35" s="27" t="s">
        <v>24</v>
      </c>
      <c r="F35" s="27" t="s">
        <v>212</v>
      </c>
      <c r="G35" s="26" t="s">
        <v>84</v>
      </c>
      <c r="H35" s="42" t="s">
        <v>326</v>
      </c>
    </row>
    <row r="36" spans="1:8" s="36" customFormat="1" x14ac:dyDescent="0.25">
      <c r="A36" s="27" t="s">
        <v>155</v>
      </c>
      <c r="B36" s="28" t="str">
        <f>IFERROR((VLOOKUP(A36,Regions!D:F,3,0)),"ENTER")</f>
        <v>New England</v>
      </c>
      <c r="C36" s="26" t="s">
        <v>422</v>
      </c>
      <c r="D36" s="27">
        <v>2005</v>
      </c>
      <c r="E36" s="27" t="s">
        <v>24</v>
      </c>
      <c r="F36" s="27" t="s">
        <v>207</v>
      </c>
      <c r="G36" s="26" t="s">
        <v>84</v>
      </c>
      <c r="H36" s="42" t="s">
        <v>287</v>
      </c>
    </row>
    <row r="37" spans="1:8" x14ac:dyDescent="0.25">
      <c r="A37" s="34" t="s">
        <v>111</v>
      </c>
      <c r="B37" s="35" t="str">
        <f>IFERROR((VLOOKUP(A37,Regions!D:F,3,0)),"ENTER")</f>
        <v>Southeast</v>
      </c>
      <c r="C37" s="40" t="s">
        <v>422</v>
      </c>
      <c r="D37" s="34">
        <v>1999</v>
      </c>
      <c r="E37" s="34" t="s">
        <v>15</v>
      </c>
      <c r="F37" s="34" t="s">
        <v>212</v>
      </c>
      <c r="G37" s="40" t="s">
        <v>220</v>
      </c>
      <c r="H37" s="42" t="s">
        <v>296</v>
      </c>
    </row>
    <row r="38" spans="1:8" x14ac:dyDescent="0.25">
      <c r="A38" s="27" t="s">
        <v>105</v>
      </c>
      <c r="B38" s="28" t="str">
        <f>IFERROR((VLOOKUP(A38,Regions!D:F,3,0)),"ENTER")</f>
        <v>Pacific Southwest</v>
      </c>
      <c r="C38" s="26" t="s">
        <v>422</v>
      </c>
      <c r="D38" s="27">
        <v>2010</v>
      </c>
      <c r="E38" s="27" t="s">
        <v>24</v>
      </c>
      <c r="F38" s="27" t="s">
        <v>207</v>
      </c>
      <c r="G38" s="26" t="s">
        <v>85</v>
      </c>
      <c r="H38" s="42" t="s">
        <v>278</v>
      </c>
    </row>
    <row r="39" spans="1:8" x14ac:dyDescent="0.25">
      <c r="A39" s="27" t="s">
        <v>237</v>
      </c>
      <c r="B39" s="28" t="str">
        <f>IFERROR((VLOOKUP(A39,Regions!D:F,3,0)),"ENTER")</f>
        <v>Pacific Southwest</v>
      </c>
      <c r="C39" s="26" t="s">
        <v>422</v>
      </c>
      <c r="D39" s="27">
        <v>2002</v>
      </c>
      <c r="E39" s="27" t="s">
        <v>24</v>
      </c>
      <c r="F39" s="27" t="s">
        <v>212</v>
      </c>
      <c r="G39" s="26" t="s">
        <v>220</v>
      </c>
      <c r="H39" s="42" t="s">
        <v>294</v>
      </c>
    </row>
    <row r="40" spans="1:8" x14ac:dyDescent="0.25">
      <c r="A40" s="27" t="s">
        <v>42</v>
      </c>
      <c r="B40" s="28" t="s">
        <v>308</v>
      </c>
      <c r="C40" s="26" t="s">
        <v>422</v>
      </c>
      <c r="D40" s="27">
        <v>2008</v>
      </c>
      <c r="E40" s="27" t="s">
        <v>307</v>
      </c>
      <c r="F40" s="27" t="s">
        <v>387</v>
      </c>
      <c r="G40" s="26" t="s">
        <v>85</v>
      </c>
      <c r="H40" s="42" t="s">
        <v>388</v>
      </c>
    </row>
    <row r="41" spans="1:8" x14ac:dyDescent="0.25">
      <c r="A41" s="27" t="s">
        <v>42</v>
      </c>
      <c r="B41" s="28" t="s">
        <v>308</v>
      </c>
      <c r="C41" s="26" t="s">
        <v>422</v>
      </c>
      <c r="D41" s="27">
        <v>2008</v>
      </c>
      <c r="E41" s="27" t="s">
        <v>307</v>
      </c>
      <c r="F41" s="27" t="s">
        <v>387</v>
      </c>
      <c r="G41" s="26" t="s">
        <v>220</v>
      </c>
      <c r="H41" s="42" t="s">
        <v>388</v>
      </c>
    </row>
    <row r="42" spans="1:8" x14ac:dyDescent="0.25">
      <c r="A42" s="27" t="s">
        <v>42</v>
      </c>
      <c r="B42" s="28" t="s">
        <v>308</v>
      </c>
      <c r="C42" s="26" t="s">
        <v>422</v>
      </c>
      <c r="D42" s="27">
        <v>2008</v>
      </c>
      <c r="E42" s="27" t="s">
        <v>307</v>
      </c>
      <c r="F42" s="27" t="s">
        <v>387</v>
      </c>
      <c r="G42" s="26" t="s">
        <v>318</v>
      </c>
      <c r="H42" s="42" t="s">
        <v>388</v>
      </c>
    </row>
    <row r="43" spans="1:8" x14ac:dyDescent="0.25">
      <c r="A43" s="27" t="s">
        <v>213</v>
      </c>
      <c r="B43" s="28" t="str">
        <f>IFERROR((VLOOKUP(A43,Regions!D:F,3,0)),"ENTER")</f>
        <v>Southeast</v>
      </c>
      <c r="C43" s="26" t="s">
        <v>422</v>
      </c>
      <c r="D43" s="27">
        <v>1994</v>
      </c>
      <c r="E43" s="27" t="s">
        <v>228</v>
      </c>
      <c r="F43" s="27" t="s">
        <v>212</v>
      </c>
      <c r="G43" s="26" t="s">
        <v>84</v>
      </c>
      <c r="H43" s="42" t="s">
        <v>297</v>
      </c>
    </row>
    <row r="44" spans="1:8" x14ac:dyDescent="0.25">
      <c r="A44" s="27" t="s">
        <v>213</v>
      </c>
      <c r="B44" s="28" t="str">
        <f>IFERROR((VLOOKUP(A44,Regions!D:F,3,0)),"ENTER")</f>
        <v>Southeast</v>
      </c>
      <c r="C44" s="26" t="s">
        <v>402</v>
      </c>
      <c r="D44" s="27">
        <v>1999</v>
      </c>
      <c r="E44" s="27" t="s">
        <v>24</v>
      </c>
      <c r="F44" s="27" t="s">
        <v>207</v>
      </c>
      <c r="G44" s="26" t="s">
        <v>318</v>
      </c>
      <c r="H44" s="42" t="s">
        <v>289</v>
      </c>
    </row>
    <row r="45" spans="1:8" x14ac:dyDescent="0.25">
      <c r="A45" s="27" t="s">
        <v>213</v>
      </c>
      <c r="B45" s="28" t="str">
        <f>IFERROR((VLOOKUP(A45,Regions!D:F,3,0)),"ENTER")</f>
        <v>Southeast</v>
      </c>
      <c r="C45" s="26" t="s">
        <v>422</v>
      </c>
      <c r="D45" s="27">
        <v>2005</v>
      </c>
      <c r="E45" s="27" t="s">
        <v>24</v>
      </c>
      <c r="F45" s="27" t="s">
        <v>207</v>
      </c>
      <c r="G45" s="26" t="s">
        <v>318</v>
      </c>
      <c r="H45" s="42" t="s">
        <v>292</v>
      </c>
    </row>
    <row r="46" spans="1:8" x14ac:dyDescent="0.25">
      <c r="A46" s="27" t="s">
        <v>213</v>
      </c>
      <c r="B46" s="28" t="str">
        <f>IFERROR((VLOOKUP(A46,Regions!D:F,3,0)),"ENTER")</f>
        <v>Southeast</v>
      </c>
      <c r="C46" s="26" t="s">
        <v>402</v>
      </c>
      <c r="D46" s="27">
        <v>2005</v>
      </c>
      <c r="E46" s="27" t="s">
        <v>24</v>
      </c>
      <c r="F46" s="27" t="s">
        <v>207</v>
      </c>
      <c r="G46" s="26" t="s">
        <v>318</v>
      </c>
      <c r="H46" s="42" t="s">
        <v>1490</v>
      </c>
    </row>
    <row r="47" spans="1:8" x14ac:dyDescent="0.25">
      <c r="A47" s="27" t="s">
        <v>42</v>
      </c>
      <c r="B47" s="28" t="s">
        <v>308</v>
      </c>
      <c r="C47" s="26" t="s">
        <v>422</v>
      </c>
      <c r="D47" s="27">
        <v>1996</v>
      </c>
      <c r="E47" s="27" t="s">
        <v>307</v>
      </c>
      <c r="F47" s="27" t="s">
        <v>222</v>
      </c>
      <c r="G47" s="26" t="s">
        <v>85</v>
      </c>
      <c r="H47" s="42" t="s">
        <v>290</v>
      </c>
    </row>
    <row r="48" spans="1:8" x14ac:dyDescent="0.25">
      <c r="A48" s="27" t="s">
        <v>215</v>
      </c>
      <c r="B48" s="28" t="str">
        <f>IFERROR((VLOOKUP(A48,Regions!D:F,3,0)),"ENTER")</f>
        <v>Midwest</v>
      </c>
      <c r="C48" s="26" t="s">
        <v>422</v>
      </c>
      <c r="D48" s="27">
        <v>1989</v>
      </c>
      <c r="E48" s="27" t="s">
        <v>15</v>
      </c>
      <c r="F48" s="27" t="s">
        <v>216</v>
      </c>
      <c r="G48" s="26" t="s">
        <v>220</v>
      </c>
      <c r="H48" s="42" t="s">
        <v>298</v>
      </c>
    </row>
    <row r="49" spans="1:8" x14ac:dyDescent="0.25">
      <c r="A49" s="27" t="s">
        <v>262</v>
      </c>
      <c r="B49" s="28" t="str">
        <f>IFERROR((VLOOKUP(A49,Regions!D:F,3,0)),"ENTER")</f>
        <v>New England</v>
      </c>
      <c r="C49" s="26" t="s">
        <v>422</v>
      </c>
      <c r="D49" s="27">
        <v>1981</v>
      </c>
      <c r="E49" s="27" t="s">
        <v>15</v>
      </c>
      <c r="F49" s="27" t="s">
        <v>212</v>
      </c>
      <c r="G49" s="26" t="s">
        <v>220</v>
      </c>
      <c r="H49" s="42" t="s">
        <v>299</v>
      </c>
    </row>
    <row r="50" spans="1:8" x14ac:dyDescent="0.2">
      <c r="A50" s="27" t="s">
        <v>242</v>
      </c>
      <c r="B50" s="28" t="str">
        <f>IFERROR((VLOOKUP(A50,Regions!D:F,3,0)),"ENTER")</f>
        <v>Midwest</v>
      </c>
      <c r="C50" s="26" t="s">
        <v>422</v>
      </c>
      <c r="D50" s="27">
        <v>2005</v>
      </c>
      <c r="E50" s="27" t="s">
        <v>15</v>
      </c>
      <c r="F50" s="27" t="s">
        <v>212</v>
      </c>
      <c r="G50" s="26" t="s">
        <v>85</v>
      </c>
      <c r="H50" s="52" t="s">
        <v>585</v>
      </c>
    </row>
    <row r="51" spans="1:8" x14ac:dyDescent="0.2">
      <c r="A51" s="27" t="s">
        <v>264</v>
      </c>
      <c r="B51" s="28" t="str">
        <f>IFERROR((VLOOKUP(A51,Regions!D:F,3,0)),"ENTER")</f>
        <v>Pacific Northwest</v>
      </c>
      <c r="C51" s="26" t="s">
        <v>402</v>
      </c>
      <c r="D51" s="27">
        <v>2010</v>
      </c>
      <c r="E51" s="27" t="s">
        <v>24</v>
      </c>
      <c r="F51" s="27" t="s">
        <v>212</v>
      </c>
      <c r="G51" s="26" t="s">
        <v>1731</v>
      </c>
      <c r="H51" s="52" t="s">
        <v>342</v>
      </c>
    </row>
    <row r="52" spans="1:8" x14ac:dyDescent="0.25">
      <c r="A52" s="27" t="s">
        <v>254</v>
      </c>
      <c r="B52" s="28" t="str">
        <f>IFERROR((VLOOKUP(A52,Regions!D:F,3,0)),"ENTER")</f>
        <v>Southeast</v>
      </c>
      <c r="C52" s="26" t="s">
        <v>402</v>
      </c>
      <c r="D52" s="27">
        <v>2010</v>
      </c>
      <c r="E52" s="27" t="s">
        <v>24</v>
      </c>
      <c r="F52" s="27" t="s">
        <v>614</v>
      </c>
      <c r="G52" s="26" t="s">
        <v>84</v>
      </c>
      <c r="H52" s="42" t="s">
        <v>628</v>
      </c>
    </row>
    <row r="53" spans="1:8" x14ac:dyDescent="0.25">
      <c r="A53" s="27" t="s">
        <v>254</v>
      </c>
      <c r="B53" s="28" t="str">
        <f>IFERROR((VLOOKUP(A53,Regions!D:F,3,0)),"ENTER")</f>
        <v>Southeast</v>
      </c>
      <c r="C53" s="26" t="s">
        <v>422</v>
      </c>
      <c r="D53" s="27">
        <v>2012</v>
      </c>
      <c r="E53" s="27" t="s">
        <v>24</v>
      </c>
      <c r="F53" s="27" t="s">
        <v>614</v>
      </c>
      <c r="G53" s="26" t="s">
        <v>84</v>
      </c>
      <c r="H53" s="42" t="s">
        <v>675</v>
      </c>
    </row>
    <row r="54" spans="1:8" x14ac:dyDescent="0.25">
      <c r="A54" s="60"/>
      <c r="B54" s="61"/>
      <c r="C54" s="62"/>
      <c r="D54" s="60"/>
      <c r="E54" s="60"/>
      <c r="F54" s="60"/>
      <c r="G54" s="62"/>
      <c r="H54" s="63"/>
    </row>
    <row r="55" spans="1:8" x14ac:dyDescent="0.25">
      <c r="A55" s="51" t="s">
        <v>557</v>
      </c>
      <c r="B55" s="21"/>
      <c r="C55" s="51"/>
      <c r="D55" s="51"/>
      <c r="E55" s="51"/>
      <c r="F55" s="51"/>
      <c r="G55" s="51"/>
      <c r="H55" s="51"/>
    </row>
    <row r="56" spans="1:8" ht="15" customHeight="1" x14ac:dyDescent="0.25">
      <c r="A56" s="51" t="s">
        <v>558</v>
      </c>
      <c r="B56" s="21"/>
      <c r="C56" s="51"/>
      <c r="D56" s="51"/>
      <c r="E56" s="51"/>
      <c r="F56" s="51"/>
      <c r="G56" s="51"/>
      <c r="H56" s="51"/>
    </row>
    <row r="57" spans="1:8" x14ac:dyDescent="0.25">
      <c r="A57" s="49"/>
      <c r="B57" s="50"/>
      <c r="C57" s="49"/>
      <c r="D57" s="49"/>
      <c r="E57" s="49"/>
      <c r="F57" s="49"/>
      <c r="G57" s="49"/>
      <c r="H57" s="49"/>
    </row>
  </sheetData>
  <autoFilter ref="A3:H56">
    <sortState ref="A4:H22">
      <sortCondition ref="B3:B53"/>
    </sortState>
  </autoFilter>
  <hyperlinks>
    <hyperlink ref="H11" location="KashianKasper2011" display="Kashian and Kasper (2010)"/>
    <hyperlink ref="H22" location="Walshetal2011" display="Walsh, et al. (2011)"/>
    <hyperlink ref="H4" location="Pooretal2007" display="Poor, et al. (2007)"/>
    <hyperlink ref="H14" location="Kryseletal2003" display="Krysel, et al. (2003)"/>
    <hyperlink ref="H5" location="Araetal2006" display="Ara, et al. (2006)"/>
    <hyperlink ref="H20" location="Pooretal2002" display="Poor, et al. (2001)"/>
    <hyperlink ref="H16" location="Gibbsetal2002" display="Gibbs, et al. (2002)"/>
    <hyperlink ref="H15" location="Boyleetal1998" display="Boyle, et al. (1998)"/>
    <hyperlink ref="H19" location="Michaeletal2000" display="Michael, et al. (2000)"/>
    <hyperlink ref="H6" location="DavenportDrake2011" display="Davenport and Drake (2011)"/>
    <hyperlink ref="H8" location="Davenportetal2010" display="Davenport, et al. (2010)"/>
    <hyperlink ref="H18" location="OhDitton2005" display="Oh and Ditton (2005)"/>
    <hyperlink ref="H10" location="EvansJones2001" display="Evans and Jones (2001)"/>
    <hyperlink ref="H12" location="Hoaglandetal2009" display="Hoagland, et al. (2009)"/>
    <hyperlink ref="H7" location="DavenportDrake2011b" display="Davenport and Drake (2011)"/>
    <hyperlink ref="H9" location="Fisheries!A7" display="Evans and Jones (2001)"/>
    <hyperlink ref="H13" location="Jinetal2008" display="Jin, et al. (2008)"/>
    <hyperlink ref="H17" location="Mistiaenetal2003" display="Mistiaen, et al. (2003)"/>
    <hyperlink ref="H21" location="Fisheries!A8" display="RaLonde (1998)"/>
    <hyperlink ref="B3" location="Regions!A1" display="Region"/>
    <hyperlink ref="H26" location="Hunt2013" display="Hunt (2013)"/>
    <hyperlink ref="H30" location="Wheeler2013" display="Wheeler (2013)"/>
    <hyperlink ref="H36" location="athearn2008" display="Athearn (2008)"/>
    <hyperlink ref="H44" location="LarkinAdams2007" display="Larkin and Adams (2007)"/>
    <hyperlink ref="H46" location="Morganetal2008" display="Morgan, et al. (2008)"/>
    <hyperlink ref="H47" location="Ribaudoetal2011" display="Ribaudo, et al. (2011)"/>
    <hyperlink ref="H45" location="MorganLarkin2006" display="Morgan and Larkin (2006)"/>
    <hyperlink ref="H27" location="LakeErie2012" display="Lake Erie Improvement Association (2012)"/>
    <hyperlink ref="H39" location="Cesaretal2002" display="Cesar, et al. (2002)"/>
    <hyperlink ref="H32" location="Adamsetal2002" display="Adams, et al. (2002)"/>
    <hyperlink ref="H37" location="CareyLeftwich2000" display="Carey and Leftwich (2000)"/>
    <hyperlink ref="H43" location="Gorte1994" display="Gorte (1994)"/>
    <hyperlink ref="H48" location="Steinnes1992" display="Steinnes (1992)"/>
    <hyperlink ref="H49" location="Young1984" display="Young (1984)"/>
    <hyperlink ref="H38" location="Caronetal2010" display="Caron et al. (2010)"/>
    <hyperlink ref="H29" location="Lollar2008" display="Lollar (2008)"/>
    <hyperlink ref="H24" location="DesMoines2013" display="Des Moines Register (2013)"/>
    <hyperlink ref="H25" location="Henry2013" display="Henry (2013)"/>
    <hyperlink ref="H33" location="Andersonetal2000" display="Anderson et al. (2000)"/>
    <hyperlink ref="H40" location="Doddsetal2009" display="Dodd et al. (2009)"/>
    <hyperlink ref="H34" location="Andersonetal2000" display="Anderson et al. (2000)"/>
    <hyperlink ref="H35" location="Andersonetal2000" display="Anderson et al. (2000)"/>
    <hyperlink ref="H41" location="Doddsetal2009" display="Dodd et al. (2009)"/>
    <hyperlink ref="H42" location="Doddsetal2009" display="Dodd et al. (2009)"/>
    <hyperlink ref="H31" location="Wheeler2013" display="Wheeler (2013)"/>
    <hyperlink ref="H50" location="'Additional Studies'!A18" display="Oneby and Bollyky (2006)"/>
    <hyperlink ref="H52" location="Fisheries!A9" display="Huang et al. (2010)"/>
    <hyperlink ref="H53" location="'Additional Studies'!A19" display="Huang et al. (2012)"/>
    <hyperlink ref="H51" location="DysonHuppert2010" display="Dyson and Huppert (2010)"/>
    <hyperlink ref="H23" location="'Drinking Water Treatment'!A6" display="The Cadmus Group Inc. (2014)"/>
    <hyperlink ref="H28" location="KDHE2011" display="KDHE (2011)"/>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13"/>
  <sheetViews>
    <sheetView showGridLines="0" workbookViewId="0">
      <pane xSplit="1" ySplit="4" topLeftCell="B8" activePane="bottomRight" state="frozen"/>
      <selection activeCell="F8" sqref="F8"/>
      <selection pane="topRight" activeCell="F8" sqref="F8"/>
      <selection pane="bottomLeft" activeCell="F8" sqref="F8"/>
      <selection pane="bottomRight" activeCell="A10" sqref="A10"/>
    </sheetView>
  </sheetViews>
  <sheetFormatPr defaultColWidth="9.140625" defaultRowHeight="12.75" x14ac:dyDescent="0.2"/>
  <cols>
    <col min="1" max="1" width="13.28515625" style="5" customWidth="1"/>
    <col min="2" max="2" width="15.28515625" style="5" customWidth="1"/>
    <col min="3" max="4" width="15.42578125" style="5" customWidth="1"/>
    <col min="5" max="5" width="29.42578125" style="5" customWidth="1"/>
    <col min="6" max="6" width="32.140625" style="5" customWidth="1"/>
    <col min="7" max="8" width="29.42578125" style="5" customWidth="1"/>
    <col min="9" max="10" width="38.85546875" style="5" customWidth="1"/>
    <col min="11" max="11" width="13.7109375" style="5" customWidth="1"/>
    <col min="12" max="12" width="32.140625" style="5" customWidth="1"/>
    <col min="13" max="16384" width="9.140625" style="5"/>
  </cols>
  <sheetData>
    <row r="1" spans="1:12" ht="16.5" customHeight="1" x14ac:dyDescent="0.2">
      <c r="A1" s="158"/>
      <c r="B1" s="11"/>
      <c r="C1" s="11"/>
      <c r="D1" s="11"/>
      <c r="E1" s="11"/>
    </row>
    <row r="2" spans="1:12" ht="16.5" customHeight="1" x14ac:dyDescent="0.2">
      <c r="A2" s="123"/>
      <c r="B2" s="123"/>
      <c r="C2" s="123"/>
      <c r="D2" s="123"/>
      <c r="E2" s="11"/>
    </row>
    <row r="3" spans="1:12" x14ac:dyDescent="0.2">
      <c r="A3" s="224" t="s">
        <v>48</v>
      </c>
      <c r="B3" s="225"/>
      <c r="C3" s="225"/>
      <c r="D3" s="225"/>
      <c r="E3" s="225"/>
      <c r="F3" s="225"/>
      <c r="G3" s="225"/>
      <c r="H3" s="225"/>
      <c r="I3" s="225"/>
      <c r="J3" s="225"/>
      <c r="K3" s="225"/>
      <c r="L3" s="226"/>
    </row>
    <row r="4" spans="1:12" x14ac:dyDescent="0.2">
      <c r="A4" s="58" t="s">
        <v>17</v>
      </c>
      <c r="B4" s="57" t="s">
        <v>14</v>
      </c>
      <c r="C4" s="58" t="s">
        <v>11</v>
      </c>
      <c r="D4" s="57" t="s">
        <v>44</v>
      </c>
      <c r="E4" s="58" t="s">
        <v>16</v>
      </c>
      <c r="F4" s="58" t="s">
        <v>12</v>
      </c>
      <c r="G4" s="58" t="s">
        <v>73</v>
      </c>
      <c r="H4" s="58" t="s">
        <v>40</v>
      </c>
      <c r="I4" s="58" t="s">
        <v>199</v>
      </c>
      <c r="J4" s="58" t="s">
        <v>569</v>
      </c>
      <c r="K4" s="58" t="s">
        <v>161</v>
      </c>
      <c r="L4" s="58" t="s">
        <v>9</v>
      </c>
    </row>
    <row r="5" spans="1:12" ht="93.75" customHeight="1" x14ac:dyDescent="0.2">
      <c r="A5" s="14" t="s">
        <v>22</v>
      </c>
      <c r="B5" s="14" t="s">
        <v>15</v>
      </c>
      <c r="C5" s="14" t="s">
        <v>23</v>
      </c>
      <c r="D5" s="14" t="s">
        <v>35</v>
      </c>
      <c r="E5" s="14" t="s">
        <v>112</v>
      </c>
      <c r="F5" s="14" t="s">
        <v>92</v>
      </c>
      <c r="G5" s="14" t="s">
        <v>97</v>
      </c>
      <c r="H5" s="14" t="s">
        <v>97</v>
      </c>
      <c r="I5" s="14" t="s">
        <v>196</v>
      </c>
      <c r="J5" s="16" t="s">
        <v>181</v>
      </c>
      <c r="K5" s="16" t="s">
        <v>53</v>
      </c>
      <c r="L5" s="6" t="s">
        <v>153</v>
      </c>
    </row>
    <row r="6" spans="1:12" ht="92.25" customHeight="1" x14ac:dyDescent="0.2">
      <c r="A6" s="16" t="s">
        <v>106</v>
      </c>
      <c r="B6" s="16" t="s">
        <v>15</v>
      </c>
      <c r="C6" s="16" t="s">
        <v>23</v>
      </c>
      <c r="D6" s="16" t="s">
        <v>35</v>
      </c>
      <c r="E6" s="16" t="s">
        <v>112</v>
      </c>
      <c r="F6" s="16" t="s">
        <v>92</v>
      </c>
      <c r="G6" s="16" t="s">
        <v>97</v>
      </c>
      <c r="H6" s="16" t="s">
        <v>97</v>
      </c>
      <c r="I6" s="16" t="s">
        <v>198</v>
      </c>
      <c r="J6" s="16" t="s">
        <v>182</v>
      </c>
      <c r="K6" s="16" t="s">
        <v>53</v>
      </c>
      <c r="L6" s="6" t="s">
        <v>113</v>
      </c>
    </row>
    <row r="7" spans="1:12" ht="115.5" customHeight="1" x14ac:dyDescent="0.2">
      <c r="A7" s="14" t="s">
        <v>29</v>
      </c>
      <c r="B7" s="14" t="s">
        <v>33</v>
      </c>
      <c r="C7" s="14" t="s">
        <v>90</v>
      </c>
      <c r="D7" s="8">
        <v>2000</v>
      </c>
      <c r="E7" s="14" t="s">
        <v>91</v>
      </c>
      <c r="F7" s="14" t="s">
        <v>34</v>
      </c>
      <c r="G7" s="14" t="s">
        <v>117</v>
      </c>
      <c r="H7" s="14" t="s">
        <v>118</v>
      </c>
      <c r="I7" s="14" t="s">
        <v>197</v>
      </c>
      <c r="J7" s="16" t="s">
        <v>186</v>
      </c>
      <c r="K7" s="16" t="s">
        <v>54</v>
      </c>
      <c r="L7" s="14" t="s">
        <v>120</v>
      </c>
    </row>
    <row r="8" spans="1:12" s="11" customFormat="1" ht="93" customHeight="1" x14ac:dyDescent="0.2">
      <c r="A8" s="16" t="s">
        <v>289</v>
      </c>
      <c r="B8" s="18" t="s">
        <v>24</v>
      </c>
      <c r="C8" s="22" t="s">
        <v>1479</v>
      </c>
      <c r="D8" s="22" t="s">
        <v>304</v>
      </c>
      <c r="E8" s="22" t="s">
        <v>1494</v>
      </c>
      <c r="F8" s="8" t="s">
        <v>207</v>
      </c>
      <c r="G8" s="30" t="s">
        <v>1495</v>
      </c>
      <c r="H8" s="30" t="s">
        <v>413</v>
      </c>
      <c r="I8" s="6" t="s">
        <v>1497</v>
      </c>
      <c r="J8" s="6" t="s">
        <v>1498</v>
      </c>
      <c r="K8" s="16" t="s">
        <v>55</v>
      </c>
      <c r="L8" s="6" t="s">
        <v>1489</v>
      </c>
    </row>
    <row r="9" spans="1:12" s="11" customFormat="1" ht="78" customHeight="1" x14ac:dyDescent="0.2">
      <c r="A9" s="16" t="s">
        <v>1490</v>
      </c>
      <c r="B9" s="18" t="s">
        <v>24</v>
      </c>
      <c r="C9" s="22" t="s">
        <v>1480</v>
      </c>
      <c r="D9" s="22">
        <v>2005</v>
      </c>
      <c r="E9" s="22" t="s">
        <v>1494</v>
      </c>
      <c r="F9" s="8" t="s">
        <v>207</v>
      </c>
      <c r="G9" s="30" t="s">
        <v>1493</v>
      </c>
      <c r="H9" s="30" t="s">
        <v>305</v>
      </c>
      <c r="I9" s="6" t="s">
        <v>1491</v>
      </c>
      <c r="J9" s="6" t="s">
        <v>1492</v>
      </c>
      <c r="K9" s="16" t="s">
        <v>55</v>
      </c>
      <c r="L9" s="6" t="s">
        <v>1488</v>
      </c>
    </row>
    <row r="10" spans="1:12" s="11" customFormat="1" ht="78" customHeight="1" x14ac:dyDescent="0.2">
      <c r="A10" s="16" t="s">
        <v>342</v>
      </c>
      <c r="B10" s="18" t="s">
        <v>24</v>
      </c>
      <c r="C10" s="22" t="s">
        <v>1713</v>
      </c>
      <c r="D10" s="22">
        <v>2008</v>
      </c>
      <c r="E10" s="22" t="s">
        <v>1714</v>
      </c>
      <c r="F10" s="8" t="s">
        <v>1715</v>
      </c>
      <c r="G10" s="30" t="s">
        <v>1717</v>
      </c>
      <c r="H10" s="30" t="s">
        <v>1716</v>
      </c>
      <c r="I10" s="6" t="s">
        <v>1718</v>
      </c>
      <c r="J10" s="6" t="s">
        <v>1719</v>
      </c>
      <c r="K10" s="16" t="s">
        <v>55</v>
      </c>
      <c r="L10" s="6" t="s">
        <v>1720</v>
      </c>
    </row>
    <row r="11" spans="1:12" ht="153" x14ac:dyDescent="0.2">
      <c r="A11" s="9" t="s">
        <v>47</v>
      </c>
      <c r="B11" s="9" t="s">
        <v>15</v>
      </c>
      <c r="C11" s="9" t="s">
        <v>1295</v>
      </c>
      <c r="D11" s="8" t="s">
        <v>51</v>
      </c>
      <c r="E11" s="9" t="s">
        <v>1294</v>
      </c>
      <c r="F11" s="9" t="s">
        <v>52</v>
      </c>
      <c r="G11" s="16" t="s">
        <v>114</v>
      </c>
      <c r="H11" s="9" t="s">
        <v>119</v>
      </c>
      <c r="I11" s="9" t="s">
        <v>115</v>
      </c>
      <c r="J11" s="16" t="s">
        <v>115</v>
      </c>
      <c r="K11" s="16" t="s">
        <v>54</v>
      </c>
      <c r="L11" s="9" t="s">
        <v>116</v>
      </c>
    </row>
    <row r="13" spans="1:12" x14ac:dyDescent="0.2">
      <c r="A13" s="5" t="s">
        <v>570</v>
      </c>
    </row>
  </sheetData>
  <mergeCells count="1">
    <mergeCell ref="A3:L3"/>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11"/>
  <sheetViews>
    <sheetView showGridLines="0" workbookViewId="0">
      <pane xSplit="1" ySplit="4" topLeftCell="B7" activePane="bottomRight" state="frozen"/>
      <selection activeCell="F8" sqref="F8"/>
      <selection pane="topRight" activeCell="F8" sqref="F8"/>
      <selection pane="bottomLeft" activeCell="F8" sqref="F8"/>
      <selection pane="bottomRight" activeCell="A9" sqref="A9"/>
    </sheetView>
  </sheetViews>
  <sheetFormatPr defaultColWidth="9.140625" defaultRowHeight="12.75" x14ac:dyDescent="0.2"/>
  <cols>
    <col min="1" max="1" width="13.5703125" style="5" customWidth="1"/>
    <col min="2" max="2" width="12.42578125" style="5" customWidth="1"/>
    <col min="3" max="4" width="16.28515625" style="5" customWidth="1"/>
    <col min="5" max="5" width="13.7109375" style="5" customWidth="1"/>
    <col min="6" max="6" width="18.85546875" style="5" customWidth="1"/>
    <col min="7" max="7" width="24.28515625" style="5" customWidth="1"/>
    <col min="8" max="8" width="20.85546875" style="5" customWidth="1"/>
    <col min="9" max="10" width="36.85546875" style="5" customWidth="1"/>
    <col min="11" max="11" width="12.85546875" style="5" customWidth="1"/>
    <col min="12" max="12" width="72.7109375" style="5" customWidth="1"/>
    <col min="13" max="16384" width="9.140625" style="5"/>
  </cols>
  <sheetData>
    <row r="1" spans="1:12" ht="16.5" customHeight="1" x14ac:dyDescent="0.2">
      <c r="A1" s="158"/>
      <c r="B1" s="11"/>
      <c r="C1" s="11"/>
      <c r="D1" s="11"/>
      <c r="E1" s="11"/>
    </row>
    <row r="2" spans="1:12" ht="16.5" customHeight="1" x14ac:dyDescent="0.2">
      <c r="A2" s="123"/>
      <c r="B2" s="123"/>
      <c r="C2" s="123"/>
      <c r="D2" s="123"/>
      <c r="E2" s="11"/>
    </row>
    <row r="3" spans="1:12" x14ac:dyDescent="0.2">
      <c r="A3" s="224" t="s">
        <v>19</v>
      </c>
      <c r="B3" s="225"/>
      <c r="C3" s="225"/>
      <c r="D3" s="225"/>
      <c r="E3" s="225"/>
      <c r="F3" s="225"/>
      <c r="G3" s="225"/>
      <c r="H3" s="225"/>
      <c r="I3" s="225"/>
      <c r="J3" s="225"/>
      <c r="K3" s="225"/>
      <c r="L3" s="226"/>
    </row>
    <row r="4" spans="1:12" s="38" customFormat="1" ht="25.5" x14ac:dyDescent="0.25">
      <c r="A4" s="58" t="s">
        <v>17</v>
      </c>
      <c r="B4" s="57" t="s">
        <v>14</v>
      </c>
      <c r="C4" s="58" t="s">
        <v>11</v>
      </c>
      <c r="D4" s="57" t="s">
        <v>44</v>
      </c>
      <c r="E4" s="57" t="s">
        <v>16</v>
      </c>
      <c r="F4" s="58" t="s">
        <v>12</v>
      </c>
      <c r="G4" s="58" t="s">
        <v>73</v>
      </c>
      <c r="H4" s="58" t="s">
        <v>40</v>
      </c>
      <c r="I4" s="58" t="s">
        <v>199</v>
      </c>
      <c r="J4" s="58" t="s">
        <v>569</v>
      </c>
      <c r="K4" s="58" t="s">
        <v>161</v>
      </c>
      <c r="L4" s="58" t="s">
        <v>9</v>
      </c>
    </row>
    <row r="5" spans="1:12" ht="76.5" x14ac:dyDescent="0.2">
      <c r="A5" s="15" t="s">
        <v>20</v>
      </c>
      <c r="B5" s="15" t="s">
        <v>21</v>
      </c>
      <c r="C5" s="15" t="s">
        <v>32</v>
      </c>
      <c r="D5" s="8" t="s">
        <v>42</v>
      </c>
      <c r="E5" s="15" t="s">
        <v>169</v>
      </c>
      <c r="F5" s="15" t="s">
        <v>43</v>
      </c>
      <c r="G5" s="15" t="s">
        <v>93</v>
      </c>
      <c r="H5" s="15" t="s">
        <v>94</v>
      </c>
      <c r="I5" s="16" t="s">
        <v>45</v>
      </c>
      <c r="J5" s="15" t="s">
        <v>1296</v>
      </c>
      <c r="K5" s="16" t="s">
        <v>55</v>
      </c>
      <c r="L5" s="6" t="s">
        <v>122</v>
      </c>
    </row>
    <row r="6" spans="1:12" ht="102" x14ac:dyDescent="0.2">
      <c r="A6" s="16" t="s">
        <v>27</v>
      </c>
      <c r="B6" s="7" t="s">
        <v>24</v>
      </c>
      <c r="C6" s="15" t="s">
        <v>28</v>
      </c>
      <c r="D6" s="8">
        <v>2005</v>
      </c>
      <c r="E6" s="15" t="s">
        <v>124</v>
      </c>
      <c r="F6" s="15" t="s">
        <v>31</v>
      </c>
      <c r="G6" s="15" t="s">
        <v>123</v>
      </c>
      <c r="H6" s="15" t="s">
        <v>95</v>
      </c>
      <c r="I6" s="16" t="s">
        <v>185</v>
      </c>
      <c r="J6" s="15" t="s">
        <v>187</v>
      </c>
      <c r="K6" s="16" t="s">
        <v>55</v>
      </c>
      <c r="L6" s="15" t="s">
        <v>41</v>
      </c>
    </row>
    <row r="7" spans="1:12" ht="89.25" x14ac:dyDescent="0.2">
      <c r="A7" s="15" t="s">
        <v>29</v>
      </c>
      <c r="B7" s="15" t="s">
        <v>33</v>
      </c>
      <c r="C7" s="15" t="s">
        <v>39</v>
      </c>
      <c r="D7" s="8">
        <v>2000</v>
      </c>
      <c r="E7" s="15" t="s">
        <v>125</v>
      </c>
      <c r="F7" s="15" t="s">
        <v>34</v>
      </c>
      <c r="G7" s="15" t="s">
        <v>173</v>
      </c>
      <c r="H7" s="15" t="s">
        <v>96</v>
      </c>
      <c r="I7" s="16" t="s">
        <v>46</v>
      </c>
      <c r="J7" s="15" t="s">
        <v>183</v>
      </c>
      <c r="K7" s="16" t="s">
        <v>54</v>
      </c>
      <c r="L7" s="15" t="s">
        <v>120</v>
      </c>
    </row>
    <row r="8" spans="1:12" s="11" customFormat="1" ht="102" x14ac:dyDescent="0.2">
      <c r="A8" s="6" t="s">
        <v>363</v>
      </c>
      <c r="B8" s="6" t="s">
        <v>24</v>
      </c>
      <c r="C8" s="6" t="s">
        <v>165</v>
      </c>
      <c r="D8" s="22">
        <v>1998</v>
      </c>
      <c r="E8" s="6" t="s">
        <v>166</v>
      </c>
      <c r="F8" s="6" t="s">
        <v>174</v>
      </c>
      <c r="G8" s="6" t="s">
        <v>167</v>
      </c>
      <c r="H8" s="6" t="s">
        <v>168</v>
      </c>
      <c r="I8" s="6" t="s">
        <v>201</v>
      </c>
      <c r="J8" s="6" t="s">
        <v>188</v>
      </c>
      <c r="K8" s="6" t="s">
        <v>164</v>
      </c>
      <c r="L8" s="6" t="s">
        <v>177</v>
      </c>
    </row>
    <row r="9" spans="1:12" s="11" customFormat="1" ht="76.5" x14ac:dyDescent="0.2">
      <c r="A9" s="6" t="s">
        <v>613</v>
      </c>
      <c r="B9" s="6" t="s">
        <v>24</v>
      </c>
      <c r="C9" s="22" t="s">
        <v>254</v>
      </c>
      <c r="D9" s="22" t="s">
        <v>617</v>
      </c>
      <c r="E9" s="22" t="s">
        <v>618</v>
      </c>
      <c r="F9" s="32" t="s">
        <v>614</v>
      </c>
      <c r="G9" s="33" t="s">
        <v>619</v>
      </c>
      <c r="H9" s="6" t="s">
        <v>615</v>
      </c>
      <c r="I9" s="6" t="s">
        <v>620</v>
      </c>
      <c r="J9" s="6" t="s">
        <v>677</v>
      </c>
      <c r="K9" s="6" t="s">
        <v>55</v>
      </c>
      <c r="L9" s="6" t="s">
        <v>683</v>
      </c>
    </row>
    <row r="11" spans="1:12" x14ac:dyDescent="0.2">
      <c r="A11" s="5" t="s">
        <v>570</v>
      </c>
    </row>
  </sheetData>
  <mergeCells count="1">
    <mergeCell ref="A3:L3"/>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zoomScaleNormal="100" workbookViewId="0">
      <pane ySplit="2" topLeftCell="A3" activePane="bottomLeft" state="frozen"/>
      <selection pane="bottomLeft" activeCell="A10" sqref="A10"/>
    </sheetView>
  </sheetViews>
  <sheetFormatPr defaultColWidth="8.85546875" defaultRowHeight="15" x14ac:dyDescent="0.25"/>
  <cols>
    <col min="1" max="1" width="24.85546875" style="3" customWidth="1"/>
    <col min="2" max="2" width="33.7109375" style="3" customWidth="1"/>
    <col min="3" max="3" width="69.5703125" style="3" customWidth="1"/>
    <col min="4" max="16384" width="8.85546875" style="3"/>
  </cols>
  <sheetData>
    <row r="1" spans="1:3" s="165" customFormat="1" x14ac:dyDescent="0.25">
      <c r="C1" s="166"/>
    </row>
    <row r="2" spans="1:3" s="165" customFormat="1" ht="16.5" customHeight="1" x14ac:dyDescent="0.25">
      <c r="C2" s="166"/>
    </row>
    <row r="3" spans="1:3" x14ac:dyDescent="0.25">
      <c r="A3" s="193" t="s">
        <v>1869</v>
      </c>
      <c r="B3" s="194"/>
      <c r="C3" s="195"/>
    </row>
    <row r="4" spans="1:3" ht="124.5" customHeight="1" x14ac:dyDescent="0.25">
      <c r="A4" s="188" t="s">
        <v>1889</v>
      </c>
      <c r="B4" s="189"/>
      <c r="C4" s="190"/>
    </row>
    <row r="5" spans="1:3" x14ac:dyDescent="0.25">
      <c r="A5" s="55" t="s">
        <v>6</v>
      </c>
      <c r="B5" s="196" t="s">
        <v>0</v>
      </c>
      <c r="C5" s="196"/>
    </row>
    <row r="6" spans="1:3" ht="32.25" customHeight="1" x14ac:dyDescent="0.25">
      <c r="A6" s="186" t="s">
        <v>1867</v>
      </c>
      <c r="B6" s="191" t="s">
        <v>1868</v>
      </c>
      <c r="C6" s="192"/>
    </row>
    <row r="7" spans="1:3" ht="63.75" customHeight="1" x14ac:dyDescent="0.25">
      <c r="A7" s="66" t="s">
        <v>8</v>
      </c>
      <c r="B7" s="191" t="s">
        <v>108</v>
      </c>
      <c r="C7" s="192"/>
    </row>
    <row r="8" spans="1:3" ht="62.25" customHeight="1" x14ac:dyDescent="0.25">
      <c r="A8" s="66" t="s">
        <v>7</v>
      </c>
      <c r="B8" s="191" t="s">
        <v>107</v>
      </c>
      <c r="C8" s="192"/>
    </row>
    <row r="9" spans="1:3" ht="29.25" customHeight="1" x14ac:dyDescent="0.25">
      <c r="A9" s="67" t="s">
        <v>687</v>
      </c>
      <c r="B9" s="199" t="s">
        <v>1840</v>
      </c>
      <c r="C9" s="200"/>
    </row>
    <row r="10" spans="1:3" ht="43.5" customHeight="1" x14ac:dyDescent="0.25">
      <c r="A10" s="67" t="s">
        <v>688</v>
      </c>
      <c r="B10" s="199" t="s">
        <v>689</v>
      </c>
      <c r="C10" s="200"/>
    </row>
    <row r="11" spans="1:3" ht="46.5" customHeight="1" x14ac:dyDescent="0.25">
      <c r="A11" s="67" t="s">
        <v>690</v>
      </c>
      <c r="B11" s="199" t="s">
        <v>691</v>
      </c>
      <c r="C11" s="200"/>
    </row>
    <row r="12" spans="1:3" ht="45.75" customHeight="1" x14ac:dyDescent="0.25">
      <c r="A12" s="67" t="s">
        <v>692</v>
      </c>
      <c r="B12" s="199" t="s">
        <v>693</v>
      </c>
      <c r="C12" s="200"/>
    </row>
    <row r="13" spans="1:3" ht="45.75" customHeight="1" x14ac:dyDescent="0.25">
      <c r="A13" s="144" t="s">
        <v>1712</v>
      </c>
      <c r="B13" s="199" t="s">
        <v>1841</v>
      </c>
      <c r="C13" s="200"/>
    </row>
    <row r="14" spans="1:3" ht="27.75" customHeight="1" x14ac:dyDescent="0.25">
      <c r="A14" s="144" t="s">
        <v>694</v>
      </c>
      <c r="B14" s="199" t="s">
        <v>1896</v>
      </c>
      <c r="C14" s="200"/>
    </row>
    <row r="15" spans="1:3" ht="44.25" customHeight="1" x14ac:dyDescent="0.25">
      <c r="A15" s="67" t="s">
        <v>695</v>
      </c>
      <c r="B15" s="199" t="s">
        <v>696</v>
      </c>
      <c r="C15" s="200"/>
    </row>
    <row r="16" spans="1:3" ht="35.25" customHeight="1" x14ac:dyDescent="0.25">
      <c r="A16" s="187" t="s">
        <v>1890</v>
      </c>
      <c r="B16" s="197" t="s">
        <v>1895</v>
      </c>
      <c r="C16" s="198"/>
    </row>
    <row r="17" spans="1:3" ht="45" customHeight="1" x14ac:dyDescent="0.25">
      <c r="A17" s="187" t="s">
        <v>1894</v>
      </c>
      <c r="B17" s="191" t="s">
        <v>1454</v>
      </c>
      <c r="C17" s="192"/>
    </row>
    <row r="18" spans="1:3" ht="60" customHeight="1" x14ac:dyDescent="0.25">
      <c r="A18" s="67" t="s">
        <v>686</v>
      </c>
      <c r="B18" s="191" t="s">
        <v>1455</v>
      </c>
      <c r="C18" s="192"/>
    </row>
    <row r="19" spans="1:3" ht="46.5" customHeight="1" x14ac:dyDescent="0.25">
      <c r="A19" s="172" t="s">
        <v>1816</v>
      </c>
      <c r="B19" s="191" t="s">
        <v>1837</v>
      </c>
      <c r="C19" s="192"/>
    </row>
    <row r="20" spans="1:3" ht="32.25" customHeight="1" x14ac:dyDescent="0.25">
      <c r="A20" s="67" t="s">
        <v>697</v>
      </c>
      <c r="B20" s="197" t="s">
        <v>1846</v>
      </c>
      <c r="C20" s="198"/>
    </row>
    <row r="21" spans="1:3" ht="29.25" customHeight="1" x14ac:dyDescent="0.25">
      <c r="A21" s="122" t="s">
        <v>1732</v>
      </c>
      <c r="B21" s="197" t="s">
        <v>434</v>
      </c>
      <c r="C21" s="198"/>
    </row>
    <row r="22" spans="1:3" ht="43.5" customHeight="1" x14ac:dyDescent="0.25">
      <c r="A22" s="67" t="s">
        <v>87</v>
      </c>
      <c r="B22" s="197" t="s">
        <v>1733</v>
      </c>
      <c r="C22" s="198"/>
    </row>
    <row r="23" spans="1:3" ht="43.5" customHeight="1" x14ac:dyDescent="0.25">
      <c r="A23" s="67" t="s">
        <v>84</v>
      </c>
      <c r="B23" s="197" t="s">
        <v>443</v>
      </c>
      <c r="C23" s="198"/>
    </row>
    <row r="24" spans="1:3" ht="49.5" customHeight="1" x14ac:dyDescent="0.25">
      <c r="A24" s="67" t="s">
        <v>83</v>
      </c>
      <c r="B24" s="197" t="s">
        <v>444</v>
      </c>
      <c r="C24" s="198"/>
    </row>
    <row r="25" spans="1:3" ht="47.25" customHeight="1" x14ac:dyDescent="0.25">
      <c r="A25" s="67" t="s">
        <v>86</v>
      </c>
      <c r="B25" s="197" t="s">
        <v>445</v>
      </c>
      <c r="C25" s="198"/>
    </row>
    <row r="26" spans="1:3" ht="48" customHeight="1" x14ac:dyDescent="0.25">
      <c r="A26" s="67" t="s">
        <v>85</v>
      </c>
      <c r="B26" s="197" t="s">
        <v>1734</v>
      </c>
      <c r="C26" s="198"/>
    </row>
    <row r="27" spans="1:3" x14ac:dyDescent="0.25">
      <c r="A27" s="181" t="s">
        <v>1736</v>
      </c>
      <c r="B27" s="197" t="s">
        <v>436</v>
      </c>
      <c r="C27" s="198"/>
    </row>
    <row r="28" spans="1:3" ht="30.75" customHeight="1" x14ac:dyDescent="0.25">
      <c r="A28" s="125" t="s">
        <v>684</v>
      </c>
      <c r="B28" s="197" t="s">
        <v>420</v>
      </c>
      <c r="C28" s="198"/>
    </row>
    <row r="29" spans="1:3" x14ac:dyDescent="0.25">
      <c r="A29" s="181" t="s">
        <v>1737</v>
      </c>
      <c r="B29" s="197" t="s">
        <v>435</v>
      </c>
      <c r="C29" s="198"/>
    </row>
    <row r="30" spans="1:3" x14ac:dyDescent="0.25">
      <c r="A30" s="181" t="s">
        <v>1723</v>
      </c>
      <c r="B30" s="197" t="s">
        <v>685</v>
      </c>
      <c r="C30" s="198"/>
    </row>
    <row r="31" spans="1:3" x14ac:dyDescent="0.25">
      <c r="A31" s="67" t="s">
        <v>419</v>
      </c>
      <c r="B31" s="197" t="s">
        <v>421</v>
      </c>
      <c r="C31" s="198"/>
    </row>
    <row r="32" spans="1:3" x14ac:dyDescent="0.25">
      <c r="A32" s="67" t="s">
        <v>418</v>
      </c>
      <c r="B32" s="197" t="s">
        <v>1735</v>
      </c>
      <c r="C32" s="198"/>
    </row>
    <row r="33" spans="1:3" ht="45" customHeight="1" x14ac:dyDescent="0.25">
      <c r="A33" s="160" t="s">
        <v>1738</v>
      </c>
      <c r="B33" s="197" t="s">
        <v>1858</v>
      </c>
      <c r="C33" s="198"/>
    </row>
    <row r="35" spans="1:3" x14ac:dyDescent="0.25">
      <c r="A35" s="56" t="s">
        <v>2</v>
      </c>
      <c r="B35" s="2" t="s">
        <v>1869</v>
      </c>
    </row>
    <row r="36" spans="1:3" x14ac:dyDescent="0.25">
      <c r="A36" s="56" t="s">
        <v>3</v>
      </c>
      <c r="B36" s="2" t="s">
        <v>5</v>
      </c>
    </row>
    <row r="37" spans="1:3" x14ac:dyDescent="0.25">
      <c r="A37" s="56" t="s">
        <v>4</v>
      </c>
      <c r="B37" s="4">
        <v>41765</v>
      </c>
    </row>
  </sheetData>
  <mergeCells count="31">
    <mergeCell ref="B33:C33"/>
    <mergeCell ref="B16:C16"/>
    <mergeCell ref="B31:C31"/>
    <mergeCell ref="B24:C24"/>
    <mergeCell ref="B23:C23"/>
    <mergeCell ref="B26:C26"/>
    <mergeCell ref="B25:C25"/>
    <mergeCell ref="B32:C32"/>
    <mergeCell ref="B30:C30"/>
    <mergeCell ref="B28:C28"/>
    <mergeCell ref="B29:C29"/>
    <mergeCell ref="B27:C27"/>
    <mergeCell ref="B22:C22"/>
    <mergeCell ref="B21:C21"/>
    <mergeCell ref="B20:C20"/>
    <mergeCell ref="B18:C18"/>
    <mergeCell ref="B17:C17"/>
    <mergeCell ref="B9:C9"/>
    <mergeCell ref="B10:C10"/>
    <mergeCell ref="B11:C11"/>
    <mergeCell ref="B12:C12"/>
    <mergeCell ref="B13:C13"/>
    <mergeCell ref="B14:C14"/>
    <mergeCell ref="B15:C15"/>
    <mergeCell ref="A4:C4"/>
    <mergeCell ref="B19:C19"/>
    <mergeCell ref="A3:C3"/>
    <mergeCell ref="B5:C5"/>
    <mergeCell ref="B8:C8"/>
    <mergeCell ref="B7:C7"/>
    <mergeCell ref="B6:C6"/>
  </mergeCells>
  <hyperlinks>
    <hyperlink ref="A8" location="'Estuaries and Coasts'!A1" display="Estuaries and Coasts"/>
    <hyperlink ref="A7" location="'Lakes and Flowing Waters'!A1" display="Lakes and Flowing Waters"/>
    <hyperlink ref="A20" location="'Economic Impacts --&gt;'!A1" display="Economic Impacts"/>
    <hyperlink ref="A22" location="Tourism!A1" display="Tourism"/>
    <hyperlink ref="A23" location="Fisheries!A2" display="Fisheries"/>
    <hyperlink ref="A24" location="'Property Value'!A2" display="Property Value"/>
    <hyperlink ref="A25" location="'Health Effects'!A2" display="Health Effects"/>
    <hyperlink ref="A26" location="'Drinking Water Treatment'!A2" display="Drinking Water Treatment"/>
    <hyperlink ref="A32" location="Regions!A1" display="Regions"/>
    <hyperlink ref="A30" location="'Benefits Studies'!A1" display="Benefits Studies"/>
    <hyperlink ref="A27" location="'Anecdotal Impacts'!A1" display="Anecdotal Impacts"/>
    <hyperlink ref="A29" location="CBAs!A1" display="CBAs"/>
    <hyperlink ref="A31" location="References!A1" display="References"/>
    <hyperlink ref="A28" location="'Additional Studies'!A1" display="Additional Studies"/>
    <hyperlink ref="A18" location="Mitigation!A1" display="Mitigation"/>
    <hyperlink ref="A17" location="Planning!A1" display="Planning"/>
    <hyperlink ref="A9" location="'Point Sources --&gt;'!A1" display="Point Sources"/>
    <hyperlink ref="A10" location="Municipal!A1" display="Municipal"/>
    <hyperlink ref="A11" location="Industrial!A1" display="Industrial"/>
    <hyperlink ref="A12" location="Decentralized!A1" display="Decentralized"/>
    <hyperlink ref="A13" location="'Point Source Anecdotal'!A1" display="Point Source Anecdotal"/>
    <hyperlink ref="A15" location="'Urban Runoff'!A1" display="Urban Runoff"/>
    <hyperlink ref="A16" location="'Planning and Mitigation --&gt;'!A1" display="Planning and Mitigation"/>
    <hyperlink ref="A21" location="Index!A1" display="Index"/>
    <hyperlink ref="A14" location="'Nonpoint Sources --&gt;'!A1" display="Nonpoint Sources"/>
    <hyperlink ref="A33" location="'Dollar Adjustments'!A1" display="Dollar Adjustments"/>
    <hyperlink ref="A19" location="'Mitigation Anecdotal'!A1" display="Mitigation Anecdotal"/>
    <hyperlink ref="A6" location="Instructions!A1" display="Instructions"/>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16"/>
  <sheetViews>
    <sheetView showGridLines="0" zoomScaleNormal="100" workbookViewId="0">
      <pane xSplit="1" ySplit="4" topLeftCell="B5" activePane="bottomRight" state="frozen"/>
      <selection activeCell="F8" sqref="F8"/>
      <selection pane="topRight" activeCell="F8" sqref="F8"/>
      <selection pane="bottomLeft" activeCell="F8" sqref="F8"/>
      <selection pane="bottomRight" activeCell="B5" sqref="B5"/>
    </sheetView>
  </sheetViews>
  <sheetFormatPr defaultColWidth="9.140625" defaultRowHeight="12.75" x14ac:dyDescent="0.2"/>
  <cols>
    <col min="1" max="1" width="12.7109375" style="5" customWidth="1"/>
    <col min="2" max="2" width="10.28515625" style="5" bestFit="1" customWidth="1"/>
    <col min="3" max="4" width="14.85546875" style="5" customWidth="1"/>
    <col min="5" max="5" width="19" style="5" customWidth="1"/>
    <col min="6" max="6" width="29" style="5" customWidth="1"/>
    <col min="7" max="8" width="30.85546875" style="5" customWidth="1"/>
    <col min="9" max="10" width="39.140625" style="5" customWidth="1"/>
    <col min="11" max="11" width="12.140625" style="5" customWidth="1"/>
    <col min="12" max="12" width="49.140625" style="5" customWidth="1"/>
    <col min="13" max="16384" width="9.140625" style="5"/>
  </cols>
  <sheetData>
    <row r="1" spans="1:12" ht="16.5" customHeight="1" x14ac:dyDescent="0.2">
      <c r="A1" s="158"/>
      <c r="B1" s="11"/>
      <c r="C1" s="11"/>
      <c r="D1" s="11"/>
      <c r="E1" s="11"/>
    </row>
    <row r="2" spans="1:12" ht="16.5" customHeight="1" x14ac:dyDescent="0.2">
      <c r="A2" s="123"/>
      <c r="B2" s="123"/>
      <c r="C2" s="123"/>
      <c r="D2" s="123"/>
      <c r="E2" s="11"/>
    </row>
    <row r="3" spans="1:12" ht="15" x14ac:dyDescent="0.25">
      <c r="A3" s="227" t="s">
        <v>18</v>
      </c>
      <c r="B3" s="228"/>
      <c r="C3" s="228"/>
      <c r="D3" s="228"/>
      <c r="E3" s="228"/>
      <c r="F3" s="228"/>
      <c r="G3" s="228"/>
      <c r="H3" s="228"/>
      <c r="I3" s="228"/>
      <c r="J3" s="228"/>
      <c r="K3" s="228"/>
      <c r="L3" s="229"/>
    </row>
    <row r="4" spans="1:12" ht="25.5" x14ac:dyDescent="0.2">
      <c r="A4" s="58" t="s">
        <v>17</v>
      </c>
      <c r="B4" s="57" t="s">
        <v>14</v>
      </c>
      <c r="C4" s="58" t="s">
        <v>11</v>
      </c>
      <c r="D4" s="57" t="s">
        <v>30</v>
      </c>
      <c r="E4" s="58" t="s">
        <v>16</v>
      </c>
      <c r="F4" s="58" t="s">
        <v>12</v>
      </c>
      <c r="G4" s="58" t="s">
        <v>73</v>
      </c>
      <c r="H4" s="58" t="s">
        <v>40</v>
      </c>
      <c r="I4" s="58" t="s">
        <v>199</v>
      </c>
      <c r="J4" s="58" t="s">
        <v>569</v>
      </c>
      <c r="K4" s="58" t="s">
        <v>161</v>
      </c>
      <c r="L4" s="58" t="s">
        <v>9</v>
      </c>
    </row>
    <row r="5" spans="1:12" ht="180" customHeight="1" x14ac:dyDescent="0.2">
      <c r="A5" s="16" t="s">
        <v>58</v>
      </c>
      <c r="B5" s="7" t="s">
        <v>59</v>
      </c>
      <c r="C5" s="16" t="s">
        <v>160</v>
      </c>
      <c r="D5" s="16" t="s">
        <v>60</v>
      </c>
      <c r="E5" s="16" t="s">
        <v>63</v>
      </c>
      <c r="F5" s="16" t="s">
        <v>126</v>
      </c>
      <c r="G5" s="16" t="s">
        <v>67</v>
      </c>
      <c r="H5" s="16" t="s">
        <v>127</v>
      </c>
      <c r="I5" s="16" t="s">
        <v>128</v>
      </c>
      <c r="J5" s="16" t="s">
        <v>189</v>
      </c>
      <c r="K5" s="16" t="s">
        <v>55</v>
      </c>
      <c r="L5" s="16" t="s">
        <v>129</v>
      </c>
    </row>
    <row r="6" spans="1:12" ht="191.25" x14ac:dyDescent="0.2">
      <c r="A6" s="16" t="s">
        <v>61</v>
      </c>
      <c r="B6" s="7" t="s">
        <v>15</v>
      </c>
      <c r="C6" s="16" t="s">
        <v>155</v>
      </c>
      <c r="D6" s="16" t="s">
        <v>62</v>
      </c>
      <c r="E6" s="16" t="s">
        <v>68</v>
      </c>
      <c r="F6" s="16" t="s">
        <v>69</v>
      </c>
      <c r="G6" s="16" t="s">
        <v>133</v>
      </c>
      <c r="H6" s="16" t="s">
        <v>134</v>
      </c>
      <c r="I6" s="16" t="s">
        <v>135</v>
      </c>
      <c r="J6" s="16" t="s">
        <v>190</v>
      </c>
      <c r="K6" s="16" t="s">
        <v>55</v>
      </c>
      <c r="L6" s="16" t="s">
        <v>566</v>
      </c>
    </row>
    <row r="7" spans="1:12" s="13" customFormat="1" ht="127.5" x14ac:dyDescent="0.2">
      <c r="A7" s="16" t="s">
        <v>361</v>
      </c>
      <c r="B7" s="16" t="s">
        <v>88</v>
      </c>
      <c r="C7" s="16" t="s">
        <v>155</v>
      </c>
      <c r="D7" s="16" t="s">
        <v>65</v>
      </c>
      <c r="E7" s="16" t="s">
        <v>138</v>
      </c>
      <c r="F7" s="16" t="s">
        <v>130</v>
      </c>
      <c r="G7" s="16" t="s">
        <v>132</v>
      </c>
      <c r="H7" s="16" t="s">
        <v>131</v>
      </c>
      <c r="I7" s="16" t="s">
        <v>89</v>
      </c>
      <c r="J7" s="16" t="s">
        <v>191</v>
      </c>
      <c r="K7" s="16" t="s">
        <v>55</v>
      </c>
      <c r="L7" s="16" t="s">
        <v>565</v>
      </c>
    </row>
    <row r="8" spans="1:12" s="11" customFormat="1" ht="191.25" x14ac:dyDescent="0.2">
      <c r="A8" s="6" t="s">
        <v>64</v>
      </c>
      <c r="B8" s="10" t="s">
        <v>15</v>
      </c>
      <c r="C8" s="6" t="s">
        <v>156</v>
      </c>
      <c r="D8" s="6" t="s">
        <v>65</v>
      </c>
      <c r="E8" s="6" t="s">
        <v>66</v>
      </c>
      <c r="F8" s="6" t="s">
        <v>70</v>
      </c>
      <c r="G8" s="6" t="s">
        <v>136</v>
      </c>
      <c r="H8" s="6" t="s">
        <v>137</v>
      </c>
      <c r="I8" s="6" t="s">
        <v>71</v>
      </c>
      <c r="J8" s="6" t="s">
        <v>192</v>
      </c>
      <c r="K8" s="6" t="s">
        <v>55</v>
      </c>
      <c r="L8" s="6" t="s">
        <v>564</v>
      </c>
    </row>
    <row r="9" spans="1:12" ht="178.5" x14ac:dyDescent="0.2">
      <c r="A9" s="16" t="s">
        <v>56</v>
      </c>
      <c r="B9" s="7" t="s">
        <v>15</v>
      </c>
      <c r="C9" s="16" t="s">
        <v>157</v>
      </c>
      <c r="D9" s="16" t="s">
        <v>57</v>
      </c>
      <c r="E9" s="16" t="s">
        <v>139</v>
      </c>
      <c r="F9" s="16" t="s">
        <v>141</v>
      </c>
      <c r="G9" s="16" t="s">
        <v>140</v>
      </c>
      <c r="H9" s="16" t="s">
        <v>142</v>
      </c>
      <c r="I9" s="16" t="s">
        <v>143</v>
      </c>
      <c r="J9" s="16" t="s">
        <v>184</v>
      </c>
      <c r="K9" s="16" t="s">
        <v>53</v>
      </c>
      <c r="L9" s="16" t="s">
        <v>144</v>
      </c>
    </row>
    <row r="10" spans="1:12" ht="177.75" customHeight="1" x14ac:dyDescent="0.2">
      <c r="A10" s="16" t="s">
        <v>74</v>
      </c>
      <c r="B10" s="7" t="s">
        <v>15</v>
      </c>
      <c r="C10" s="16" t="s">
        <v>75</v>
      </c>
      <c r="D10" s="16" t="s">
        <v>76</v>
      </c>
      <c r="E10" s="16" t="s">
        <v>159</v>
      </c>
      <c r="F10" s="16" t="s">
        <v>145</v>
      </c>
      <c r="G10" s="16" t="s">
        <v>146</v>
      </c>
      <c r="H10" s="16" t="s">
        <v>147</v>
      </c>
      <c r="I10" s="16" t="s">
        <v>77</v>
      </c>
      <c r="J10" s="20" t="s">
        <v>193</v>
      </c>
      <c r="K10" s="16" t="s">
        <v>54</v>
      </c>
      <c r="L10" s="16" t="s">
        <v>170</v>
      </c>
    </row>
    <row r="11" spans="1:12" ht="165.75" x14ac:dyDescent="0.2">
      <c r="A11" s="16" t="s">
        <v>82</v>
      </c>
      <c r="B11" s="7" t="s">
        <v>78</v>
      </c>
      <c r="C11" s="16" t="s">
        <v>79</v>
      </c>
      <c r="D11" s="16" t="s">
        <v>80</v>
      </c>
      <c r="E11" s="16" t="s">
        <v>148</v>
      </c>
      <c r="F11" s="16" t="s">
        <v>149</v>
      </c>
      <c r="G11" s="16" t="s">
        <v>81</v>
      </c>
      <c r="H11" s="16" t="s">
        <v>150</v>
      </c>
      <c r="I11" s="16" t="s">
        <v>202</v>
      </c>
      <c r="J11" s="16" t="s">
        <v>180</v>
      </c>
      <c r="K11" s="16" t="s">
        <v>54</v>
      </c>
      <c r="L11" s="16" t="s">
        <v>563</v>
      </c>
    </row>
    <row r="12" spans="1:12" ht="117.75" customHeight="1" x14ac:dyDescent="0.2">
      <c r="A12" s="16" t="s">
        <v>349</v>
      </c>
      <c r="B12" s="7" t="s">
        <v>15</v>
      </c>
      <c r="C12" s="16" t="s">
        <v>158</v>
      </c>
      <c r="D12" s="16" t="s">
        <v>98</v>
      </c>
      <c r="E12" s="16" t="s">
        <v>151</v>
      </c>
      <c r="F12" s="16" t="s">
        <v>13</v>
      </c>
      <c r="G12" s="16" t="s">
        <v>99</v>
      </c>
      <c r="H12" s="16" t="s">
        <v>152</v>
      </c>
      <c r="I12" s="16" t="s">
        <v>203</v>
      </c>
      <c r="J12" s="16" t="s">
        <v>194</v>
      </c>
      <c r="K12" s="16" t="s">
        <v>54</v>
      </c>
      <c r="L12" s="16" t="s">
        <v>562</v>
      </c>
    </row>
    <row r="13" spans="1:12" ht="114.75" x14ac:dyDescent="0.2">
      <c r="A13" s="6" t="s">
        <v>534</v>
      </c>
      <c r="B13" s="6" t="s">
        <v>536</v>
      </c>
      <c r="C13" s="6" t="s">
        <v>535</v>
      </c>
      <c r="D13" s="6" t="s">
        <v>537</v>
      </c>
      <c r="E13" s="6" t="s">
        <v>554</v>
      </c>
      <c r="F13" s="6" t="s">
        <v>556</v>
      </c>
      <c r="G13" s="6" t="s">
        <v>555</v>
      </c>
      <c r="H13" s="6" t="s">
        <v>567</v>
      </c>
      <c r="I13" s="6" t="s">
        <v>1292</v>
      </c>
      <c r="J13" s="6" t="s">
        <v>1293</v>
      </c>
      <c r="K13" s="6" t="s">
        <v>54</v>
      </c>
      <c r="L13" s="6" t="s">
        <v>568</v>
      </c>
    </row>
    <row r="14" spans="1:12" ht="102" x14ac:dyDescent="0.2">
      <c r="A14" s="6" t="s">
        <v>179</v>
      </c>
      <c r="B14" s="10" t="s">
        <v>15</v>
      </c>
      <c r="C14" s="6" t="s">
        <v>155</v>
      </c>
      <c r="D14" s="6" t="s">
        <v>65</v>
      </c>
      <c r="E14" s="6" t="s">
        <v>171</v>
      </c>
      <c r="F14" s="6" t="s">
        <v>162</v>
      </c>
      <c r="G14" s="6" t="s">
        <v>163</v>
      </c>
      <c r="H14" s="6" t="s">
        <v>172</v>
      </c>
      <c r="I14" s="6" t="s">
        <v>560</v>
      </c>
      <c r="J14" s="19" t="s">
        <v>561</v>
      </c>
      <c r="K14" s="6" t="s">
        <v>164</v>
      </c>
      <c r="L14" s="6" t="s">
        <v>178</v>
      </c>
    </row>
    <row r="16" spans="1:12" x14ac:dyDescent="0.2">
      <c r="A16" s="5" t="s">
        <v>570</v>
      </c>
    </row>
  </sheetData>
  <mergeCells count="1">
    <mergeCell ref="A3:L3"/>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K7"/>
  <sheetViews>
    <sheetView showGridLines="0" workbookViewId="0">
      <pane xSplit="1" ySplit="4" topLeftCell="B5" activePane="bottomRight" state="frozen"/>
      <selection activeCell="F8" sqref="F8"/>
      <selection pane="topRight" activeCell="F8" sqref="F8"/>
      <selection pane="bottomLeft" activeCell="F8" sqref="F8"/>
      <selection pane="bottomRight"/>
    </sheetView>
  </sheetViews>
  <sheetFormatPr defaultColWidth="9.140625" defaultRowHeight="12.75" x14ac:dyDescent="0.2"/>
  <cols>
    <col min="1" max="1" width="13.5703125" style="5" customWidth="1"/>
    <col min="2" max="2" width="11.42578125" style="5" bestFit="1" customWidth="1"/>
    <col min="3" max="4" width="16" style="5" customWidth="1"/>
    <col min="5" max="5" width="16" style="5" bestFit="1" customWidth="1"/>
    <col min="6" max="6" width="26.7109375" style="5" bestFit="1" customWidth="1"/>
    <col min="7" max="7" width="30.42578125" style="5" customWidth="1"/>
    <col min="8" max="8" width="38.85546875" style="5" customWidth="1"/>
    <col min="9" max="10" width="47.85546875" style="5" customWidth="1"/>
    <col min="11" max="11" width="25.42578125" style="5" customWidth="1"/>
    <col min="12" max="16384" width="9.140625" style="5"/>
  </cols>
  <sheetData>
    <row r="1" spans="1:11" ht="16.5" customHeight="1" x14ac:dyDescent="0.2">
      <c r="A1" s="158"/>
      <c r="B1" s="11"/>
      <c r="C1" s="11"/>
      <c r="D1" s="11"/>
      <c r="E1" s="11"/>
    </row>
    <row r="2" spans="1:11" ht="16.5" customHeight="1" x14ac:dyDescent="0.2">
      <c r="A2" s="123"/>
      <c r="B2" s="123"/>
      <c r="C2" s="123"/>
      <c r="D2" s="123"/>
      <c r="E2" s="11"/>
    </row>
    <row r="3" spans="1:11" x14ac:dyDescent="0.2">
      <c r="A3" s="224" t="s">
        <v>49</v>
      </c>
      <c r="B3" s="225"/>
      <c r="C3" s="225"/>
      <c r="D3" s="225"/>
      <c r="E3" s="225"/>
      <c r="F3" s="225"/>
      <c r="G3" s="225"/>
      <c r="H3" s="225"/>
      <c r="I3" s="225"/>
      <c r="J3" s="225"/>
      <c r="K3" s="226"/>
    </row>
    <row r="4" spans="1:11" ht="25.5" x14ac:dyDescent="0.2">
      <c r="A4" s="58" t="s">
        <v>17</v>
      </c>
      <c r="B4" s="57" t="s">
        <v>14</v>
      </c>
      <c r="C4" s="58" t="s">
        <v>11</v>
      </c>
      <c r="D4" s="57" t="s">
        <v>30</v>
      </c>
      <c r="E4" s="58" t="s">
        <v>101</v>
      </c>
      <c r="F4" s="58" t="s">
        <v>12</v>
      </c>
      <c r="G4" s="58" t="s">
        <v>73</v>
      </c>
      <c r="H4" s="58" t="s">
        <v>40</v>
      </c>
      <c r="I4" s="58" t="s">
        <v>199</v>
      </c>
      <c r="J4" s="58" t="s">
        <v>569</v>
      </c>
      <c r="K4" s="58" t="s">
        <v>9</v>
      </c>
    </row>
    <row r="5" spans="1:11" ht="76.5" x14ac:dyDescent="0.2">
      <c r="A5" s="16" t="s">
        <v>26</v>
      </c>
      <c r="B5" s="9" t="s">
        <v>24</v>
      </c>
      <c r="C5" s="9" t="s">
        <v>25</v>
      </c>
      <c r="D5" s="9" t="s">
        <v>38</v>
      </c>
      <c r="E5" s="9" t="s">
        <v>102</v>
      </c>
      <c r="F5" s="9" t="s">
        <v>37</v>
      </c>
      <c r="G5" s="12" t="s">
        <v>103</v>
      </c>
      <c r="H5" s="9" t="s">
        <v>1499</v>
      </c>
      <c r="I5" s="9" t="s">
        <v>1500</v>
      </c>
      <c r="J5" s="16" t="s">
        <v>1501</v>
      </c>
      <c r="K5" s="6" t="s">
        <v>121</v>
      </c>
    </row>
    <row r="7" spans="1:11" x14ac:dyDescent="0.2">
      <c r="A7" s="5" t="s">
        <v>570</v>
      </c>
    </row>
  </sheetData>
  <mergeCells count="1">
    <mergeCell ref="A3:K3"/>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8"/>
  <sheetViews>
    <sheetView showGridLines="0" workbookViewId="0">
      <pane xSplit="1" ySplit="4" topLeftCell="B5" activePane="bottomRight" state="frozen"/>
      <selection activeCell="F8" sqref="F8"/>
      <selection pane="topRight" activeCell="F8" sqref="F8"/>
      <selection pane="bottomLeft" activeCell="F8" sqref="F8"/>
      <selection pane="bottomRight" activeCell="K6" sqref="K6"/>
    </sheetView>
  </sheetViews>
  <sheetFormatPr defaultColWidth="9.140625" defaultRowHeight="12.75" x14ac:dyDescent="0.2"/>
  <cols>
    <col min="1" max="1" width="12.5703125" style="5" customWidth="1"/>
    <col min="2" max="2" width="11.7109375" style="5" customWidth="1"/>
    <col min="3" max="4" width="16" style="5" customWidth="1"/>
    <col min="5" max="5" width="31.7109375" style="5" bestFit="1" customWidth="1"/>
    <col min="6" max="8" width="39.85546875" style="5" customWidth="1"/>
    <col min="9" max="10" width="42.85546875" style="5" bestFit="1" customWidth="1"/>
    <col min="11" max="11" width="23.42578125" style="5" customWidth="1"/>
    <col min="12" max="12" width="30.28515625" style="5" customWidth="1"/>
    <col min="13" max="16384" width="9.140625" style="5"/>
  </cols>
  <sheetData>
    <row r="1" spans="1:12" ht="16.5" customHeight="1" x14ac:dyDescent="0.2">
      <c r="A1" s="158"/>
      <c r="B1" s="11"/>
      <c r="C1" s="11"/>
      <c r="D1" s="11"/>
      <c r="E1" s="11"/>
    </row>
    <row r="2" spans="1:12" ht="16.5" customHeight="1" x14ac:dyDescent="0.2">
      <c r="A2" s="123"/>
      <c r="B2" s="123"/>
      <c r="C2" s="123"/>
      <c r="D2" s="123"/>
      <c r="E2" s="11"/>
    </row>
    <row r="3" spans="1:12" x14ac:dyDescent="0.2">
      <c r="A3" s="224" t="s">
        <v>50</v>
      </c>
      <c r="B3" s="225"/>
      <c r="C3" s="225"/>
      <c r="D3" s="225"/>
      <c r="E3" s="225"/>
      <c r="F3" s="225"/>
      <c r="G3" s="225"/>
      <c r="H3" s="225"/>
      <c r="I3" s="225"/>
      <c r="J3" s="225"/>
      <c r="K3" s="225"/>
      <c r="L3" s="226"/>
    </row>
    <row r="4" spans="1:12" s="38" customFormat="1" ht="25.5" x14ac:dyDescent="0.25">
      <c r="A4" s="58" t="s">
        <v>17</v>
      </c>
      <c r="B4" s="57" t="s">
        <v>14</v>
      </c>
      <c r="C4" s="58" t="s">
        <v>11</v>
      </c>
      <c r="D4" s="57" t="s">
        <v>30</v>
      </c>
      <c r="E4" s="58" t="s">
        <v>16</v>
      </c>
      <c r="F4" s="58" t="s">
        <v>12</v>
      </c>
      <c r="G4" s="58" t="s">
        <v>73</v>
      </c>
      <c r="H4" s="58" t="s">
        <v>40</v>
      </c>
      <c r="I4" s="58" t="s">
        <v>199</v>
      </c>
      <c r="J4" s="58" t="s">
        <v>200</v>
      </c>
      <c r="K4" s="58" t="s">
        <v>161</v>
      </c>
      <c r="L4" s="58" t="s">
        <v>9</v>
      </c>
    </row>
    <row r="5" spans="1:12" ht="51" x14ac:dyDescent="0.2">
      <c r="A5" s="9" t="s">
        <v>22</v>
      </c>
      <c r="B5" s="9" t="s">
        <v>15</v>
      </c>
      <c r="C5" s="9" t="s">
        <v>23</v>
      </c>
      <c r="D5" s="9" t="s">
        <v>35</v>
      </c>
      <c r="E5" s="9" t="s">
        <v>112</v>
      </c>
      <c r="F5" s="9" t="s">
        <v>176</v>
      </c>
      <c r="G5" s="12" t="s">
        <v>100</v>
      </c>
      <c r="H5" s="9" t="s">
        <v>97</v>
      </c>
      <c r="I5" s="9" t="s">
        <v>204</v>
      </c>
      <c r="J5" s="16" t="s">
        <v>195</v>
      </c>
      <c r="K5" s="16" t="s">
        <v>175</v>
      </c>
      <c r="L5" s="6" t="s">
        <v>36</v>
      </c>
    </row>
    <row r="6" spans="1:12" ht="178.5" x14ac:dyDescent="0.2">
      <c r="A6" s="16" t="s">
        <v>1870</v>
      </c>
      <c r="B6" s="16" t="s">
        <v>15</v>
      </c>
      <c r="C6" s="16" t="s">
        <v>1871</v>
      </c>
      <c r="D6" s="16" t="s">
        <v>1872</v>
      </c>
      <c r="E6" s="16" t="s">
        <v>1873</v>
      </c>
      <c r="F6" s="16" t="s">
        <v>1886</v>
      </c>
      <c r="G6" s="16" t="s">
        <v>1874</v>
      </c>
      <c r="H6" s="16" t="s">
        <v>1875</v>
      </c>
      <c r="I6" s="16" t="s">
        <v>1880</v>
      </c>
      <c r="J6" s="16" t="s">
        <v>1879</v>
      </c>
      <c r="K6" s="16" t="s">
        <v>1876</v>
      </c>
      <c r="L6" s="6" t="s">
        <v>1877</v>
      </c>
    </row>
    <row r="8" spans="1:12" x14ac:dyDescent="0.2">
      <c r="A8" s="5" t="s">
        <v>571</v>
      </c>
    </row>
  </sheetData>
  <mergeCells count="1">
    <mergeCell ref="A3:L3"/>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zoomScaleNormal="100" workbookViewId="0">
      <pane xSplit="1" ySplit="4" topLeftCell="B9" activePane="bottomRight" state="frozen"/>
      <selection activeCell="D10" sqref="D10:G21"/>
      <selection pane="topRight" activeCell="D10" sqref="D10:G21"/>
      <selection pane="bottomLeft" activeCell="D10" sqref="D10:G21"/>
      <selection pane="bottomRight" activeCell="I13" sqref="I13"/>
    </sheetView>
  </sheetViews>
  <sheetFormatPr defaultColWidth="9.140625" defaultRowHeight="12.75" x14ac:dyDescent="0.2"/>
  <cols>
    <col min="1" max="1" width="14.5703125" style="5" customWidth="1"/>
    <col min="2" max="2" width="15.42578125" style="41" customWidth="1"/>
    <col min="3" max="3" width="20" style="31" customWidth="1"/>
    <col min="4" max="4" width="14.140625" style="31" customWidth="1"/>
    <col min="5" max="5" width="10.28515625" style="31" bestFit="1" customWidth="1"/>
    <col min="6" max="6" width="7.5703125" style="31" bestFit="1" customWidth="1"/>
    <col min="7" max="7" width="11.140625" style="31" customWidth="1"/>
    <col min="8" max="8" width="27.5703125" style="5" customWidth="1"/>
    <col min="9" max="9" width="61.140625" style="5" customWidth="1"/>
    <col min="10" max="16384" width="9.140625" style="5"/>
  </cols>
  <sheetData>
    <row r="1" spans="1:9" ht="16.5" customHeight="1" x14ac:dyDescent="0.2">
      <c r="A1" s="158"/>
      <c r="B1" s="11"/>
      <c r="C1" s="11"/>
      <c r="D1" s="11"/>
      <c r="E1" s="11"/>
      <c r="F1" s="5"/>
      <c r="G1" s="5"/>
    </row>
    <row r="2" spans="1:9" ht="16.5" customHeight="1" x14ac:dyDescent="0.2">
      <c r="A2" s="123"/>
      <c r="B2" s="123"/>
      <c r="C2" s="123"/>
      <c r="D2" s="123"/>
      <c r="E2" s="11"/>
      <c r="F2" s="5"/>
      <c r="G2" s="5"/>
    </row>
    <row r="3" spans="1:9" x14ac:dyDescent="0.2">
      <c r="A3" s="224" t="s">
        <v>1721</v>
      </c>
      <c r="B3" s="225"/>
      <c r="C3" s="225"/>
      <c r="D3" s="225"/>
      <c r="E3" s="225"/>
      <c r="F3" s="225"/>
      <c r="G3" s="225"/>
      <c r="H3" s="225"/>
      <c r="I3" s="226"/>
    </row>
    <row r="4" spans="1:9" s="17" customFormat="1" ht="25.5" x14ac:dyDescent="0.25">
      <c r="A4" s="57" t="s">
        <v>408</v>
      </c>
      <c r="B4" s="57" t="s">
        <v>161</v>
      </c>
      <c r="C4" s="57" t="s">
        <v>219</v>
      </c>
      <c r="D4" s="57" t="s">
        <v>389</v>
      </c>
      <c r="E4" s="57" t="s">
        <v>14</v>
      </c>
      <c r="F4" s="57" t="s">
        <v>11</v>
      </c>
      <c r="G4" s="57" t="s">
        <v>218</v>
      </c>
      <c r="H4" s="57" t="s">
        <v>553</v>
      </c>
      <c r="I4" s="57" t="s">
        <v>595</v>
      </c>
    </row>
    <row r="5" spans="1:9" s="37" customFormat="1" ht="102" x14ac:dyDescent="0.25">
      <c r="A5" s="6" t="s">
        <v>280</v>
      </c>
      <c r="B5" s="22" t="s">
        <v>409</v>
      </c>
      <c r="C5" s="22" t="s">
        <v>87</v>
      </c>
      <c r="D5" s="22" t="s">
        <v>212</v>
      </c>
      <c r="E5" s="32" t="s">
        <v>15</v>
      </c>
      <c r="F5" s="22" t="s">
        <v>217</v>
      </c>
      <c r="G5" s="22" t="s">
        <v>281</v>
      </c>
      <c r="H5" s="6" t="s">
        <v>598</v>
      </c>
      <c r="I5" s="6" t="s">
        <v>599</v>
      </c>
    </row>
    <row r="6" spans="1:9" s="37" customFormat="1" ht="51" x14ac:dyDescent="0.25">
      <c r="A6" s="6" t="s">
        <v>282</v>
      </c>
      <c r="B6" s="22" t="s">
        <v>409</v>
      </c>
      <c r="C6" s="22" t="s">
        <v>285</v>
      </c>
      <c r="D6" s="22" t="s">
        <v>212</v>
      </c>
      <c r="E6" s="32" t="s">
        <v>59</v>
      </c>
      <c r="F6" s="22" t="s">
        <v>209</v>
      </c>
      <c r="G6" s="22">
        <v>2013</v>
      </c>
      <c r="H6" s="6" t="s">
        <v>284</v>
      </c>
      <c r="I6" s="6" t="s">
        <v>600</v>
      </c>
    </row>
    <row r="7" spans="1:9" s="37" customFormat="1" ht="25.5" x14ac:dyDescent="0.25">
      <c r="A7" s="6" t="s">
        <v>320</v>
      </c>
      <c r="B7" s="22" t="s">
        <v>409</v>
      </c>
      <c r="C7" s="22" t="s">
        <v>300</v>
      </c>
      <c r="D7" s="22" t="s">
        <v>212</v>
      </c>
      <c r="E7" s="32" t="s">
        <v>59</v>
      </c>
      <c r="F7" s="22" t="s">
        <v>213</v>
      </c>
      <c r="G7" s="22">
        <v>2008</v>
      </c>
      <c r="H7" s="6" t="s">
        <v>321</v>
      </c>
      <c r="I7" s="6" t="s">
        <v>322</v>
      </c>
    </row>
    <row r="8" spans="1:9" s="37" customFormat="1" ht="76.5" x14ac:dyDescent="0.25">
      <c r="A8" s="6" t="s">
        <v>370</v>
      </c>
      <c r="B8" s="22" t="s">
        <v>409</v>
      </c>
      <c r="C8" s="22" t="s">
        <v>300</v>
      </c>
      <c r="D8" s="22" t="s">
        <v>372</v>
      </c>
      <c r="E8" s="32" t="s">
        <v>59</v>
      </c>
      <c r="F8" s="22" t="s">
        <v>241</v>
      </c>
      <c r="G8" s="22">
        <v>2013</v>
      </c>
      <c r="H8" s="6" t="s">
        <v>371</v>
      </c>
      <c r="I8" s="6" t="s">
        <v>605</v>
      </c>
    </row>
    <row r="9" spans="1:9" s="37" customFormat="1" ht="25.5" x14ac:dyDescent="0.25">
      <c r="A9" s="6" t="s">
        <v>374</v>
      </c>
      <c r="B9" s="22" t="s">
        <v>409</v>
      </c>
      <c r="C9" s="22" t="s">
        <v>300</v>
      </c>
      <c r="D9" s="22" t="s">
        <v>212</v>
      </c>
      <c r="E9" s="32" t="s">
        <v>15</v>
      </c>
      <c r="F9" s="22" t="s">
        <v>217</v>
      </c>
      <c r="G9" s="22">
        <v>2013</v>
      </c>
      <c r="H9" s="6" t="s">
        <v>230</v>
      </c>
      <c r="I9" s="6" t="s">
        <v>602</v>
      </c>
    </row>
    <row r="10" spans="1:9" s="37" customFormat="1" ht="54" customHeight="1" x14ac:dyDescent="0.25">
      <c r="A10" s="6" t="s">
        <v>293</v>
      </c>
      <c r="B10" s="22" t="s">
        <v>411</v>
      </c>
      <c r="C10" s="22" t="s">
        <v>300</v>
      </c>
      <c r="D10" s="22" t="s">
        <v>212</v>
      </c>
      <c r="E10" s="32" t="s">
        <v>15</v>
      </c>
      <c r="F10" s="22" t="s">
        <v>217</v>
      </c>
      <c r="G10" s="22">
        <v>2010</v>
      </c>
      <c r="H10" s="6" t="s">
        <v>230</v>
      </c>
      <c r="I10" s="33" t="s">
        <v>591</v>
      </c>
    </row>
    <row r="11" spans="1:9" s="38" customFormat="1" ht="69" customHeight="1" x14ac:dyDescent="0.25">
      <c r="A11" s="16" t="s">
        <v>392</v>
      </c>
      <c r="B11" s="8" t="s">
        <v>409</v>
      </c>
      <c r="C11" s="22" t="s">
        <v>300</v>
      </c>
      <c r="D11" s="22" t="s">
        <v>212</v>
      </c>
      <c r="E11" s="8" t="s">
        <v>390</v>
      </c>
      <c r="F11" s="18" t="s">
        <v>105</v>
      </c>
      <c r="G11" s="18">
        <v>2011</v>
      </c>
      <c r="H11" s="16" t="s">
        <v>391</v>
      </c>
      <c r="I11" s="16" t="s">
        <v>601</v>
      </c>
    </row>
    <row r="12" spans="1:9" s="38" customFormat="1" ht="69" customHeight="1" x14ac:dyDescent="0.25">
      <c r="A12" s="16" t="s">
        <v>1881</v>
      </c>
      <c r="B12" s="8" t="s">
        <v>1882</v>
      </c>
      <c r="C12" s="22" t="s">
        <v>300</v>
      </c>
      <c r="D12" s="22" t="s">
        <v>212</v>
      </c>
      <c r="E12" s="8" t="s">
        <v>78</v>
      </c>
      <c r="F12" s="18" t="s">
        <v>242</v>
      </c>
      <c r="G12" s="18" t="s">
        <v>1883</v>
      </c>
      <c r="H12" s="16" t="s">
        <v>1884</v>
      </c>
      <c r="I12" s="16" t="s">
        <v>1887</v>
      </c>
    </row>
    <row r="13" spans="1:9" s="38" customFormat="1" ht="38.25" x14ac:dyDescent="0.25">
      <c r="A13" s="7" t="s">
        <v>394</v>
      </c>
      <c r="B13" s="8" t="s">
        <v>410</v>
      </c>
      <c r="C13" s="18" t="s">
        <v>395</v>
      </c>
      <c r="D13" s="22" t="s">
        <v>212</v>
      </c>
      <c r="E13" s="8" t="s">
        <v>390</v>
      </c>
      <c r="F13" s="18" t="s">
        <v>206</v>
      </c>
      <c r="G13" s="18" t="s">
        <v>396</v>
      </c>
      <c r="H13" s="16" t="s">
        <v>397</v>
      </c>
      <c r="I13" s="16" t="s">
        <v>592</v>
      </c>
    </row>
    <row r="14" spans="1:9" s="38" customFormat="1" ht="51" x14ac:dyDescent="0.25">
      <c r="A14" s="7" t="s">
        <v>596</v>
      </c>
      <c r="B14" s="8" t="s">
        <v>455</v>
      </c>
      <c r="C14" s="18" t="s">
        <v>318</v>
      </c>
      <c r="D14" s="22" t="s">
        <v>212</v>
      </c>
      <c r="E14" s="8" t="s">
        <v>208</v>
      </c>
      <c r="F14" s="18" t="s">
        <v>264</v>
      </c>
      <c r="G14" s="18" t="s">
        <v>453</v>
      </c>
      <c r="H14" s="16" t="s">
        <v>454</v>
      </c>
      <c r="I14" s="16" t="s">
        <v>593</v>
      </c>
    </row>
    <row r="15" spans="1:9" s="38" customFormat="1" ht="51" x14ac:dyDescent="0.25">
      <c r="A15" s="7" t="s">
        <v>457</v>
      </c>
      <c r="B15" s="8" t="s">
        <v>409</v>
      </c>
      <c r="C15" s="18" t="s">
        <v>318</v>
      </c>
      <c r="D15" s="22" t="s">
        <v>212</v>
      </c>
      <c r="E15" s="8" t="s">
        <v>214</v>
      </c>
      <c r="F15" s="18" t="s">
        <v>105</v>
      </c>
      <c r="G15" s="18">
        <v>2013</v>
      </c>
      <c r="H15" s="16" t="s">
        <v>458</v>
      </c>
      <c r="I15" s="16" t="s">
        <v>559</v>
      </c>
    </row>
    <row r="16" spans="1:9" s="38" customFormat="1" ht="57" customHeight="1" x14ac:dyDescent="0.25">
      <c r="A16" s="6" t="s">
        <v>589</v>
      </c>
      <c r="B16" s="8" t="s">
        <v>409</v>
      </c>
      <c r="C16" s="18" t="s">
        <v>318</v>
      </c>
      <c r="D16" s="18" t="s">
        <v>212</v>
      </c>
      <c r="E16" s="18" t="s">
        <v>78</v>
      </c>
      <c r="F16" s="18" t="s">
        <v>243</v>
      </c>
      <c r="G16" s="18">
        <v>2013</v>
      </c>
      <c r="H16" s="16" t="s">
        <v>590</v>
      </c>
      <c r="I16" s="16" t="s">
        <v>594</v>
      </c>
    </row>
  </sheetData>
  <mergeCells count="1">
    <mergeCell ref="A3:I3"/>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workbookViewId="0">
      <pane xSplit="1" ySplit="4" topLeftCell="B8" activePane="bottomRight" state="frozen"/>
      <selection activeCell="D10" sqref="D10:G21"/>
      <selection pane="topRight" activeCell="D10" sqref="D10:G21"/>
      <selection pane="bottomLeft" activeCell="D10" sqref="D10:G21"/>
      <selection pane="bottomRight" activeCell="A18" sqref="A18"/>
    </sheetView>
  </sheetViews>
  <sheetFormatPr defaultColWidth="9.140625" defaultRowHeight="12.75" x14ac:dyDescent="0.2"/>
  <cols>
    <col min="1" max="1" width="13.28515625" style="5" customWidth="1"/>
    <col min="2" max="2" width="17.28515625" style="5" customWidth="1"/>
    <col min="3" max="3" width="13.28515625" style="31" customWidth="1"/>
    <col min="4" max="4" width="12.5703125" style="31" customWidth="1"/>
    <col min="5" max="5" width="10.28515625" style="31" customWidth="1"/>
    <col min="6" max="6" width="12.7109375" style="31" customWidth="1"/>
    <col min="7" max="7" width="19" style="31" customWidth="1"/>
    <col min="8" max="8" width="44.42578125" style="5" customWidth="1"/>
    <col min="9" max="9" width="62.42578125" style="5" customWidth="1"/>
    <col min="10" max="10" width="56.28515625" style="5" customWidth="1"/>
    <col min="11" max="16384" width="9.140625" style="5"/>
  </cols>
  <sheetData>
    <row r="1" spans="1:10" ht="16.5" customHeight="1" x14ac:dyDescent="0.2">
      <c r="A1" s="158"/>
      <c r="B1" s="11"/>
      <c r="C1" s="11"/>
      <c r="D1" s="11"/>
      <c r="E1" s="11"/>
      <c r="F1" s="5"/>
      <c r="G1" s="5"/>
    </row>
    <row r="2" spans="1:10" ht="16.5" customHeight="1" x14ac:dyDescent="0.2">
      <c r="A2" s="123"/>
      <c r="B2" s="123"/>
      <c r="C2" s="123"/>
      <c r="D2" s="123"/>
      <c r="E2" s="11"/>
      <c r="F2" s="5"/>
      <c r="G2" s="5"/>
    </row>
    <row r="3" spans="1:10" x14ac:dyDescent="0.2">
      <c r="A3" s="224" t="s">
        <v>1722</v>
      </c>
      <c r="B3" s="225"/>
      <c r="C3" s="225"/>
      <c r="D3" s="225"/>
      <c r="E3" s="225"/>
      <c r="F3" s="225"/>
      <c r="G3" s="225"/>
      <c r="H3" s="225"/>
      <c r="I3" s="225"/>
      <c r="J3" s="146"/>
    </row>
    <row r="4" spans="1:10" s="17" customFormat="1" ht="25.5" x14ac:dyDescent="0.2">
      <c r="A4" s="143" t="s">
        <v>17</v>
      </c>
      <c r="B4" s="143" t="s">
        <v>219</v>
      </c>
      <c r="C4" s="143" t="s">
        <v>389</v>
      </c>
      <c r="D4" s="143" t="s">
        <v>14</v>
      </c>
      <c r="E4" s="143" t="s">
        <v>11</v>
      </c>
      <c r="F4" s="145" t="s">
        <v>30</v>
      </c>
      <c r="G4" s="143" t="s">
        <v>553</v>
      </c>
      <c r="H4" s="143" t="s">
        <v>303</v>
      </c>
      <c r="I4" s="143" t="s">
        <v>199</v>
      </c>
      <c r="J4" s="143" t="s">
        <v>1502</v>
      </c>
    </row>
    <row r="5" spans="1:10" s="11" customFormat="1" ht="63.75" x14ac:dyDescent="0.2">
      <c r="A5" s="16" t="s">
        <v>287</v>
      </c>
      <c r="B5" s="8" t="s">
        <v>301</v>
      </c>
      <c r="C5" s="8" t="s">
        <v>207</v>
      </c>
      <c r="D5" s="18" t="s">
        <v>24</v>
      </c>
      <c r="E5" s="22" t="s">
        <v>155</v>
      </c>
      <c r="F5" s="22">
        <v>2005</v>
      </c>
      <c r="G5" s="22" t="s">
        <v>433</v>
      </c>
      <c r="H5" s="30" t="s">
        <v>412</v>
      </c>
      <c r="I5" s="6" t="s">
        <v>572</v>
      </c>
      <c r="J5" s="147" t="s">
        <v>1505</v>
      </c>
    </row>
    <row r="6" spans="1:10" s="11" customFormat="1" ht="38.25" x14ac:dyDescent="0.2">
      <c r="A6" s="16" t="s">
        <v>290</v>
      </c>
      <c r="B6" s="8" t="s">
        <v>85</v>
      </c>
      <c r="C6" s="8" t="s">
        <v>222</v>
      </c>
      <c r="D6" s="18" t="s">
        <v>307</v>
      </c>
      <c r="E6" s="22" t="s">
        <v>308</v>
      </c>
      <c r="F6" s="22">
        <v>1996</v>
      </c>
      <c r="G6" s="22" t="s">
        <v>306</v>
      </c>
      <c r="H6" s="30" t="s">
        <v>414</v>
      </c>
      <c r="I6" s="6" t="s">
        <v>574</v>
      </c>
      <c r="J6" s="147" t="s">
        <v>1503</v>
      </c>
    </row>
    <row r="7" spans="1:10" s="11" customFormat="1" ht="51" x14ac:dyDescent="0.2">
      <c r="A7" s="16" t="s">
        <v>292</v>
      </c>
      <c r="B7" s="8" t="s">
        <v>318</v>
      </c>
      <c r="C7" s="8" t="s">
        <v>207</v>
      </c>
      <c r="D7" s="18" t="s">
        <v>24</v>
      </c>
      <c r="E7" s="22" t="s">
        <v>213</v>
      </c>
      <c r="F7" s="22" t="s">
        <v>309</v>
      </c>
      <c r="G7" s="22" t="s">
        <v>429</v>
      </c>
      <c r="H7" s="30" t="s">
        <v>415</v>
      </c>
      <c r="I7" s="6" t="s">
        <v>573</v>
      </c>
      <c r="J7" s="147" t="s">
        <v>1504</v>
      </c>
    </row>
    <row r="8" spans="1:10" s="11" customFormat="1" ht="51" x14ac:dyDescent="0.2">
      <c r="A8" s="16" t="s">
        <v>295</v>
      </c>
      <c r="B8" s="8" t="s">
        <v>318</v>
      </c>
      <c r="C8" s="8" t="s">
        <v>207</v>
      </c>
      <c r="D8" s="18" t="s">
        <v>24</v>
      </c>
      <c r="E8" s="22" t="s">
        <v>213</v>
      </c>
      <c r="F8" s="22" t="s">
        <v>311</v>
      </c>
      <c r="G8" s="22" t="s">
        <v>432</v>
      </c>
      <c r="H8" s="30" t="s">
        <v>416</v>
      </c>
      <c r="I8" s="6" t="s">
        <v>575</v>
      </c>
      <c r="J8" s="147" t="s">
        <v>1506</v>
      </c>
    </row>
    <row r="9" spans="1:10" s="11" customFormat="1" ht="89.25" x14ac:dyDescent="0.2">
      <c r="A9" s="16" t="s">
        <v>296</v>
      </c>
      <c r="B9" s="8" t="s">
        <v>220</v>
      </c>
      <c r="C9" s="8" t="s">
        <v>212</v>
      </c>
      <c r="D9" s="18" t="s">
        <v>15</v>
      </c>
      <c r="E9" s="22" t="s">
        <v>111</v>
      </c>
      <c r="F9" s="22">
        <v>1999</v>
      </c>
      <c r="G9" s="22" t="s">
        <v>312</v>
      </c>
      <c r="H9" s="30" t="s">
        <v>377</v>
      </c>
      <c r="I9" s="6" t="s">
        <v>423</v>
      </c>
      <c r="J9" s="110"/>
    </row>
    <row r="10" spans="1:10" s="11" customFormat="1" ht="63.75" x14ac:dyDescent="0.2">
      <c r="A10" s="16" t="s">
        <v>297</v>
      </c>
      <c r="B10" s="8" t="s">
        <v>301</v>
      </c>
      <c r="C10" s="8" t="s">
        <v>212</v>
      </c>
      <c r="D10" s="18" t="s">
        <v>228</v>
      </c>
      <c r="E10" s="22" t="s">
        <v>213</v>
      </c>
      <c r="F10" s="22" t="s">
        <v>316</v>
      </c>
      <c r="G10" s="22" t="s">
        <v>430</v>
      </c>
      <c r="H10" s="30" t="s">
        <v>314</v>
      </c>
      <c r="I10" s="6" t="s">
        <v>400</v>
      </c>
      <c r="J10" s="147" t="s">
        <v>1508</v>
      </c>
    </row>
    <row r="11" spans="1:10" s="11" customFormat="1" ht="51" x14ac:dyDescent="0.2">
      <c r="A11" s="16" t="s">
        <v>298</v>
      </c>
      <c r="B11" s="8" t="s">
        <v>220</v>
      </c>
      <c r="C11" s="8" t="s">
        <v>216</v>
      </c>
      <c r="D11" s="18" t="s">
        <v>15</v>
      </c>
      <c r="E11" s="22" t="s">
        <v>215</v>
      </c>
      <c r="F11" s="22">
        <v>1989</v>
      </c>
      <c r="G11" s="22" t="s">
        <v>431</v>
      </c>
      <c r="H11" s="30" t="s">
        <v>315</v>
      </c>
      <c r="I11" s="6" t="s">
        <v>424</v>
      </c>
      <c r="J11" s="147" t="s">
        <v>1507</v>
      </c>
    </row>
    <row r="12" spans="1:10" s="11" customFormat="1" ht="76.5" x14ac:dyDescent="0.2">
      <c r="A12" s="16" t="s">
        <v>299</v>
      </c>
      <c r="B12" s="8" t="s">
        <v>220</v>
      </c>
      <c r="C12" s="8" t="s">
        <v>212</v>
      </c>
      <c r="D12" s="18" t="s">
        <v>15</v>
      </c>
      <c r="E12" s="22" t="s">
        <v>262</v>
      </c>
      <c r="F12" s="22" t="s">
        <v>317</v>
      </c>
      <c r="G12" s="22" t="s">
        <v>313</v>
      </c>
      <c r="H12" s="30" t="s">
        <v>302</v>
      </c>
      <c r="I12" s="6" t="s">
        <v>401</v>
      </c>
      <c r="J12" s="147" t="s">
        <v>1509</v>
      </c>
    </row>
    <row r="13" spans="1:10" s="11" customFormat="1" ht="63.75" x14ac:dyDescent="0.2">
      <c r="A13" s="16" t="s">
        <v>278</v>
      </c>
      <c r="B13" s="8" t="s">
        <v>85</v>
      </c>
      <c r="C13" s="8" t="s">
        <v>207</v>
      </c>
      <c r="D13" s="18" t="s">
        <v>24</v>
      </c>
      <c r="E13" s="22" t="s">
        <v>105</v>
      </c>
      <c r="F13" s="22">
        <v>2010</v>
      </c>
      <c r="G13" s="22" t="s">
        <v>279</v>
      </c>
      <c r="H13" s="30" t="s">
        <v>376</v>
      </c>
      <c r="I13" s="6" t="s">
        <v>425</v>
      </c>
      <c r="J13" s="110"/>
    </row>
    <row r="14" spans="1:10" s="11" customFormat="1" ht="76.5" customHeight="1" x14ac:dyDescent="0.2">
      <c r="A14" s="6" t="s">
        <v>319</v>
      </c>
      <c r="B14" s="8" t="s">
        <v>220</v>
      </c>
      <c r="C14" s="22" t="s">
        <v>212</v>
      </c>
      <c r="D14" s="22" t="s">
        <v>24</v>
      </c>
      <c r="E14" s="22" t="s">
        <v>237</v>
      </c>
      <c r="F14" s="22"/>
      <c r="G14" s="22" t="s">
        <v>428</v>
      </c>
      <c r="H14" s="6" t="s">
        <v>450</v>
      </c>
      <c r="I14" s="6" t="s">
        <v>393</v>
      </c>
      <c r="J14" s="147" t="s">
        <v>1510</v>
      </c>
    </row>
    <row r="15" spans="1:10" s="11" customFormat="1" ht="63.75" x14ac:dyDescent="0.2">
      <c r="A15" s="16" t="s">
        <v>294</v>
      </c>
      <c r="B15" s="8" t="s">
        <v>220</v>
      </c>
      <c r="C15" s="8" t="s">
        <v>212</v>
      </c>
      <c r="D15" s="22" t="s">
        <v>24</v>
      </c>
      <c r="E15" s="22" t="s">
        <v>237</v>
      </c>
      <c r="F15" s="22">
        <v>2002</v>
      </c>
      <c r="G15" s="22" t="s">
        <v>429</v>
      </c>
      <c r="H15" s="30" t="s">
        <v>310</v>
      </c>
      <c r="I15" s="6" t="s">
        <v>576</v>
      </c>
      <c r="J15" s="147" t="s">
        <v>1511</v>
      </c>
    </row>
    <row r="16" spans="1:10" s="11" customFormat="1" ht="102" x14ac:dyDescent="0.2">
      <c r="A16" s="6" t="s">
        <v>286</v>
      </c>
      <c r="B16" s="22" t="s">
        <v>448</v>
      </c>
      <c r="C16" s="22" t="s">
        <v>212</v>
      </c>
      <c r="D16" s="32" t="s">
        <v>24</v>
      </c>
      <c r="E16" s="22" t="s">
        <v>308</v>
      </c>
      <c r="F16" s="22" t="s">
        <v>383</v>
      </c>
      <c r="G16" s="22" t="s">
        <v>384</v>
      </c>
      <c r="H16" s="33" t="s">
        <v>451</v>
      </c>
      <c r="I16" s="6" t="s">
        <v>426</v>
      </c>
      <c r="J16" s="147" t="s">
        <v>1512</v>
      </c>
    </row>
    <row r="17" spans="1:10" s="11" customFormat="1" ht="157.5" customHeight="1" x14ac:dyDescent="0.2">
      <c r="A17" s="6" t="s">
        <v>288</v>
      </c>
      <c r="B17" s="22" t="s">
        <v>449</v>
      </c>
      <c r="C17" s="22" t="s">
        <v>387</v>
      </c>
      <c r="D17" s="22" t="s">
        <v>385</v>
      </c>
      <c r="E17" s="22" t="s">
        <v>308</v>
      </c>
      <c r="F17" s="22">
        <v>2008</v>
      </c>
      <c r="G17" s="22" t="s">
        <v>386</v>
      </c>
      <c r="H17" s="33" t="s">
        <v>427</v>
      </c>
      <c r="I17" s="6" t="s">
        <v>577</v>
      </c>
      <c r="J17" s="147" t="s">
        <v>1513</v>
      </c>
    </row>
    <row r="18" spans="1:10" s="38" customFormat="1" ht="51" x14ac:dyDescent="0.25">
      <c r="A18" s="16" t="s">
        <v>585</v>
      </c>
      <c r="B18" s="8" t="s">
        <v>85</v>
      </c>
      <c r="C18" s="8" t="s">
        <v>583</v>
      </c>
      <c r="D18" s="18" t="s">
        <v>15</v>
      </c>
      <c r="E18" s="18" t="s">
        <v>242</v>
      </c>
      <c r="F18" s="18">
        <v>2005</v>
      </c>
      <c r="G18" s="8" t="s">
        <v>584</v>
      </c>
      <c r="H18" s="16" t="s">
        <v>586</v>
      </c>
      <c r="I18" s="16" t="s">
        <v>587</v>
      </c>
      <c r="J18" s="16" t="s">
        <v>1514</v>
      </c>
    </row>
    <row r="19" spans="1:10" s="38" customFormat="1" ht="38.25" x14ac:dyDescent="0.25">
      <c r="A19" s="6" t="s">
        <v>672</v>
      </c>
      <c r="B19" s="6" t="s">
        <v>301</v>
      </c>
      <c r="C19" s="22" t="s">
        <v>614</v>
      </c>
      <c r="D19" s="32" t="s">
        <v>24</v>
      </c>
      <c r="E19" s="32" t="s">
        <v>254</v>
      </c>
      <c r="F19" s="32" t="s">
        <v>616</v>
      </c>
      <c r="G19" s="22" t="s">
        <v>429</v>
      </c>
      <c r="H19" s="6" t="s">
        <v>673</v>
      </c>
      <c r="I19" s="6" t="s">
        <v>674</v>
      </c>
      <c r="J19" s="16" t="s">
        <v>1515</v>
      </c>
    </row>
  </sheetData>
  <mergeCells count="1">
    <mergeCell ref="A3:I3"/>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zoomScaleNormal="100" workbookViewId="0">
      <pane xSplit="1" ySplit="4" topLeftCell="B5" activePane="bottomRight" state="frozen"/>
      <selection pane="topRight" activeCell="B1" sqref="B1"/>
      <selection pane="bottomLeft" activeCell="A5" sqref="A5"/>
      <selection pane="bottomRight" activeCell="A5" sqref="A5"/>
    </sheetView>
  </sheetViews>
  <sheetFormatPr defaultColWidth="9.140625" defaultRowHeight="12.75" x14ac:dyDescent="0.2"/>
  <cols>
    <col min="1" max="1" width="13.28515625" style="5" customWidth="1"/>
    <col min="2" max="2" width="24.85546875" style="31" customWidth="1"/>
    <col min="3" max="3" width="54.85546875" style="31" customWidth="1"/>
    <col min="4" max="4" width="80.140625" style="31" customWidth="1"/>
    <col min="5" max="16384" width="9.140625" style="5"/>
  </cols>
  <sheetData>
    <row r="1" spans="1:5" ht="16.5" customHeight="1" x14ac:dyDescent="0.2">
      <c r="A1" s="158"/>
      <c r="B1" s="11"/>
      <c r="C1" s="11"/>
      <c r="D1" s="11"/>
      <c r="E1" s="11"/>
    </row>
    <row r="2" spans="1:5" ht="16.5" customHeight="1" x14ac:dyDescent="0.2">
      <c r="A2" s="123"/>
      <c r="B2" s="123"/>
      <c r="C2" s="123"/>
      <c r="D2" s="123"/>
      <c r="E2" s="11"/>
    </row>
    <row r="3" spans="1:5" x14ac:dyDescent="0.2">
      <c r="A3" s="224" t="s">
        <v>625</v>
      </c>
      <c r="B3" s="225"/>
      <c r="C3" s="225"/>
      <c r="D3" s="226"/>
    </row>
    <row r="4" spans="1:5" s="17" customFormat="1" x14ac:dyDescent="0.25">
      <c r="A4" s="57" t="s">
        <v>17</v>
      </c>
      <c r="B4" s="57" t="s">
        <v>11</v>
      </c>
      <c r="C4" s="57" t="s">
        <v>405</v>
      </c>
      <c r="D4" s="57" t="s">
        <v>406</v>
      </c>
    </row>
    <row r="5" spans="1:5" s="11" customFormat="1" ht="51" x14ac:dyDescent="0.2">
      <c r="A5" s="6" t="s">
        <v>378</v>
      </c>
      <c r="B5" s="22" t="s">
        <v>233</v>
      </c>
      <c r="C5" s="33" t="s">
        <v>437</v>
      </c>
      <c r="D5" s="33" t="s">
        <v>438</v>
      </c>
    </row>
    <row r="6" spans="1:5" s="11" customFormat="1" ht="51" x14ac:dyDescent="0.2">
      <c r="A6" s="6" t="s">
        <v>379</v>
      </c>
      <c r="B6" s="22" t="s">
        <v>261</v>
      </c>
      <c r="C6" s="33" t="s">
        <v>440</v>
      </c>
      <c r="D6" s="33" t="s">
        <v>441</v>
      </c>
    </row>
    <row r="7" spans="1:5" s="11" customFormat="1" ht="51" x14ac:dyDescent="0.2">
      <c r="A7" s="6" t="s">
        <v>381</v>
      </c>
      <c r="B7" s="22" t="s">
        <v>213</v>
      </c>
      <c r="C7" s="33" t="s">
        <v>407</v>
      </c>
      <c r="D7" s="33" t="s">
        <v>439</v>
      </c>
    </row>
    <row r="8" spans="1:5" s="11" customFormat="1" ht="38.25" x14ac:dyDescent="0.2">
      <c r="A8" s="6" t="s">
        <v>382</v>
      </c>
      <c r="B8" s="22" t="s">
        <v>211</v>
      </c>
      <c r="C8" s="33" t="s">
        <v>442</v>
      </c>
      <c r="D8" s="33" t="s">
        <v>452</v>
      </c>
    </row>
  </sheetData>
  <mergeCells count="1">
    <mergeCell ref="A3:D3"/>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pane ySplit="4" topLeftCell="A5" activePane="bottomLeft" state="frozen"/>
      <selection pane="bottomLeft"/>
    </sheetView>
  </sheetViews>
  <sheetFormatPr defaultColWidth="9.140625" defaultRowHeight="15" x14ac:dyDescent="0.25"/>
  <cols>
    <col min="1" max="1" width="24.7109375" style="45" customWidth="1"/>
    <col min="2" max="2" width="114.42578125" style="46" customWidth="1"/>
    <col min="3" max="3" width="44.42578125" style="47" customWidth="1"/>
    <col min="4" max="16384" width="9.140625" style="43"/>
  </cols>
  <sheetData>
    <row r="1" spans="1:5" s="5" customFormat="1" ht="16.5" customHeight="1" x14ac:dyDescent="0.2">
      <c r="A1" s="158"/>
      <c r="B1" s="11"/>
      <c r="C1" s="11"/>
      <c r="D1" s="11"/>
      <c r="E1" s="11"/>
    </row>
    <row r="2" spans="1:5" s="5" customFormat="1" ht="16.5" customHeight="1" x14ac:dyDescent="0.2">
      <c r="A2" s="123"/>
      <c r="B2" s="123"/>
      <c r="C2" s="123"/>
      <c r="D2" s="123"/>
      <c r="E2" s="11"/>
    </row>
    <row r="3" spans="1:5" x14ac:dyDescent="0.25">
      <c r="A3" s="231" t="s">
        <v>1723</v>
      </c>
      <c r="B3" s="231"/>
      <c r="C3" s="231"/>
    </row>
    <row r="4" spans="1:5" x14ac:dyDescent="0.25">
      <c r="A4" s="148" t="s">
        <v>323</v>
      </c>
      <c r="B4" s="148" t="s">
        <v>324</v>
      </c>
      <c r="C4" s="148" t="s">
        <v>9</v>
      </c>
    </row>
    <row r="5" spans="1:5" s="44" customFormat="1" ht="16.5" customHeight="1" x14ac:dyDescent="0.25">
      <c r="A5" s="230" t="s">
        <v>462</v>
      </c>
      <c r="B5" s="230"/>
      <c r="C5" s="230"/>
    </row>
    <row r="6" spans="1:5" ht="25.5" x14ac:dyDescent="0.25">
      <c r="A6" s="8" t="s">
        <v>498</v>
      </c>
      <c r="B6" s="16" t="s">
        <v>511</v>
      </c>
      <c r="C6" s="30" t="s">
        <v>499</v>
      </c>
    </row>
    <row r="7" spans="1:5" ht="25.5" x14ac:dyDescent="0.25">
      <c r="A7" s="8" t="s">
        <v>470</v>
      </c>
      <c r="B7" s="16" t="s">
        <v>482</v>
      </c>
      <c r="C7" s="30" t="s">
        <v>475</v>
      </c>
    </row>
    <row r="8" spans="1:5" ht="25.5" x14ac:dyDescent="0.25">
      <c r="A8" s="8" t="s">
        <v>518</v>
      </c>
      <c r="B8" s="16" t="s">
        <v>512</v>
      </c>
      <c r="C8" s="30" t="s">
        <v>500</v>
      </c>
    </row>
    <row r="9" spans="1:5" ht="38.25" x14ac:dyDescent="0.25">
      <c r="A9" s="8" t="s">
        <v>459</v>
      </c>
      <c r="B9" s="16" t="s">
        <v>461</v>
      </c>
      <c r="C9" s="30" t="s">
        <v>494</v>
      </c>
    </row>
    <row r="10" spans="1:5" ht="25.5" x14ac:dyDescent="0.25">
      <c r="A10" s="8" t="s">
        <v>544</v>
      </c>
      <c r="B10" s="16" t="s">
        <v>545</v>
      </c>
      <c r="C10" s="30" t="s">
        <v>546</v>
      </c>
    </row>
    <row r="11" spans="1:5" ht="25.5" x14ac:dyDescent="0.25">
      <c r="A11" s="8" t="s">
        <v>473</v>
      </c>
      <c r="B11" s="16" t="s">
        <v>486</v>
      </c>
      <c r="C11" s="30" t="s">
        <v>471</v>
      </c>
    </row>
    <row r="12" spans="1:5" ht="38.25" x14ac:dyDescent="0.25">
      <c r="A12" s="8" t="s">
        <v>501</v>
      </c>
      <c r="B12" s="16" t="s">
        <v>514</v>
      </c>
      <c r="C12" s="30" t="s">
        <v>502</v>
      </c>
    </row>
    <row r="13" spans="1:5" ht="38.25" x14ac:dyDescent="0.25">
      <c r="A13" s="8" t="s">
        <v>489</v>
      </c>
      <c r="B13" s="16" t="s">
        <v>488</v>
      </c>
      <c r="C13" s="30" t="s">
        <v>467</v>
      </c>
    </row>
    <row r="14" spans="1:5" ht="25.5" x14ac:dyDescent="0.25">
      <c r="A14" s="8" t="s">
        <v>468</v>
      </c>
      <c r="B14" s="16" t="s">
        <v>490</v>
      </c>
      <c r="C14" s="30" t="s">
        <v>467</v>
      </c>
    </row>
    <row r="15" spans="1:5" ht="25.5" x14ac:dyDescent="0.25">
      <c r="A15" s="8" t="s">
        <v>466</v>
      </c>
      <c r="B15" s="16" t="s">
        <v>491</v>
      </c>
      <c r="C15" s="30" t="s">
        <v>467</v>
      </c>
    </row>
    <row r="16" spans="1:5" ht="25.5" x14ac:dyDescent="0.25">
      <c r="A16" s="8" t="s">
        <v>519</v>
      </c>
      <c r="B16" s="16" t="s">
        <v>520</v>
      </c>
      <c r="C16" s="30" t="s">
        <v>521</v>
      </c>
    </row>
    <row r="17" spans="1:3" ht="25.5" x14ac:dyDescent="0.25">
      <c r="A17" s="8" t="s">
        <v>497</v>
      </c>
      <c r="B17" s="16" t="s">
        <v>492</v>
      </c>
      <c r="C17" s="30" t="s">
        <v>471</v>
      </c>
    </row>
    <row r="18" spans="1:3" ht="25.5" x14ac:dyDescent="0.25">
      <c r="A18" s="8" t="s">
        <v>291</v>
      </c>
      <c r="B18" s="16" t="s">
        <v>359</v>
      </c>
      <c r="C18" s="30" t="s">
        <v>493</v>
      </c>
    </row>
    <row r="19" spans="1:3" ht="25.5" x14ac:dyDescent="0.25">
      <c r="A19" s="8" t="s">
        <v>469</v>
      </c>
      <c r="B19" s="16" t="s">
        <v>465</v>
      </c>
      <c r="C19" s="30" t="s">
        <v>496</v>
      </c>
    </row>
    <row r="20" spans="1:3" ht="25.5" x14ac:dyDescent="0.25">
      <c r="A20" s="8" t="s">
        <v>508</v>
      </c>
      <c r="B20" s="16" t="s">
        <v>517</v>
      </c>
      <c r="C20" s="30" t="s">
        <v>509</v>
      </c>
    </row>
    <row r="21" spans="1:3" ht="25.5" x14ac:dyDescent="0.25">
      <c r="A21" s="8" t="s">
        <v>522</v>
      </c>
      <c r="B21" s="16" t="s">
        <v>523</v>
      </c>
      <c r="C21" s="30" t="s">
        <v>524</v>
      </c>
    </row>
    <row r="22" spans="1:3" s="44" customFormat="1" ht="16.5" customHeight="1" x14ac:dyDescent="0.25">
      <c r="A22" s="230" t="s">
        <v>463</v>
      </c>
      <c r="B22" s="230"/>
      <c r="C22" s="230"/>
    </row>
    <row r="23" spans="1:3" ht="38.25" x14ac:dyDescent="0.25">
      <c r="A23" s="8" t="s">
        <v>476</v>
      </c>
      <c r="B23" s="16" t="s">
        <v>481</v>
      </c>
      <c r="C23" s="30" t="s">
        <v>477</v>
      </c>
    </row>
    <row r="24" spans="1:3" ht="25.5" x14ac:dyDescent="0.25">
      <c r="A24" s="8" t="s">
        <v>540</v>
      </c>
      <c r="B24" s="16" t="s">
        <v>578</v>
      </c>
      <c r="C24" s="30" t="s">
        <v>541</v>
      </c>
    </row>
    <row r="25" spans="1:3" ht="25.5" x14ac:dyDescent="0.25">
      <c r="A25" s="8" t="s">
        <v>470</v>
      </c>
      <c r="B25" s="16" t="s">
        <v>482</v>
      </c>
      <c r="C25" s="30" t="s">
        <v>479</v>
      </c>
    </row>
    <row r="26" spans="1:3" ht="25.5" x14ac:dyDescent="0.25">
      <c r="A26" s="8" t="s">
        <v>542</v>
      </c>
      <c r="B26" s="16" t="s">
        <v>579</v>
      </c>
      <c r="C26" s="30"/>
    </row>
    <row r="27" spans="1:3" ht="25.5" x14ac:dyDescent="0.25">
      <c r="A27" s="8" t="s">
        <v>534</v>
      </c>
      <c r="B27" s="16" t="s">
        <v>538</v>
      </c>
      <c r="C27" s="30" t="s">
        <v>539</v>
      </c>
    </row>
    <row r="28" spans="1:3" ht="25.5" x14ac:dyDescent="0.25">
      <c r="A28" s="8" t="s">
        <v>543</v>
      </c>
      <c r="B28" s="16" t="s">
        <v>580</v>
      </c>
      <c r="C28" s="30"/>
    </row>
    <row r="29" spans="1:3" ht="25.5" x14ac:dyDescent="0.25">
      <c r="A29" s="8" t="s">
        <v>528</v>
      </c>
      <c r="B29" s="16" t="s">
        <v>529</v>
      </c>
      <c r="C29" s="30" t="s">
        <v>530</v>
      </c>
    </row>
    <row r="30" spans="1:3" ht="25.5" x14ac:dyDescent="0.25">
      <c r="A30" s="8" t="s">
        <v>505</v>
      </c>
      <c r="B30" s="16" t="s">
        <v>513</v>
      </c>
      <c r="C30" s="30" t="s">
        <v>506</v>
      </c>
    </row>
    <row r="31" spans="1:3" ht="25.5" x14ac:dyDescent="0.25">
      <c r="A31" s="8" t="s">
        <v>460</v>
      </c>
      <c r="B31" s="16" t="s">
        <v>464</v>
      </c>
      <c r="C31" s="30" t="s">
        <v>495</v>
      </c>
    </row>
    <row r="32" spans="1:3" ht="25.5" x14ac:dyDescent="0.25">
      <c r="A32" s="8" t="s">
        <v>484</v>
      </c>
      <c r="B32" s="16" t="s">
        <v>483</v>
      </c>
      <c r="C32" s="30" t="s">
        <v>472</v>
      </c>
    </row>
    <row r="33" spans="1:3" ht="38.25" x14ac:dyDescent="0.25">
      <c r="A33" s="8" t="s">
        <v>531</v>
      </c>
      <c r="B33" s="16" t="s">
        <v>532</v>
      </c>
      <c r="C33" s="30" t="s">
        <v>533</v>
      </c>
    </row>
    <row r="34" spans="1:3" ht="38.25" x14ac:dyDescent="0.25">
      <c r="A34" s="8" t="s">
        <v>478</v>
      </c>
      <c r="B34" s="16" t="s">
        <v>485</v>
      </c>
      <c r="C34" s="30" t="s">
        <v>477</v>
      </c>
    </row>
    <row r="35" spans="1:3" ht="25.5" x14ac:dyDescent="0.25">
      <c r="A35" s="8" t="s">
        <v>474</v>
      </c>
      <c r="B35" s="16" t="s">
        <v>487</v>
      </c>
      <c r="C35" s="30" t="s">
        <v>480</v>
      </c>
    </row>
    <row r="36" spans="1:3" ht="25.5" x14ac:dyDescent="0.25">
      <c r="A36" s="8" t="s">
        <v>547</v>
      </c>
      <c r="B36" s="16" t="s">
        <v>581</v>
      </c>
      <c r="C36" s="30"/>
    </row>
    <row r="37" spans="1:3" ht="25.5" x14ac:dyDescent="0.25">
      <c r="A37" s="8" t="s">
        <v>507</v>
      </c>
      <c r="B37" s="16" t="s">
        <v>515</v>
      </c>
      <c r="C37" s="30" t="s">
        <v>510</v>
      </c>
    </row>
    <row r="38" spans="1:3" ht="25.5" x14ac:dyDescent="0.25">
      <c r="A38" s="8" t="s">
        <v>549</v>
      </c>
      <c r="B38" s="16" t="s">
        <v>582</v>
      </c>
      <c r="C38" s="30" t="s">
        <v>548</v>
      </c>
    </row>
    <row r="39" spans="1:3" ht="25.5" x14ac:dyDescent="0.25">
      <c r="A39" s="22" t="s">
        <v>503</v>
      </c>
      <c r="B39" s="16" t="s">
        <v>516</v>
      </c>
      <c r="C39" s="33" t="s">
        <v>504</v>
      </c>
    </row>
    <row r="40" spans="1:3" ht="38.25" x14ac:dyDescent="0.25">
      <c r="A40" s="22" t="s">
        <v>552</v>
      </c>
      <c r="B40" s="16" t="s">
        <v>550</v>
      </c>
      <c r="C40" s="33" t="s">
        <v>551</v>
      </c>
    </row>
    <row r="41" spans="1:3" ht="25.5" x14ac:dyDescent="0.25">
      <c r="A41" s="22" t="s">
        <v>525</v>
      </c>
      <c r="B41" s="16" t="s">
        <v>526</v>
      </c>
      <c r="C41" s="33" t="s">
        <v>527</v>
      </c>
    </row>
  </sheetData>
  <sortState ref="A13:C18">
    <sortCondition ref="A13:A18"/>
  </sortState>
  <mergeCells count="3">
    <mergeCell ref="A5:C5"/>
    <mergeCell ref="A22:C22"/>
    <mergeCell ref="A3:C3"/>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7"/>
  <sheetViews>
    <sheetView showGridLines="0" zoomScaleNormal="100" workbookViewId="0">
      <pane ySplit="3" topLeftCell="A4" activePane="bottomLeft" state="frozen"/>
      <selection pane="bottomLeft" activeCell="A132" sqref="A132:XFD132"/>
    </sheetView>
  </sheetViews>
  <sheetFormatPr defaultColWidth="9.140625" defaultRowHeight="15" x14ac:dyDescent="0.25"/>
  <cols>
    <col min="1" max="1" width="40.140625" style="43" bestFit="1" customWidth="1"/>
    <col min="2" max="2" width="131.5703125" style="43" customWidth="1"/>
    <col min="3" max="16384" width="9.140625" style="43"/>
  </cols>
  <sheetData>
    <row r="1" spans="1:5" s="5" customFormat="1" ht="16.5" customHeight="1" x14ac:dyDescent="0.2">
      <c r="A1" s="158"/>
      <c r="B1" s="11"/>
      <c r="C1" s="11"/>
      <c r="D1" s="11"/>
      <c r="E1" s="11"/>
    </row>
    <row r="2" spans="1:5" s="5" customFormat="1" ht="16.5" customHeight="1" x14ac:dyDescent="0.2">
      <c r="A2" s="123"/>
      <c r="B2" s="123"/>
      <c r="C2" s="123"/>
      <c r="D2" s="123"/>
      <c r="E2" s="11"/>
    </row>
    <row r="3" spans="1:5" x14ac:dyDescent="0.25">
      <c r="A3" s="148" t="s">
        <v>323</v>
      </c>
      <c r="B3" s="148" t="s">
        <v>324</v>
      </c>
    </row>
    <row r="4" spans="1:5" ht="30" x14ac:dyDescent="0.25">
      <c r="A4" s="161" t="s">
        <v>295</v>
      </c>
      <c r="B4" s="161" t="s">
        <v>325</v>
      </c>
    </row>
    <row r="5" spans="1:5" ht="30" x14ac:dyDescent="0.25">
      <c r="A5" s="161" t="s">
        <v>476</v>
      </c>
      <c r="B5" s="59" t="s">
        <v>481</v>
      </c>
    </row>
    <row r="6" spans="1:5" ht="30" x14ac:dyDescent="0.25">
      <c r="A6" s="161" t="s">
        <v>540</v>
      </c>
      <c r="B6" s="59" t="s">
        <v>643</v>
      </c>
    </row>
    <row r="7" spans="1:5" ht="30" x14ac:dyDescent="0.25">
      <c r="A7" s="161" t="s">
        <v>326</v>
      </c>
      <c r="B7" s="161" t="s">
        <v>327</v>
      </c>
    </row>
    <row r="8" spans="1:5" ht="30" x14ac:dyDescent="0.25">
      <c r="A8" s="161" t="s">
        <v>74</v>
      </c>
      <c r="B8" s="161" t="s">
        <v>328</v>
      </c>
    </row>
    <row r="9" spans="1:5" ht="30" x14ac:dyDescent="0.25">
      <c r="A9" s="161" t="s">
        <v>597</v>
      </c>
      <c r="B9" s="59" t="s">
        <v>621</v>
      </c>
    </row>
    <row r="10" spans="1:5" x14ac:dyDescent="0.25">
      <c r="A10" s="161" t="s">
        <v>287</v>
      </c>
      <c r="B10" s="161" t="s">
        <v>329</v>
      </c>
    </row>
    <row r="11" spans="1:5" ht="30" x14ac:dyDescent="0.25">
      <c r="A11" s="161" t="s">
        <v>498</v>
      </c>
      <c r="B11" s="161" t="s">
        <v>511</v>
      </c>
    </row>
    <row r="12" spans="1:5" ht="45" x14ac:dyDescent="0.25">
      <c r="A12" s="161" t="s">
        <v>637</v>
      </c>
      <c r="B12" s="162" t="s">
        <v>650</v>
      </c>
    </row>
    <row r="13" spans="1:5" x14ac:dyDescent="0.25">
      <c r="A13" s="161" t="s">
        <v>1313</v>
      </c>
      <c r="B13" s="161" t="s">
        <v>1417</v>
      </c>
    </row>
    <row r="14" spans="1:5" x14ac:dyDescent="0.25">
      <c r="A14" s="161" t="s">
        <v>1324</v>
      </c>
      <c r="B14" s="161" t="s">
        <v>1418</v>
      </c>
    </row>
    <row r="15" spans="1:5" ht="45" x14ac:dyDescent="0.25">
      <c r="A15" s="161" t="s">
        <v>330</v>
      </c>
      <c r="B15" s="161" t="s">
        <v>331</v>
      </c>
    </row>
    <row r="16" spans="1:5" ht="29.25" customHeight="1" x14ac:dyDescent="0.25">
      <c r="A16" s="161" t="s">
        <v>1329</v>
      </c>
      <c r="B16" s="161" t="s">
        <v>1419</v>
      </c>
    </row>
    <row r="17" spans="1:2" ht="30" x14ac:dyDescent="0.25">
      <c r="A17" s="161" t="s">
        <v>470</v>
      </c>
      <c r="B17" s="161" t="s">
        <v>482</v>
      </c>
    </row>
    <row r="18" spans="1:2" ht="30" x14ac:dyDescent="0.25">
      <c r="A18" s="161" t="s">
        <v>179</v>
      </c>
      <c r="B18" s="161" t="s">
        <v>332</v>
      </c>
    </row>
    <row r="19" spans="1:2" ht="30" x14ac:dyDescent="0.25">
      <c r="A19" s="161" t="s">
        <v>629</v>
      </c>
      <c r="B19" s="162" t="s">
        <v>670</v>
      </c>
    </row>
    <row r="20" spans="1:2" x14ac:dyDescent="0.25">
      <c r="A20" s="161" t="s">
        <v>1338</v>
      </c>
      <c r="B20" s="161" t="s">
        <v>1420</v>
      </c>
    </row>
    <row r="21" spans="1:2" ht="30" x14ac:dyDescent="0.25">
      <c r="A21" s="161" t="s">
        <v>296</v>
      </c>
      <c r="B21" s="163" t="s">
        <v>333</v>
      </c>
    </row>
    <row r="22" spans="1:2" ht="30" x14ac:dyDescent="0.25">
      <c r="A22" s="161" t="s">
        <v>278</v>
      </c>
      <c r="B22" s="163" t="s">
        <v>375</v>
      </c>
    </row>
    <row r="23" spans="1:2" ht="30" x14ac:dyDescent="0.25">
      <c r="A23" s="161" t="s">
        <v>542</v>
      </c>
      <c r="B23" s="59" t="s">
        <v>644</v>
      </c>
    </row>
    <row r="24" spans="1:2" ht="30" x14ac:dyDescent="0.25">
      <c r="A24" s="161" t="s">
        <v>631</v>
      </c>
      <c r="B24" s="164" t="s">
        <v>655</v>
      </c>
    </row>
    <row r="25" spans="1:2" ht="30" x14ac:dyDescent="0.25">
      <c r="A25" s="161" t="s">
        <v>378</v>
      </c>
      <c r="B25" s="164" t="s">
        <v>640</v>
      </c>
    </row>
    <row r="26" spans="1:2" ht="30" x14ac:dyDescent="0.25">
      <c r="A26" s="161" t="s">
        <v>1348</v>
      </c>
      <c r="B26" s="163" t="s">
        <v>1421</v>
      </c>
    </row>
    <row r="27" spans="1:2" x14ac:dyDescent="0.25">
      <c r="A27" s="161" t="s">
        <v>294</v>
      </c>
      <c r="B27" s="161" t="s">
        <v>334</v>
      </c>
    </row>
    <row r="28" spans="1:2" ht="30" x14ac:dyDescent="0.25">
      <c r="A28" s="161" t="s">
        <v>1354</v>
      </c>
      <c r="B28" s="161" t="s">
        <v>1422</v>
      </c>
    </row>
    <row r="29" spans="1:2" ht="30" x14ac:dyDescent="0.25">
      <c r="A29" s="161" t="s">
        <v>392</v>
      </c>
      <c r="B29" s="161" t="s">
        <v>603</v>
      </c>
    </row>
    <row r="30" spans="1:2" x14ac:dyDescent="0.25">
      <c r="A30" s="161" t="s">
        <v>1369</v>
      </c>
      <c r="B30" s="161" t="s">
        <v>1423</v>
      </c>
    </row>
    <row r="31" spans="1:2" ht="30" x14ac:dyDescent="0.25">
      <c r="A31" s="161" t="s">
        <v>335</v>
      </c>
      <c r="B31" s="161" t="s">
        <v>336</v>
      </c>
    </row>
    <row r="32" spans="1:2" ht="30" x14ac:dyDescent="0.25">
      <c r="A32" s="161" t="s">
        <v>109</v>
      </c>
      <c r="B32" s="162" t="s">
        <v>671</v>
      </c>
    </row>
    <row r="33" spans="1:2" ht="30" x14ac:dyDescent="0.25">
      <c r="A33" s="162" t="s">
        <v>337</v>
      </c>
      <c r="B33" s="161" t="s">
        <v>338</v>
      </c>
    </row>
    <row r="34" spans="1:2" ht="30" x14ac:dyDescent="0.25">
      <c r="A34" s="162" t="s">
        <v>611</v>
      </c>
      <c r="B34" s="162" t="s">
        <v>681</v>
      </c>
    </row>
    <row r="35" spans="1:2" ht="30" x14ac:dyDescent="0.25">
      <c r="A35" s="161" t="s">
        <v>534</v>
      </c>
      <c r="B35" s="59" t="s">
        <v>538</v>
      </c>
    </row>
    <row r="36" spans="1:2" ht="30" x14ac:dyDescent="0.25">
      <c r="A36" s="161" t="s">
        <v>22</v>
      </c>
      <c r="B36" s="161" t="s">
        <v>340</v>
      </c>
    </row>
    <row r="37" spans="1:2" x14ac:dyDescent="0.25">
      <c r="A37" s="162" t="s">
        <v>106</v>
      </c>
      <c r="B37" s="161" t="s">
        <v>339</v>
      </c>
    </row>
    <row r="38" spans="1:2" ht="30" x14ac:dyDescent="0.25">
      <c r="A38" s="161" t="s">
        <v>518</v>
      </c>
      <c r="B38" s="59" t="s">
        <v>512</v>
      </c>
    </row>
    <row r="39" spans="1:2" ht="30" x14ac:dyDescent="0.25">
      <c r="A39" s="161" t="s">
        <v>370</v>
      </c>
      <c r="B39" s="161" t="s">
        <v>604</v>
      </c>
    </row>
    <row r="40" spans="1:2" ht="30" x14ac:dyDescent="0.25">
      <c r="A40" s="161" t="s">
        <v>543</v>
      </c>
      <c r="B40" s="59" t="s">
        <v>645</v>
      </c>
    </row>
    <row r="41" spans="1:2" ht="45" x14ac:dyDescent="0.25">
      <c r="A41" s="161" t="s">
        <v>288</v>
      </c>
      <c r="B41" s="161" t="s">
        <v>341</v>
      </c>
    </row>
    <row r="42" spans="1:2" ht="30" x14ac:dyDescent="0.25">
      <c r="A42" s="161" t="s">
        <v>342</v>
      </c>
      <c r="B42" s="161" t="s">
        <v>343</v>
      </c>
    </row>
    <row r="43" spans="1:2" ht="30" x14ac:dyDescent="0.25">
      <c r="A43" s="161" t="s">
        <v>607</v>
      </c>
      <c r="B43" s="162" t="s">
        <v>659</v>
      </c>
    </row>
    <row r="44" spans="1:2" x14ac:dyDescent="0.25">
      <c r="A44" s="161" t="s">
        <v>459</v>
      </c>
      <c r="B44" s="59" t="s">
        <v>461</v>
      </c>
    </row>
    <row r="45" spans="1:2" x14ac:dyDescent="0.25">
      <c r="A45" s="161" t="s">
        <v>1376</v>
      </c>
      <c r="B45" s="161" t="s">
        <v>1424</v>
      </c>
    </row>
    <row r="46" spans="1:2" x14ac:dyDescent="0.25">
      <c r="A46" s="161" t="s">
        <v>29</v>
      </c>
      <c r="B46" s="161" t="s">
        <v>344</v>
      </c>
    </row>
    <row r="47" spans="1:2" ht="30" x14ac:dyDescent="0.25">
      <c r="A47" s="161" t="s">
        <v>609</v>
      </c>
      <c r="B47" s="161" t="s">
        <v>663</v>
      </c>
    </row>
    <row r="48" spans="1:2" ht="30" x14ac:dyDescent="0.25">
      <c r="A48" s="161" t="s">
        <v>64</v>
      </c>
      <c r="B48" s="161" t="s">
        <v>345</v>
      </c>
    </row>
    <row r="49" spans="1:2" ht="45" x14ac:dyDescent="0.25">
      <c r="A49" s="161" t="s">
        <v>394</v>
      </c>
      <c r="B49" s="161" t="s">
        <v>398</v>
      </c>
    </row>
    <row r="50" spans="1:2" ht="30" x14ac:dyDescent="0.25">
      <c r="A50" s="161" t="s">
        <v>297</v>
      </c>
      <c r="B50" s="161" t="s">
        <v>346</v>
      </c>
    </row>
    <row r="51" spans="1:2" x14ac:dyDescent="0.25">
      <c r="A51" s="161" t="s">
        <v>596</v>
      </c>
      <c r="B51" s="162" t="s">
        <v>638</v>
      </c>
    </row>
    <row r="52" spans="1:2" ht="30" x14ac:dyDescent="0.25">
      <c r="A52" s="161" t="s">
        <v>528</v>
      </c>
      <c r="B52" s="59" t="s">
        <v>529</v>
      </c>
    </row>
    <row r="53" spans="1:2" s="48" customFormat="1" ht="30" x14ac:dyDescent="0.25">
      <c r="A53" s="161" t="s">
        <v>505</v>
      </c>
      <c r="B53" s="59" t="s">
        <v>513</v>
      </c>
    </row>
    <row r="54" spans="1:2" s="48" customFormat="1" x14ac:dyDescent="0.25">
      <c r="A54" s="161" t="s">
        <v>374</v>
      </c>
      <c r="B54" s="161" t="s">
        <v>373</v>
      </c>
    </row>
    <row r="55" spans="1:2" ht="30" x14ac:dyDescent="0.25">
      <c r="A55" s="161" t="s">
        <v>634</v>
      </c>
      <c r="B55" s="162" t="s">
        <v>651</v>
      </c>
    </row>
    <row r="56" spans="1:2" ht="30" x14ac:dyDescent="0.25">
      <c r="A56" s="161" t="s">
        <v>1425</v>
      </c>
      <c r="B56" s="161" t="s">
        <v>1426</v>
      </c>
    </row>
    <row r="57" spans="1:2" ht="30" x14ac:dyDescent="0.25">
      <c r="A57" s="161" t="s">
        <v>460</v>
      </c>
      <c r="B57" s="59" t="s">
        <v>464</v>
      </c>
    </row>
    <row r="58" spans="1:2" x14ac:dyDescent="0.25">
      <c r="A58" s="161" t="s">
        <v>484</v>
      </c>
      <c r="B58" s="59" t="s">
        <v>483</v>
      </c>
    </row>
    <row r="59" spans="1:2" ht="30" x14ac:dyDescent="0.25">
      <c r="A59" s="161" t="s">
        <v>544</v>
      </c>
      <c r="B59" s="59" t="s">
        <v>545</v>
      </c>
    </row>
    <row r="60" spans="1:2" ht="30" x14ac:dyDescent="0.25">
      <c r="A60" s="161" t="s">
        <v>26</v>
      </c>
      <c r="B60" s="161" t="s">
        <v>347</v>
      </c>
    </row>
    <row r="61" spans="1:2" x14ac:dyDescent="0.25">
      <c r="A61" s="161" t="s">
        <v>1395</v>
      </c>
      <c r="B61" s="161" t="s">
        <v>1427</v>
      </c>
    </row>
    <row r="62" spans="1:2" ht="30" x14ac:dyDescent="0.25">
      <c r="A62" s="161" t="s">
        <v>675</v>
      </c>
      <c r="B62" s="161" t="s">
        <v>676</v>
      </c>
    </row>
    <row r="63" spans="1:2" ht="30" x14ac:dyDescent="0.25">
      <c r="A63" s="161" t="s">
        <v>628</v>
      </c>
      <c r="B63" s="162" t="s">
        <v>648</v>
      </c>
    </row>
    <row r="64" spans="1:2" ht="30" x14ac:dyDescent="0.25">
      <c r="A64" s="161" t="s">
        <v>280</v>
      </c>
      <c r="B64" s="59" t="s">
        <v>622</v>
      </c>
    </row>
    <row r="65" spans="1:2" ht="45" x14ac:dyDescent="0.25">
      <c r="A65" s="161" t="s">
        <v>608</v>
      </c>
      <c r="B65" s="162" t="s">
        <v>652</v>
      </c>
    </row>
    <row r="66" spans="1:2" ht="30" x14ac:dyDescent="0.25">
      <c r="A66" s="161" t="s">
        <v>27</v>
      </c>
      <c r="B66" s="161" t="s">
        <v>348</v>
      </c>
    </row>
    <row r="67" spans="1:2" ht="30" x14ac:dyDescent="0.25">
      <c r="A67" s="161" t="s">
        <v>531</v>
      </c>
      <c r="B67" s="59" t="s">
        <v>532</v>
      </c>
    </row>
    <row r="68" spans="1:2" ht="30" x14ac:dyDescent="0.25">
      <c r="A68" s="161" t="s">
        <v>478</v>
      </c>
      <c r="B68" s="59" t="s">
        <v>485</v>
      </c>
    </row>
    <row r="69" spans="1:2" ht="30" x14ac:dyDescent="0.25">
      <c r="A69" s="161" t="s">
        <v>349</v>
      </c>
      <c r="B69" s="161" t="s">
        <v>350</v>
      </c>
    </row>
    <row r="70" spans="1:2" ht="30" x14ac:dyDescent="0.25">
      <c r="A70" s="161" t="s">
        <v>1881</v>
      </c>
      <c r="B70" s="161" t="s">
        <v>1885</v>
      </c>
    </row>
    <row r="71" spans="1:2" ht="30" x14ac:dyDescent="0.25">
      <c r="A71" s="161" t="s">
        <v>351</v>
      </c>
      <c r="B71" s="161" t="s">
        <v>352</v>
      </c>
    </row>
    <row r="72" spans="1:2" x14ac:dyDescent="0.25">
      <c r="A72" s="161" t="s">
        <v>1399</v>
      </c>
      <c r="B72" s="161" t="s">
        <v>1428</v>
      </c>
    </row>
    <row r="73" spans="1:2" x14ac:dyDescent="0.25">
      <c r="A73" s="161" t="s">
        <v>473</v>
      </c>
      <c r="B73" s="59" t="s">
        <v>486</v>
      </c>
    </row>
    <row r="74" spans="1:2" ht="30" x14ac:dyDescent="0.25">
      <c r="A74" s="161" t="s">
        <v>82</v>
      </c>
      <c r="B74" s="161" t="s">
        <v>353</v>
      </c>
    </row>
    <row r="75" spans="1:2" x14ac:dyDescent="0.25">
      <c r="A75" s="161" t="s">
        <v>293</v>
      </c>
      <c r="B75" s="161" t="s">
        <v>354</v>
      </c>
    </row>
    <row r="76" spans="1:2" ht="30" x14ac:dyDescent="0.25">
      <c r="A76" s="161" t="s">
        <v>289</v>
      </c>
      <c r="B76" s="161" t="s">
        <v>355</v>
      </c>
    </row>
    <row r="77" spans="1:2" ht="45" x14ac:dyDescent="0.25">
      <c r="A77" s="59" t="s">
        <v>501</v>
      </c>
      <c r="B77" s="59" t="s">
        <v>514</v>
      </c>
    </row>
    <row r="78" spans="1:2" x14ac:dyDescent="0.25">
      <c r="A78" s="161" t="s">
        <v>474</v>
      </c>
      <c r="B78" s="59" t="s">
        <v>487</v>
      </c>
    </row>
    <row r="79" spans="1:2" ht="45" x14ac:dyDescent="0.25">
      <c r="A79" s="161" t="s">
        <v>489</v>
      </c>
      <c r="B79" s="59" t="s">
        <v>488</v>
      </c>
    </row>
    <row r="80" spans="1:2" ht="30" x14ac:dyDescent="0.25">
      <c r="A80" s="161" t="s">
        <v>468</v>
      </c>
      <c r="B80" s="59" t="s">
        <v>490</v>
      </c>
    </row>
    <row r="81" spans="1:2" x14ac:dyDescent="0.25">
      <c r="A81" s="161" t="s">
        <v>320</v>
      </c>
      <c r="B81" s="161" t="s">
        <v>369</v>
      </c>
    </row>
    <row r="82" spans="1:2" ht="30" x14ac:dyDescent="0.25">
      <c r="A82" s="161" t="s">
        <v>547</v>
      </c>
      <c r="B82" s="59" t="s">
        <v>646</v>
      </c>
    </row>
    <row r="83" spans="1:2" ht="30" x14ac:dyDescent="0.25">
      <c r="A83" s="161" t="s">
        <v>466</v>
      </c>
      <c r="B83" s="59" t="s">
        <v>491</v>
      </c>
    </row>
    <row r="84" spans="1:2" ht="30" x14ac:dyDescent="0.25">
      <c r="A84" s="161" t="s">
        <v>519</v>
      </c>
      <c r="B84" s="59" t="s">
        <v>520</v>
      </c>
    </row>
    <row r="85" spans="1:2" x14ac:dyDescent="0.25">
      <c r="A85" s="161" t="s">
        <v>1843</v>
      </c>
      <c r="B85" s="161" t="s">
        <v>1844</v>
      </c>
    </row>
    <row r="86" spans="1:2" ht="30" x14ac:dyDescent="0.25">
      <c r="A86" s="161" t="s">
        <v>61</v>
      </c>
      <c r="B86" s="161" t="s">
        <v>356</v>
      </c>
    </row>
    <row r="87" spans="1:2" ht="30" x14ac:dyDescent="0.25">
      <c r="A87" s="161" t="s">
        <v>20</v>
      </c>
      <c r="B87" s="161" t="s">
        <v>456</v>
      </c>
    </row>
    <row r="88" spans="1:2" ht="30" x14ac:dyDescent="0.25">
      <c r="A88" s="161" t="s">
        <v>635</v>
      </c>
      <c r="B88" s="162" t="s">
        <v>682</v>
      </c>
    </row>
    <row r="89" spans="1:2" x14ac:dyDescent="0.25">
      <c r="A89" s="161" t="s">
        <v>292</v>
      </c>
      <c r="B89" s="161" t="s">
        <v>357</v>
      </c>
    </row>
    <row r="90" spans="1:2" x14ac:dyDescent="0.25">
      <c r="A90" s="161" t="s">
        <v>497</v>
      </c>
      <c r="B90" s="59" t="s">
        <v>492</v>
      </c>
    </row>
    <row r="91" spans="1:2" ht="30" x14ac:dyDescent="0.25">
      <c r="A91" s="161" t="s">
        <v>1490</v>
      </c>
      <c r="B91" s="161" t="s">
        <v>1496</v>
      </c>
    </row>
    <row r="92" spans="1:2" ht="30" x14ac:dyDescent="0.25">
      <c r="A92" s="161" t="s">
        <v>47</v>
      </c>
      <c r="B92" s="161" t="s">
        <v>358</v>
      </c>
    </row>
    <row r="93" spans="1:2" ht="30" x14ac:dyDescent="0.25">
      <c r="A93" s="161" t="s">
        <v>585</v>
      </c>
      <c r="B93" s="161" t="s">
        <v>588</v>
      </c>
    </row>
    <row r="94" spans="1:2" x14ac:dyDescent="0.25">
      <c r="A94" s="161" t="s">
        <v>1402</v>
      </c>
      <c r="B94" s="161" t="s">
        <v>1429</v>
      </c>
    </row>
    <row r="95" spans="1:2" customFormat="1" ht="45" x14ac:dyDescent="0.25">
      <c r="A95" s="161" t="s">
        <v>606</v>
      </c>
      <c r="B95" s="162" t="s">
        <v>679</v>
      </c>
    </row>
    <row r="96" spans="1:2" ht="30" x14ac:dyDescent="0.25">
      <c r="A96" s="161" t="s">
        <v>291</v>
      </c>
      <c r="B96" s="161" t="s">
        <v>359</v>
      </c>
    </row>
    <row r="97" spans="1:2" ht="30" x14ac:dyDescent="0.25">
      <c r="A97" s="161" t="s">
        <v>507</v>
      </c>
      <c r="B97" s="59" t="s">
        <v>515</v>
      </c>
    </row>
    <row r="98" spans="1:2" ht="30" x14ac:dyDescent="0.25">
      <c r="A98" s="161" t="s">
        <v>361</v>
      </c>
      <c r="B98" s="163" t="s">
        <v>362</v>
      </c>
    </row>
    <row r="99" spans="1:2" ht="30" x14ac:dyDescent="0.25">
      <c r="A99" s="161" t="s">
        <v>58</v>
      </c>
      <c r="B99" s="163" t="s">
        <v>360</v>
      </c>
    </row>
    <row r="100" spans="1:2" ht="45" x14ac:dyDescent="0.25">
      <c r="A100" s="161" t="s">
        <v>363</v>
      </c>
      <c r="B100" s="163" t="s">
        <v>364</v>
      </c>
    </row>
    <row r="101" spans="1:2" ht="30" x14ac:dyDescent="0.25">
      <c r="A101" s="161" t="s">
        <v>549</v>
      </c>
      <c r="B101" s="59" t="s">
        <v>647</v>
      </c>
    </row>
    <row r="102" spans="1:2" ht="30" x14ac:dyDescent="0.25">
      <c r="A102" s="161" t="s">
        <v>665</v>
      </c>
      <c r="B102" s="162" t="s">
        <v>680</v>
      </c>
    </row>
    <row r="103" spans="1:2" x14ac:dyDescent="0.25">
      <c r="A103" s="161" t="s">
        <v>298</v>
      </c>
      <c r="B103" s="161" t="s">
        <v>365</v>
      </c>
    </row>
    <row r="104" spans="1:2" ht="30" x14ac:dyDescent="0.25">
      <c r="A104" s="161" t="s">
        <v>469</v>
      </c>
      <c r="B104" s="59" t="s">
        <v>465</v>
      </c>
    </row>
    <row r="105" spans="1:2" ht="30" x14ac:dyDescent="0.25">
      <c r="A105" s="161" t="s">
        <v>1407</v>
      </c>
      <c r="B105" s="161" t="s">
        <v>1430</v>
      </c>
    </row>
    <row r="106" spans="1:2" x14ac:dyDescent="0.25">
      <c r="A106" s="161" t="s">
        <v>1870</v>
      </c>
      <c r="B106" s="161" t="s">
        <v>1878</v>
      </c>
    </row>
    <row r="107" spans="1:2" ht="30" x14ac:dyDescent="0.25">
      <c r="A107" s="161" t="s">
        <v>1415</v>
      </c>
      <c r="B107" s="161" t="s">
        <v>1431</v>
      </c>
    </row>
    <row r="108" spans="1:2" ht="30" x14ac:dyDescent="0.25">
      <c r="A108" s="161" t="s">
        <v>457</v>
      </c>
      <c r="B108" s="59" t="s">
        <v>623</v>
      </c>
    </row>
    <row r="109" spans="1:2" ht="30" x14ac:dyDescent="0.25">
      <c r="A109" s="162" t="s">
        <v>661</v>
      </c>
      <c r="B109" s="95" t="s">
        <v>660</v>
      </c>
    </row>
    <row r="110" spans="1:2" x14ac:dyDescent="0.25">
      <c r="A110" s="162" t="s">
        <v>666</v>
      </c>
      <c r="B110" s="95" t="s">
        <v>668</v>
      </c>
    </row>
    <row r="111" spans="1:2" ht="30" x14ac:dyDescent="0.25">
      <c r="A111" s="162" t="s">
        <v>667</v>
      </c>
      <c r="B111" s="95" t="s">
        <v>669</v>
      </c>
    </row>
    <row r="112" spans="1:2" ht="30" x14ac:dyDescent="0.25">
      <c r="A112" s="162" t="s">
        <v>658</v>
      </c>
      <c r="B112" s="95" t="s">
        <v>657</v>
      </c>
    </row>
    <row r="113" spans="1:2" ht="30" x14ac:dyDescent="0.25">
      <c r="A113" s="162" t="s">
        <v>636</v>
      </c>
      <c r="B113" s="95" t="s">
        <v>662</v>
      </c>
    </row>
    <row r="114" spans="1:2" ht="30" x14ac:dyDescent="0.25">
      <c r="A114" s="162" t="s">
        <v>632</v>
      </c>
      <c r="B114" s="95" t="s">
        <v>654</v>
      </c>
    </row>
    <row r="115" spans="1:2" ht="30" x14ac:dyDescent="0.25">
      <c r="A115" s="162" t="s">
        <v>381</v>
      </c>
      <c r="B115" s="95" t="s">
        <v>642</v>
      </c>
    </row>
    <row r="116" spans="1:2" x14ac:dyDescent="0.25">
      <c r="A116" s="161" t="s">
        <v>380</v>
      </c>
      <c r="B116" s="161" t="s">
        <v>399</v>
      </c>
    </row>
    <row r="117" spans="1:2" x14ac:dyDescent="0.25">
      <c r="A117" s="161" t="s">
        <v>379</v>
      </c>
      <c r="B117" s="161" t="s">
        <v>639</v>
      </c>
    </row>
    <row r="118" spans="1:2" ht="30" x14ac:dyDescent="0.25">
      <c r="A118" s="161" t="s">
        <v>1842</v>
      </c>
      <c r="B118" s="161" t="s">
        <v>1839</v>
      </c>
    </row>
    <row r="119" spans="1:2" ht="30" x14ac:dyDescent="0.25">
      <c r="A119" s="162" t="s">
        <v>319</v>
      </c>
      <c r="B119" s="95" t="s">
        <v>649</v>
      </c>
    </row>
    <row r="120" spans="1:2" x14ac:dyDescent="0.25">
      <c r="A120" s="161" t="s">
        <v>503</v>
      </c>
      <c r="B120" s="59" t="s">
        <v>516</v>
      </c>
    </row>
    <row r="121" spans="1:2" ht="30" x14ac:dyDescent="0.25">
      <c r="A121" s="161" t="s">
        <v>508</v>
      </c>
      <c r="B121" s="59" t="s">
        <v>517</v>
      </c>
    </row>
    <row r="122" spans="1:2" ht="30" x14ac:dyDescent="0.25">
      <c r="A122" s="161" t="s">
        <v>56</v>
      </c>
      <c r="B122" s="163" t="s">
        <v>366</v>
      </c>
    </row>
    <row r="123" spans="1:2" ht="30" x14ac:dyDescent="0.25">
      <c r="A123" s="161" t="s">
        <v>630</v>
      </c>
      <c r="B123" s="164" t="s">
        <v>656</v>
      </c>
    </row>
    <row r="124" spans="1:2" ht="30" x14ac:dyDescent="0.25">
      <c r="A124" s="161" t="s">
        <v>626</v>
      </c>
      <c r="B124" s="163" t="s">
        <v>627</v>
      </c>
    </row>
    <row r="125" spans="1:2" ht="30" x14ac:dyDescent="0.25">
      <c r="A125" s="161" t="s">
        <v>612</v>
      </c>
      <c r="B125" s="164" t="s">
        <v>664</v>
      </c>
    </row>
    <row r="126" spans="1:2" ht="30" x14ac:dyDescent="0.25">
      <c r="A126" s="161" t="s">
        <v>633</v>
      </c>
      <c r="B126" s="164" t="s">
        <v>653</v>
      </c>
    </row>
    <row r="127" spans="1:2" ht="30" x14ac:dyDescent="0.25">
      <c r="A127" s="161" t="s">
        <v>282</v>
      </c>
      <c r="B127" s="59" t="s">
        <v>624</v>
      </c>
    </row>
    <row r="128" spans="1:2" ht="30" x14ac:dyDescent="0.25">
      <c r="A128" s="161" t="s">
        <v>522</v>
      </c>
      <c r="B128" s="59" t="s">
        <v>523</v>
      </c>
    </row>
    <row r="129" spans="1:2" ht="45" x14ac:dyDescent="0.25">
      <c r="A129" s="161" t="s">
        <v>552</v>
      </c>
      <c r="B129" s="59" t="s">
        <v>550</v>
      </c>
    </row>
    <row r="130" spans="1:2" ht="30" x14ac:dyDescent="0.25">
      <c r="A130" s="161" t="s">
        <v>525</v>
      </c>
      <c r="B130" s="59" t="s">
        <v>526</v>
      </c>
    </row>
    <row r="131" spans="1:2" x14ac:dyDescent="0.25">
      <c r="A131" s="161" t="s">
        <v>641</v>
      </c>
      <c r="B131" s="163" t="s">
        <v>367</v>
      </c>
    </row>
    <row r="132" spans="1:2" x14ac:dyDescent="0.25">
      <c r="A132" s="161" t="s">
        <v>299</v>
      </c>
      <c r="B132" s="161" t="s">
        <v>368</v>
      </c>
    </row>
    <row r="133" spans="1:2" x14ac:dyDescent="0.25">
      <c r="B133"/>
    </row>
    <row r="134" spans="1:2" x14ac:dyDescent="0.25">
      <c r="B134"/>
    </row>
    <row r="135" spans="1:2" x14ac:dyDescent="0.25">
      <c r="B135"/>
    </row>
    <row r="136" spans="1:2" x14ac:dyDescent="0.25">
      <c r="B136"/>
    </row>
    <row r="137" spans="1:2" x14ac:dyDescent="0.25">
      <c r="B137"/>
    </row>
    <row r="138" spans="1:2" x14ac:dyDescent="0.25">
      <c r="B138"/>
    </row>
    <row r="139" spans="1:2" x14ac:dyDescent="0.25">
      <c r="B139"/>
    </row>
    <row r="140" spans="1:2" x14ac:dyDescent="0.25">
      <c r="B140"/>
    </row>
    <row r="141" spans="1:2" x14ac:dyDescent="0.25">
      <c r="B141"/>
    </row>
    <row r="142" spans="1:2" x14ac:dyDescent="0.25">
      <c r="B142"/>
    </row>
    <row r="143" spans="1:2" x14ac:dyDescent="0.25">
      <c r="B143"/>
    </row>
    <row r="144" spans="1: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2:2" x14ac:dyDescent="0.25">
      <c r="B161"/>
    </row>
    <row r="162" spans="2:2" x14ac:dyDescent="0.25">
      <c r="B162"/>
    </row>
    <row r="163" spans="2:2" x14ac:dyDescent="0.25">
      <c r="B163"/>
    </row>
    <row r="164" spans="2:2" x14ac:dyDescent="0.25">
      <c r="B164"/>
    </row>
    <row r="165" spans="2:2" x14ac:dyDescent="0.25">
      <c r="B165"/>
    </row>
    <row r="166" spans="2:2" x14ac:dyDescent="0.25">
      <c r="B166"/>
    </row>
    <row r="167" spans="2:2" x14ac:dyDescent="0.25">
      <c r="B167"/>
    </row>
    <row r="168" spans="2:2" x14ac:dyDescent="0.25">
      <c r="B168"/>
    </row>
    <row r="169" spans="2:2" x14ac:dyDescent="0.25">
      <c r="B169"/>
    </row>
    <row r="170" spans="2:2" x14ac:dyDescent="0.25">
      <c r="B170"/>
    </row>
    <row r="171" spans="2:2" x14ac:dyDescent="0.25">
      <c r="B171"/>
    </row>
    <row r="172" spans="2:2" x14ac:dyDescent="0.25">
      <c r="B172"/>
    </row>
    <row r="173" spans="2:2" x14ac:dyDescent="0.25">
      <c r="B173"/>
    </row>
    <row r="174" spans="2:2" x14ac:dyDescent="0.25">
      <c r="B174"/>
    </row>
    <row r="175" spans="2:2" x14ac:dyDescent="0.25">
      <c r="B175"/>
    </row>
    <row r="176" spans="2:2" x14ac:dyDescent="0.25">
      <c r="B176"/>
    </row>
    <row r="177" spans="2:2" x14ac:dyDescent="0.25">
      <c r="B177"/>
    </row>
    <row r="178" spans="2:2" x14ac:dyDescent="0.25">
      <c r="B178"/>
    </row>
    <row r="179" spans="2:2" x14ac:dyDescent="0.25">
      <c r="B179"/>
    </row>
    <row r="180" spans="2:2" x14ac:dyDescent="0.25">
      <c r="B180"/>
    </row>
    <row r="181" spans="2:2" x14ac:dyDescent="0.25">
      <c r="B181"/>
    </row>
    <row r="182" spans="2:2" x14ac:dyDescent="0.25">
      <c r="B182"/>
    </row>
    <row r="183" spans="2:2" x14ac:dyDescent="0.25">
      <c r="B183"/>
    </row>
    <row r="184" spans="2:2" x14ac:dyDescent="0.25">
      <c r="B184"/>
    </row>
    <row r="185" spans="2:2" x14ac:dyDescent="0.25">
      <c r="B185"/>
    </row>
    <row r="186" spans="2:2" x14ac:dyDescent="0.25">
      <c r="B186"/>
    </row>
    <row r="187" spans="2:2" x14ac:dyDescent="0.25">
      <c r="B187"/>
    </row>
    <row r="188" spans="2:2" x14ac:dyDescent="0.25">
      <c r="B188"/>
    </row>
    <row r="189" spans="2:2" x14ac:dyDescent="0.25">
      <c r="B189"/>
    </row>
    <row r="190" spans="2:2" x14ac:dyDescent="0.25">
      <c r="B190"/>
    </row>
    <row r="191" spans="2:2" x14ac:dyDescent="0.25">
      <c r="B191"/>
    </row>
    <row r="192" spans="2:2" x14ac:dyDescent="0.25">
      <c r="B192"/>
    </row>
    <row r="193" spans="2:2" x14ac:dyDescent="0.25">
      <c r="B193"/>
    </row>
    <row r="194" spans="2:2" x14ac:dyDescent="0.25">
      <c r="B194"/>
    </row>
    <row r="195" spans="2:2" x14ac:dyDescent="0.25">
      <c r="B195"/>
    </row>
    <row r="196" spans="2:2" x14ac:dyDescent="0.25">
      <c r="B196"/>
    </row>
    <row r="197" spans="2:2" x14ac:dyDescent="0.25">
      <c r="B197"/>
    </row>
    <row r="198" spans="2:2" x14ac:dyDescent="0.25">
      <c r="B198"/>
    </row>
    <row r="199" spans="2:2" x14ac:dyDescent="0.25">
      <c r="B199"/>
    </row>
    <row r="200" spans="2:2" x14ac:dyDescent="0.25">
      <c r="B200"/>
    </row>
    <row r="201" spans="2:2" x14ac:dyDescent="0.25">
      <c r="B201"/>
    </row>
    <row r="202" spans="2:2" x14ac:dyDescent="0.25">
      <c r="B202"/>
    </row>
    <row r="203" spans="2:2" x14ac:dyDescent="0.25">
      <c r="B203"/>
    </row>
    <row r="204" spans="2:2" x14ac:dyDescent="0.25">
      <c r="B204"/>
    </row>
    <row r="205" spans="2:2" x14ac:dyDescent="0.25">
      <c r="B205"/>
    </row>
    <row r="206" spans="2:2" x14ac:dyDescent="0.25">
      <c r="B206"/>
    </row>
    <row r="207" spans="2:2" x14ac:dyDescent="0.25">
      <c r="B207"/>
    </row>
    <row r="208" spans="2:2" x14ac:dyDescent="0.25">
      <c r="B208"/>
    </row>
    <row r="209" spans="2:2" x14ac:dyDescent="0.25">
      <c r="B209"/>
    </row>
    <row r="210" spans="2:2" x14ac:dyDescent="0.25">
      <c r="B210"/>
    </row>
    <row r="211" spans="2:2" x14ac:dyDescent="0.25">
      <c r="B211"/>
    </row>
    <row r="212" spans="2:2" x14ac:dyDescent="0.25">
      <c r="B212"/>
    </row>
    <row r="213" spans="2:2" x14ac:dyDescent="0.25">
      <c r="B213"/>
    </row>
    <row r="214" spans="2:2" x14ac:dyDescent="0.25">
      <c r="B214"/>
    </row>
    <row r="215" spans="2:2" x14ac:dyDescent="0.25">
      <c r="B215"/>
    </row>
    <row r="216" spans="2:2" x14ac:dyDescent="0.25">
      <c r="B216"/>
    </row>
    <row r="217" spans="2:2" x14ac:dyDescent="0.25">
      <c r="B217"/>
    </row>
    <row r="218" spans="2:2" x14ac:dyDescent="0.25">
      <c r="B218"/>
    </row>
    <row r="219" spans="2:2" x14ac:dyDescent="0.25">
      <c r="B219"/>
    </row>
    <row r="220" spans="2:2" x14ac:dyDescent="0.25">
      <c r="B220"/>
    </row>
    <row r="221" spans="2:2" x14ac:dyDescent="0.25">
      <c r="B221"/>
    </row>
    <row r="222" spans="2:2" x14ac:dyDescent="0.25">
      <c r="B222"/>
    </row>
    <row r="223" spans="2:2" x14ac:dyDescent="0.25">
      <c r="B223"/>
    </row>
    <row r="224" spans="2:2" x14ac:dyDescent="0.25">
      <c r="B224"/>
    </row>
    <row r="225" spans="2:2" x14ac:dyDescent="0.25">
      <c r="B225"/>
    </row>
    <row r="226" spans="2:2" x14ac:dyDescent="0.25">
      <c r="B226"/>
    </row>
    <row r="227" spans="2:2" x14ac:dyDescent="0.25">
      <c r="B227"/>
    </row>
    <row r="228" spans="2:2" x14ac:dyDescent="0.25">
      <c r="B228"/>
    </row>
    <row r="229" spans="2:2" x14ac:dyDescent="0.25">
      <c r="B229"/>
    </row>
    <row r="230" spans="2:2" x14ac:dyDescent="0.25">
      <c r="B230"/>
    </row>
    <row r="231" spans="2:2" x14ac:dyDescent="0.25">
      <c r="B231"/>
    </row>
    <row r="232" spans="2:2" x14ac:dyDescent="0.25">
      <c r="B232"/>
    </row>
    <row r="233" spans="2:2" x14ac:dyDescent="0.25">
      <c r="B233"/>
    </row>
    <row r="234" spans="2:2" x14ac:dyDescent="0.25">
      <c r="B234"/>
    </row>
    <row r="235" spans="2:2" x14ac:dyDescent="0.25">
      <c r="B235"/>
    </row>
    <row r="236" spans="2:2" x14ac:dyDescent="0.25">
      <c r="B236"/>
    </row>
    <row r="237" spans="2:2" x14ac:dyDescent="0.25">
      <c r="B237"/>
    </row>
    <row r="238" spans="2:2" x14ac:dyDescent="0.25">
      <c r="B238"/>
    </row>
    <row r="239" spans="2:2" x14ac:dyDescent="0.25">
      <c r="B239"/>
    </row>
    <row r="240" spans="2:2" x14ac:dyDescent="0.25">
      <c r="B240"/>
    </row>
    <row r="241" spans="2:2" x14ac:dyDescent="0.25">
      <c r="B241"/>
    </row>
    <row r="242" spans="2:2" x14ac:dyDescent="0.25">
      <c r="B242"/>
    </row>
    <row r="243" spans="2:2" x14ac:dyDescent="0.25">
      <c r="B243"/>
    </row>
    <row r="244" spans="2:2" x14ac:dyDescent="0.25">
      <c r="B244"/>
    </row>
    <row r="245" spans="2:2" x14ac:dyDescent="0.25">
      <c r="B245"/>
    </row>
    <row r="246" spans="2:2" x14ac:dyDescent="0.25">
      <c r="B246"/>
    </row>
    <row r="247" spans="2:2" x14ac:dyDescent="0.25">
      <c r="B247"/>
    </row>
    <row r="248" spans="2:2" x14ac:dyDescent="0.25">
      <c r="B248"/>
    </row>
    <row r="249" spans="2:2" x14ac:dyDescent="0.25">
      <c r="B249"/>
    </row>
    <row r="250" spans="2:2" x14ac:dyDescent="0.25">
      <c r="B250"/>
    </row>
    <row r="251" spans="2:2" x14ac:dyDescent="0.25">
      <c r="B251"/>
    </row>
    <row r="252" spans="2:2" x14ac:dyDescent="0.25">
      <c r="B252"/>
    </row>
    <row r="253" spans="2:2" x14ac:dyDescent="0.25">
      <c r="B253"/>
    </row>
    <row r="254" spans="2:2" x14ac:dyDescent="0.25">
      <c r="B254"/>
    </row>
    <row r="255" spans="2:2" x14ac:dyDescent="0.25">
      <c r="B255"/>
    </row>
    <row r="256" spans="2:2" x14ac:dyDescent="0.25">
      <c r="B256"/>
    </row>
    <row r="257" spans="2:2" x14ac:dyDescent="0.25">
      <c r="B257"/>
    </row>
    <row r="258" spans="2:2" x14ac:dyDescent="0.25">
      <c r="B258"/>
    </row>
    <row r="259" spans="2:2" x14ac:dyDescent="0.25">
      <c r="B259"/>
    </row>
    <row r="260" spans="2:2" x14ac:dyDescent="0.25">
      <c r="B260"/>
    </row>
    <row r="261" spans="2:2" x14ac:dyDescent="0.25">
      <c r="B261"/>
    </row>
    <row r="262" spans="2:2" x14ac:dyDescent="0.25">
      <c r="B262"/>
    </row>
    <row r="263" spans="2:2" x14ac:dyDescent="0.25">
      <c r="B263"/>
    </row>
    <row r="264" spans="2:2" x14ac:dyDescent="0.25">
      <c r="B264"/>
    </row>
    <row r="265" spans="2:2" x14ac:dyDescent="0.25">
      <c r="B265"/>
    </row>
    <row r="266" spans="2:2" x14ac:dyDescent="0.25">
      <c r="B266"/>
    </row>
    <row r="267" spans="2:2" x14ac:dyDescent="0.25">
      <c r="B267"/>
    </row>
    <row r="268" spans="2:2" x14ac:dyDescent="0.25">
      <c r="B268"/>
    </row>
    <row r="269" spans="2:2" x14ac:dyDescent="0.25">
      <c r="B269"/>
    </row>
    <row r="270" spans="2:2" x14ac:dyDescent="0.25">
      <c r="B270"/>
    </row>
    <row r="271" spans="2:2" x14ac:dyDescent="0.25">
      <c r="B271"/>
    </row>
    <row r="272" spans="2:2" x14ac:dyDescent="0.25">
      <c r="B272"/>
    </row>
    <row r="273" spans="2:2" x14ac:dyDescent="0.25">
      <c r="B273"/>
    </row>
    <row r="274" spans="2:2" x14ac:dyDescent="0.25">
      <c r="B274"/>
    </row>
    <row r="275" spans="2:2" x14ac:dyDescent="0.25">
      <c r="B275"/>
    </row>
    <row r="276" spans="2:2" x14ac:dyDescent="0.25">
      <c r="B276"/>
    </row>
    <row r="277" spans="2:2" x14ac:dyDescent="0.25">
      <c r="B277"/>
    </row>
    <row r="278" spans="2:2" x14ac:dyDescent="0.25">
      <c r="B278"/>
    </row>
    <row r="279" spans="2:2" x14ac:dyDescent="0.25">
      <c r="B279"/>
    </row>
    <row r="280" spans="2:2" x14ac:dyDescent="0.25">
      <c r="B280"/>
    </row>
    <row r="281" spans="2:2" x14ac:dyDescent="0.25">
      <c r="B281"/>
    </row>
    <row r="282" spans="2:2" x14ac:dyDescent="0.25">
      <c r="B282"/>
    </row>
    <row r="283" spans="2:2" x14ac:dyDescent="0.25">
      <c r="B283"/>
    </row>
    <row r="284" spans="2:2" x14ac:dyDescent="0.25">
      <c r="B284"/>
    </row>
    <row r="285" spans="2:2" x14ac:dyDescent="0.25">
      <c r="B285"/>
    </row>
    <row r="286" spans="2:2" x14ac:dyDescent="0.25">
      <c r="B286"/>
    </row>
    <row r="287" spans="2:2" x14ac:dyDescent="0.25">
      <c r="B287"/>
    </row>
    <row r="288" spans="2:2" x14ac:dyDescent="0.25">
      <c r="B288"/>
    </row>
    <row r="289" spans="2:2" x14ac:dyDescent="0.25">
      <c r="B289"/>
    </row>
    <row r="290" spans="2:2" x14ac:dyDescent="0.25">
      <c r="B290"/>
    </row>
    <row r="291" spans="2:2" x14ac:dyDescent="0.25">
      <c r="B291"/>
    </row>
    <row r="292" spans="2:2" x14ac:dyDescent="0.25">
      <c r="B292"/>
    </row>
    <row r="293" spans="2:2" x14ac:dyDescent="0.25">
      <c r="B293"/>
    </row>
    <row r="294" spans="2:2" x14ac:dyDescent="0.25">
      <c r="B294"/>
    </row>
    <row r="295" spans="2:2" x14ac:dyDescent="0.25">
      <c r="B295"/>
    </row>
    <row r="296" spans="2:2" x14ac:dyDescent="0.25">
      <c r="B296"/>
    </row>
    <row r="297" spans="2:2" x14ac:dyDescent="0.25">
      <c r="B297"/>
    </row>
    <row r="298" spans="2:2" x14ac:dyDescent="0.25">
      <c r="B298"/>
    </row>
    <row r="299" spans="2:2" x14ac:dyDescent="0.25">
      <c r="B299"/>
    </row>
    <row r="300" spans="2:2" x14ac:dyDescent="0.25">
      <c r="B300"/>
    </row>
    <row r="301" spans="2:2" x14ac:dyDescent="0.25">
      <c r="B301"/>
    </row>
    <row r="302" spans="2:2" x14ac:dyDescent="0.25">
      <c r="B302"/>
    </row>
    <row r="303" spans="2:2" x14ac:dyDescent="0.25">
      <c r="B303"/>
    </row>
    <row r="304" spans="2:2" x14ac:dyDescent="0.25">
      <c r="B304"/>
    </row>
    <row r="305" spans="2:2" x14ac:dyDescent="0.25">
      <c r="B305"/>
    </row>
    <row r="306" spans="2:2" x14ac:dyDescent="0.25">
      <c r="B306"/>
    </row>
    <row r="307" spans="2:2" x14ac:dyDescent="0.25">
      <c r="B307"/>
    </row>
    <row r="308" spans="2:2" x14ac:dyDescent="0.25">
      <c r="B308"/>
    </row>
    <row r="309" spans="2:2" x14ac:dyDescent="0.25">
      <c r="B309"/>
    </row>
    <row r="310" spans="2:2" x14ac:dyDescent="0.25">
      <c r="B310"/>
    </row>
    <row r="311" spans="2:2" x14ac:dyDescent="0.25">
      <c r="B311"/>
    </row>
    <row r="312" spans="2:2" x14ac:dyDescent="0.25">
      <c r="B312"/>
    </row>
    <row r="313" spans="2:2" x14ac:dyDescent="0.25">
      <c r="B313"/>
    </row>
    <row r="314" spans="2:2" x14ac:dyDescent="0.25">
      <c r="B314"/>
    </row>
    <row r="315" spans="2:2" x14ac:dyDescent="0.25">
      <c r="B315"/>
    </row>
    <row r="316" spans="2:2" x14ac:dyDescent="0.25">
      <c r="B316"/>
    </row>
    <row r="317" spans="2:2" x14ac:dyDescent="0.25">
      <c r="B317"/>
    </row>
    <row r="318" spans="2:2" x14ac:dyDescent="0.25">
      <c r="B318"/>
    </row>
    <row r="319" spans="2:2" x14ac:dyDescent="0.25">
      <c r="B319"/>
    </row>
    <row r="320" spans="2:2" x14ac:dyDescent="0.25">
      <c r="B320"/>
    </row>
    <row r="321" spans="2:2" x14ac:dyDescent="0.25">
      <c r="B321"/>
    </row>
    <row r="322" spans="2:2" x14ac:dyDescent="0.25">
      <c r="B322"/>
    </row>
    <row r="323" spans="2:2" x14ac:dyDescent="0.25">
      <c r="B323"/>
    </row>
    <row r="324" spans="2:2" x14ac:dyDescent="0.25">
      <c r="B324"/>
    </row>
    <row r="325" spans="2:2" x14ac:dyDescent="0.25">
      <c r="B325"/>
    </row>
    <row r="326" spans="2:2" x14ac:dyDescent="0.25">
      <c r="B326"/>
    </row>
    <row r="327" spans="2:2" x14ac:dyDescent="0.25">
      <c r="B327"/>
    </row>
    <row r="328" spans="2:2" x14ac:dyDescent="0.25">
      <c r="B328"/>
    </row>
    <row r="329" spans="2:2" x14ac:dyDescent="0.25">
      <c r="B329"/>
    </row>
    <row r="330" spans="2:2" x14ac:dyDescent="0.25">
      <c r="B330"/>
    </row>
    <row r="331" spans="2:2" x14ac:dyDescent="0.25">
      <c r="B331"/>
    </row>
    <row r="332" spans="2:2" x14ac:dyDescent="0.25">
      <c r="B332"/>
    </row>
    <row r="333" spans="2:2" x14ac:dyDescent="0.25">
      <c r="B333"/>
    </row>
    <row r="334" spans="2:2" x14ac:dyDescent="0.25">
      <c r="B334"/>
    </row>
    <row r="335" spans="2:2" x14ac:dyDescent="0.25">
      <c r="B335"/>
    </row>
    <row r="336" spans="2:2" x14ac:dyDescent="0.25">
      <c r="B336"/>
    </row>
    <row r="337" spans="2:2" x14ac:dyDescent="0.25">
      <c r="B337"/>
    </row>
    <row r="338" spans="2:2" x14ac:dyDescent="0.25">
      <c r="B338"/>
    </row>
    <row r="339" spans="2:2" x14ac:dyDescent="0.25">
      <c r="B339"/>
    </row>
    <row r="340" spans="2:2" x14ac:dyDescent="0.25">
      <c r="B340"/>
    </row>
    <row r="341" spans="2:2" x14ac:dyDescent="0.25">
      <c r="B341"/>
    </row>
    <row r="342" spans="2:2" x14ac:dyDescent="0.25">
      <c r="B342"/>
    </row>
    <row r="343" spans="2:2" x14ac:dyDescent="0.25">
      <c r="B343"/>
    </row>
    <row r="344" spans="2:2" x14ac:dyDescent="0.25">
      <c r="B344"/>
    </row>
    <row r="345" spans="2:2" x14ac:dyDescent="0.25">
      <c r="B345"/>
    </row>
    <row r="346" spans="2:2" x14ac:dyDescent="0.25">
      <c r="B346"/>
    </row>
    <row r="347" spans="2:2" x14ac:dyDescent="0.25">
      <c r="B347"/>
    </row>
    <row r="348" spans="2:2" x14ac:dyDescent="0.25">
      <c r="B348"/>
    </row>
    <row r="349" spans="2:2" x14ac:dyDescent="0.25">
      <c r="B349"/>
    </row>
    <row r="350" spans="2:2" x14ac:dyDescent="0.25">
      <c r="B350"/>
    </row>
    <row r="351" spans="2:2" x14ac:dyDescent="0.25">
      <c r="B351"/>
    </row>
    <row r="352" spans="2:2" x14ac:dyDescent="0.25">
      <c r="B352"/>
    </row>
    <row r="353" spans="2:2" x14ac:dyDescent="0.25">
      <c r="B353"/>
    </row>
    <row r="354" spans="2:2" x14ac:dyDescent="0.25">
      <c r="B354"/>
    </row>
    <row r="355" spans="2:2" x14ac:dyDescent="0.25">
      <c r="B355"/>
    </row>
    <row r="356" spans="2:2" x14ac:dyDescent="0.25">
      <c r="B356"/>
    </row>
    <row r="357" spans="2:2" x14ac:dyDescent="0.25">
      <c r="B357"/>
    </row>
    <row r="358" spans="2:2" x14ac:dyDescent="0.25">
      <c r="B358"/>
    </row>
    <row r="359" spans="2:2" x14ac:dyDescent="0.25">
      <c r="B359"/>
    </row>
    <row r="360" spans="2:2" x14ac:dyDescent="0.25">
      <c r="B360"/>
    </row>
    <row r="361" spans="2:2" x14ac:dyDescent="0.25">
      <c r="B361"/>
    </row>
    <row r="362" spans="2:2" x14ac:dyDescent="0.25">
      <c r="B362"/>
    </row>
    <row r="363" spans="2:2" x14ac:dyDescent="0.25">
      <c r="B363"/>
    </row>
    <row r="364" spans="2:2" x14ac:dyDescent="0.25">
      <c r="B364"/>
    </row>
    <row r="365" spans="2:2" x14ac:dyDescent="0.25">
      <c r="B365"/>
    </row>
    <row r="366" spans="2:2" x14ac:dyDescent="0.25">
      <c r="B366"/>
    </row>
    <row r="367" spans="2:2" x14ac:dyDescent="0.25">
      <c r="B367"/>
    </row>
    <row r="368" spans="2:2" x14ac:dyDescent="0.25">
      <c r="B368"/>
    </row>
    <row r="369" spans="2:2" x14ac:dyDescent="0.25">
      <c r="B369"/>
    </row>
    <row r="370" spans="2:2" x14ac:dyDescent="0.25">
      <c r="B370"/>
    </row>
    <row r="371" spans="2:2" x14ac:dyDescent="0.25">
      <c r="B371"/>
    </row>
    <row r="372" spans="2:2" x14ac:dyDescent="0.25">
      <c r="B372"/>
    </row>
    <row r="373" spans="2:2" x14ac:dyDescent="0.25">
      <c r="B373"/>
    </row>
    <row r="374" spans="2:2" x14ac:dyDescent="0.25">
      <c r="B374"/>
    </row>
    <row r="375" spans="2:2" x14ac:dyDescent="0.25">
      <c r="B375"/>
    </row>
    <row r="376" spans="2:2" x14ac:dyDescent="0.25">
      <c r="B376"/>
    </row>
    <row r="377" spans="2:2" x14ac:dyDescent="0.25">
      <c r="B377"/>
    </row>
    <row r="378" spans="2:2" x14ac:dyDescent="0.25">
      <c r="B378"/>
    </row>
    <row r="379" spans="2:2" x14ac:dyDescent="0.25">
      <c r="B379"/>
    </row>
    <row r="380" spans="2:2" x14ac:dyDescent="0.25">
      <c r="B380"/>
    </row>
    <row r="381" spans="2:2" x14ac:dyDescent="0.25">
      <c r="B381"/>
    </row>
    <row r="382" spans="2:2" x14ac:dyDescent="0.25">
      <c r="B382"/>
    </row>
    <row r="383" spans="2:2" x14ac:dyDescent="0.25">
      <c r="B383"/>
    </row>
    <row r="384" spans="2:2" x14ac:dyDescent="0.25">
      <c r="B384"/>
    </row>
    <row r="385" spans="2:2" x14ac:dyDescent="0.25">
      <c r="B385"/>
    </row>
    <row r="386" spans="2:2" x14ac:dyDescent="0.25">
      <c r="B386"/>
    </row>
    <row r="387" spans="2:2" x14ac:dyDescent="0.25">
      <c r="B387"/>
    </row>
    <row r="388" spans="2:2" x14ac:dyDescent="0.25">
      <c r="B388"/>
    </row>
    <row r="389" spans="2:2" x14ac:dyDescent="0.25">
      <c r="B389"/>
    </row>
    <row r="390" spans="2:2" x14ac:dyDescent="0.25">
      <c r="B390"/>
    </row>
    <row r="391" spans="2:2" x14ac:dyDescent="0.25">
      <c r="B391"/>
    </row>
    <row r="392" spans="2:2" x14ac:dyDescent="0.25">
      <c r="B392"/>
    </row>
    <row r="393" spans="2:2" x14ac:dyDescent="0.25">
      <c r="B393"/>
    </row>
    <row r="394" spans="2:2" x14ac:dyDescent="0.25">
      <c r="B394"/>
    </row>
    <row r="395" spans="2:2" x14ac:dyDescent="0.25">
      <c r="B395"/>
    </row>
    <row r="396" spans="2:2" x14ac:dyDescent="0.25">
      <c r="B396"/>
    </row>
    <row r="397" spans="2:2" x14ac:dyDescent="0.25">
      <c r="B397"/>
    </row>
    <row r="398" spans="2:2" x14ac:dyDescent="0.25">
      <c r="B398"/>
    </row>
    <row r="399" spans="2:2" x14ac:dyDescent="0.25">
      <c r="B399"/>
    </row>
    <row r="400" spans="2:2" x14ac:dyDescent="0.25">
      <c r="B400"/>
    </row>
    <row r="401" spans="2:2" x14ac:dyDescent="0.25">
      <c r="B401"/>
    </row>
    <row r="402" spans="2:2" x14ac:dyDescent="0.25">
      <c r="B402"/>
    </row>
    <row r="403" spans="2:2" x14ac:dyDescent="0.25">
      <c r="B403"/>
    </row>
    <row r="404" spans="2:2" x14ac:dyDescent="0.25">
      <c r="B404"/>
    </row>
    <row r="405" spans="2:2" x14ac:dyDescent="0.25">
      <c r="B405"/>
    </row>
    <row r="406" spans="2:2" x14ac:dyDescent="0.25">
      <c r="B406"/>
    </row>
    <row r="407" spans="2:2" x14ac:dyDescent="0.25">
      <c r="B407"/>
    </row>
    <row r="408" spans="2:2" x14ac:dyDescent="0.25">
      <c r="B408"/>
    </row>
    <row r="409" spans="2:2" x14ac:dyDescent="0.25">
      <c r="B409"/>
    </row>
    <row r="410" spans="2:2" x14ac:dyDescent="0.25">
      <c r="B410"/>
    </row>
    <row r="411" spans="2:2" x14ac:dyDescent="0.25">
      <c r="B411"/>
    </row>
    <row r="412" spans="2:2" x14ac:dyDescent="0.25">
      <c r="B412"/>
    </row>
    <row r="413" spans="2:2" x14ac:dyDescent="0.25">
      <c r="B413"/>
    </row>
    <row r="414" spans="2:2" x14ac:dyDescent="0.25">
      <c r="B414"/>
    </row>
    <row r="415" spans="2:2" x14ac:dyDescent="0.25">
      <c r="B415"/>
    </row>
    <row r="416" spans="2:2" x14ac:dyDescent="0.25">
      <c r="B416"/>
    </row>
    <row r="417" spans="2:2" x14ac:dyDescent="0.25">
      <c r="B417"/>
    </row>
    <row r="418" spans="2:2" x14ac:dyDescent="0.25">
      <c r="B418"/>
    </row>
    <row r="419" spans="2:2" x14ac:dyDescent="0.25">
      <c r="B419"/>
    </row>
    <row r="420" spans="2:2" x14ac:dyDescent="0.25">
      <c r="B420"/>
    </row>
    <row r="421" spans="2:2" x14ac:dyDescent="0.25">
      <c r="B421"/>
    </row>
    <row r="422" spans="2:2" x14ac:dyDescent="0.25">
      <c r="B422"/>
    </row>
    <row r="423" spans="2:2" x14ac:dyDescent="0.25">
      <c r="B423"/>
    </row>
    <row r="424" spans="2:2" x14ac:dyDescent="0.25">
      <c r="B424"/>
    </row>
    <row r="425" spans="2:2" x14ac:dyDescent="0.25">
      <c r="B425"/>
    </row>
    <row r="426" spans="2:2" x14ac:dyDescent="0.25">
      <c r="B426"/>
    </row>
    <row r="427" spans="2:2" x14ac:dyDescent="0.25">
      <c r="B427"/>
    </row>
    <row r="428" spans="2:2" x14ac:dyDescent="0.25">
      <c r="B428"/>
    </row>
    <row r="429" spans="2:2" x14ac:dyDescent="0.25">
      <c r="B429"/>
    </row>
    <row r="430" spans="2:2" x14ac:dyDescent="0.25">
      <c r="B430"/>
    </row>
    <row r="431" spans="2:2" x14ac:dyDescent="0.25">
      <c r="B431"/>
    </row>
    <row r="432" spans="2:2" x14ac:dyDescent="0.25">
      <c r="B432"/>
    </row>
    <row r="433" spans="2:2" x14ac:dyDescent="0.25">
      <c r="B433"/>
    </row>
    <row r="434" spans="2:2" x14ac:dyDescent="0.25">
      <c r="B434"/>
    </row>
    <row r="435" spans="2:2" x14ac:dyDescent="0.25">
      <c r="B435"/>
    </row>
    <row r="436" spans="2:2" x14ac:dyDescent="0.25">
      <c r="B436"/>
    </row>
    <row r="437" spans="2:2" x14ac:dyDescent="0.25">
      <c r="B437"/>
    </row>
    <row r="438" spans="2:2" x14ac:dyDescent="0.25">
      <c r="B438"/>
    </row>
    <row r="439" spans="2:2" x14ac:dyDescent="0.25">
      <c r="B439"/>
    </row>
    <row r="440" spans="2:2" x14ac:dyDescent="0.25">
      <c r="B440"/>
    </row>
    <row r="441" spans="2:2" x14ac:dyDescent="0.25">
      <c r="B441"/>
    </row>
    <row r="442" spans="2:2" x14ac:dyDescent="0.25">
      <c r="B442"/>
    </row>
    <row r="443" spans="2:2" x14ac:dyDescent="0.25">
      <c r="B443"/>
    </row>
    <row r="444" spans="2:2" x14ac:dyDescent="0.25">
      <c r="B444"/>
    </row>
    <row r="445" spans="2:2" x14ac:dyDescent="0.25">
      <c r="B445"/>
    </row>
    <row r="446" spans="2:2" x14ac:dyDescent="0.25">
      <c r="B446"/>
    </row>
    <row r="447" spans="2:2" x14ac:dyDescent="0.25">
      <c r="B447"/>
    </row>
    <row r="448" spans="2:2" x14ac:dyDescent="0.25">
      <c r="B448"/>
    </row>
    <row r="449" spans="2:2" x14ac:dyDescent="0.25">
      <c r="B449"/>
    </row>
    <row r="450" spans="2:2" x14ac:dyDescent="0.25">
      <c r="B450"/>
    </row>
    <row r="451" spans="2:2" x14ac:dyDescent="0.25">
      <c r="B451"/>
    </row>
    <row r="452" spans="2:2" x14ac:dyDescent="0.25">
      <c r="B452"/>
    </row>
    <row r="453" spans="2:2" x14ac:dyDescent="0.25">
      <c r="B453"/>
    </row>
    <row r="454" spans="2:2" x14ac:dyDescent="0.25">
      <c r="B454"/>
    </row>
    <row r="455" spans="2:2" x14ac:dyDescent="0.25">
      <c r="B455"/>
    </row>
    <row r="456" spans="2:2" x14ac:dyDescent="0.25">
      <c r="B456"/>
    </row>
    <row r="457" spans="2:2" x14ac:dyDescent="0.25">
      <c r="B457"/>
    </row>
    <row r="458" spans="2:2" x14ac:dyDescent="0.25">
      <c r="B458"/>
    </row>
    <row r="459" spans="2:2" x14ac:dyDescent="0.25">
      <c r="B459"/>
    </row>
    <row r="460" spans="2:2" x14ac:dyDescent="0.25">
      <c r="B460"/>
    </row>
    <row r="461" spans="2:2" x14ac:dyDescent="0.25">
      <c r="B461"/>
    </row>
    <row r="462" spans="2:2" x14ac:dyDescent="0.25">
      <c r="B462"/>
    </row>
    <row r="463" spans="2:2" x14ac:dyDescent="0.25">
      <c r="B463"/>
    </row>
    <row r="464" spans="2:2" x14ac:dyDescent="0.25">
      <c r="B464"/>
    </row>
    <row r="465" spans="2:2" x14ac:dyDescent="0.25">
      <c r="B465"/>
    </row>
    <row r="466" spans="2:2" x14ac:dyDescent="0.25">
      <c r="B466"/>
    </row>
    <row r="467" spans="2:2" x14ac:dyDescent="0.25">
      <c r="B467"/>
    </row>
    <row r="468" spans="2:2" x14ac:dyDescent="0.25">
      <c r="B468"/>
    </row>
    <row r="469" spans="2:2" x14ac:dyDescent="0.25">
      <c r="B469"/>
    </row>
    <row r="470" spans="2:2" x14ac:dyDescent="0.25">
      <c r="B470"/>
    </row>
    <row r="471" spans="2:2" x14ac:dyDescent="0.25">
      <c r="B471"/>
    </row>
    <row r="472" spans="2:2" x14ac:dyDescent="0.25">
      <c r="B472"/>
    </row>
    <row r="473" spans="2:2" x14ac:dyDescent="0.25">
      <c r="B473"/>
    </row>
    <row r="474" spans="2:2" x14ac:dyDescent="0.25">
      <c r="B474"/>
    </row>
    <row r="475" spans="2:2" x14ac:dyDescent="0.25">
      <c r="B475"/>
    </row>
    <row r="476" spans="2:2" x14ac:dyDescent="0.25">
      <c r="B476"/>
    </row>
    <row r="477" spans="2:2" x14ac:dyDescent="0.25">
      <c r="B477"/>
    </row>
    <row r="478" spans="2:2" x14ac:dyDescent="0.25">
      <c r="B478"/>
    </row>
    <row r="479" spans="2:2" x14ac:dyDescent="0.25">
      <c r="B479"/>
    </row>
    <row r="480" spans="2:2" x14ac:dyDescent="0.25">
      <c r="B480"/>
    </row>
    <row r="481" spans="2:2" x14ac:dyDescent="0.25">
      <c r="B481"/>
    </row>
    <row r="482" spans="2:2" x14ac:dyDescent="0.25">
      <c r="B482"/>
    </row>
    <row r="483" spans="2:2" x14ac:dyDescent="0.25">
      <c r="B483"/>
    </row>
    <row r="484" spans="2:2" x14ac:dyDescent="0.25">
      <c r="B484"/>
    </row>
    <row r="485" spans="2:2" x14ac:dyDescent="0.25">
      <c r="B485"/>
    </row>
    <row r="486" spans="2:2" x14ac:dyDescent="0.25">
      <c r="B486"/>
    </row>
    <row r="487" spans="2:2" x14ac:dyDescent="0.25">
      <c r="B487"/>
    </row>
    <row r="488" spans="2:2" x14ac:dyDescent="0.25">
      <c r="B488"/>
    </row>
    <row r="489" spans="2:2" x14ac:dyDescent="0.25">
      <c r="B489"/>
    </row>
    <row r="490" spans="2:2" x14ac:dyDescent="0.25">
      <c r="B490"/>
    </row>
    <row r="491" spans="2:2" x14ac:dyDescent="0.25">
      <c r="B491"/>
    </row>
    <row r="492" spans="2:2" x14ac:dyDescent="0.25">
      <c r="B492"/>
    </row>
    <row r="493" spans="2:2" x14ac:dyDescent="0.25">
      <c r="B493"/>
    </row>
    <row r="494" spans="2:2" x14ac:dyDescent="0.25">
      <c r="B494"/>
    </row>
    <row r="495" spans="2:2" x14ac:dyDescent="0.25">
      <c r="B495"/>
    </row>
    <row r="496" spans="2:2" x14ac:dyDescent="0.25">
      <c r="B496"/>
    </row>
    <row r="497" spans="2:2" x14ac:dyDescent="0.25">
      <c r="B497"/>
    </row>
  </sheetData>
  <sortState ref="A3:B134">
    <sortCondition ref="A2"/>
  </sortState>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pane ySplit="3" topLeftCell="A28" activePane="bottomLeft" state="frozen"/>
      <selection pane="bottomLeft"/>
    </sheetView>
  </sheetViews>
  <sheetFormatPr defaultRowHeight="15" x14ac:dyDescent="0.25"/>
  <cols>
    <col min="1" max="1" width="12.5703125" customWidth="1"/>
    <col min="2" max="2" width="19.140625" bestFit="1" customWidth="1"/>
    <col min="4" max="5" width="10.140625" style="25" customWidth="1"/>
    <col min="6" max="6" width="23.85546875" style="25" customWidth="1"/>
  </cols>
  <sheetData>
    <row r="1" spans="1:6" s="5" customFormat="1" ht="16.5" customHeight="1" x14ac:dyDescent="0.2">
      <c r="A1" s="158"/>
      <c r="B1" s="11"/>
      <c r="C1" s="11"/>
      <c r="D1" s="11"/>
      <c r="E1" s="11"/>
    </row>
    <row r="2" spans="1:6" s="5" customFormat="1" ht="16.5" customHeight="1" x14ac:dyDescent="0.2">
      <c r="A2" s="123"/>
      <c r="B2" s="123"/>
      <c r="C2" s="123"/>
      <c r="D2" s="123"/>
      <c r="E2" s="11"/>
    </row>
    <row r="3" spans="1:6" x14ac:dyDescent="0.25">
      <c r="A3" s="55" t="s">
        <v>274</v>
      </c>
      <c r="B3" s="55" t="s">
        <v>275</v>
      </c>
      <c r="D3" s="55" t="s">
        <v>205</v>
      </c>
      <c r="E3" s="55" t="s">
        <v>274</v>
      </c>
      <c r="F3" s="55" t="s">
        <v>223</v>
      </c>
    </row>
    <row r="4" spans="1:6" x14ac:dyDescent="0.25">
      <c r="A4" s="23">
        <v>1</v>
      </c>
      <c r="B4" s="23" t="s">
        <v>267</v>
      </c>
      <c r="D4" s="23" t="s">
        <v>104</v>
      </c>
      <c r="E4" s="23">
        <v>4</v>
      </c>
      <c r="F4" s="23" t="str">
        <f t="shared" ref="F4:F35" si="0">VLOOKUP(E4,A:B,2,0)</f>
        <v>Southeast</v>
      </c>
    </row>
    <row r="5" spans="1:6" x14ac:dyDescent="0.25">
      <c r="A5" s="23">
        <v>2</v>
      </c>
      <c r="B5" s="23" t="s">
        <v>268</v>
      </c>
      <c r="D5" s="23" t="s">
        <v>165</v>
      </c>
      <c r="E5" s="23">
        <v>10</v>
      </c>
      <c r="F5" s="23" t="str">
        <f t="shared" si="0"/>
        <v>Pacific Northwest</v>
      </c>
    </row>
    <row r="6" spans="1:6" x14ac:dyDescent="0.25">
      <c r="A6" s="24">
        <v>3</v>
      </c>
      <c r="B6" s="24" t="s">
        <v>268</v>
      </c>
      <c r="D6" s="24" t="s">
        <v>232</v>
      </c>
      <c r="E6" s="24">
        <v>9</v>
      </c>
      <c r="F6" s="24" t="str">
        <f t="shared" si="0"/>
        <v>Pacific Southwest</v>
      </c>
    </row>
    <row r="7" spans="1:6" x14ac:dyDescent="0.25">
      <c r="A7" s="24">
        <v>4</v>
      </c>
      <c r="B7" s="24" t="s">
        <v>269</v>
      </c>
      <c r="D7" s="24" t="s">
        <v>110</v>
      </c>
      <c r="E7" s="24">
        <v>6</v>
      </c>
      <c r="F7" s="24" t="str">
        <f t="shared" si="0"/>
        <v>South Central</v>
      </c>
    </row>
    <row r="8" spans="1:6" x14ac:dyDescent="0.25">
      <c r="A8" s="24">
        <v>5</v>
      </c>
      <c r="B8" s="24" t="s">
        <v>270</v>
      </c>
      <c r="D8" s="24" t="s">
        <v>105</v>
      </c>
      <c r="E8" s="24">
        <v>9</v>
      </c>
      <c r="F8" s="24" t="str">
        <f t="shared" si="0"/>
        <v>Pacific Southwest</v>
      </c>
    </row>
    <row r="9" spans="1:6" x14ac:dyDescent="0.25">
      <c r="A9" s="24">
        <v>6</v>
      </c>
      <c r="B9" s="24" t="s">
        <v>271</v>
      </c>
      <c r="D9" s="24" t="s">
        <v>233</v>
      </c>
      <c r="E9" s="24">
        <v>8</v>
      </c>
      <c r="F9" s="24" t="str">
        <f t="shared" si="0"/>
        <v>Mountains and Plains</v>
      </c>
    </row>
    <row r="10" spans="1:6" x14ac:dyDescent="0.25">
      <c r="A10" s="24">
        <v>7</v>
      </c>
      <c r="B10" s="24" t="s">
        <v>270</v>
      </c>
      <c r="D10" s="24" t="s">
        <v>234</v>
      </c>
      <c r="E10" s="24">
        <v>1</v>
      </c>
      <c r="F10" s="24" t="str">
        <f t="shared" si="0"/>
        <v>New England</v>
      </c>
    </row>
    <row r="11" spans="1:6" x14ac:dyDescent="0.25">
      <c r="A11" s="24">
        <v>8</v>
      </c>
      <c r="B11" s="24" t="s">
        <v>272</v>
      </c>
      <c r="D11" s="24" t="s">
        <v>235</v>
      </c>
      <c r="E11" s="24">
        <v>3</v>
      </c>
      <c r="F11" s="24" t="str">
        <f t="shared" si="0"/>
        <v>Mid-Atlantic</v>
      </c>
    </row>
    <row r="12" spans="1:6" x14ac:dyDescent="0.25">
      <c r="A12" s="24">
        <v>9</v>
      </c>
      <c r="B12" s="24" t="s">
        <v>273</v>
      </c>
      <c r="D12" s="24" t="s">
        <v>213</v>
      </c>
      <c r="E12" s="24">
        <v>4</v>
      </c>
      <c r="F12" s="24" t="str">
        <f t="shared" si="0"/>
        <v>Southeast</v>
      </c>
    </row>
    <row r="13" spans="1:6" x14ac:dyDescent="0.25">
      <c r="A13" s="23">
        <v>10</v>
      </c>
      <c r="B13" s="23" t="s">
        <v>231</v>
      </c>
      <c r="D13" s="24" t="s">
        <v>236</v>
      </c>
      <c r="E13" s="24">
        <v>4</v>
      </c>
      <c r="F13" s="24" t="str">
        <f t="shared" si="0"/>
        <v>Southeast</v>
      </c>
    </row>
    <row r="14" spans="1:6" ht="15" customHeight="1" x14ac:dyDescent="0.25">
      <c r="A14" s="232" t="s">
        <v>276</v>
      </c>
      <c r="B14" s="232"/>
      <c r="D14" s="24" t="s">
        <v>237</v>
      </c>
      <c r="E14" s="24">
        <v>9</v>
      </c>
      <c r="F14" s="24" t="str">
        <f t="shared" si="0"/>
        <v>Pacific Southwest</v>
      </c>
    </row>
    <row r="15" spans="1:6" x14ac:dyDescent="0.25">
      <c r="A15" s="232"/>
      <c r="B15" s="232"/>
      <c r="D15" s="24" t="s">
        <v>238</v>
      </c>
      <c r="E15" s="24">
        <v>10</v>
      </c>
      <c r="F15" s="24" t="str">
        <f t="shared" si="0"/>
        <v>Pacific Northwest</v>
      </c>
    </row>
    <row r="16" spans="1:6" x14ac:dyDescent="0.25">
      <c r="A16" s="232"/>
      <c r="B16" s="232"/>
      <c r="D16" s="24" t="s">
        <v>239</v>
      </c>
      <c r="E16" s="24">
        <v>5</v>
      </c>
      <c r="F16" s="24" t="str">
        <f t="shared" si="0"/>
        <v>Midwest</v>
      </c>
    </row>
    <row r="17" spans="4:6" x14ac:dyDescent="0.25">
      <c r="D17" s="24" t="s">
        <v>240</v>
      </c>
      <c r="E17" s="24">
        <v>5</v>
      </c>
      <c r="F17" s="24" t="str">
        <f t="shared" si="0"/>
        <v>Midwest</v>
      </c>
    </row>
    <row r="18" spans="4:6" x14ac:dyDescent="0.25">
      <c r="D18" s="24" t="s">
        <v>241</v>
      </c>
      <c r="E18" s="24">
        <v>7</v>
      </c>
      <c r="F18" s="24" t="str">
        <f t="shared" si="0"/>
        <v>Midwest</v>
      </c>
    </row>
    <row r="19" spans="4:6" x14ac:dyDescent="0.25">
      <c r="D19" s="24" t="s">
        <v>242</v>
      </c>
      <c r="E19" s="24">
        <v>7</v>
      </c>
      <c r="F19" s="24" t="str">
        <f t="shared" si="0"/>
        <v>Midwest</v>
      </c>
    </row>
    <row r="20" spans="4:6" x14ac:dyDescent="0.25">
      <c r="D20" s="24" t="s">
        <v>243</v>
      </c>
      <c r="E20" s="24">
        <v>4</v>
      </c>
      <c r="F20" s="24" t="str">
        <f t="shared" si="0"/>
        <v>Southeast</v>
      </c>
    </row>
    <row r="21" spans="4:6" x14ac:dyDescent="0.25">
      <c r="D21" s="24" t="s">
        <v>244</v>
      </c>
      <c r="E21" s="24">
        <v>6</v>
      </c>
      <c r="F21" s="24" t="str">
        <f t="shared" si="0"/>
        <v>South Central</v>
      </c>
    </row>
    <row r="22" spans="4:6" x14ac:dyDescent="0.25">
      <c r="D22" s="24" t="s">
        <v>155</v>
      </c>
      <c r="E22" s="24">
        <v>1</v>
      </c>
      <c r="F22" s="24" t="str">
        <f t="shared" si="0"/>
        <v>New England</v>
      </c>
    </row>
    <row r="23" spans="4:6" x14ac:dyDescent="0.25">
      <c r="D23" s="24" t="s">
        <v>209</v>
      </c>
      <c r="E23" s="24">
        <v>3</v>
      </c>
      <c r="F23" s="24" t="str">
        <f t="shared" si="0"/>
        <v>Mid-Atlantic</v>
      </c>
    </row>
    <row r="24" spans="4:6" x14ac:dyDescent="0.25">
      <c r="D24" s="24" t="s">
        <v>245</v>
      </c>
      <c r="E24" s="24">
        <v>1</v>
      </c>
      <c r="F24" s="24" t="str">
        <f t="shared" si="0"/>
        <v>New England</v>
      </c>
    </row>
    <row r="25" spans="4:6" x14ac:dyDescent="0.25">
      <c r="D25" s="24" t="s">
        <v>246</v>
      </c>
      <c r="E25" s="24">
        <v>5</v>
      </c>
      <c r="F25" s="24" t="str">
        <f t="shared" si="0"/>
        <v>Midwest</v>
      </c>
    </row>
    <row r="26" spans="4:6" x14ac:dyDescent="0.25">
      <c r="D26" s="24" t="s">
        <v>215</v>
      </c>
      <c r="E26" s="24">
        <v>5</v>
      </c>
      <c r="F26" s="24" t="str">
        <f t="shared" si="0"/>
        <v>Midwest</v>
      </c>
    </row>
    <row r="27" spans="4:6" x14ac:dyDescent="0.25">
      <c r="D27" s="24" t="s">
        <v>247</v>
      </c>
      <c r="E27" s="24">
        <v>4</v>
      </c>
      <c r="F27" s="24" t="str">
        <f t="shared" si="0"/>
        <v>Southeast</v>
      </c>
    </row>
    <row r="28" spans="4:6" x14ac:dyDescent="0.25">
      <c r="D28" s="24" t="s">
        <v>248</v>
      </c>
      <c r="E28" s="24">
        <v>7</v>
      </c>
      <c r="F28" s="24" t="str">
        <f t="shared" si="0"/>
        <v>Midwest</v>
      </c>
    </row>
    <row r="29" spans="4:6" x14ac:dyDescent="0.25">
      <c r="D29" s="24" t="s">
        <v>154</v>
      </c>
      <c r="E29" s="24">
        <v>8</v>
      </c>
      <c r="F29" s="24" t="str">
        <f t="shared" si="0"/>
        <v>Mountains and Plains</v>
      </c>
    </row>
    <row r="30" spans="4:6" x14ac:dyDescent="0.25">
      <c r="D30" s="24" t="s">
        <v>249</v>
      </c>
      <c r="E30" s="24">
        <v>7</v>
      </c>
      <c r="F30" s="24" t="str">
        <f t="shared" si="0"/>
        <v>Midwest</v>
      </c>
    </row>
    <row r="31" spans="4:6" x14ac:dyDescent="0.25">
      <c r="D31" s="24" t="s">
        <v>250</v>
      </c>
      <c r="E31" s="24">
        <v>9</v>
      </c>
      <c r="F31" s="24" t="str">
        <f t="shared" si="0"/>
        <v>Pacific Southwest</v>
      </c>
    </row>
    <row r="32" spans="4:6" x14ac:dyDescent="0.25">
      <c r="D32" s="24" t="s">
        <v>156</v>
      </c>
      <c r="E32" s="24">
        <v>1</v>
      </c>
      <c r="F32" s="24" t="str">
        <f t="shared" si="0"/>
        <v>New England</v>
      </c>
    </row>
    <row r="33" spans="4:6" x14ac:dyDescent="0.25">
      <c r="D33" s="24" t="s">
        <v>251</v>
      </c>
      <c r="E33" s="24">
        <v>2</v>
      </c>
      <c r="F33" s="24" t="str">
        <f t="shared" si="0"/>
        <v>Mid-Atlantic</v>
      </c>
    </row>
    <row r="34" spans="4:6" x14ac:dyDescent="0.25">
      <c r="D34" s="24" t="s">
        <v>252</v>
      </c>
      <c r="E34" s="24">
        <v>6</v>
      </c>
      <c r="F34" s="24" t="str">
        <f t="shared" si="0"/>
        <v>South Central</v>
      </c>
    </row>
    <row r="35" spans="4:6" x14ac:dyDescent="0.25">
      <c r="D35" s="24" t="s">
        <v>253</v>
      </c>
      <c r="E35" s="24">
        <v>2</v>
      </c>
      <c r="F35" s="24" t="str">
        <f t="shared" si="0"/>
        <v>Mid-Atlantic</v>
      </c>
    </row>
    <row r="36" spans="4:6" x14ac:dyDescent="0.25">
      <c r="D36" s="24" t="s">
        <v>254</v>
      </c>
      <c r="E36" s="24">
        <v>4</v>
      </c>
      <c r="F36" s="24" t="str">
        <f t="shared" ref="F36:F53" si="1">VLOOKUP(E36,A:B,2,0)</f>
        <v>Southeast</v>
      </c>
    </row>
    <row r="37" spans="4:6" x14ac:dyDescent="0.25">
      <c r="D37" s="24" t="s">
        <v>255</v>
      </c>
      <c r="E37" s="24">
        <v>8</v>
      </c>
      <c r="F37" s="24" t="str">
        <f t="shared" si="1"/>
        <v>Mountains and Plains</v>
      </c>
    </row>
    <row r="38" spans="4:6" x14ac:dyDescent="0.25">
      <c r="D38" s="24" t="s">
        <v>217</v>
      </c>
      <c r="E38" s="24">
        <v>5</v>
      </c>
      <c r="F38" s="24" t="str">
        <f t="shared" si="1"/>
        <v>Midwest</v>
      </c>
    </row>
    <row r="39" spans="4:6" x14ac:dyDescent="0.25">
      <c r="D39" s="24" t="s">
        <v>256</v>
      </c>
      <c r="E39" s="24">
        <v>6</v>
      </c>
      <c r="F39" s="24" t="str">
        <f t="shared" si="1"/>
        <v>South Central</v>
      </c>
    </row>
    <row r="40" spans="4:6" x14ac:dyDescent="0.25">
      <c r="D40" s="24" t="s">
        <v>257</v>
      </c>
      <c r="E40" s="24">
        <v>10</v>
      </c>
      <c r="F40" s="24" t="str">
        <f t="shared" si="1"/>
        <v>Pacific Northwest</v>
      </c>
    </row>
    <row r="41" spans="4:6" x14ac:dyDescent="0.25">
      <c r="D41" s="24" t="s">
        <v>258</v>
      </c>
      <c r="E41" s="24">
        <v>3</v>
      </c>
      <c r="F41" s="24" t="str">
        <f t="shared" si="1"/>
        <v>Mid-Atlantic</v>
      </c>
    </row>
    <row r="42" spans="4:6" x14ac:dyDescent="0.25">
      <c r="D42" s="24" t="s">
        <v>259</v>
      </c>
      <c r="E42" s="24">
        <v>1</v>
      </c>
      <c r="F42" s="24" t="str">
        <f t="shared" si="1"/>
        <v>New England</v>
      </c>
    </row>
    <row r="43" spans="4:6" x14ac:dyDescent="0.25">
      <c r="D43" s="24" t="s">
        <v>111</v>
      </c>
      <c r="E43" s="24">
        <v>4</v>
      </c>
      <c r="F43" s="24" t="str">
        <f t="shared" si="1"/>
        <v>Southeast</v>
      </c>
    </row>
    <row r="44" spans="4:6" x14ac:dyDescent="0.25">
      <c r="D44" s="24" t="s">
        <v>260</v>
      </c>
      <c r="E44" s="24">
        <v>8</v>
      </c>
      <c r="F44" s="24" t="str">
        <f t="shared" si="1"/>
        <v>Mountains and Plains</v>
      </c>
    </row>
    <row r="45" spans="4:6" x14ac:dyDescent="0.25">
      <c r="D45" s="24" t="s">
        <v>72</v>
      </c>
      <c r="E45" s="24">
        <v>4</v>
      </c>
      <c r="F45" s="24" t="str">
        <f t="shared" si="1"/>
        <v>Southeast</v>
      </c>
    </row>
    <row r="46" spans="4:6" x14ac:dyDescent="0.25">
      <c r="D46" s="24" t="s">
        <v>206</v>
      </c>
      <c r="E46" s="24">
        <v>6</v>
      </c>
      <c r="F46" s="24" t="str">
        <f t="shared" si="1"/>
        <v>South Central</v>
      </c>
    </row>
    <row r="47" spans="4:6" x14ac:dyDescent="0.25">
      <c r="D47" s="24" t="s">
        <v>261</v>
      </c>
      <c r="E47" s="24">
        <v>8</v>
      </c>
      <c r="F47" s="24" t="str">
        <f t="shared" si="1"/>
        <v>Mountains and Plains</v>
      </c>
    </row>
    <row r="48" spans="4:6" x14ac:dyDescent="0.25">
      <c r="D48" s="24" t="s">
        <v>262</v>
      </c>
      <c r="E48" s="24">
        <v>1</v>
      </c>
      <c r="F48" s="24" t="str">
        <f t="shared" si="1"/>
        <v>New England</v>
      </c>
    </row>
    <row r="49" spans="4:6" x14ac:dyDescent="0.25">
      <c r="D49" s="24" t="s">
        <v>263</v>
      </c>
      <c r="E49" s="24">
        <v>3</v>
      </c>
      <c r="F49" s="24" t="str">
        <f t="shared" si="1"/>
        <v>Mid-Atlantic</v>
      </c>
    </row>
    <row r="50" spans="4:6" x14ac:dyDescent="0.25">
      <c r="D50" s="24" t="s">
        <v>264</v>
      </c>
      <c r="E50" s="24">
        <v>10</v>
      </c>
      <c r="F50" s="24" t="str">
        <f t="shared" si="1"/>
        <v>Pacific Northwest</v>
      </c>
    </row>
    <row r="51" spans="4:6" x14ac:dyDescent="0.25">
      <c r="D51" s="24" t="s">
        <v>265</v>
      </c>
      <c r="E51" s="24">
        <v>3</v>
      </c>
      <c r="F51" s="24" t="str">
        <f t="shared" si="1"/>
        <v>Mid-Atlantic</v>
      </c>
    </row>
    <row r="52" spans="4:6" x14ac:dyDescent="0.25">
      <c r="D52" s="24" t="s">
        <v>211</v>
      </c>
      <c r="E52" s="24">
        <v>5</v>
      </c>
      <c r="F52" s="24" t="str">
        <f t="shared" si="1"/>
        <v>Midwest</v>
      </c>
    </row>
    <row r="53" spans="4:6" x14ac:dyDescent="0.25">
      <c r="D53" s="24" t="s">
        <v>266</v>
      </c>
      <c r="E53" s="24">
        <v>8</v>
      </c>
      <c r="F53" s="24" t="str">
        <f t="shared" si="1"/>
        <v>Mountains and Plains</v>
      </c>
    </row>
  </sheetData>
  <mergeCells count="1">
    <mergeCell ref="A14:B16"/>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pane ySplit="3" topLeftCell="A4" activePane="bottomLeft" state="frozen"/>
      <selection pane="bottomLeft"/>
    </sheetView>
  </sheetViews>
  <sheetFormatPr defaultRowHeight="15" x14ac:dyDescent="0.25"/>
  <cols>
    <col min="1" max="1" width="10.5703125" customWidth="1"/>
    <col min="2" max="3" width="11.85546875" customWidth="1"/>
    <col min="5" max="5" width="12.140625" customWidth="1"/>
    <col min="7" max="7" width="22.7109375" customWidth="1"/>
  </cols>
  <sheetData>
    <row r="1" spans="1:5" s="5" customFormat="1" ht="16.5" customHeight="1" x14ac:dyDescent="0.2">
      <c r="A1" s="158"/>
      <c r="B1" s="11"/>
      <c r="C1" s="11"/>
      <c r="D1" s="11"/>
      <c r="E1" s="11"/>
    </row>
    <row r="2" spans="1:5" s="5" customFormat="1" ht="16.5" customHeight="1" x14ac:dyDescent="0.2">
      <c r="A2" s="123"/>
      <c r="B2" s="123"/>
      <c r="C2" s="123"/>
      <c r="D2" s="123"/>
      <c r="E2" s="11"/>
    </row>
    <row r="3" spans="1:5" x14ac:dyDescent="0.25">
      <c r="A3" s="159" t="s">
        <v>44</v>
      </c>
      <c r="B3" s="159" t="s">
        <v>1739</v>
      </c>
      <c r="C3" s="159" t="s">
        <v>1740</v>
      </c>
    </row>
    <row r="4" spans="1:5" x14ac:dyDescent="0.25">
      <c r="A4" s="167">
        <v>1980</v>
      </c>
      <c r="B4" s="167">
        <v>82.4</v>
      </c>
      <c r="C4" s="167" t="s">
        <v>42</v>
      </c>
    </row>
    <row r="5" spans="1:5" x14ac:dyDescent="0.25">
      <c r="A5" s="167">
        <v>1981</v>
      </c>
      <c r="B5" s="167">
        <v>90.9</v>
      </c>
      <c r="C5" s="167" t="s">
        <v>42</v>
      </c>
    </row>
    <row r="6" spans="1:5" x14ac:dyDescent="0.25">
      <c r="A6" s="167">
        <v>1982</v>
      </c>
      <c r="B6" s="167">
        <v>96.5</v>
      </c>
      <c r="C6" s="167" t="s">
        <v>42</v>
      </c>
    </row>
    <row r="7" spans="1:5" x14ac:dyDescent="0.25">
      <c r="A7" s="167">
        <v>1983</v>
      </c>
      <c r="B7" s="167">
        <v>99.6</v>
      </c>
      <c r="C7" s="167" t="s">
        <v>42</v>
      </c>
    </row>
    <row r="8" spans="1:5" x14ac:dyDescent="0.25">
      <c r="A8" s="167">
        <v>1984</v>
      </c>
      <c r="B8" s="167">
        <v>103.9</v>
      </c>
      <c r="C8" s="167" t="s">
        <v>42</v>
      </c>
    </row>
    <row r="9" spans="1:5" x14ac:dyDescent="0.25">
      <c r="A9" s="167">
        <v>1985</v>
      </c>
      <c r="B9" s="167">
        <v>107.6</v>
      </c>
      <c r="C9" s="167" t="s">
        <v>42</v>
      </c>
    </row>
    <row r="10" spans="1:5" x14ac:dyDescent="0.25">
      <c r="A10" s="167">
        <v>1986</v>
      </c>
      <c r="B10" s="167">
        <v>109.6</v>
      </c>
      <c r="C10" s="167" t="s">
        <v>42</v>
      </c>
    </row>
    <row r="11" spans="1:5" x14ac:dyDescent="0.25">
      <c r="A11" s="167">
        <v>1987</v>
      </c>
      <c r="B11" s="167">
        <v>113.6</v>
      </c>
      <c r="C11" s="167" t="s">
        <v>42</v>
      </c>
    </row>
    <row r="12" spans="1:5" x14ac:dyDescent="0.25">
      <c r="A12" s="167">
        <v>1988</v>
      </c>
      <c r="B12" s="167">
        <v>118.3</v>
      </c>
      <c r="C12" s="167" t="s">
        <v>42</v>
      </c>
    </row>
    <row r="13" spans="1:5" x14ac:dyDescent="0.25">
      <c r="A13" s="167">
        <v>1989</v>
      </c>
      <c r="B13" s="167">
        <v>124</v>
      </c>
      <c r="C13" s="167" t="s">
        <v>42</v>
      </c>
    </row>
    <row r="14" spans="1:5" x14ac:dyDescent="0.25">
      <c r="A14" s="167">
        <v>1990</v>
      </c>
      <c r="B14" s="167">
        <v>130.69999999999999</v>
      </c>
      <c r="C14" s="167">
        <v>4732</v>
      </c>
    </row>
    <row r="15" spans="1:5" x14ac:dyDescent="0.25">
      <c r="A15" s="167">
        <v>1991</v>
      </c>
      <c r="B15" s="167">
        <v>136.19999999999999</v>
      </c>
      <c r="C15" s="167">
        <v>4835</v>
      </c>
    </row>
    <row r="16" spans="1:5" x14ac:dyDescent="0.25">
      <c r="A16" s="167">
        <v>1992</v>
      </c>
      <c r="B16" s="167">
        <v>140.30000000000001</v>
      </c>
      <c r="C16" s="167">
        <v>4985</v>
      </c>
    </row>
    <row r="17" spans="1:3" x14ac:dyDescent="0.25">
      <c r="A17" s="167">
        <v>1993</v>
      </c>
      <c r="B17" s="167">
        <v>144.5</v>
      </c>
      <c r="C17" s="167">
        <v>5210</v>
      </c>
    </row>
    <row r="18" spans="1:3" x14ac:dyDescent="0.25">
      <c r="A18" s="167">
        <v>1994</v>
      </c>
      <c r="B18" s="167">
        <v>148.19999999999999</v>
      </c>
      <c r="C18" s="167">
        <v>5408</v>
      </c>
    </row>
    <row r="19" spans="1:3" x14ac:dyDescent="0.25">
      <c r="A19" s="167">
        <v>1995</v>
      </c>
      <c r="B19" s="167">
        <v>152.4</v>
      </c>
      <c r="C19" s="167">
        <v>5471</v>
      </c>
    </row>
    <row r="20" spans="1:3" x14ac:dyDescent="0.25">
      <c r="A20" s="167">
        <v>1996</v>
      </c>
      <c r="B20" s="167">
        <v>156.9</v>
      </c>
      <c r="C20" s="167">
        <v>5620</v>
      </c>
    </row>
    <row r="21" spans="1:3" x14ac:dyDescent="0.25">
      <c r="A21" s="167">
        <v>1997</v>
      </c>
      <c r="B21" s="167">
        <v>160.5</v>
      </c>
      <c r="C21" s="167">
        <v>5826</v>
      </c>
    </row>
    <row r="22" spans="1:3" x14ac:dyDescent="0.25">
      <c r="A22" s="167">
        <v>1998</v>
      </c>
      <c r="B22" s="167">
        <v>163</v>
      </c>
      <c r="C22" s="167">
        <v>5920</v>
      </c>
    </row>
    <row r="23" spans="1:3" x14ac:dyDescent="0.25">
      <c r="A23" s="167">
        <v>1999</v>
      </c>
      <c r="B23" s="167">
        <v>166.6</v>
      </c>
      <c r="C23" s="167">
        <v>6059</v>
      </c>
    </row>
    <row r="24" spans="1:3" x14ac:dyDescent="0.25">
      <c r="A24" s="168">
        <v>2000</v>
      </c>
      <c r="B24" s="168">
        <v>172.2</v>
      </c>
      <c r="C24" s="167">
        <v>6221</v>
      </c>
    </row>
    <row r="25" spans="1:3" x14ac:dyDescent="0.25">
      <c r="A25" s="168">
        <v>2001</v>
      </c>
      <c r="B25" s="168">
        <v>177.1</v>
      </c>
      <c r="C25" s="167">
        <v>6343</v>
      </c>
    </row>
    <row r="26" spans="1:3" x14ac:dyDescent="0.25">
      <c r="A26" s="168">
        <v>2002</v>
      </c>
      <c r="B26" s="168">
        <v>179.9</v>
      </c>
      <c r="C26" s="167">
        <v>6538</v>
      </c>
    </row>
    <row r="27" spans="1:3" x14ac:dyDescent="0.25">
      <c r="A27" s="168">
        <v>2003</v>
      </c>
      <c r="B27" s="168">
        <v>184</v>
      </c>
      <c r="C27" s="167">
        <v>6694</v>
      </c>
    </row>
    <row r="28" spans="1:3" x14ac:dyDescent="0.25">
      <c r="A28" s="168">
        <v>2004</v>
      </c>
      <c r="B28" s="168">
        <v>188.9</v>
      </c>
      <c r="C28" s="167">
        <v>7115</v>
      </c>
    </row>
    <row r="29" spans="1:3" x14ac:dyDescent="0.25">
      <c r="A29" s="168">
        <v>2005</v>
      </c>
      <c r="B29" s="168">
        <v>195.3</v>
      </c>
      <c r="C29" s="167">
        <v>7446</v>
      </c>
    </row>
    <row r="30" spans="1:3" x14ac:dyDescent="0.25">
      <c r="A30" s="168">
        <v>2006</v>
      </c>
      <c r="B30" s="168">
        <v>201.6</v>
      </c>
      <c r="C30" s="167">
        <v>7751</v>
      </c>
    </row>
    <row r="31" spans="1:3" x14ac:dyDescent="0.25">
      <c r="A31" s="168">
        <v>2007</v>
      </c>
      <c r="B31" s="168">
        <v>207.34200000000001</v>
      </c>
      <c r="C31" s="167">
        <v>7966</v>
      </c>
    </row>
    <row r="32" spans="1:3" x14ac:dyDescent="0.25">
      <c r="A32" s="168">
        <v>2008</v>
      </c>
      <c r="B32" s="168">
        <v>215.303</v>
      </c>
      <c r="C32" s="167">
        <v>8310</v>
      </c>
    </row>
    <row r="33" spans="1:4" x14ac:dyDescent="0.25">
      <c r="A33" s="168">
        <v>2009</v>
      </c>
      <c r="B33" s="168">
        <v>214.53700000000001</v>
      </c>
      <c r="C33" s="167">
        <v>8570</v>
      </c>
    </row>
    <row r="34" spans="1:4" x14ac:dyDescent="0.25">
      <c r="A34" s="168">
        <v>2010</v>
      </c>
      <c r="B34" s="168">
        <v>218.05600000000001</v>
      </c>
      <c r="C34" s="167">
        <v>8799</v>
      </c>
    </row>
    <row r="35" spans="1:4" x14ac:dyDescent="0.25">
      <c r="A35" s="168">
        <v>2011</v>
      </c>
      <c r="B35" s="168">
        <v>224.93899999999999</v>
      </c>
      <c r="C35" s="167">
        <v>9070</v>
      </c>
    </row>
    <row r="36" spans="1:4" x14ac:dyDescent="0.25">
      <c r="A36" s="168">
        <v>2012</v>
      </c>
      <c r="B36" s="168">
        <v>229.59399999999999</v>
      </c>
      <c r="C36" s="167">
        <v>9401</v>
      </c>
    </row>
    <row r="37" spans="1:4" x14ac:dyDescent="0.25">
      <c r="A37" s="168">
        <v>2013</v>
      </c>
      <c r="B37" s="168">
        <v>232.13899999999998</v>
      </c>
      <c r="C37" s="168" t="s">
        <v>42</v>
      </c>
      <c r="D37" t="s">
        <v>1845</v>
      </c>
    </row>
    <row r="38" spans="1:4" x14ac:dyDescent="0.25">
      <c r="A38" s="169" t="s">
        <v>1741</v>
      </c>
    </row>
    <row r="39" spans="1:4" x14ac:dyDescent="0.25">
      <c r="A39" s="169" t="s">
        <v>1742</v>
      </c>
    </row>
    <row r="40" spans="1:4" x14ac:dyDescent="0.25">
      <c r="A40" s="170" t="s">
        <v>1743</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zoomScale="85" zoomScaleNormal="85" workbookViewId="0">
      <selection activeCell="A3" sqref="A3"/>
    </sheetView>
  </sheetViews>
  <sheetFormatPr defaultColWidth="8.85546875" defaultRowHeight="15" x14ac:dyDescent="0.25"/>
  <cols>
    <col min="1" max="2" width="8.85546875" style="1" customWidth="1"/>
    <col min="3" max="16384" width="8.85546875" style="1"/>
  </cols>
  <sheetData>
    <row r="1" spans="1:25" s="5" customFormat="1" ht="16.5" customHeight="1" x14ac:dyDescent="0.2">
      <c r="A1" s="158"/>
      <c r="B1" s="11"/>
      <c r="C1" s="11"/>
      <c r="D1" s="11"/>
      <c r="E1" s="11"/>
    </row>
    <row r="2" spans="1:25" ht="21.75" customHeight="1" x14ac:dyDescent="0.25">
      <c r="A2" s="201" t="s">
        <v>10</v>
      </c>
      <c r="B2" s="201"/>
      <c r="C2" s="201"/>
      <c r="D2" s="201"/>
      <c r="E2" s="201"/>
      <c r="F2" s="201"/>
      <c r="G2" s="201"/>
      <c r="H2" s="201"/>
      <c r="I2" s="201"/>
      <c r="J2" s="201"/>
      <c r="K2" s="201"/>
      <c r="L2" s="201"/>
      <c r="M2" s="201"/>
      <c r="N2" s="201"/>
      <c r="O2" s="201"/>
      <c r="P2" s="201"/>
      <c r="Q2" s="201"/>
      <c r="R2" s="201"/>
      <c r="S2" s="201"/>
      <c r="T2" s="201"/>
      <c r="U2" s="201"/>
      <c r="V2" s="201"/>
      <c r="W2" s="201"/>
      <c r="X2" s="201"/>
      <c r="Y2" s="201"/>
    </row>
    <row r="32" spans="1:24" x14ac:dyDescent="0.25">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row>
    <row r="33" spans="1:24" x14ac:dyDescent="0.25">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row>
    <row r="34" spans="1:24" x14ac:dyDescent="0.25">
      <c r="A34" s="180"/>
      <c r="B34" s="180"/>
      <c r="C34" s="180"/>
      <c r="D34" s="180"/>
      <c r="E34" s="180"/>
      <c r="F34" s="180"/>
      <c r="G34" s="180"/>
      <c r="H34" s="180"/>
      <c r="I34" s="180"/>
      <c r="J34" s="180"/>
      <c r="K34" s="180"/>
      <c r="L34" s="180"/>
      <c r="M34" s="180"/>
      <c r="N34" s="180"/>
      <c r="O34" s="180"/>
      <c r="P34" s="180"/>
      <c r="Q34" s="180"/>
    </row>
    <row r="35" spans="1:24" x14ac:dyDescent="0.25">
      <c r="A35" s="180"/>
      <c r="B35" s="180"/>
      <c r="C35" s="180"/>
      <c r="D35" s="180"/>
      <c r="E35" s="180"/>
      <c r="F35" s="180"/>
      <c r="G35" s="180"/>
      <c r="H35" s="180"/>
      <c r="I35" s="180"/>
      <c r="J35" s="180"/>
      <c r="K35" s="180"/>
      <c r="L35" s="180"/>
      <c r="M35" s="180"/>
      <c r="N35" s="180"/>
      <c r="O35" s="180"/>
      <c r="P35" s="180"/>
      <c r="Q35" s="180"/>
    </row>
  </sheetData>
  <mergeCells count="3">
    <mergeCell ref="A2:Y2"/>
    <mergeCell ref="A32:X32"/>
    <mergeCell ref="A33:X3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zoomScale="85" zoomScaleNormal="85" workbookViewId="0">
      <selection activeCell="A3" sqref="A3"/>
    </sheetView>
  </sheetViews>
  <sheetFormatPr defaultColWidth="8.85546875" defaultRowHeight="15" x14ac:dyDescent="0.25"/>
  <cols>
    <col min="1" max="2" width="8.85546875" style="1" customWidth="1"/>
    <col min="3" max="16384" width="8.85546875" style="1"/>
  </cols>
  <sheetData>
    <row r="1" spans="1:25" s="5" customFormat="1" ht="16.5" customHeight="1" x14ac:dyDescent="0.2">
      <c r="A1" s="158"/>
      <c r="B1" s="11"/>
      <c r="C1" s="11"/>
      <c r="D1" s="11"/>
      <c r="E1" s="11"/>
    </row>
    <row r="2" spans="1:25" ht="19.5" customHeight="1" x14ac:dyDescent="0.25">
      <c r="A2" s="201" t="s">
        <v>10</v>
      </c>
      <c r="B2" s="201"/>
      <c r="C2" s="201"/>
      <c r="D2" s="201"/>
      <c r="E2" s="201"/>
      <c r="F2" s="201"/>
      <c r="G2" s="201"/>
      <c r="H2" s="201"/>
      <c r="I2" s="201"/>
      <c r="J2" s="201"/>
      <c r="K2" s="201"/>
      <c r="L2" s="201"/>
      <c r="M2" s="201"/>
      <c r="N2" s="201"/>
      <c r="O2" s="201"/>
      <c r="P2" s="201"/>
      <c r="Q2" s="201"/>
      <c r="R2" s="201"/>
      <c r="S2" s="201"/>
      <c r="T2" s="201"/>
      <c r="U2" s="201"/>
      <c r="V2" s="201"/>
      <c r="W2" s="201"/>
      <c r="X2" s="201"/>
      <c r="Y2" s="201"/>
    </row>
    <row r="32" spans="1:24" ht="15" customHeight="1" x14ac:dyDescent="0.25">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row>
    <row r="33" spans="1:24" ht="15" customHeight="1" x14ac:dyDescent="0.25">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row>
  </sheetData>
  <mergeCells count="3">
    <mergeCell ref="A2:Y2"/>
    <mergeCell ref="A32:X32"/>
    <mergeCell ref="A33:X33"/>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D70"/>
  <sheetViews>
    <sheetView showGridLines="0" workbookViewId="0">
      <pane ySplit="2" topLeftCell="A3" activePane="bottomLeft" state="frozen"/>
      <selection pane="bottomLeft" activeCell="B4" sqref="B4:D4"/>
    </sheetView>
  </sheetViews>
  <sheetFormatPr defaultColWidth="9.140625" defaultRowHeight="15" x14ac:dyDescent="0.25"/>
  <cols>
    <col min="1" max="1" width="2.28515625" style="21" customWidth="1"/>
    <col min="2" max="2" width="13.7109375" style="21" customWidth="1"/>
    <col min="3" max="3" width="3" style="25" customWidth="1"/>
    <col min="4" max="4" width="69" style="21" customWidth="1"/>
    <col min="5" max="16384" width="9.140625" style="21"/>
  </cols>
  <sheetData>
    <row r="1" spans="2:4" s="36" customFormat="1" x14ac:dyDescent="0.25">
      <c r="C1" s="97"/>
    </row>
    <row r="2" spans="2:4" s="36" customFormat="1" ht="16.5" customHeight="1" x14ac:dyDescent="0.25">
      <c r="C2" s="97"/>
    </row>
    <row r="3" spans="2:4" x14ac:dyDescent="0.25">
      <c r="B3" s="208" t="s">
        <v>698</v>
      </c>
      <c r="C3" s="208"/>
      <c r="D3" s="208"/>
    </row>
    <row r="4" spans="2:4" s="3" customFormat="1" ht="33.75" customHeight="1" x14ac:dyDescent="0.25">
      <c r="B4" s="188" t="s">
        <v>1456</v>
      </c>
      <c r="C4" s="189"/>
      <c r="D4" s="190"/>
    </row>
    <row r="5" spans="2:4" s="3" customFormat="1" x14ac:dyDescent="0.25">
      <c r="B5" s="196" t="s">
        <v>6</v>
      </c>
      <c r="C5" s="196"/>
      <c r="D5" s="68" t="s">
        <v>0</v>
      </c>
    </row>
    <row r="6" spans="2:4" s="3" customFormat="1" ht="81.75" customHeight="1" x14ac:dyDescent="0.25">
      <c r="B6" s="209" t="s">
        <v>688</v>
      </c>
      <c r="C6" s="209"/>
      <c r="D6" s="59" t="s">
        <v>1859</v>
      </c>
    </row>
    <row r="7" spans="2:4" s="3" customFormat="1" ht="80.25" customHeight="1" x14ac:dyDescent="0.25">
      <c r="B7" s="209" t="s">
        <v>690</v>
      </c>
      <c r="C7" s="209"/>
      <c r="D7" s="59" t="s">
        <v>1860</v>
      </c>
    </row>
    <row r="8" spans="2:4" s="3" customFormat="1" ht="78.75" customHeight="1" x14ac:dyDescent="0.25">
      <c r="B8" s="209" t="s">
        <v>692</v>
      </c>
      <c r="C8" s="209"/>
      <c r="D8" s="65" t="s">
        <v>1861</v>
      </c>
    </row>
    <row r="9" spans="2:4" s="3" customFormat="1" ht="61.5" customHeight="1" x14ac:dyDescent="0.25">
      <c r="B9" s="209" t="s">
        <v>1712</v>
      </c>
      <c r="C9" s="209"/>
      <c r="D9" s="59" t="s">
        <v>1841</v>
      </c>
    </row>
    <row r="10" spans="2:4" s="3" customFormat="1" x14ac:dyDescent="0.25"/>
    <row r="11" spans="2:4" x14ac:dyDescent="0.25">
      <c r="B11" s="208" t="s">
        <v>446</v>
      </c>
      <c r="C11" s="208"/>
      <c r="D11" s="208"/>
    </row>
    <row r="12" spans="2:4" s="3" customFormat="1" ht="15" customHeight="1" x14ac:dyDescent="0.25">
      <c r="B12" s="204" t="s">
        <v>1818</v>
      </c>
      <c r="C12" s="204"/>
      <c r="D12" s="204"/>
    </row>
    <row r="13" spans="2:4" s="3" customFormat="1" ht="15" customHeight="1" x14ac:dyDescent="0.25">
      <c r="B13" s="205" t="s">
        <v>1830</v>
      </c>
      <c r="C13" s="205"/>
      <c r="D13" s="205"/>
    </row>
    <row r="14" spans="2:4" s="3" customFormat="1" ht="45.75" customHeight="1" x14ac:dyDescent="0.25">
      <c r="B14" s="203" t="s">
        <v>1825</v>
      </c>
      <c r="C14" s="203"/>
      <c r="D14" s="203"/>
    </row>
    <row r="15" spans="2:4" s="3" customFormat="1" ht="30" customHeight="1" x14ac:dyDescent="0.25">
      <c r="B15" s="204" t="s">
        <v>1831</v>
      </c>
      <c r="C15" s="204"/>
      <c r="D15" s="204"/>
    </row>
    <row r="16" spans="2:4" s="3" customFormat="1" x14ac:dyDescent="0.25">
      <c r="B16" s="205" t="s">
        <v>1832</v>
      </c>
      <c r="C16" s="205"/>
      <c r="D16" s="205"/>
    </row>
    <row r="17" spans="1:4" s="3" customFormat="1" ht="30" customHeight="1" x14ac:dyDescent="0.25">
      <c r="B17" s="204" t="s">
        <v>1833</v>
      </c>
      <c r="C17" s="204"/>
      <c r="D17" s="204"/>
    </row>
    <row r="18" spans="1:4" s="3" customFormat="1" x14ac:dyDescent="0.25">
      <c r="B18" s="204" t="s">
        <v>1834</v>
      </c>
      <c r="C18" s="204"/>
      <c r="D18" s="204"/>
    </row>
    <row r="19" spans="1:4" s="3" customFormat="1" ht="15" customHeight="1" x14ac:dyDescent="0.25">
      <c r="B19" s="204" t="s">
        <v>1835</v>
      </c>
      <c r="C19" s="204"/>
      <c r="D19" s="204"/>
    </row>
    <row r="20" spans="1:4" s="3" customFormat="1" ht="52.5" customHeight="1" x14ac:dyDescent="0.25">
      <c r="B20" s="210" t="s">
        <v>1817</v>
      </c>
      <c r="C20" s="210"/>
      <c r="D20" s="210"/>
    </row>
    <row r="21" spans="1:4" s="3" customFormat="1" x14ac:dyDescent="0.25"/>
    <row r="22" spans="1:4" x14ac:dyDescent="0.25">
      <c r="B22" s="206" t="s">
        <v>699</v>
      </c>
      <c r="C22" s="206"/>
      <c r="D22" s="206"/>
    </row>
    <row r="23" spans="1:4" x14ac:dyDescent="0.25">
      <c r="B23" s="69" t="s">
        <v>700</v>
      </c>
      <c r="C23" s="69" t="s">
        <v>701</v>
      </c>
      <c r="D23" s="59" t="s">
        <v>702</v>
      </c>
    </row>
    <row r="24" spans="1:4" x14ac:dyDescent="0.25">
      <c r="B24" s="69" t="s">
        <v>703</v>
      </c>
      <c r="C24" s="69" t="s">
        <v>701</v>
      </c>
      <c r="D24" s="59" t="s">
        <v>704</v>
      </c>
    </row>
    <row r="25" spans="1:4" x14ac:dyDescent="0.25">
      <c r="B25" s="69" t="s">
        <v>72</v>
      </c>
      <c r="C25" s="69" t="s">
        <v>701</v>
      </c>
      <c r="D25" s="59" t="s">
        <v>705</v>
      </c>
    </row>
    <row r="26" spans="1:4" x14ac:dyDescent="0.25">
      <c r="B26" s="69" t="s">
        <v>706</v>
      </c>
      <c r="C26" s="69" t="s">
        <v>701</v>
      </c>
      <c r="D26" s="59" t="s">
        <v>707</v>
      </c>
    </row>
    <row r="28" spans="1:4" x14ac:dyDescent="0.25">
      <c r="B28" s="206" t="s">
        <v>708</v>
      </c>
      <c r="C28" s="206"/>
      <c r="D28" s="206"/>
    </row>
    <row r="29" spans="1:4" x14ac:dyDescent="0.25">
      <c r="A29" s="70"/>
      <c r="B29" s="207" t="s">
        <v>709</v>
      </c>
      <c r="C29" s="207"/>
      <c r="D29" s="207"/>
    </row>
    <row r="30" spans="1:4" x14ac:dyDescent="0.25">
      <c r="B30" s="69" t="s">
        <v>710</v>
      </c>
      <c r="C30" s="71" t="s">
        <v>701</v>
      </c>
      <c r="D30" s="59" t="s">
        <v>711</v>
      </c>
    </row>
    <row r="31" spans="1:4" x14ac:dyDescent="0.25">
      <c r="B31" s="69" t="s">
        <v>712</v>
      </c>
      <c r="C31" s="69" t="s">
        <v>701</v>
      </c>
      <c r="D31" s="59" t="s">
        <v>713</v>
      </c>
    </row>
    <row r="32" spans="1:4" x14ac:dyDescent="0.25">
      <c r="B32" s="69" t="s">
        <v>714</v>
      </c>
      <c r="C32" s="69" t="s">
        <v>701</v>
      </c>
      <c r="D32" s="59" t="s">
        <v>715</v>
      </c>
    </row>
    <row r="33" spans="2:4" x14ac:dyDescent="0.25">
      <c r="B33" s="69" t="s">
        <v>104</v>
      </c>
      <c r="C33" s="69" t="s">
        <v>701</v>
      </c>
      <c r="D33" s="59" t="s">
        <v>716</v>
      </c>
    </row>
    <row r="34" spans="2:4" x14ac:dyDescent="0.25">
      <c r="B34" s="69" t="s">
        <v>717</v>
      </c>
      <c r="C34" s="69" t="s">
        <v>701</v>
      </c>
      <c r="D34" s="59" t="s">
        <v>718</v>
      </c>
    </row>
    <row r="35" spans="2:4" x14ac:dyDescent="0.25">
      <c r="B35" s="69" t="s">
        <v>719</v>
      </c>
      <c r="C35" s="69" t="s">
        <v>701</v>
      </c>
      <c r="D35" s="59" t="s">
        <v>720</v>
      </c>
    </row>
    <row r="36" spans="2:4" x14ac:dyDescent="0.25">
      <c r="B36" s="69" t="s">
        <v>721</v>
      </c>
      <c r="C36" s="69" t="s">
        <v>701</v>
      </c>
      <c r="D36" s="59" t="s">
        <v>722</v>
      </c>
    </row>
    <row r="37" spans="2:4" x14ac:dyDescent="0.25">
      <c r="B37" s="69" t="s">
        <v>723</v>
      </c>
      <c r="C37" s="71" t="s">
        <v>701</v>
      </c>
      <c r="D37" s="59" t="s">
        <v>724</v>
      </c>
    </row>
    <row r="38" spans="2:4" x14ac:dyDescent="0.25">
      <c r="B38" s="69" t="s">
        <v>725</v>
      </c>
      <c r="C38" s="69" t="s">
        <v>701</v>
      </c>
      <c r="D38" s="59" t="s">
        <v>726</v>
      </c>
    </row>
    <row r="39" spans="2:4" x14ac:dyDescent="0.25">
      <c r="B39" s="69" t="s">
        <v>727</v>
      </c>
      <c r="C39" s="69" t="s">
        <v>701</v>
      </c>
      <c r="D39" s="59" t="s">
        <v>728</v>
      </c>
    </row>
    <row r="40" spans="2:4" x14ac:dyDescent="0.25">
      <c r="B40" s="69" t="s">
        <v>105</v>
      </c>
      <c r="C40" s="71" t="s">
        <v>701</v>
      </c>
      <c r="D40" s="59" t="s">
        <v>729</v>
      </c>
    </row>
    <row r="41" spans="2:4" x14ac:dyDescent="0.25">
      <c r="B41" s="69" t="s">
        <v>730</v>
      </c>
      <c r="C41" s="69" t="s">
        <v>701</v>
      </c>
      <c r="D41" s="59" t="s">
        <v>731</v>
      </c>
    </row>
    <row r="42" spans="2:4" x14ac:dyDescent="0.25">
      <c r="B42" s="69" t="s">
        <v>732</v>
      </c>
      <c r="C42" s="69" t="s">
        <v>701</v>
      </c>
      <c r="D42" s="59" t="s">
        <v>733</v>
      </c>
    </row>
    <row r="43" spans="2:4" x14ac:dyDescent="0.25">
      <c r="B43" s="69" t="s">
        <v>734</v>
      </c>
      <c r="C43" s="71" t="s">
        <v>701</v>
      </c>
      <c r="D43" s="59" t="s">
        <v>735</v>
      </c>
    </row>
    <row r="44" spans="2:4" x14ac:dyDescent="0.25">
      <c r="B44" s="69" t="s">
        <v>736</v>
      </c>
      <c r="C44" s="71" t="s">
        <v>701</v>
      </c>
      <c r="D44" s="59" t="s">
        <v>737</v>
      </c>
    </row>
    <row r="45" spans="2:4" x14ac:dyDescent="0.25">
      <c r="B45" s="69" t="s">
        <v>1255</v>
      </c>
      <c r="C45" s="71" t="s">
        <v>701</v>
      </c>
      <c r="D45" s="59" t="s">
        <v>1256</v>
      </c>
    </row>
    <row r="46" spans="2:4" x14ac:dyDescent="0.25">
      <c r="B46" s="69" t="s">
        <v>738</v>
      </c>
      <c r="C46" s="69" t="s">
        <v>701</v>
      </c>
      <c r="D46" s="59" t="s">
        <v>739</v>
      </c>
    </row>
    <row r="47" spans="2:4" x14ac:dyDescent="0.25">
      <c r="B47" s="69" t="s">
        <v>213</v>
      </c>
      <c r="C47" s="71" t="s">
        <v>701</v>
      </c>
      <c r="D47" s="59" t="s">
        <v>740</v>
      </c>
    </row>
    <row r="48" spans="2:4" x14ac:dyDescent="0.25">
      <c r="B48" s="69" t="s">
        <v>741</v>
      </c>
      <c r="C48" s="71" t="s">
        <v>701</v>
      </c>
      <c r="D48" s="59" t="s">
        <v>742</v>
      </c>
    </row>
    <row r="49" spans="2:4" x14ac:dyDescent="0.25">
      <c r="B49" s="69" t="s">
        <v>743</v>
      </c>
      <c r="C49" s="69" t="s">
        <v>701</v>
      </c>
      <c r="D49" s="59" t="s">
        <v>744</v>
      </c>
    </row>
    <row r="50" spans="2:4" x14ac:dyDescent="0.25">
      <c r="B50" s="69" t="s">
        <v>745</v>
      </c>
      <c r="C50" s="69" t="s">
        <v>701</v>
      </c>
      <c r="D50" s="59" t="s">
        <v>746</v>
      </c>
    </row>
    <row r="51" spans="2:4" x14ac:dyDescent="0.25">
      <c r="B51" s="69" t="s">
        <v>747</v>
      </c>
      <c r="C51" s="69" t="s">
        <v>701</v>
      </c>
      <c r="D51" s="59" t="s">
        <v>748</v>
      </c>
    </row>
    <row r="52" spans="2:4" x14ac:dyDescent="0.25">
      <c r="B52" s="69" t="s">
        <v>749</v>
      </c>
      <c r="C52" s="69" t="s">
        <v>701</v>
      </c>
      <c r="D52" s="59" t="s">
        <v>750</v>
      </c>
    </row>
    <row r="53" spans="2:4" x14ac:dyDescent="0.25">
      <c r="B53" s="69" t="s">
        <v>751</v>
      </c>
      <c r="C53" s="69" t="s">
        <v>701</v>
      </c>
      <c r="D53" s="59" t="s">
        <v>752</v>
      </c>
    </row>
    <row r="54" spans="2:4" x14ac:dyDescent="0.25">
      <c r="B54" s="69" t="s">
        <v>1257</v>
      </c>
      <c r="C54" s="71" t="s">
        <v>701</v>
      </c>
      <c r="D54" s="59" t="s">
        <v>1258</v>
      </c>
    </row>
    <row r="55" spans="2:4" x14ac:dyDescent="0.25">
      <c r="B55" s="69" t="s">
        <v>753</v>
      </c>
      <c r="C55" s="69" t="s">
        <v>701</v>
      </c>
      <c r="D55" s="59" t="s">
        <v>754</v>
      </c>
    </row>
    <row r="56" spans="2:4" x14ac:dyDescent="0.25">
      <c r="B56" s="69" t="s">
        <v>755</v>
      </c>
      <c r="C56" s="69" t="s">
        <v>701</v>
      </c>
      <c r="D56" s="59" t="s">
        <v>756</v>
      </c>
    </row>
    <row r="57" spans="2:4" x14ac:dyDescent="0.25">
      <c r="B57" s="69" t="s">
        <v>757</v>
      </c>
      <c r="C57" s="69" t="s">
        <v>701</v>
      </c>
      <c r="D57" s="59" t="s">
        <v>758</v>
      </c>
    </row>
    <row r="58" spans="2:4" x14ac:dyDescent="0.25">
      <c r="B58" s="69" t="s">
        <v>759</v>
      </c>
      <c r="C58" s="69" t="s">
        <v>701</v>
      </c>
      <c r="D58" s="59" t="s">
        <v>760</v>
      </c>
    </row>
    <row r="59" spans="2:4" x14ac:dyDescent="0.25">
      <c r="B59" s="69" t="s">
        <v>761</v>
      </c>
      <c r="C59" s="69" t="s">
        <v>701</v>
      </c>
      <c r="D59" s="59" t="s">
        <v>762</v>
      </c>
    </row>
    <row r="60" spans="2:4" x14ac:dyDescent="0.25">
      <c r="B60" s="69" t="s">
        <v>763</v>
      </c>
      <c r="C60" s="69" t="s">
        <v>701</v>
      </c>
      <c r="D60" s="59" t="s">
        <v>764</v>
      </c>
    </row>
    <row r="61" spans="2:4" x14ac:dyDescent="0.25">
      <c r="B61" s="69" t="s">
        <v>765</v>
      </c>
      <c r="C61" s="69" t="s">
        <v>701</v>
      </c>
      <c r="D61" s="59" t="s">
        <v>766</v>
      </c>
    </row>
    <row r="62" spans="2:4" x14ac:dyDescent="0.25">
      <c r="B62" s="69" t="s">
        <v>767</v>
      </c>
      <c r="C62" s="71" t="s">
        <v>701</v>
      </c>
      <c r="D62" s="59" t="s">
        <v>768</v>
      </c>
    </row>
    <row r="63" spans="2:4" x14ac:dyDescent="0.25">
      <c r="B63" s="69" t="s">
        <v>769</v>
      </c>
      <c r="C63" s="69" t="s">
        <v>701</v>
      </c>
      <c r="D63" s="59" t="s">
        <v>770</v>
      </c>
    </row>
    <row r="64" spans="2:4" ht="30" x14ac:dyDescent="0.25">
      <c r="B64" s="69" t="s">
        <v>771</v>
      </c>
      <c r="C64" s="69"/>
      <c r="D64" s="59" t="s">
        <v>1862</v>
      </c>
    </row>
    <row r="65" spans="2:4" x14ac:dyDescent="0.25">
      <c r="B65" s="25"/>
    </row>
    <row r="66" spans="2:4" x14ac:dyDescent="0.25">
      <c r="B66" s="206" t="s">
        <v>772</v>
      </c>
      <c r="C66" s="206"/>
      <c r="D66" s="206"/>
    </row>
    <row r="67" spans="2:4" ht="46.5" customHeight="1" x14ac:dyDescent="0.25">
      <c r="B67" s="69" t="s">
        <v>773</v>
      </c>
      <c r="C67" s="69" t="s">
        <v>701</v>
      </c>
      <c r="D67" s="59" t="s">
        <v>774</v>
      </c>
    </row>
    <row r="68" spans="2:4" x14ac:dyDescent="0.25">
      <c r="B68" s="69" t="s">
        <v>775</v>
      </c>
      <c r="C68" s="71" t="s">
        <v>701</v>
      </c>
      <c r="D68" s="59" t="s">
        <v>776</v>
      </c>
    </row>
    <row r="69" spans="2:4" x14ac:dyDescent="0.25">
      <c r="B69" s="25"/>
    </row>
    <row r="70" spans="2:4" x14ac:dyDescent="0.25">
      <c r="B70" s="25"/>
    </row>
  </sheetData>
  <mergeCells count="21">
    <mergeCell ref="B22:D22"/>
    <mergeCell ref="B28:D28"/>
    <mergeCell ref="B29:D29"/>
    <mergeCell ref="B66:D66"/>
    <mergeCell ref="B3:D3"/>
    <mergeCell ref="B5:C5"/>
    <mergeCell ref="B6:C6"/>
    <mergeCell ref="B7:C7"/>
    <mergeCell ref="B8:C8"/>
    <mergeCell ref="B9:C9"/>
    <mergeCell ref="B4:D4"/>
    <mergeCell ref="B11:D11"/>
    <mergeCell ref="B12:D12"/>
    <mergeCell ref="B13:D13"/>
    <mergeCell ref="B19:D19"/>
    <mergeCell ref="B20:D20"/>
    <mergeCell ref="B14:D14"/>
    <mergeCell ref="B15:D15"/>
    <mergeCell ref="B16:D16"/>
    <mergeCell ref="B17:D17"/>
    <mergeCell ref="B18:D18"/>
  </mergeCells>
  <hyperlinks>
    <hyperlink ref="B6:C6" location="Municipal!A1" display="Municipal"/>
    <hyperlink ref="B7:C7" location="Industrial!A1" display="Industrial"/>
    <hyperlink ref="B8:C8" location="Decentralized!A1" display="Decentralized"/>
    <hyperlink ref="B9:C9" location="'Point Source Anecdotal'!A1" display="Point Source Anecdotal"/>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374"/>
  <sheetViews>
    <sheetView showGridLines="0" zoomScaleNormal="100" workbookViewId="0">
      <pane xSplit="1" ySplit="4" topLeftCell="B5" activePane="bottomRight" state="frozen"/>
      <selection activeCell="B5" sqref="B5:C7"/>
      <selection pane="topRight" activeCell="B5" sqref="B5:C7"/>
      <selection pane="bottomLeft" activeCell="B5" sqref="B5:C7"/>
      <selection pane="bottomRight"/>
    </sheetView>
  </sheetViews>
  <sheetFormatPr defaultColWidth="8.85546875" defaultRowHeight="12.75" x14ac:dyDescent="0.2"/>
  <cols>
    <col min="1" max="1" width="13.42578125" style="84" customWidth="1"/>
    <col min="2" max="2" width="19.5703125" style="84" customWidth="1"/>
    <col min="3" max="3" width="14.140625" style="84" customWidth="1"/>
    <col min="4" max="4" width="14.85546875" style="84" customWidth="1"/>
    <col min="5" max="5" width="14.140625" style="84" customWidth="1"/>
    <col min="6" max="7" width="10.85546875" style="84" customWidth="1"/>
    <col min="8" max="8" width="12.7109375" style="84" customWidth="1"/>
    <col min="9" max="9" width="12.42578125" style="84" customWidth="1"/>
    <col min="10" max="10" width="10.85546875" style="84" customWidth="1"/>
    <col min="11" max="11" width="15.140625" style="84" customWidth="1"/>
    <col min="12" max="12" width="12.42578125" style="84" customWidth="1"/>
    <col min="13" max="13" width="8.85546875" style="84"/>
    <col min="14" max="14" width="12.28515625" style="84" customWidth="1"/>
    <col min="15" max="15" width="13.28515625" style="84" customWidth="1"/>
    <col min="16" max="16" width="18.5703125" style="84" bestFit="1" customWidth="1"/>
    <col min="17" max="17" width="12.85546875" style="84" bestFit="1" customWidth="1"/>
    <col min="18" max="18" width="12.85546875" style="84" customWidth="1"/>
    <col min="19" max="19" width="62.42578125" style="11" bestFit="1" customWidth="1"/>
    <col min="20" max="16384" width="8.85546875" style="11"/>
  </cols>
  <sheetData>
    <row r="1" spans="1:19" s="5" customFormat="1" ht="16.5" customHeight="1" x14ac:dyDescent="0.2">
      <c r="A1" s="158"/>
      <c r="B1" s="11"/>
      <c r="C1" s="11"/>
      <c r="D1" s="11"/>
      <c r="E1" s="11"/>
    </row>
    <row r="2" spans="1:19" s="5" customFormat="1" ht="16.5" customHeight="1" x14ac:dyDescent="0.2">
      <c r="A2" s="123"/>
      <c r="B2" s="123"/>
      <c r="C2" s="123"/>
      <c r="D2" s="123"/>
      <c r="E2" s="11"/>
    </row>
    <row r="3" spans="1:19" ht="14.45" customHeight="1" x14ac:dyDescent="0.2">
      <c r="A3" s="211" t="s">
        <v>778</v>
      </c>
      <c r="B3" s="211" t="s">
        <v>788</v>
      </c>
      <c r="C3" s="212" t="s">
        <v>1259</v>
      </c>
      <c r="D3" s="213"/>
      <c r="E3" s="213"/>
      <c r="F3" s="214"/>
      <c r="G3" s="212" t="s">
        <v>1260</v>
      </c>
      <c r="H3" s="213"/>
      <c r="I3" s="213"/>
      <c r="J3" s="214"/>
      <c r="K3" s="211" t="s">
        <v>782</v>
      </c>
      <c r="L3" s="211" t="s">
        <v>783</v>
      </c>
      <c r="M3" s="211" t="s">
        <v>784</v>
      </c>
      <c r="N3" s="211" t="s">
        <v>785</v>
      </c>
      <c r="O3" s="211" t="s">
        <v>786</v>
      </c>
      <c r="P3" s="211" t="s">
        <v>787</v>
      </c>
      <c r="Q3" s="211" t="s">
        <v>1261</v>
      </c>
      <c r="R3" s="215" t="s">
        <v>1262</v>
      </c>
      <c r="S3" s="211" t="s">
        <v>789</v>
      </c>
    </row>
    <row r="4" spans="1:19" ht="38.25" x14ac:dyDescent="0.2">
      <c r="A4" s="211"/>
      <c r="B4" s="211"/>
      <c r="C4" s="57" t="s">
        <v>777</v>
      </c>
      <c r="D4" s="57" t="s">
        <v>779</v>
      </c>
      <c r="E4" s="57" t="s">
        <v>780</v>
      </c>
      <c r="F4" s="57" t="s">
        <v>781</v>
      </c>
      <c r="G4" s="57" t="s">
        <v>777</v>
      </c>
      <c r="H4" s="57" t="s">
        <v>779</v>
      </c>
      <c r="I4" s="57" t="s">
        <v>780</v>
      </c>
      <c r="J4" s="57" t="s">
        <v>781</v>
      </c>
      <c r="K4" s="211"/>
      <c r="L4" s="211"/>
      <c r="M4" s="211"/>
      <c r="N4" s="211"/>
      <c r="O4" s="211"/>
      <c r="P4" s="211"/>
      <c r="Q4" s="211"/>
      <c r="R4" s="216"/>
      <c r="S4" s="211"/>
    </row>
    <row r="5" spans="1:19" s="37" customFormat="1" ht="27" customHeight="1" x14ac:dyDescent="0.25">
      <c r="A5" s="22" t="s">
        <v>105</v>
      </c>
      <c r="B5" s="22" t="s">
        <v>793</v>
      </c>
      <c r="C5" s="22" t="s">
        <v>72</v>
      </c>
      <c r="D5" s="22">
        <v>9600</v>
      </c>
      <c r="E5" s="22">
        <v>5100</v>
      </c>
      <c r="F5" s="72">
        <v>0.46875</v>
      </c>
      <c r="G5" s="72" t="s">
        <v>817</v>
      </c>
      <c r="H5" s="72" t="s">
        <v>817</v>
      </c>
      <c r="I5" s="72" t="s">
        <v>817</v>
      </c>
      <c r="J5" s="72" t="s">
        <v>817</v>
      </c>
      <c r="K5" s="73">
        <v>0.25793169595450965</v>
      </c>
      <c r="L5" s="73">
        <v>5.3597077221151652E-2</v>
      </c>
      <c r="M5" s="22" t="s">
        <v>804</v>
      </c>
      <c r="N5" s="80">
        <v>2006</v>
      </c>
      <c r="O5" s="22" t="s">
        <v>773</v>
      </c>
      <c r="P5" s="22" t="s">
        <v>792</v>
      </c>
      <c r="Q5" s="22" t="s">
        <v>1230</v>
      </c>
      <c r="R5" s="22">
        <v>1</v>
      </c>
      <c r="S5" s="33" t="s">
        <v>1263</v>
      </c>
    </row>
    <row r="6" spans="1:19" s="37" customFormat="1" ht="27" customHeight="1" x14ac:dyDescent="0.25">
      <c r="A6" s="22" t="s">
        <v>837</v>
      </c>
      <c r="B6" s="22" t="s">
        <v>793</v>
      </c>
      <c r="C6" s="22" t="s">
        <v>72</v>
      </c>
      <c r="D6" s="22">
        <v>7000</v>
      </c>
      <c r="E6" s="22">
        <v>5000</v>
      </c>
      <c r="F6" s="72">
        <v>0.2857142857142857</v>
      </c>
      <c r="G6" s="72" t="s">
        <v>817</v>
      </c>
      <c r="H6" s="72" t="s">
        <v>817</v>
      </c>
      <c r="I6" s="72" t="s">
        <v>817</v>
      </c>
      <c r="J6" s="72" t="s">
        <v>817</v>
      </c>
      <c r="K6" s="73">
        <v>2.1279364916247041</v>
      </c>
      <c r="L6" s="73">
        <v>6.5668491009699237E-2</v>
      </c>
      <c r="M6" s="22" t="s">
        <v>838</v>
      </c>
      <c r="N6" s="80">
        <v>2006</v>
      </c>
      <c r="O6" s="22" t="s">
        <v>773</v>
      </c>
      <c r="P6" s="22" t="s">
        <v>792</v>
      </c>
      <c r="Q6" s="22" t="s">
        <v>1230</v>
      </c>
      <c r="R6" s="22">
        <v>1</v>
      </c>
      <c r="S6" s="33" t="s">
        <v>1263</v>
      </c>
    </row>
    <row r="7" spans="1:19" s="37" customFormat="1" ht="27" customHeight="1" x14ac:dyDescent="0.25">
      <c r="A7" s="22" t="s">
        <v>825</v>
      </c>
      <c r="B7" s="22" t="s">
        <v>793</v>
      </c>
      <c r="C7" s="22" t="s">
        <v>72</v>
      </c>
      <c r="D7" s="8" t="s">
        <v>817</v>
      </c>
      <c r="E7" s="22">
        <v>5000</v>
      </c>
      <c r="F7" s="8" t="s">
        <v>817</v>
      </c>
      <c r="G7" s="72" t="s">
        <v>817</v>
      </c>
      <c r="H7" s="72" t="s">
        <v>817</v>
      </c>
      <c r="I7" s="72" t="s">
        <v>817</v>
      </c>
      <c r="J7" s="72" t="s">
        <v>817</v>
      </c>
      <c r="K7" s="73">
        <v>0.62450780555109031</v>
      </c>
      <c r="L7" s="76">
        <v>1.482407941113433E-2</v>
      </c>
      <c r="M7" s="22" t="s">
        <v>830</v>
      </c>
      <c r="N7" s="80">
        <v>2000</v>
      </c>
      <c r="O7" s="22" t="s">
        <v>773</v>
      </c>
      <c r="P7" s="22" t="s">
        <v>827</v>
      </c>
      <c r="Q7" s="22" t="s">
        <v>828</v>
      </c>
      <c r="R7" s="22">
        <v>3</v>
      </c>
      <c r="S7" s="16"/>
    </row>
    <row r="8" spans="1:19" s="37" customFormat="1" ht="27" customHeight="1" x14ac:dyDescent="0.25">
      <c r="A8" s="22" t="s">
        <v>825</v>
      </c>
      <c r="B8" s="22" t="s">
        <v>793</v>
      </c>
      <c r="C8" s="22" t="s">
        <v>72</v>
      </c>
      <c r="D8" s="8" t="s">
        <v>817</v>
      </c>
      <c r="E8" s="22">
        <v>5000</v>
      </c>
      <c r="F8" s="8" t="s">
        <v>817</v>
      </c>
      <c r="G8" s="72" t="s">
        <v>817</v>
      </c>
      <c r="H8" s="72" t="s">
        <v>817</v>
      </c>
      <c r="I8" s="72" t="s">
        <v>817</v>
      </c>
      <c r="J8" s="72" t="s">
        <v>817</v>
      </c>
      <c r="K8" s="73">
        <v>0.74544535846326954</v>
      </c>
      <c r="L8" s="79">
        <v>2.3824748356373573E-2</v>
      </c>
      <c r="M8" s="22" t="s">
        <v>808</v>
      </c>
      <c r="N8" s="80">
        <v>2000</v>
      </c>
      <c r="O8" s="22" t="s">
        <v>773</v>
      </c>
      <c r="P8" s="22" t="s">
        <v>827</v>
      </c>
      <c r="Q8" s="22" t="s">
        <v>828</v>
      </c>
      <c r="R8" s="22">
        <v>3</v>
      </c>
      <c r="S8" s="16"/>
    </row>
    <row r="9" spans="1:19" s="37" customFormat="1" ht="27" customHeight="1" x14ac:dyDescent="0.25">
      <c r="A9" s="22" t="s">
        <v>825</v>
      </c>
      <c r="B9" s="22" t="s">
        <v>793</v>
      </c>
      <c r="C9" s="22" t="s">
        <v>72</v>
      </c>
      <c r="D9" s="8" t="s">
        <v>817</v>
      </c>
      <c r="E9" s="22">
        <v>5000</v>
      </c>
      <c r="F9" s="8" t="s">
        <v>817</v>
      </c>
      <c r="G9" s="72" t="s">
        <v>817</v>
      </c>
      <c r="H9" s="72" t="s">
        <v>817</v>
      </c>
      <c r="I9" s="72" t="s">
        <v>817</v>
      </c>
      <c r="J9" s="72" t="s">
        <v>817</v>
      </c>
      <c r="K9" s="73">
        <v>1.6824340138241438</v>
      </c>
      <c r="L9" s="79">
        <v>4.4206256309275035E-2</v>
      </c>
      <c r="M9" s="22" t="s">
        <v>829</v>
      </c>
      <c r="N9" s="80">
        <v>2000</v>
      </c>
      <c r="O9" s="22" t="s">
        <v>773</v>
      </c>
      <c r="P9" s="22" t="s">
        <v>827</v>
      </c>
      <c r="Q9" s="22" t="s">
        <v>828</v>
      </c>
      <c r="R9" s="22">
        <v>3</v>
      </c>
      <c r="S9" s="16"/>
    </row>
    <row r="10" spans="1:19" s="37" customFormat="1" ht="27" customHeight="1" x14ac:dyDescent="0.25">
      <c r="A10" s="22" t="s">
        <v>825</v>
      </c>
      <c r="B10" s="22" t="s">
        <v>793</v>
      </c>
      <c r="C10" s="22" t="s">
        <v>72</v>
      </c>
      <c r="D10" s="8" t="s">
        <v>817</v>
      </c>
      <c r="E10" s="22">
        <v>3000</v>
      </c>
      <c r="F10" s="8" t="s">
        <v>817</v>
      </c>
      <c r="G10" s="72" t="s">
        <v>817</v>
      </c>
      <c r="H10" s="72" t="s">
        <v>817</v>
      </c>
      <c r="I10" s="72" t="s">
        <v>817</v>
      </c>
      <c r="J10" s="72" t="s">
        <v>817</v>
      </c>
      <c r="K10" s="73">
        <v>2.0477981651376149</v>
      </c>
      <c r="L10" s="76">
        <v>4.2419930986443768E-2</v>
      </c>
      <c r="M10" s="22" t="s">
        <v>830</v>
      </c>
      <c r="N10" s="74">
        <v>2000</v>
      </c>
      <c r="O10" s="22" t="s">
        <v>773</v>
      </c>
      <c r="P10" s="22" t="s">
        <v>827</v>
      </c>
      <c r="Q10" s="22" t="s">
        <v>828</v>
      </c>
      <c r="R10" s="22">
        <v>3</v>
      </c>
      <c r="S10" s="16"/>
    </row>
    <row r="11" spans="1:19" s="37" customFormat="1" ht="27" customHeight="1" x14ac:dyDescent="0.25">
      <c r="A11" s="22" t="s">
        <v>825</v>
      </c>
      <c r="B11" s="22" t="s">
        <v>793</v>
      </c>
      <c r="C11" s="22" t="s">
        <v>72</v>
      </c>
      <c r="D11" s="8" t="s">
        <v>817</v>
      </c>
      <c r="E11" s="22">
        <v>3000</v>
      </c>
      <c r="F11" s="8" t="s">
        <v>817</v>
      </c>
      <c r="G11" s="72" t="s">
        <v>817</v>
      </c>
      <c r="H11" s="72" t="s">
        <v>817</v>
      </c>
      <c r="I11" s="72" t="s">
        <v>817</v>
      </c>
      <c r="J11" s="72" t="s">
        <v>817</v>
      </c>
      <c r="K11" s="73">
        <v>2.2284862385321103</v>
      </c>
      <c r="L11" s="79">
        <v>4.7149608045330332E-2</v>
      </c>
      <c r="M11" s="22" t="s">
        <v>808</v>
      </c>
      <c r="N11" s="74">
        <v>2000</v>
      </c>
      <c r="O11" s="22" t="s">
        <v>773</v>
      </c>
      <c r="P11" s="22" t="s">
        <v>827</v>
      </c>
      <c r="Q11" s="22" t="s">
        <v>828</v>
      </c>
      <c r="R11" s="22">
        <v>3</v>
      </c>
      <c r="S11" s="16"/>
    </row>
    <row r="12" spans="1:19" s="37" customFormat="1" ht="27" customHeight="1" x14ac:dyDescent="0.25">
      <c r="A12" s="22" t="s">
        <v>825</v>
      </c>
      <c r="B12" s="22" t="s">
        <v>793</v>
      </c>
      <c r="C12" s="22" t="s">
        <v>72</v>
      </c>
      <c r="D12" s="8" t="s">
        <v>817</v>
      </c>
      <c r="E12" s="22">
        <v>3000</v>
      </c>
      <c r="F12" s="8" t="s">
        <v>817</v>
      </c>
      <c r="G12" s="72" t="s">
        <v>817</v>
      </c>
      <c r="H12" s="72" t="s">
        <v>817</v>
      </c>
      <c r="I12" s="72" t="s">
        <v>817</v>
      </c>
      <c r="J12" s="72" t="s">
        <v>817</v>
      </c>
      <c r="K12" s="73">
        <v>2.9373394495412848</v>
      </c>
      <c r="L12" s="78">
        <v>0.10579514246101912</v>
      </c>
      <c r="M12" s="22" t="s">
        <v>829</v>
      </c>
      <c r="N12" s="74">
        <v>2000</v>
      </c>
      <c r="O12" s="22" t="s">
        <v>773</v>
      </c>
      <c r="P12" s="22" t="s">
        <v>827</v>
      </c>
      <c r="Q12" s="22" t="s">
        <v>828</v>
      </c>
      <c r="R12" s="22">
        <v>3</v>
      </c>
      <c r="S12" s="16"/>
    </row>
    <row r="13" spans="1:19" s="37" customFormat="1" ht="27" customHeight="1" x14ac:dyDescent="0.25">
      <c r="A13" s="22" t="s">
        <v>825</v>
      </c>
      <c r="B13" s="22" t="s">
        <v>793</v>
      </c>
      <c r="C13" s="22" t="s">
        <v>72</v>
      </c>
      <c r="D13" s="8" t="s">
        <v>817</v>
      </c>
      <c r="E13" s="22">
        <v>5000</v>
      </c>
      <c r="F13" s="8" t="s">
        <v>817</v>
      </c>
      <c r="G13" s="72" t="s">
        <v>817</v>
      </c>
      <c r="H13" s="72" t="s">
        <v>817</v>
      </c>
      <c r="I13" s="72" t="s">
        <v>817</v>
      </c>
      <c r="J13" s="72" t="s">
        <v>817</v>
      </c>
      <c r="K13" s="73">
        <v>3.6462823501044848</v>
      </c>
      <c r="L13" s="78">
        <v>0.10660458688313776</v>
      </c>
      <c r="M13" s="22" t="s">
        <v>826</v>
      </c>
      <c r="N13" s="80">
        <v>2000</v>
      </c>
      <c r="O13" s="22" t="s">
        <v>773</v>
      </c>
      <c r="P13" s="22" t="s">
        <v>827</v>
      </c>
      <c r="Q13" s="22" t="s">
        <v>828</v>
      </c>
      <c r="R13" s="22">
        <v>3</v>
      </c>
      <c r="S13" s="16"/>
    </row>
    <row r="14" spans="1:19" s="37" customFormat="1" ht="27" customHeight="1" x14ac:dyDescent="0.25">
      <c r="A14" s="22" t="s">
        <v>825</v>
      </c>
      <c r="B14" s="22" t="s">
        <v>793</v>
      </c>
      <c r="C14" s="22" t="s">
        <v>72</v>
      </c>
      <c r="D14" s="8" t="s">
        <v>817</v>
      </c>
      <c r="E14" s="22">
        <v>3000</v>
      </c>
      <c r="F14" s="8" t="s">
        <v>817</v>
      </c>
      <c r="G14" s="72" t="s">
        <v>817</v>
      </c>
      <c r="H14" s="72" t="s">
        <v>817</v>
      </c>
      <c r="I14" s="72" t="s">
        <v>817</v>
      </c>
      <c r="J14" s="72" t="s">
        <v>817</v>
      </c>
      <c r="K14" s="73">
        <v>4.7204983121684609</v>
      </c>
      <c r="L14" s="78">
        <v>0.34787954388361997</v>
      </c>
      <c r="M14" s="22" t="s">
        <v>826</v>
      </c>
      <c r="N14" s="74">
        <v>2000</v>
      </c>
      <c r="O14" s="22" t="s">
        <v>773</v>
      </c>
      <c r="P14" s="22" t="s">
        <v>827</v>
      </c>
      <c r="Q14" s="22" t="s">
        <v>828</v>
      </c>
      <c r="R14" s="22">
        <v>3</v>
      </c>
      <c r="S14" s="16"/>
    </row>
    <row r="15" spans="1:19" s="37" customFormat="1" ht="27" customHeight="1" x14ac:dyDescent="0.25">
      <c r="A15" s="22" t="s">
        <v>719</v>
      </c>
      <c r="B15" s="22" t="s">
        <v>944</v>
      </c>
      <c r="C15" s="22" t="s">
        <v>72</v>
      </c>
      <c r="D15" s="22">
        <v>37800</v>
      </c>
      <c r="E15" s="22">
        <v>16400</v>
      </c>
      <c r="F15" s="72">
        <v>0.56613756613756616</v>
      </c>
      <c r="G15" s="22" t="s">
        <v>706</v>
      </c>
      <c r="H15" s="22">
        <v>5900</v>
      </c>
      <c r="I15" s="22">
        <v>1500</v>
      </c>
      <c r="J15" s="72">
        <v>0.74576271186440679</v>
      </c>
      <c r="K15" s="73">
        <v>3.5891463895638083</v>
      </c>
      <c r="L15" s="73">
        <v>0.10680429559247455</v>
      </c>
      <c r="M15" s="22" t="s">
        <v>960</v>
      </c>
      <c r="N15" s="80">
        <v>2010</v>
      </c>
      <c r="O15" s="22" t="s">
        <v>773</v>
      </c>
      <c r="P15" s="22" t="s">
        <v>607</v>
      </c>
      <c r="Q15" s="22" t="s">
        <v>956</v>
      </c>
      <c r="R15" s="22">
        <v>4</v>
      </c>
      <c r="S15" s="33"/>
    </row>
    <row r="16" spans="1:19" s="37" customFormat="1" ht="27" customHeight="1" x14ac:dyDescent="0.25">
      <c r="A16" s="22" t="s">
        <v>719</v>
      </c>
      <c r="B16" s="22" t="s">
        <v>944</v>
      </c>
      <c r="C16" s="22" t="s">
        <v>72</v>
      </c>
      <c r="D16" s="22">
        <v>37800</v>
      </c>
      <c r="E16" s="22">
        <v>16400</v>
      </c>
      <c r="F16" s="72">
        <v>0.56613756613756616</v>
      </c>
      <c r="G16" s="22" t="s">
        <v>706</v>
      </c>
      <c r="H16" s="22">
        <v>5900</v>
      </c>
      <c r="I16" s="22">
        <v>1500</v>
      </c>
      <c r="J16" s="72">
        <v>0.74576271186440679</v>
      </c>
      <c r="K16" s="73">
        <v>3.7753601370480645</v>
      </c>
      <c r="L16" s="73">
        <v>0.10915091839263012</v>
      </c>
      <c r="M16" s="22" t="s">
        <v>959</v>
      </c>
      <c r="N16" s="80">
        <v>2010</v>
      </c>
      <c r="O16" s="22" t="s">
        <v>773</v>
      </c>
      <c r="P16" s="22" t="s">
        <v>607</v>
      </c>
      <c r="Q16" s="22" t="s">
        <v>956</v>
      </c>
      <c r="R16" s="22">
        <v>4</v>
      </c>
      <c r="S16" s="33"/>
    </row>
    <row r="17" spans="1:19" s="37" customFormat="1" ht="27" customHeight="1" x14ac:dyDescent="0.25">
      <c r="A17" s="22" t="s">
        <v>719</v>
      </c>
      <c r="B17" s="22" t="s">
        <v>944</v>
      </c>
      <c r="C17" s="22" t="s">
        <v>72</v>
      </c>
      <c r="D17" s="22">
        <v>37800</v>
      </c>
      <c r="E17" s="22">
        <v>16400</v>
      </c>
      <c r="F17" s="72">
        <v>0.56613756613756616</v>
      </c>
      <c r="G17" s="22" t="s">
        <v>706</v>
      </c>
      <c r="H17" s="22">
        <v>5900</v>
      </c>
      <c r="I17" s="22">
        <v>1500</v>
      </c>
      <c r="J17" s="72">
        <v>0.74576271186440679</v>
      </c>
      <c r="K17" s="73">
        <v>3.9671548039259492</v>
      </c>
      <c r="L17" s="73">
        <v>0.11270644743309056</v>
      </c>
      <c r="M17" s="22" t="s">
        <v>958</v>
      </c>
      <c r="N17" s="80">
        <v>2010</v>
      </c>
      <c r="O17" s="22" t="s">
        <v>773</v>
      </c>
      <c r="P17" s="22" t="s">
        <v>607</v>
      </c>
      <c r="Q17" s="22" t="s">
        <v>956</v>
      </c>
      <c r="R17" s="22">
        <v>4</v>
      </c>
      <c r="S17" s="33"/>
    </row>
    <row r="18" spans="1:19" s="37" customFormat="1" ht="27" customHeight="1" x14ac:dyDescent="0.25">
      <c r="A18" s="22" t="s">
        <v>719</v>
      </c>
      <c r="B18" s="22" t="s">
        <v>944</v>
      </c>
      <c r="C18" s="22" t="s">
        <v>72</v>
      </c>
      <c r="D18" s="22">
        <v>37800</v>
      </c>
      <c r="E18" s="22">
        <v>16400</v>
      </c>
      <c r="F18" s="72">
        <v>0.56613756613756616</v>
      </c>
      <c r="G18" s="22" t="s">
        <v>706</v>
      </c>
      <c r="H18" s="22">
        <v>5900</v>
      </c>
      <c r="I18" s="22">
        <v>1500</v>
      </c>
      <c r="J18" s="72">
        <v>0.74576271186440679</v>
      </c>
      <c r="K18" s="73">
        <v>4.4157376792815342</v>
      </c>
      <c r="L18" s="73">
        <v>0.11959289548054153</v>
      </c>
      <c r="M18" s="22" t="s">
        <v>957</v>
      </c>
      <c r="N18" s="80">
        <v>2010</v>
      </c>
      <c r="O18" s="22" t="s">
        <v>773</v>
      </c>
      <c r="P18" s="22" t="s">
        <v>607</v>
      </c>
      <c r="Q18" s="22" t="s">
        <v>956</v>
      </c>
      <c r="R18" s="22">
        <v>4</v>
      </c>
      <c r="S18" s="33"/>
    </row>
    <row r="19" spans="1:19" s="37" customFormat="1" ht="27" customHeight="1" x14ac:dyDescent="0.25">
      <c r="A19" s="22" t="s">
        <v>719</v>
      </c>
      <c r="B19" s="22" t="s">
        <v>944</v>
      </c>
      <c r="C19" s="22" t="s">
        <v>72</v>
      </c>
      <c r="D19" s="22">
        <v>37800</v>
      </c>
      <c r="E19" s="22">
        <v>16400</v>
      </c>
      <c r="F19" s="72">
        <v>0.56613756613756616</v>
      </c>
      <c r="G19" s="22" t="s">
        <v>706</v>
      </c>
      <c r="H19" s="22">
        <v>5900</v>
      </c>
      <c r="I19" s="22">
        <v>1500</v>
      </c>
      <c r="J19" s="72">
        <v>0.74576271186440679</v>
      </c>
      <c r="K19" s="73">
        <v>6.2661420401233192</v>
      </c>
      <c r="L19" s="73">
        <v>0.19282054532862697</v>
      </c>
      <c r="M19" s="22" t="s">
        <v>814</v>
      </c>
      <c r="N19" s="80">
        <v>2010</v>
      </c>
      <c r="O19" s="22" t="s">
        <v>773</v>
      </c>
      <c r="P19" s="22" t="s">
        <v>607</v>
      </c>
      <c r="Q19" s="22" t="s">
        <v>956</v>
      </c>
      <c r="R19" s="22">
        <v>4</v>
      </c>
      <c r="S19" s="33"/>
    </row>
    <row r="20" spans="1:19" s="37" customFormat="1" ht="27" customHeight="1" x14ac:dyDescent="0.25">
      <c r="A20" s="22" t="s">
        <v>833</v>
      </c>
      <c r="B20" s="22" t="s">
        <v>793</v>
      </c>
      <c r="C20" s="22" t="s">
        <v>72</v>
      </c>
      <c r="D20" s="22">
        <v>30500</v>
      </c>
      <c r="E20" s="22">
        <v>9800</v>
      </c>
      <c r="F20" s="72">
        <v>0.67868852459016393</v>
      </c>
      <c r="G20" s="22" t="s">
        <v>706</v>
      </c>
      <c r="H20" s="22">
        <v>3400</v>
      </c>
      <c r="I20" s="22">
        <v>1330</v>
      </c>
      <c r="J20" s="72">
        <v>0.60882352941176465</v>
      </c>
      <c r="K20" s="73">
        <v>1.3762788314469256</v>
      </c>
      <c r="L20" s="73">
        <v>6.3919226063016213E-2</v>
      </c>
      <c r="M20" s="22" t="s">
        <v>953</v>
      </c>
      <c r="N20" s="80">
        <v>2002</v>
      </c>
      <c r="O20" s="22" t="s">
        <v>775</v>
      </c>
      <c r="P20" s="22" t="s">
        <v>835</v>
      </c>
      <c r="Q20" s="22" t="s">
        <v>836</v>
      </c>
      <c r="R20" s="22">
        <v>5</v>
      </c>
      <c r="S20" s="33"/>
    </row>
    <row r="21" spans="1:19" s="37" customFormat="1" ht="27" customHeight="1" x14ac:dyDescent="0.25">
      <c r="A21" s="22" t="s">
        <v>833</v>
      </c>
      <c r="B21" s="22" t="s">
        <v>793</v>
      </c>
      <c r="C21" s="22" t="s">
        <v>72</v>
      </c>
      <c r="D21" s="22">
        <v>35600</v>
      </c>
      <c r="E21" s="22">
        <v>9200</v>
      </c>
      <c r="F21" s="72">
        <v>0.7415730337078652</v>
      </c>
      <c r="G21" s="22" t="s">
        <v>706</v>
      </c>
      <c r="H21" s="22">
        <v>7100</v>
      </c>
      <c r="I21" s="22">
        <v>3200</v>
      </c>
      <c r="J21" s="72">
        <v>0.54929577464788737</v>
      </c>
      <c r="K21" s="73">
        <v>1.5246631829757356</v>
      </c>
      <c r="L21" s="73">
        <v>0.10387147581229116</v>
      </c>
      <c r="M21" s="22" t="s">
        <v>952</v>
      </c>
      <c r="N21" s="80">
        <v>2002</v>
      </c>
      <c r="O21" s="22" t="s">
        <v>775</v>
      </c>
      <c r="P21" s="22" t="s">
        <v>835</v>
      </c>
      <c r="Q21" s="22" t="s">
        <v>836</v>
      </c>
      <c r="R21" s="22">
        <v>5</v>
      </c>
      <c r="S21" s="33"/>
    </row>
    <row r="22" spans="1:19" s="37" customFormat="1" ht="27" customHeight="1" x14ac:dyDescent="0.25">
      <c r="A22" s="22" t="s">
        <v>833</v>
      </c>
      <c r="B22" s="22" t="s">
        <v>793</v>
      </c>
      <c r="C22" s="22" t="s">
        <v>72</v>
      </c>
      <c r="D22" s="22">
        <v>47000</v>
      </c>
      <c r="E22" s="22">
        <v>10800</v>
      </c>
      <c r="F22" s="72">
        <v>0.77021276595744681</v>
      </c>
      <c r="G22" s="22" t="s">
        <v>706</v>
      </c>
      <c r="H22" s="22">
        <v>6200</v>
      </c>
      <c r="I22" s="22">
        <v>1250</v>
      </c>
      <c r="J22" s="72">
        <v>0.79838709677419351</v>
      </c>
      <c r="K22" s="73">
        <v>1.7916235392862629</v>
      </c>
      <c r="L22" s="73">
        <v>8.2203903567252073E-2</v>
      </c>
      <c r="M22" s="22" t="s">
        <v>954</v>
      </c>
      <c r="N22" s="80">
        <v>2002</v>
      </c>
      <c r="O22" s="22" t="s">
        <v>775</v>
      </c>
      <c r="P22" s="22" t="s">
        <v>835</v>
      </c>
      <c r="Q22" s="22" t="s">
        <v>836</v>
      </c>
      <c r="R22" s="22">
        <v>5</v>
      </c>
      <c r="S22" s="33"/>
    </row>
    <row r="23" spans="1:19" s="37" customFormat="1" ht="27" customHeight="1" x14ac:dyDescent="0.25">
      <c r="A23" s="22" t="s">
        <v>833</v>
      </c>
      <c r="B23" s="22" t="s">
        <v>793</v>
      </c>
      <c r="C23" s="22" t="s">
        <v>72</v>
      </c>
      <c r="D23" s="22">
        <v>46700</v>
      </c>
      <c r="E23" s="22">
        <v>15400</v>
      </c>
      <c r="F23" s="72">
        <v>0.67023554603854385</v>
      </c>
      <c r="G23" s="22" t="s">
        <v>706</v>
      </c>
      <c r="H23" s="22">
        <v>7000</v>
      </c>
      <c r="I23" s="22">
        <v>3140</v>
      </c>
      <c r="J23" s="72">
        <v>0.55142857142857138</v>
      </c>
      <c r="K23" s="73">
        <v>2.4921191174542625</v>
      </c>
      <c r="L23" s="73">
        <v>0.14940617039106865</v>
      </c>
      <c r="M23" s="22" t="s">
        <v>951</v>
      </c>
      <c r="N23" s="80">
        <v>2002</v>
      </c>
      <c r="O23" s="22" t="s">
        <v>775</v>
      </c>
      <c r="P23" s="22" t="s">
        <v>835</v>
      </c>
      <c r="Q23" s="22" t="s">
        <v>836</v>
      </c>
      <c r="R23" s="22">
        <v>5</v>
      </c>
      <c r="S23" s="33"/>
    </row>
    <row r="24" spans="1:19" s="37" customFormat="1" ht="27" customHeight="1" x14ac:dyDescent="0.25">
      <c r="A24" s="22" t="s">
        <v>833</v>
      </c>
      <c r="B24" s="22" t="s">
        <v>793</v>
      </c>
      <c r="C24" s="22" t="s">
        <v>72</v>
      </c>
      <c r="D24" s="22">
        <v>45500</v>
      </c>
      <c r="E24" s="22">
        <v>11000</v>
      </c>
      <c r="F24" s="72">
        <v>0.75824175824175821</v>
      </c>
      <c r="G24" s="22" t="s">
        <v>706</v>
      </c>
      <c r="H24" s="22">
        <v>5300</v>
      </c>
      <c r="I24" s="22">
        <v>2790</v>
      </c>
      <c r="J24" s="72">
        <v>0.47358490566037736</v>
      </c>
      <c r="K24" s="73">
        <v>3.801447396862129</v>
      </c>
      <c r="L24" s="73">
        <v>0.2551897558078744</v>
      </c>
      <c r="M24" s="22" t="s">
        <v>955</v>
      </c>
      <c r="N24" s="80">
        <v>2002</v>
      </c>
      <c r="O24" s="22" t="s">
        <v>775</v>
      </c>
      <c r="P24" s="22" t="s">
        <v>835</v>
      </c>
      <c r="Q24" s="22" t="s">
        <v>836</v>
      </c>
      <c r="R24" s="22">
        <v>5</v>
      </c>
      <c r="S24" s="33"/>
    </row>
    <row r="25" spans="1:19" s="37" customFormat="1" ht="27" customHeight="1" x14ac:dyDescent="0.25">
      <c r="A25" s="22" t="s">
        <v>833</v>
      </c>
      <c r="B25" s="22" t="s">
        <v>793</v>
      </c>
      <c r="C25" s="22" t="s">
        <v>72</v>
      </c>
      <c r="D25" s="22">
        <v>42600</v>
      </c>
      <c r="E25" s="22">
        <v>16000</v>
      </c>
      <c r="F25" s="72">
        <v>0.62441314553990612</v>
      </c>
      <c r="G25" s="22" t="s">
        <v>706</v>
      </c>
      <c r="H25" s="22">
        <v>5500</v>
      </c>
      <c r="I25" s="22">
        <v>2690</v>
      </c>
      <c r="J25" s="72">
        <v>0.51090909090909087</v>
      </c>
      <c r="K25" s="73">
        <v>4.0468642730975102</v>
      </c>
      <c r="L25" s="73">
        <v>0.26337788793765765</v>
      </c>
      <c r="M25" s="22" t="s">
        <v>950</v>
      </c>
      <c r="N25" s="80">
        <v>2002</v>
      </c>
      <c r="O25" s="22" t="s">
        <v>775</v>
      </c>
      <c r="P25" s="22" t="s">
        <v>835</v>
      </c>
      <c r="Q25" s="22" t="s">
        <v>836</v>
      </c>
      <c r="R25" s="22">
        <v>5</v>
      </c>
      <c r="S25" s="33"/>
    </row>
    <row r="26" spans="1:19" s="37" customFormat="1" ht="27" customHeight="1" x14ac:dyDescent="0.25">
      <c r="A26" s="22" t="s">
        <v>833</v>
      </c>
      <c r="B26" s="22" t="s">
        <v>793</v>
      </c>
      <c r="C26" s="22" t="s">
        <v>72</v>
      </c>
      <c r="D26" s="22">
        <v>35500</v>
      </c>
      <c r="E26" s="22">
        <v>7500</v>
      </c>
      <c r="F26" s="72">
        <v>0.78873239436619713</v>
      </c>
      <c r="G26" s="22" t="s">
        <v>706</v>
      </c>
      <c r="H26" s="22">
        <v>4100</v>
      </c>
      <c r="I26" s="22">
        <v>850</v>
      </c>
      <c r="J26" s="72">
        <v>0.79268292682926833</v>
      </c>
      <c r="K26" s="73">
        <v>4.1981797341383311</v>
      </c>
      <c r="L26" s="73">
        <v>0.14654836854281647</v>
      </c>
      <c r="M26" s="22" t="s">
        <v>834</v>
      </c>
      <c r="N26" s="80">
        <v>1999</v>
      </c>
      <c r="O26" s="22" t="s">
        <v>775</v>
      </c>
      <c r="P26" s="22" t="s">
        <v>835</v>
      </c>
      <c r="Q26" s="22" t="s">
        <v>836</v>
      </c>
      <c r="R26" s="22">
        <v>5</v>
      </c>
      <c r="S26" s="33"/>
    </row>
    <row r="27" spans="1:19" s="37" customFormat="1" ht="27" customHeight="1" x14ac:dyDescent="0.25">
      <c r="A27" s="22" t="s">
        <v>845</v>
      </c>
      <c r="B27" s="22" t="s">
        <v>793</v>
      </c>
      <c r="C27" s="22" t="s">
        <v>72</v>
      </c>
      <c r="D27" s="22">
        <v>29400</v>
      </c>
      <c r="E27" s="22">
        <v>8000</v>
      </c>
      <c r="F27" s="77">
        <v>0.72789115646258506</v>
      </c>
      <c r="G27" s="72" t="s">
        <v>817</v>
      </c>
      <c r="H27" s="72" t="s">
        <v>817</v>
      </c>
      <c r="I27" s="72" t="s">
        <v>817</v>
      </c>
      <c r="J27" s="72" t="s">
        <v>817</v>
      </c>
      <c r="K27" s="73">
        <v>2.5825822124112894</v>
      </c>
      <c r="L27" s="73" t="s">
        <v>817</v>
      </c>
      <c r="M27" s="22" t="s">
        <v>846</v>
      </c>
      <c r="N27" s="80">
        <v>1999</v>
      </c>
      <c r="O27" s="22" t="s">
        <v>773</v>
      </c>
      <c r="P27" s="22" t="s">
        <v>819</v>
      </c>
      <c r="Q27" s="22" t="s">
        <v>820</v>
      </c>
      <c r="R27" s="22">
        <v>3</v>
      </c>
      <c r="S27" s="33" t="s">
        <v>847</v>
      </c>
    </row>
    <row r="28" spans="1:19" s="37" customFormat="1" ht="72.599999999999994" customHeight="1" x14ac:dyDescent="0.25">
      <c r="A28" s="22" t="s">
        <v>857</v>
      </c>
      <c r="B28" s="22" t="s">
        <v>793</v>
      </c>
      <c r="C28" s="22" t="s">
        <v>72</v>
      </c>
      <c r="D28" s="22">
        <v>28100</v>
      </c>
      <c r="E28" s="22">
        <v>7800</v>
      </c>
      <c r="F28" s="77">
        <v>0.72241992882562278</v>
      </c>
      <c r="G28" s="72" t="s">
        <v>817</v>
      </c>
      <c r="H28" s="72" t="s">
        <v>817</v>
      </c>
      <c r="I28" s="72" t="s">
        <v>817</v>
      </c>
      <c r="J28" s="72" t="s">
        <v>817</v>
      </c>
      <c r="K28" s="73">
        <v>2.6233469667475129</v>
      </c>
      <c r="L28" s="73" t="s">
        <v>817</v>
      </c>
      <c r="M28" s="22" t="s">
        <v>858</v>
      </c>
      <c r="N28" s="80">
        <v>1999</v>
      </c>
      <c r="O28" s="22" t="s">
        <v>773</v>
      </c>
      <c r="P28" s="22" t="s">
        <v>819</v>
      </c>
      <c r="Q28" s="22" t="s">
        <v>820</v>
      </c>
      <c r="R28" s="22">
        <v>3</v>
      </c>
      <c r="S28" s="33" t="s">
        <v>859</v>
      </c>
    </row>
    <row r="29" spans="1:19" s="37" customFormat="1" ht="27" customHeight="1" x14ac:dyDescent="0.25">
      <c r="A29" s="22" t="s">
        <v>854</v>
      </c>
      <c r="B29" s="22" t="s">
        <v>793</v>
      </c>
      <c r="C29" s="22" t="s">
        <v>72</v>
      </c>
      <c r="D29" s="22" t="s">
        <v>817</v>
      </c>
      <c r="E29" s="22">
        <v>5500</v>
      </c>
      <c r="F29" s="22" t="s">
        <v>817</v>
      </c>
      <c r="G29" s="72" t="s">
        <v>817</v>
      </c>
      <c r="H29" s="72" t="s">
        <v>817</v>
      </c>
      <c r="I29" s="72" t="s">
        <v>817</v>
      </c>
      <c r="J29" s="72" t="s">
        <v>817</v>
      </c>
      <c r="K29" s="73">
        <v>3.2263606586514659</v>
      </c>
      <c r="L29" s="73" t="s">
        <v>817</v>
      </c>
      <c r="M29" s="22" t="s">
        <v>855</v>
      </c>
      <c r="N29" s="80">
        <v>1999</v>
      </c>
      <c r="O29" s="22" t="s">
        <v>773</v>
      </c>
      <c r="P29" s="22" t="s">
        <v>819</v>
      </c>
      <c r="Q29" s="22" t="s">
        <v>820</v>
      </c>
      <c r="R29" s="22">
        <v>3</v>
      </c>
      <c r="S29" s="33" t="s">
        <v>856</v>
      </c>
    </row>
    <row r="30" spans="1:19" s="37" customFormat="1" ht="27" customHeight="1" x14ac:dyDescent="0.25">
      <c r="A30" s="22" t="s">
        <v>848</v>
      </c>
      <c r="B30" s="22" t="s">
        <v>793</v>
      </c>
      <c r="C30" s="22" t="s">
        <v>72</v>
      </c>
      <c r="D30" s="22">
        <v>33900</v>
      </c>
      <c r="E30" s="22">
        <v>8000</v>
      </c>
      <c r="F30" s="77">
        <v>0.7640117994100295</v>
      </c>
      <c r="G30" s="72" t="s">
        <v>817</v>
      </c>
      <c r="H30" s="72" t="s">
        <v>817</v>
      </c>
      <c r="I30" s="72" t="s">
        <v>817</v>
      </c>
      <c r="J30" s="72" t="s">
        <v>817</v>
      </c>
      <c r="K30" s="73">
        <v>3.9194307260654844</v>
      </c>
      <c r="L30" s="73" t="s">
        <v>817</v>
      </c>
      <c r="M30" s="22" t="s">
        <v>849</v>
      </c>
      <c r="N30" s="80">
        <v>1999</v>
      </c>
      <c r="O30" s="22" t="s">
        <v>773</v>
      </c>
      <c r="P30" s="22" t="s">
        <v>819</v>
      </c>
      <c r="Q30" s="22" t="s">
        <v>820</v>
      </c>
      <c r="R30" s="22">
        <v>3</v>
      </c>
      <c r="S30" s="33" t="s">
        <v>850</v>
      </c>
    </row>
    <row r="31" spans="1:19" s="37" customFormat="1" ht="27" customHeight="1" x14ac:dyDescent="0.25">
      <c r="A31" s="22" t="s">
        <v>851</v>
      </c>
      <c r="B31" s="22" t="s">
        <v>793</v>
      </c>
      <c r="C31" s="22" t="s">
        <v>72</v>
      </c>
      <c r="D31" s="22">
        <v>29100</v>
      </c>
      <c r="E31" s="22">
        <v>8000</v>
      </c>
      <c r="F31" s="77">
        <v>0.72508591065292094</v>
      </c>
      <c r="G31" s="72" t="s">
        <v>817</v>
      </c>
      <c r="H31" s="72" t="s">
        <v>817</v>
      </c>
      <c r="I31" s="72" t="s">
        <v>817</v>
      </c>
      <c r="J31" s="72" t="s">
        <v>817</v>
      </c>
      <c r="K31" s="73">
        <v>4.1267714518628589</v>
      </c>
      <c r="L31" s="73" t="s">
        <v>817</v>
      </c>
      <c r="M31" s="22" t="s">
        <v>852</v>
      </c>
      <c r="N31" s="80">
        <v>1999</v>
      </c>
      <c r="O31" s="22" t="s">
        <v>773</v>
      </c>
      <c r="P31" s="22" t="s">
        <v>819</v>
      </c>
      <c r="Q31" s="22" t="s">
        <v>820</v>
      </c>
      <c r="R31" s="22">
        <v>3</v>
      </c>
      <c r="S31" s="33" t="s">
        <v>853</v>
      </c>
    </row>
    <row r="32" spans="1:19" s="37" customFormat="1" ht="27" customHeight="1" x14ac:dyDescent="0.25">
      <c r="A32" s="22" t="s">
        <v>822</v>
      </c>
      <c r="B32" s="22" t="s">
        <v>793</v>
      </c>
      <c r="C32" s="22" t="s">
        <v>72</v>
      </c>
      <c r="D32" s="22">
        <v>27800</v>
      </c>
      <c r="E32" s="22">
        <v>3000</v>
      </c>
      <c r="F32" s="77">
        <v>0.8920863309352518</v>
      </c>
      <c r="G32" s="72" t="s">
        <v>817</v>
      </c>
      <c r="H32" s="72" t="s">
        <v>817</v>
      </c>
      <c r="I32" s="72" t="s">
        <v>817</v>
      </c>
      <c r="J32" s="72" t="s">
        <v>817</v>
      </c>
      <c r="K32" s="73">
        <v>4.3087920123650294</v>
      </c>
      <c r="L32" s="73" t="s">
        <v>817</v>
      </c>
      <c r="M32" s="22" t="s">
        <v>823</v>
      </c>
      <c r="N32" s="74">
        <v>1999</v>
      </c>
      <c r="O32" s="22" t="s">
        <v>773</v>
      </c>
      <c r="P32" s="22" t="s">
        <v>819</v>
      </c>
      <c r="Q32" s="22" t="s">
        <v>820</v>
      </c>
      <c r="R32" s="22">
        <v>3</v>
      </c>
      <c r="S32" s="33" t="s">
        <v>824</v>
      </c>
    </row>
    <row r="33" spans="1:19" s="37" customFormat="1" ht="27" customHeight="1" x14ac:dyDescent="0.25">
      <c r="A33" s="22" t="s">
        <v>816</v>
      </c>
      <c r="B33" s="22" t="s">
        <v>793</v>
      </c>
      <c r="C33" s="22" t="s">
        <v>72</v>
      </c>
      <c r="D33" s="22">
        <v>40000</v>
      </c>
      <c r="E33" s="22">
        <v>3000</v>
      </c>
      <c r="F33" s="77">
        <v>0.92500000000000004</v>
      </c>
      <c r="G33" s="72" t="s">
        <v>817</v>
      </c>
      <c r="H33" s="72" t="s">
        <v>817</v>
      </c>
      <c r="I33" s="72" t="s">
        <v>817</v>
      </c>
      <c r="J33" s="72" t="s">
        <v>817</v>
      </c>
      <c r="K33" s="73">
        <v>6.5805144092351142</v>
      </c>
      <c r="L33" s="73" t="s">
        <v>817</v>
      </c>
      <c r="M33" s="22" t="s">
        <v>818</v>
      </c>
      <c r="N33" s="74">
        <v>1999</v>
      </c>
      <c r="O33" s="22" t="s">
        <v>773</v>
      </c>
      <c r="P33" s="22" t="s">
        <v>819</v>
      </c>
      <c r="Q33" s="22" t="s">
        <v>820</v>
      </c>
      <c r="R33" s="22">
        <v>3</v>
      </c>
      <c r="S33" s="33" t="s">
        <v>821</v>
      </c>
    </row>
    <row r="34" spans="1:19" s="37" customFormat="1" ht="27" customHeight="1" x14ac:dyDescent="0.25">
      <c r="A34" s="22" t="s">
        <v>845</v>
      </c>
      <c r="B34" s="22" t="s">
        <v>793</v>
      </c>
      <c r="C34" s="22" t="s">
        <v>72</v>
      </c>
      <c r="D34" s="22">
        <v>25100</v>
      </c>
      <c r="E34" s="22">
        <v>9600</v>
      </c>
      <c r="F34" s="77">
        <v>0.61752988047808766</v>
      </c>
      <c r="G34" s="72" t="s">
        <v>817</v>
      </c>
      <c r="H34" s="72" t="s">
        <v>817</v>
      </c>
      <c r="I34" s="72" t="s">
        <v>817</v>
      </c>
      <c r="J34" s="72" t="s">
        <v>817</v>
      </c>
      <c r="K34" s="73">
        <v>11.180278570249689</v>
      </c>
      <c r="L34" s="73" t="s">
        <v>817</v>
      </c>
      <c r="M34" s="22" t="s">
        <v>961</v>
      </c>
      <c r="N34" s="80">
        <v>1999</v>
      </c>
      <c r="O34" s="22" t="s">
        <v>773</v>
      </c>
      <c r="P34" s="22" t="s">
        <v>819</v>
      </c>
      <c r="Q34" s="22" t="s">
        <v>820</v>
      </c>
      <c r="R34" s="22">
        <v>3</v>
      </c>
      <c r="S34" s="33" t="s">
        <v>962</v>
      </c>
    </row>
    <row r="35" spans="1:19" s="37" customFormat="1" ht="27" customHeight="1" x14ac:dyDescent="0.25">
      <c r="A35" s="22" t="s">
        <v>842</v>
      </c>
      <c r="B35" s="22" t="s">
        <v>793</v>
      </c>
      <c r="C35" s="22" t="s">
        <v>72</v>
      </c>
      <c r="D35" s="22">
        <v>25000</v>
      </c>
      <c r="E35" s="22">
        <v>8000</v>
      </c>
      <c r="F35" s="77">
        <v>0.68</v>
      </c>
      <c r="G35" s="72" t="s">
        <v>817</v>
      </c>
      <c r="H35" s="72" t="s">
        <v>817</v>
      </c>
      <c r="I35" s="72" t="s">
        <v>817</v>
      </c>
      <c r="J35" s="72" t="s">
        <v>817</v>
      </c>
      <c r="K35" s="73">
        <v>14.498707157396712</v>
      </c>
      <c r="L35" s="73" t="s">
        <v>817</v>
      </c>
      <c r="M35" s="22" t="s">
        <v>843</v>
      </c>
      <c r="N35" s="80">
        <v>1999</v>
      </c>
      <c r="O35" s="22" t="s">
        <v>773</v>
      </c>
      <c r="P35" s="22" t="s">
        <v>819</v>
      </c>
      <c r="Q35" s="22" t="s">
        <v>820</v>
      </c>
      <c r="R35" s="22">
        <v>3</v>
      </c>
      <c r="S35" s="33" t="s">
        <v>844</v>
      </c>
    </row>
    <row r="36" spans="1:19" s="37" customFormat="1" ht="27" customHeight="1" x14ac:dyDescent="0.25">
      <c r="A36" s="22" t="s">
        <v>989</v>
      </c>
      <c r="B36" s="22" t="s">
        <v>793</v>
      </c>
      <c r="C36" s="72" t="s">
        <v>817</v>
      </c>
      <c r="D36" s="72" t="s">
        <v>817</v>
      </c>
      <c r="E36" s="72" t="s">
        <v>817</v>
      </c>
      <c r="F36" s="72" t="s">
        <v>817</v>
      </c>
      <c r="G36" s="22" t="s">
        <v>706</v>
      </c>
      <c r="H36" s="22">
        <v>5200</v>
      </c>
      <c r="I36" s="22">
        <v>750</v>
      </c>
      <c r="J36" s="72">
        <v>0.85576923076923073</v>
      </c>
      <c r="K36" s="73">
        <v>3.0622561614783557E-2</v>
      </c>
      <c r="L36" s="73">
        <v>5.7815396328711362E-2</v>
      </c>
      <c r="M36" s="22" t="s">
        <v>988</v>
      </c>
      <c r="N36" s="80">
        <v>2004</v>
      </c>
      <c r="O36" s="22" t="s">
        <v>773</v>
      </c>
      <c r="P36" s="22" t="s">
        <v>972</v>
      </c>
      <c r="Q36" s="22" t="s">
        <v>973</v>
      </c>
      <c r="R36" s="22">
        <v>5</v>
      </c>
      <c r="S36" s="33"/>
    </row>
    <row r="37" spans="1:19" s="37" customFormat="1" ht="27" customHeight="1" x14ac:dyDescent="0.25">
      <c r="A37" s="22" t="s">
        <v>992</v>
      </c>
      <c r="B37" s="22" t="s">
        <v>793</v>
      </c>
      <c r="C37" s="72" t="s">
        <v>817</v>
      </c>
      <c r="D37" s="72" t="s">
        <v>817</v>
      </c>
      <c r="E37" s="72" t="s">
        <v>817</v>
      </c>
      <c r="F37" s="72" t="s">
        <v>817</v>
      </c>
      <c r="G37" s="22" t="s">
        <v>706</v>
      </c>
      <c r="H37" s="22">
        <v>9400</v>
      </c>
      <c r="I37" s="22">
        <v>750</v>
      </c>
      <c r="J37" s="72">
        <v>0.92021276595744683</v>
      </c>
      <c r="K37" s="73">
        <v>3.2070173618391505E-2</v>
      </c>
      <c r="L37" s="73">
        <v>0.15894779799615291</v>
      </c>
      <c r="M37" s="22" t="s">
        <v>991</v>
      </c>
      <c r="N37" s="80">
        <v>2004</v>
      </c>
      <c r="O37" s="22" t="s">
        <v>773</v>
      </c>
      <c r="P37" s="22" t="s">
        <v>972</v>
      </c>
      <c r="Q37" s="22" t="s">
        <v>973</v>
      </c>
      <c r="R37" s="22">
        <v>5</v>
      </c>
      <c r="S37" s="33"/>
    </row>
    <row r="38" spans="1:19" s="37" customFormat="1" ht="27" customHeight="1" x14ac:dyDescent="0.25">
      <c r="A38" s="22" t="s">
        <v>1005</v>
      </c>
      <c r="B38" s="22" t="s">
        <v>793</v>
      </c>
      <c r="C38" s="72" t="s">
        <v>817</v>
      </c>
      <c r="D38" s="72" t="s">
        <v>817</v>
      </c>
      <c r="E38" s="72" t="s">
        <v>817</v>
      </c>
      <c r="F38" s="72" t="s">
        <v>817</v>
      </c>
      <c r="G38" s="22" t="s">
        <v>706</v>
      </c>
      <c r="H38" s="22">
        <v>5200</v>
      </c>
      <c r="I38" s="22">
        <v>1250</v>
      </c>
      <c r="J38" s="72">
        <v>0.75961538461538458</v>
      </c>
      <c r="K38" s="73">
        <v>5.2180844991591188E-2</v>
      </c>
      <c r="L38" s="75">
        <v>2.9397659150192214E-3</v>
      </c>
      <c r="M38" s="22" t="s">
        <v>988</v>
      </c>
      <c r="N38" s="80">
        <v>2004</v>
      </c>
      <c r="O38" s="22" t="s">
        <v>773</v>
      </c>
      <c r="P38" s="22" t="s">
        <v>972</v>
      </c>
      <c r="Q38" s="22" t="s">
        <v>973</v>
      </c>
      <c r="R38" s="22">
        <v>5</v>
      </c>
      <c r="S38" s="33"/>
    </row>
    <row r="39" spans="1:19" s="37" customFormat="1" ht="27" customHeight="1" x14ac:dyDescent="0.25">
      <c r="A39" s="22" t="s">
        <v>987</v>
      </c>
      <c r="B39" s="22" t="s">
        <v>793</v>
      </c>
      <c r="C39" s="72" t="s">
        <v>817</v>
      </c>
      <c r="D39" s="72" t="s">
        <v>817</v>
      </c>
      <c r="E39" s="72" t="s">
        <v>817</v>
      </c>
      <c r="F39" s="72" t="s">
        <v>817</v>
      </c>
      <c r="G39" s="22" t="s">
        <v>706</v>
      </c>
      <c r="H39" s="22">
        <v>5200</v>
      </c>
      <c r="I39" s="22">
        <v>750</v>
      </c>
      <c r="J39" s="72">
        <v>0.85576923076923073</v>
      </c>
      <c r="K39" s="73">
        <v>5.2180844991591188E-2</v>
      </c>
      <c r="L39" s="73">
        <v>1.3596417356963899E-2</v>
      </c>
      <c r="M39" s="22" t="s">
        <v>988</v>
      </c>
      <c r="N39" s="80">
        <v>2004</v>
      </c>
      <c r="O39" s="22" t="s">
        <v>773</v>
      </c>
      <c r="P39" s="22" t="s">
        <v>972</v>
      </c>
      <c r="Q39" s="22" t="s">
        <v>973</v>
      </c>
      <c r="R39" s="22">
        <v>5</v>
      </c>
      <c r="S39" s="33"/>
    </row>
    <row r="40" spans="1:19" s="37" customFormat="1" ht="27" customHeight="1" x14ac:dyDescent="0.25">
      <c r="A40" s="22" t="s">
        <v>992</v>
      </c>
      <c r="B40" s="22" t="s">
        <v>793</v>
      </c>
      <c r="C40" s="72" t="s">
        <v>817</v>
      </c>
      <c r="D40" s="72" t="s">
        <v>817</v>
      </c>
      <c r="E40" s="72" t="s">
        <v>817</v>
      </c>
      <c r="F40" s="72" t="s">
        <v>817</v>
      </c>
      <c r="G40" s="22" t="s">
        <v>706</v>
      </c>
      <c r="H40" s="22">
        <v>6300</v>
      </c>
      <c r="I40" s="22">
        <v>750</v>
      </c>
      <c r="J40" s="72">
        <v>0.88095238095238093</v>
      </c>
      <c r="K40" s="73">
        <v>6.1056676696553062E-2</v>
      </c>
      <c r="L40" s="73">
        <v>2.3250875873333843E-2</v>
      </c>
      <c r="M40" s="22" t="s">
        <v>1002</v>
      </c>
      <c r="N40" s="80">
        <v>2004</v>
      </c>
      <c r="O40" s="22" t="s">
        <v>773</v>
      </c>
      <c r="P40" s="22" t="s">
        <v>972</v>
      </c>
      <c r="Q40" s="22" t="s">
        <v>973</v>
      </c>
      <c r="R40" s="22">
        <v>5</v>
      </c>
      <c r="S40" s="33"/>
    </row>
    <row r="41" spans="1:19" s="37" customFormat="1" ht="27" customHeight="1" x14ac:dyDescent="0.25">
      <c r="A41" s="22" t="s">
        <v>981</v>
      </c>
      <c r="B41" s="22" t="s">
        <v>793</v>
      </c>
      <c r="C41" s="72" t="s">
        <v>817</v>
      </c>
      <c r="D41" s="72" t="s">
        <v>817</v>
      </c>
      <c r="E41" s="72" t="s">
        <v>817</v>
      </c>
      <c r="F41" s="72" t="s">
        <v>817</v>
      </c>
      <c r="G41" s="22" t="s">
        <v>706</v>
      </c>
      <c r="H41" s="22">
        <v>7600</v>
      </c>
      <c r="I41" s="22">
        <v>750</v>
      </c>
      <c r="J41" s="72">
        <v>0.90131578947368418</v>
      </c>
      <c r="K41" s="73">
        <v>6.1627531803878567E-2</v>
      </c>
      <c r="L41" s="73">
        <v>0.148422327904629</v>
      </c>
      <c r="M41" s="22" t="s">
        <v>1003</v>
      </c>
      <c r="N41" s="80">
        <v>2004</v>
      </c>
      <c r="O41" s="22" t="s">
        <v>773</v>
      </c>
      <c r="P41" s="22" t="s">
        <v>972</v>
      </c>
      <c r="Q41" s="22" t="s">
        <v>973</v>
      </c>
      <c r="R41" s="22">
        <v>5</v>
      </c>
      <c r="S41" s="33"/>
    </row>
    <row r="42" spans="1:19" s="37" customFormat="1" ht="27" customHeight="1" x14ac:dyDescent="0.25">
      <c r="A42" s="22" t="s">
        <v>999</v>
      </c>
      <c r="B42" s="22" t="s">
        <v>793</v>
      </c>
      <c r="C42" s="72" t="s">
        <v>817</v>
      </c>
      <c r="D42" s="72" t="s">
        <v>817</v>
      </c>
      <c r="E42" s="72" t="s">
        <v>817</v>
      </c>
      <c r="F42" s="72" t="s">
        <v>817</v>
      </c>
      <c r="G42" s="22" t="s">
        <v>706</v>
      </c>
      <c r="H42" s="22">
        <v>5600</v>
      </c>
      <c r="I42" s="22">
        <v>750</v>
      </c>
      <c r="J42" s="72">
        <v>0.8660714285714286</v>
      </c>
      <c r="K42" s="73">
        <v>7.7042141221193391E-2</v>
      </c>
      <c r="L42" s="73">
        <v>8.6165552681597868E-2</v>
      </c>
      <c r="M42" s="22" t="s">
        <v>1000</v>
      </c>
      <c r="N42" s="80">
        <v>2004</v>
      </c>
      <c r="O42" s="22" t="s">
        <v>773</v>
      </c>
      <c r="P42" s="22" t="s">
        <v>972</v>
      </c>
      <c r="Q42" s="22" t="s">
        <v>973</v>
      </c>
      <c r="R42" s="22">
        <v>5</v>
      </c>
      <c r="S42" s="33"/>
    </row>
    <row r="43" spans="1:19" s="37" customFormat="1" ht="27" customHeight="1" x14ac:dyDescent="0.25">
      <c r="A43" s="22" t="s">
        <v>996</v>
      </c>
      <c r="B43" s="22" t="s">
        <v>793</v>
      </c>
      <c r="C43" s="72" t="s">
        <v>817</v>
      </c>
      <c r="D43" s="72" t="s">
        <v>817</v>
      </c>
      <c r="E43" s="72" t="s">
        <v>817</v>
      </c>
      <c r="F43" s="72" t="s">
        <v>817</v>
      </c>
      <c r="G43" s="22" t="s">
        <v>706</v>
      </c>
      <c r="H43" s="22">
        <v>6600</v>
      </c>
      <c r="I43" s="22">
        <v>750</v>
      </c>
      <c r="J43" s="72">
        <v>0.88636363636363635</v>
      </c>
      <c r="K43" s="73">
        <v>7.8356068427243103E-2</v>
      </c>
      <c r="L43" s="73">
        <v>9.2093820683967528E-2</v>
      </c>
      <c r="M43" s="22" t="s">
        <v>998</v>
      </c>
      <c r="N43" s="80">
        <v>2004</v>
      </c>
      <c r="O43" s="22" t="s">
        <v>773</v>
      </c>
      <c r="P43" s="22" t="s">
        <v>972</v>
      </c>
      <c r="Q43" s="22" t="s">
        <v>973</v>
      </c>
      <c r="R43" s="22">
        <v>5</v>
      </c>
      <c r="S43" s="33"/>
    </row>
    <row r="44" spans="1:19" s="37" customFormat="1" ht="27" customHeight="1" x14ac:dyDescent="0.25">
      <c r="A44" s="22" t="s">
        <v>996</v>
      </c>
      <c r="B44" s="22" t="s">
        <v>793</v>
      </c>
      <c r="C44" s="72" t="s">
        <v>817</v>
      </c>
      <c r="D44" s="72" t="s">
        <v>817</v>
      </c>
      <c r="E44" s="72" t="s">
        <v>817</v>
      </c>
      <c r="F44" s="72" t="s">
        <v>817</v>
      </c>
      <c r="G44" s="22" t="s">
        <v>706</v>
      </c>
      <c r="H44" s="22">
        <v>8900</v>
      </c>
      <c r="I44" s="22">
        <v>750</v>
      </c>
      <c r="J44" s="72">
        <v>0.9157303370786517</v>
      </c>
      <c r="K44" s="73">
        <v>0.10053999429365737</v>
      </c>
      <c r="L44" s="73">
        <v>0.34606924351606277</v>
      </c>
      <c r="M44" s="22" t="s">
        <v>995</v>
      </c>
      <c r="N44" s="80">
        <v>2004</v>
      </c>
      <c r="O44" s="22" t="s">
        <v>773</v>
      </c>
      <c r="P44" s="22" t="s">
        <v>972</v>
      </c>
      <c r="Q44" s="22" t="s">
        <v>973</v>
      </c>
      <c r="R44" s="22">
        <v>5</v>
      </c>
      <c r="S44" s="33"/>
    </row>
    <row r="45" spans="1:19" s="37" customFormat="1" ht="27" customHeight="1" x14ac:dyDescent="0.25">
      <c r="A45" s="22" t="s">
        <v>981</v>
      </c>
      <c r="B45" s="22" t="s">
        <v>793</v>
      </c>
      <c r="C45" s="72" t="s">
        <v>817</v>
      </c>
      <c r="D45" s="72" t="s">
        <v>817</v>
      </c>
      <c r="E45" s="72" t="s">
        <v>817</v>
      </c>
      <c r="F45" s="72" t="s">
        <v>817</v>
      </c>
      <c r="G45" s="22" t="s">
        <v>706</v>
      </c>
      <c r="H45" s="22">
        <v>13700</v>
      </c>
      <c r="I45" s="22">
        <v>750</v>
      </c>
      <c r="J45" s="72">
        <v>0.94525547445255476</v>
      </c>
      <c r="K45" s="73">
        <v>0.10079197422923045</v>
      </c>
      <c r="L45" s="73">
        <v>0.33135361527859508</v>
      </c>
      <c r="M45" s="22" t="s">
        <v>994</v>
      </c>
      <c r="N45" s="80">
        <v>2004</v>
      </c>
      <c r="O45" s="22" t="s">
        <v>773</v>
      </c>
      <c r="P45" s="22" t="s">
        <v>972</v>
      </c>
      <c r="Q45" s="22" t="s">
        <v>973</v>
      </c>
      <c r="R45" s="22">
        <v>5</v>
      </c>
      <c r="S45" s="33"/>
    </row>
    <row r="46" spans="1:19" s="37" customFormat="1" ht="27" customHeight="1" x14ac:dyDescent="0.25">
      <c r="A46" s="22" t="s">
        <v>997</v>
      </c>
      <c r="B46" s="22" t="s">
        <v>793</v>
      </c>
      <c r="C46" s="72" t="s">
        <v>817</v>
      </c>
      <c r="D46" s="72" t="s">
        <v>817</v>
      </c>
      <c r="E46" s="72" t="s">
        <v>817</v>
      </c>
      <c r="F46" s="72" t="s">
        <v>817</v>
      </c>
      <c r="G46" s="22" t="s">
        <v>706</v>
      </c>
      <c r="H46" s="22">
        <v>8900</v>
      </c>
      <c r="I46" s="22">
        <v>1500</v>
      </c>
      <c r="J46" s="72">
        <v>0.8314606741573034</v>
      </c>
      <c r="K46" s="73">
        <v>0.10583157294069198</v>
      </c>
      <c r="L46" s="73">
        <v>1.5874735941103797E-2</v>
      </c>
      <c r="M46" s="22" t="s">
        <v>995</v>
      </c>
      <c r="N46" s="80">
        <v>2004</v>
      </c>
      <c r="O46" s="22" t="s">
        <v>773</v>
      </c>
      <c r="P46" s="22" t="s">
        <v>972</v>
      </c>
      <c r="Q46" s="22" t="s">
        <v>973</v>
      </c>
      <c r="R46" s="22">
        <v>5</v>
      </c>
      <c r="S46" s="33"/>
    </row>
    <row r="47" spans="1:19" s="37" customFormat="1" ht="27" customHeight="1" x14ac:dyDescent="0.25">
      <c r="A47" s="22" t="s">
        <v>986</v>
      </c>
      <c r="B47" s="22" t="s">
        <v>793</v>
      </c>
      <c r="C47" s="72" t="s">
        <v>817</v>
      </c>
      <c r="D47" s="72" t="s">
        <v>817</v>
      </c>
      <c r="E47" s="72" t="s">
        <v>817</v>
      </c>
      <c r="F47" s="72" t="s">
        <v>817</v>
      </c>
      <c r="G47" s="22" t="s">
        <v>706</v>
      </c>
      <c r="H47" s="22">
        <v>3500</v>
      </c>
      <c r="I47" s="22">
        <v>750</v>
      </c>
      <c r="J47" s="72">
        <v>0.7857142857142857</v>
      </c>
      <c r="K47" s="73">
        <v>0.12787981730333614</v>
      </c>
      <c r="L47" s="73">
        <v>8.0255609480024748E-2</v>
      </c>
      <c r="M47" s="22" t="s">
        <v>985</v>
      </c>
      <c r="N47" s="80">
        <v>2004</v>
      </c>
      <c r="O47" s="22" t="s">
        <v>773</v>
      </c>
      <c r="P47" s="22" t="s">
        <v>972</v>
      </c>
      <c r="Q47" s="22" t="s">
        <v>973</v>
      </c>
      <c r="R47" s="22">
        <v>5</v>
      </c>
      <c r="S47" s="33"/>
    </row>
    <row r="48" spans="1:19" s="37" customFormat="1" ht="27" customHeight="1" x14ac:dyDescent="0.25">
      <c r="A48" s="22" t="s">
        <v>976</v>
      </c>
      <c r="B48" s="22" t="s">
        <v>793</v>
      </c>
      <c r="C48" s="72" t="s">
        <v>817</v>
      </c>
      <c r="D48" s="72" t="s">
        <v>817</v>
      </c>
      <c r="E48" s="72" t="s">
        <v>817</v>
      </c>
      <c r="F48" s="72" t="s">
        <v>817</v>
      </c>
      <c r="G48" s="22" t="s">
        <v>706</v>
      </c>
      <c r="H48" s="22">
        <v>11100</v>
      </c>
      <c r="I48" s="22">
        <v>750</v>
      </c>
      <c r="J48" s="72">
        <v>0.93243243243243246</v>
      </c>
      <c r="K48" s="73">
        <v>0.13890393948465821</v>
      </c>
      <c r="L48" s="73">
        <v>9.7327250115100655E-2</v>
      </c>
      <c r="M48" s="22" t="s">
        <v>984</v>
      </c>
      <c r="N48" s="80">
        <v>2004</v>
      </c>
      <c r="O48" s="22" t="s">
        <v>773</v>
      </c>
      <c r="P48" s="22" t="s">
        <v>972</v>
      </c>
      <c r="Q48" s="22" t="s">
        <v>973</v>
      </c>
      <c r="R48" s="22">
        <v>5</v>
      </c>
      <c r="S48" s="33"/>
    </row>
    <row r="49" spans="1:19" s="37" customFormat="1" ht="27" customHeight="1" x14ac:dyDescent="0.25">
      <c r="A49" s="22" t="s">
        <v>976</v>
      </c>
      <c r="B49" s="22" t="s">
        <v>793</v>
      </c>
      <c r="C49" s="72" t="s">
        <v>817</v>
      </c>
      <c r="D49" s="72" t="s">
        <v>817</v>
      </c>
      <c r="E49" s="72" t="s">
        <v>817</v>
      </c>
      <c r="F49" s="72" t="s">
        <v>817</v>
      </c>
      <c r="G49" s="22" t="s">
        <v>706</v>
      </c>
      <c r="H49" s="22">
        <v>4000</v>
      </c>
      <c r="I49" s="22">
        <v>750</v>
      </c>
      <c r="J49" s="72">
        <v>0.8125</v>
      </c>
      <c r="K49" s="73">
        <v>0.15665857836615588</v>
      </c>
      <c r="L49" s="73">
        <v>8.0069940053813016E-2</v>
      </c>
      <c r="M49" s="22" t="s">
        <v>977</v>
      </c>
      <c r="N49" s="80">
        <v>2004</v>
      </c>
      <c r="O49" s="22" t="s">
        <v>773</v>
      </c>
      <c r="P49" s="22" t="s">
        <v>972</v>
      </c>
      <c r="Q49" s="22" t="s">
        <v>973</v>
      </c>
      <c r="R49" s="22">
        <v>5</v>
      </c>
      <c r="S49" s="33"/>
    </row>
    <row r="50" spans="1:19" s="37" customFormat="1" ht="27" customHeight="1" x14ac:dyDescent="0.25">
      <c r="A50" s="22" t="s">
        <v>982</v>
      </c>
      <c r="B50" s="22" t="s">
        <v>793</v>
      </c>
      <c r="C50" s="72" t="s">
        <v>817</v>
      </c>
      <c r="D50" s="72" t="s">
        <v>817</v>
      </c>
      <c r="E50" s="72" t="s">
        <v>817</v>
      </c>
      <c r="F50" s="72" t="s">
        <v>817</v>
      </c>
      <c r="G50" s="22" t="s">
        <v>706</v>
      </c>
      <c r="H50" s="22">
        <v>5500</v>
      </c>
      <c r="I50" s="22">
        <v>750</v>
      </c>
      <c r="J50" s="72">
        <v>0.86363636363636365</v>
      </c>
      <c r="K50" s="73">
        <v>0.17472193645868958</v>
      </c>
      <c r="L50" s="73">
        <v>0.25459482169694769</v>
      </c>
      <c r="M50" s="22" t="s">
        <v>983</v>
      </c>
      <c r="N50" s="80">
        <v>2004</v>
      </c>
      <c r="O50" s="22" t="s">
        <v>773</v>
      </c>
      <c r="P50" s="22" t="s">
        <v>972</v>
      </c>
      <c r="Q50" s="22" t="s">
        <v>973</v>
      </c>
      <c r="R50" s="22">
        <v>5</v>
      </c>
      <c r="S50" s="33"/>
    </row>
    <row r="51" spans="1:19" s="37" customFormat="1" ht="27" customHeight="1" x14ac:dyDescent="0.25">
      <c r="A51" s="22" t="s">
        <v>993</v>
      </c>
      <c r="B51" s="22" t="s">
        <v>793</v>
      </c>
      <c r="C51" s="72" t="s">
        <v>817</v>
      </c>
      <c r="D51" s="72" t="s">
        <v>817</v>
      </c>
      <c r="E51" s="72" t="s">
        <v>817</v>
      </c>
      <c r="F51" s="72" t="s">
        <v>817</v>
      </c>
      <c r="G51" s="22" t="s">
        <v>706</v>
      </c>
      <c r="H51" s="22">
        <v>8900</v>
      </c>
      <c r="I51" s="22">
        <v>750</v>
      </c>
      <c r="J51" s="72">
        <v>0.9157303370786517</v>
      </c>
      <c r="K51" s="73">
        <v>0.20637156723434935</v>
      </c>
      <c r="L51" s="73">
        <v>7.2494627464374004E-2</v>
      </c>
      <c r="M51" s="22" t="s">
        <v>995</v>
      </c>
      <c r="N51" s="80">
        <v>2004</v>
      </c>
      <c r="O51" s="22" t="s">
        <v>773</v>
      </c>
      <c r="P51" s="22" t="s">
        <v>972</v>
      </c>
      <c r="Q51" s="22" t="s">
        <v>973</v>
      </c>
      <c r="R51" s="22">
        <v>5</v>
      </c>
      <c r="S51" s="33"/>
    </row>
    <row r="52" spans="1:19" s="37" customFormat="1" ht="27" customHeight="1" x14ac:dyDescent="0.25">
      <c r="A52" s="22" t="s">
        <v>980</v>
      </c>
      <c r="B52" s="22" t="s">
        <v>793</v>
      </c>
      <c r="C52" s="72" t="s">
        <v>817</v>
      </c>
      <c r="D52" s="72" t="s">
        <v>817</v>
      </c>
      <c r="E52" s="72" t="s">
        <v>817</v>
      </c>
      <c r="F52" s="72" t="s">
        <v>817</v>
      </c>
      <c r="G52" s="22" t="s">
        <v>706</v>
      </c>
      <c r="H52" s="22">
        <v>15100</v>
      </c>
      <c r="I52" s="22">
        <v>750</v>
      </c>
      <c r="J52" s="72">
        <v>0.95033112582781454</v>
      </c>
      <c r="K52" s="73">
        <v>0.21166314588138394</v>
      </c>
      <c r="L52" s="73">
        <v>0.15047926777504639</v>
      </c>
      <c r="M52" s="22" t="s">
        <v>979</v>
      </c>
      <c r="N52" s="80">
        <v>2004</v>
      </c>
      <c r="O52" s="22" t="s">
        <v>773</v>
      </c>
      <c r="P52" s="22" t="s">
        <v>972</v>
      </c>
      <c r="Q52" s="22" t="s">
        <v>973</v>
      </c>
      <c r="R52" s="22">
        <v>5</v>
      </c>
      <c r="S52" s="33"/>
    </row>
    <row r="53" spans="1:19" s="37" customFormat="1" ht="27" customHeight="1" x14ac:dyDescent="0.25">
      <c r="A53" s="22" t="s">
        <v>981</v>
      </c>
      <c r="B53" s="22" t="s">
        <v>793</v>
      </c>
      <c r="C53" s="72" t="s">
        <v>817</v>
      </c>
      <c r="D53" s="72" t="s">
        <v>817</v>
      </c>
      <c r="E53" s="72" t="s">
        <v>817</v>
      </c>
      <c r="F53" s="72" t="s">
        <v>817</v>
      </c>
      <c r="G53" s="22" t="s">
        <v>706</v>
      </c>
      <c r="H53" s="22">
        <v>15100</v>
      </c>
      <c r="I53" s="22">
        <v>750</v>
      </c>
      <c r="J53" s="72">
        <v>0.95033112582781454</v>
      </c>
      <c r="K53" s="73">
        <v>0.22654571082616876</v>
      </c>
      <c r="L53" s="73">
        <v>0.6300285826625569</v>
      </c>
      <c r="M53" s="22" t="s">
        <v>979</v>
      </c>
      <c r="N53" s="80">
        <v>2004</v>
      </c>
      <c r="O53" s="22" t="s">
        <v>773</v>
      </c>
      <c r="P53" s="22" t="s">
        <v>972</v>
      </c>
      <c r="Q53" s="22" t="s">
        <v>973</v>
      </c>
      <c r="R53" s="22">
        <v>5</v>
      </c>
      <c r="S53" s="33"/>
    </row>
    <row r="54" spans="1:19" s="38" customFormat="1" ht="27" customHeight="1" x14ac:dyDescent="0.25">
      <c r="A54" s="22" t="s">
        <v>971</v>
      </c>
      <c r="B54" s="22" t="s">
        <v>793</v>
      </c>
      <c r="C54" s="72" t="s">
        <v>817</v>
      </c>
      <c r="D54" s="72" t="s">
        <v>817</v>
      </c>
      <c r="E54" s="72" t="s">
        <v>817</v>
      </c>
      <c r="F54" s="72" t="s">
        <v>817</v>
      </c>
      <c r="G54" s="22" t="s">
        <v>706</v>
      </c>
      <c r="H54" s="22">
        <v>10400</v>
      </c>
      <c r="I54" s="22">
        <v>750</v>
      </c>
      <c r="J54" s="72">
        <v>0.92788461538461542</v>
      </c>
      <c r="K54" s="73">
        <v>0.25856577479828152</v>
      </c>
      <c r="L54" s="73">
        <v>0.13830262372931337</v>
      </c>
      <c r="M54" s="22" t="s">
        <v>975</v>
      </c>
      <c r="N54" s="80">
        <v>2004</v>
      </c>
      <c r="O54" s="22" t="s">
        <v>773</v>
      </c>
      <c r="P54" s="22" t="s">
        <v>972</v>
      </c>
      <c r="Q54" s="22" t="s">
        <v>973</v>
      </c>
      <c r="R54" s="22">
        <v>5</v>
      </c>
      <c r="S54" s="33"/>
    </row>
    <row r="55" spans="1:19" s="38" customFormat="1" ht="27" customHeight="1" x14ac:dyDescent="0.25">
      <c r="A55" s="22" t="s">
        <v>1001</v>
      </c>
      <c r="B55" s="22" t="s">
        <v>793</v>
      </c>
      <c r="C55" s="72" t="s">
        <v>817</v>
      </c>
      <c r="D55" s="72" t="s">
        <v>817</v>
      </c>
      <c r="E55" s="72" t="s">
        <v>817</v>
      </c>
      <c r="F55" s="72" t="s">
        <v>817</v>
      </c>
      <c r="G55" s="22" t="s">
        <v>706</v>
      </c>
      <c r="H55" s="22">
        <v>9400</v>
      </c>
      <c r="I55" s="22">
        <v>1500</v>
      </c>
      <c r="J55" s="72">
        <v>0.84042553191489366</v>
      </c>
      <c r="K55" s="73">
        <v>0.37582234709052548</v>
      </c>
      <c r="L55" s="73">
        <v>1.6536183271983119E-2</v>
      </c>
      <c r="M55" s="22" t="s">
        <v>991</v>
      </c>
      <c r="N55" s="80">
        <v>2004</v>
      </c>
      <c r="O55" s="22" t="s">
        <v>773</v>
      </c>
      <c r="P55" s="22" t="s">
        <v>972</v>
      </c>
      <c r="Q55" s="22" t="s">
        <v>973</v>
      </c>
      <c r="R55" s="22">
        <v>5</v>
      </c>
      <c r="S55" s="33"/>
    </row>
    <row r="56" spans="1:19" s="81" customFormat="1" ht="27" customHeight="1" x14ac:dyDescent="0.25">
      <c r="A56" s="22" t="s">
        <v>1001</v>
      </c>
      <c r="B56" s="22" t="s">
        <v>793</v>
      </c>
      <c r="C56" s="72" t="s">
        <v>817</v>
      </c>
      <c r="D56" s="72" t="s">
        <v>817</v>
      </c>
      <c r="E56" s="72" t="s">
        <v>817</v>
      </c>
      <c r="F56" s="72" t="s">
        <v>817</v>
      </c>
      <c r="G56" s="22" t="s">
        <v>706</v>
      </c>
      <c r="H56" s="22">
        <v>6300</v>
      </c>
      <c r="I56" s="22">
        <v>750</v>
      </c>
      <c r="J56" s="72">
        <v>0.88095238095238093</v>
      </c>
      <c r="K56" s="73">
        <v>0.39890362108414662</v>
      </c>
      <c r="L56" s="73">
        <v>1.0176112782758843E-2</v>
      </c>
      <c r="M56" s="22" t="s">
        <v>1002</v>
      </c>
      <c r="N56" s="80">
        <v>2004</v>
      </c>
      <c r="O56" s="22" t="s">
        <v>773</v>
      </c>
      <c r="P56" s="22" t="s">
        <v>972</v>
      </c>
      <c r="Q56" s="22" t="s">
        <v>973</v>
      </c>
      <c r="R56" s="22">
        <v>5</v>
      </c>
      <c r="S56" s="33"/>
    </row>
    <row r="57" spans="1:19" s="81" customFormat="1" ht="27" customHeight="1" x14ac:dyDescent="0.25">
      <c r="A57" s="22" t="s">
        <v>990</v>
      </c>
      <c r="B57" s="22" t="s">
        <v>793</v>
      </c>
      <c r="C57" s="72" t="s">
        <v>817</v>
      </c>
      <c r="D57" s="72" t="s">
        <v>817</v>
      </c>
      <c r="E57" s="72" t="s">
        <v>817</v>
      </c>
      <c r="F57" s="72" t="s">
        <v>817</v>
      </c>
      <c r="G57" s="22" t="s">
        <v>706</v>
      </c>
      <c r="H57" s="22">
        <v>9400</v>
      </c>
      <c r="I57" s="22">
        <v>750</v>
      </c>
      <c r="J57" s="72">
        <v>0.92021276595744683</v>
      </c>
      <c r="K57" s="73">
        <v>0.40789252070891702</v>
      </c>
      <c r="L57" s="73">
        <v>7.3560960737185516E-2</v>
      </c>
      <c r="M57" s="22" t="s">
        <v>991</v>
      </c>
      <c r="N57" s="80">
        <v>2004</v>
      </c>
      <c r="O57" s="22" t="s">
        <v>773</v>
      </c>
      <c r="P57" s="22" t="s">
        <v>972</v>
      </c>
      <c r="Q57" s="22" t="s">
        <v>973</v>
      </c>
      <c r="R57" s="22">
        <v>5</v>
      </c>
      <c r="S57" s="33"/>
    </row>
    <row r="58" spans="1:19" s="81" customFormat="1" ht="27" customHeight="1" x14ac:dyDescent="0.25">
      <c r="A58" s="22" t="s">
        <v>971</v>
      </c>
      <c r="B58" s="22" t="s">
        <v>793</v>
      </c>
      <c r="C58" s="72" t="s">
        <v>817</v>
      </c>
      <c r="D58" s="72" t="s">
        <v>817</v>
      </c>
      <c r="E58" s="72" t="s">
        <v>817</v>
      </c>
      <c r="F58" s="72" t="s">
        <v>817</v>
      </c>
      <c r="G58" s="22" t="s">
        <v>706</v>
      </c>
      <c r="H58" s="22">
        <v>6900</v>
      </c>
      <c r="I58" s="22">
        <v>750</v>
      </c>
      <c r="J58" s="72">
        <v>0.89130434782608692</v>
      </c>
      <c r="K58" s="73">
        <v>0.42580671925356539</v>
      </c>
      <c r="L58" s="73">
        <v>0.16536183271983121</v>
      </c>
      <c r="M58" s="22" t="s">
        <v>846</v>
      </c>
      <c r="N58" s="80">
        <v>2004</v>
      </c>
      <c r="O58" s="22" t="s">
        <v>773</v>
      </c>
      <c r="P58" s="22" t="s">
        <v>972</v>
      </c>
      <c r="Q58" s="22" t="s">
        <v>973</v>
      </c>
      <c r="R58" s="22">
        <v>5</v>
      </c>
      <c r="S58" s="33"/>
    </row>
    <row r="59" spans="1:19" s="81" customFormat="1" ht="27" customHeight="1" x14ac:dyDescent="0.25">
      <c r="A59" s="22" t="s">
        <v>993</v>
      </c>
      <c r="B59" s="22" t="s">
        <v>793</v>
      </c>
      <c r="C59" s="72" t="s">
        <v>817</v>
      </c>
      <c r="D59" s="72" t="s">
        <v>817</v>
      </c>
      <c r="E59" s="72" t="s">
        <v>817</v>
      </c>
      <c r="F59" s="72" t="s">
        <v>817</v>
      </c>
      <c r="G59" s="22" t="s">
        <v>706</v>
      </c>
      <c r="H59" s="22">
        <v>6600</v>
      </c>
      <c r="I59" s="22">
        <v>875</v>
      </c>
      <c r="J59" s="72">
        <v>0.86742424242424243</v>
      </c>
      <c r="K59" s="73">
        <v>0.47013641056345856</v>
      </c>
      <c r="L59" s="73">
        <v>4.6810118800690685E-2</v>
      </c>
      <c r="M59" s="22" t="s">
        <v>998</v>
      </c>
      <c r="N59" s="80">
        <v>2004</v>
      </c>
      <c r="O59" s="22" t="s">
        <v>773</v>
      </c>
      <c r="P59" s="22" t="s">
        <v>972</v>
      </c>
      <c r="Q59" s="22" t="s">
        <v>973</v>
      </c>
      <c r="R59" s="22">
        <v>5</v>
      </c>
      <c r="S59" s="33"/>
    </row>
    <row r="60" spans="1:19" s="81" customFormat="1" ht="27" customHeight="1" x14ac:dyDescent="0.25">
      <c r="A60" s="22" t="s">
        <v>997</v>
      </c>
      <c r="B60" s="22" t="s">
        <v>793</v>
      </c>
      <c r="C60" s="72" t="s">
        <v>817</v>
      </c>
      <c r="D60" s="72" t="s">
        <v>817</v>
      </c>
      <c r="E60" s="72" t="s">
        <v>817</v>
      </c>
      <c r="F60" s="72" t="s">
        <v>817</v>
      </c>
      <c r="G60" s="22" t="s">
        <v>706</v>
      </c>
      <c r="H60" s="22">
        <v>6600</v>
      </c>
      <c r="I60" s="22">
        <v>1000</v>
      </c>
      <c r="J60" s="72">
        <v>0.84848484848484851</v>
      </c>
      <c r="K60" s="73">
        <v>0.49455908124207976</v>
      </c>
      <c r="L60" s="73">
        <v>1.0684918421896786E-2</v>
      </c>
      <c r="M60" s="22" t="s">
        <v>998</v>
      </c>
      <c r="N60" s="80">
        <v>2004</v>
      </c>
      <c r="O60" s="22" t="s">
        <v>773</v>
      </c>
      <c r="P60" s="22" t="s">
        <v>972</v>
      </c>
      <c r="Q60" s="22" t="s">
        <v>973</v>
      </c>
      <c r="R60" s="22">
        <v>5</v>
      </c>
      <c r="S60" s="33"/>
    </row>
    <row r="61" spans="1:19" s="81" customFormat="1" ht="27" customHeight="1" x14ac:dyDescent="0.25">
      <c r="A61" s="22" t="s">
        <v>1004</v>
      </c>
      <c r="B61" s="22" t="s">
        <v>793</v>
      </c>
      <c r="C61" s="72" t="s">
        <v>817</v>
      </c>
      <c r="D61" s="72" t="s">
        <v>817</v>
      </c>
      <c r="E61" s="72" t="s">
        <v>817</v>
      </c>
      <c r="F61" s="72" t="s">
        <v>817</v>
      </c>
      <c r="G61" s="22" t="s">
        <v>706</v>
      </c>
      <c r="H61" s="22">
        <v>10400</v>
      </c>
      <c r="I61" s="22">
        <v>1600</v>
      </c>
      <c r="J61" s="72">
        <v>0.84615384615384615</v>
      </c>
      <c r="K61" s="73">
        <v>0.5211403212988619</v>
      </c>
      <c r="L61" s="73">
        <v>1.3629823787816391E-2</v>
      </c>
      <c r="M61" s="22" t="s">
        <v>975</v>
      </c>
      <c r="N61" s="80">
        <v>2004</v>
      </c>
      <c r="O61" s="22" t="s">
        <v>773</v>
      </c>
      <c r="P61" s="22" t="s">
        <v>972</v>
      </c>
      <c r="Q61" s="22" t="s">
        <v>973</v>
      </c>
      <c r="R61" s="22">
        <v>5</v>
      </c>
      <c r="S61" s="33"/>
    </row>
    <row r="62" spans="1:19" s="81" customFormat="1" ht="27" customHeight="1" x14ac:dyDescent="0.25">
      <c r="A62" s="22" t="s">
        <v>974</v>
      </c>
      <c r="B62" s="22" t="s">
        <v>793</v>
      </c>
      <c r="C62" s="72" t="s">
        <v>817</v>
      </c>
      <c r="D62" s="72" t="s">
        <v>817</v>
      </c>
      <c r="E62" s="72" t="s">
        <v>817</v>
      </c>
      <c r="F62" s="72" t="s">
        <v>817</v>
      </c>
      <c r="G62" s="22" t="s">
        <v>706</v>
      </c>
      <c r="H62" s="22">
        <v>10400</v>
      </c>
      <c r="I62" s="22">
        <v>750</v>
      </c>
      <c r="J62" s="72">
        <v>0.92788461538461542</v>
      </c>
      <c r="K62" s="73">
        <v>0.77970609609714359</v>
      </c>
      <c r="L62" s="73">
        <v>2.6057016064943098E-2</v>
      </c>
      <c r="M62" s="22" t="s">
        <v>975</v>
      </c>
      <c r="N62" s="80">
        <v>2004</v>
      </c>
      <c r="O62" s="22" t="s">
        <v>773</v>
      </c>
      <c r="P62" s="22" t="s">
        <v>972</v>
      </c>
      <c r="Q62" s="22" t="s">
        <v>973</v>
      </c>
      <c r="R62" s="22">
        <v>5</v>
      </c>
      <c r="S62" s="33"/>
    </row>
    <row r="63" spans="1:19" s="81" customFormat="1" ht="27" customHeight="1" x14ac:dyDescent="0.25">
      <c r="A63" s="22" t="s">
        <v>978</v>
      </c>
      <c r="B63" s="22" t="s">
        <v>793</v>
      </c>
      <c r="C63" s="72" t="s">
        <v>817</v>
      </c>
      <c r="D63" s="72" t="s">
        <v>817</v>
      </c>
      <c r="E63" s="72" t="s">
        <v>817</v>
      </c>
      <c r="F63" s="72" t="s">
        <v>817</v>
      </c>
      <c r="G63" s="22" t="s">
        <v>706</v>
      </c>
      <c r="H63" s="22">
        <v>15100</v>
      </c>
      <c r="I63" s="22">
        <v>750</v>
      </c>
      <c r="J63" s="72">
        <v>0.95033112582781454</v>
      </c>
      <c r="K63" s="73">
        <v>0.80696574367277629</v>
      </c>
      <c r="L63" s="73">
        <v>5.7876641451940922E-2</v>
      </c>
      <c r="M63" s="22" t="s">
        <v>979</v>
      </c>
      <c r="N63" s="80">
        <v>2004</v>
      </c>
      <c r="O63" s="22" t="s">
        <v>773</v>
      </c>
      <c r="P63" s="22" t="s">
        <v>972</v>
      </c>
      <c r="Q63" s="22" t="s">
        <v>973</v>
      </c>
      <c r="R63" s="22">
        <v>5</v>
      </c>
      <c r="S63" s="33"/>
    </row>
    <row r="64" spans="1:19" s="81" customFormat="1" ht="27" customHeight="1" x14ac:dyDescent="0.25">
      <c r="A64" s="22" t="s">
        <v>993</v>
      </c>
      <c r="B64" s="22" t="s">
        <v>793</v>
      </c>
      <c r="C64" s="72" t="s">
        <v>817</v>
      </c>
      <c r="D64" s="72" t="s">
        <v>817</v>
      </c>
      <c r="E64" s="72" t="s">
        <v>817</v>
      </c>
      <c r="F64" s="72" t="s">
        <v>817</v>
      </c>
      <c r="G64" s="22" t="s">
        <v>706</v>
      </c>
      <c r="H64" s="22">
        <v>13700</v>
      </c>
      <c r="I64" s="22">
        <v>750</v>
      </c>
      <c r="J64" s="72">
        <v>0.94525547445255476</v>
      </c>
      <c r="K64" s="73">
        <v>0.86303127933778578</v>
      </c>
      <c r="L64" s="73">
        <v>0.17512605522328792</v>
      </c>
      <c r="M64" s="22" t="s">
        <v>994</v>
      </c>
      <c r="N64" s="80">
        <v>2004</v>
      </c>
      <c r="O64" s="22" t="s">
        <v>773</v>
      </c>
      <c r="P64" s="22" t="s">
        <v>972</v>
      </c>
      <c r="Q64" s="22" t="s">
        <v>973</v>
      </c>
      <c r="R64" s="22">
        <v>5</v>
      </c>
      <c r="S64" s="33"/>
    </row>
    <row r="65" spans="1:19" s="81" customFormat="1" ht="27" customHeight="1" x14ac:dyDescent="0.25">
      <c r="A65" s="22" t="s">
        <v>981</v>
      </c>
      <c r="B65" s="22" t="s">
        <v>793</v>
      </c>
      <c r="C65" s="72" t="s">
        <v>817</v>
      </c>
      <c r="D65" s="72" t="s">
        <v>817</v>
      </c>
      <c r="E65" s="72" t="s">
        <v>817</v>
      </c>
      <c r="F65" s="72" t="s">
        <v>817</v>
      </c>
      <c r="G65" s="22" t="s">
        <v>706</v>
      </c>
      <c r="H65" s="22">
        <v>3500</v>
      </c>
      <c r="I65" s="22">
        <v>750</v>
      </c>
      <c r="J65" s="72">
        <v>0.7857142857142857</v>
      </c>
      <c r="K65" s="73">
        <v>0.96130345421128549</v>
      </c>
      <c r="L65" s="73">
        <v>1.2347016843080729E-2</v>
      </c>
      <c r="M65" s="22" t="s">
        <v>985</v>
      </c>
      <c r="N65" s="80">
        <v>2004</v>
      </c>
      <c r="O65" s="22" t="s">
        <v>773</v>
      </c>
      <c r="P65" s="22" t="s">
        <v>972</v>
      </c>
      <c r="Q65" s="22" t="s">
        <v>973</v>
      </c>
      <c r="R65" s="22">
        <v>5</v>
      </c>
      <c r="S65" s="33"/>
    </row>
    <row r="66" spans="1:19" s="81" customFormat="1" ht="27" customHeight="1" x14ac:dyDescent="0.25">
      <c r="A66" s="22" t="s">
        <v>790</v>
      </c>
      <c r="B66" s="22" t="s">
        <v>793</v>
      </c>
      <c r="C66" s="22" t="s">
        <v>700</v>
      </c>
      <c r="D66" s="22">
        <v>24000</v>
      </c>
      <c r="E66" s="22">
        <v>1400</v>
      </c>
      <c r="F66" s="72">
        <v>0.94166666666666665</v>
      </c>
      <c r="G66" s="22" t="s">
        <v>706</v>
      </c>
      <c r="H66" s="22">
        <v>4000</v>
      </c>
      <c r="I66" s="22">
        <v>1000</v>
      </c>
      <c r="J66" s="72">
        <v>0.75</v>
      </c>
      <c r="K66" s="73">
        <v>3.5831773287918209</v>
      </c>
      <c r="L66" s="73">
        <v>5.2148507566525913E-2</v>
      </c>
      <c r="M66" s="22" t="s">
        <v>791</v>
      </c>
      <c r="N66" s="74">
        <v>2006</v>
      </c>
      <c r="O66" s="22" t="s">
        <v>773</v>
      </c>
      <c r="P66" s="22" t="s">
        <v>792</v>
      </c>
      <c r="Q66" s="22" t="s">
        <v>794</v>
      </c>
      <c r="R66" s="22">
        <v>8</v>
      </c>
      <c r="S66" s="33" t="s">
        <v>1263</v>
      </c>
    </row>
    <row r="67" spans="1:19" s="81" customFormat="1" ht="27" customHeight="1" x14ac:dyDescent="0.25">
      <c r="A67" s="22" t="s">
        <v>795</v>
      </c>
      <c r="B67" s="22" t="s">
        <v>793</v>
      </c>
      <c r="C67" s="22" t="s">
        <v>700</v>
      </c>
      <c r="D67" s="22">
        <v>27000</v>
      </c>
      <c r="E67" s="22">
        <v>600</v>
      </c>
      <c r="F67" s="72">
        <v>0.97777777777777775</v>
      </c>
      <c r="G67" s="22" t="s">
        <v>706</v>
      </c>
      <c r="H67" s="22">
        <v>5800</v>
      </c>
      <c r="I67" s="22">
        <v>200</v>
      </c>
      <c r="J67" s="72">
        <v>0.96551724137931039</v>
      </c>
      <c r="K67" s="73">
        <v>2.3769592181094259</v>
      </c>
      <c r="L67" s="73">
        <v>8.8362748932169041E-2</v>
      </c>
      <c r="M67" s="22" t="s">
        <v>796</v>
      </c>
      <c r="N67" s="74">
        <v>2006</v>
      </c>
      <c r="O67" s="22" t="s">
        <v>773</v>
      </c>
      <c r="P67" s="22" t="s">
        <v>792</v>
      </c>
      <c r="Q67" s="22" t="s">
        <v>797</v>
      </c>
      <c r="R67" s="22">
        <v>9</v>
      </c>
      <c r="S67" s="33" t="s">
        <v>1263</v>
      </c>
    </row>
    <row r="68" spans="1:19" s="81" customFormat="1" ht="27" customHeight="1" x14ac:dyDescent="0.25">
      <c r="A68" s="22" t="s">
        <v>860</v>
      </c>
      <c r="B68" s="22" t="s">
        <v>793</v>
      </c>
      <c r="C68" s="22" t="s">
        <v>72</v>
      </c>
      <c r="D68" s="22">
        <v>14500</v>
      </c>
      <c r="E68" s="22">
        <v>8000</v>
      </c>
      <c r="F68" s="77">
        <v>0.44827586206896552</v>
      </c>
      <c r="G68" s="72" t="s">
        <v>817</v>
      </c>
      <c r="H68" s="72" t="s">
        <v>817</v>
      </c>
      <c r="I68" s="72" t="s">
        <v>817</v>
      </c>
      <c r="J68" s="72" t="s">
        <v>817</v>
      </c>
      <c r="K68" s="73">
        <v>1.908850873041597</v>
      </c>
      <c r="L68" s="73" t="s">
        <v>817</v>
      </c>
      <c r="M68" s="22" t="s">
        <v>861</v>
      </c>
      <c r="N68" s="80">
        <v>1999</v>
      </c>
      <c r="O68" s="22" t="s">
        <v>773</v>
      </c>
      <c r="P68" s="22" t="s">
        <v>819</v>
      </c>
      <c r="Q68" s="22" t="s">
        <v>862</v>
      </c>
      <c r="R68" s="22">
        <v>2</v>
      </c>
      <c r="S68" s="33" t="s">
        <v>863</v>
      </c>
    </row>
    <row r="69" spans="1:19" s="81" customFormat="1" ht="27" customHeight="1" x14ac:dyDescent="0.25">
      <c r="A69" s="22" t="s">
        <v>864</v>
      </c>
      <c r="B69" s="22" t="s">
        <v>793</v>
      </c>
      <c r="C69" s="22" t="s">
        <v>72</v>
      </c>
      <c r="D69" s="22">
        <v>19300</v>
      </c>
      <c r="E69" s="22">
        <v>8000</v>
      </c>
      <c r="F69" s="77">
        <v>0.58549222797927458</v>
      </c>
      <c r="G69" s="72" t="s">
        <v>817</v>
      </c>
      <c r="H69" s="72" t="s">
        <v>817</v>
      </c>
      <c r="I69" s="72" t="s">
        <v>817</v>
      </c>
      <c r="J69" s="72" t="s">
        <v>817</v>
      </c>
      <c r="K69" s="73">
        <v>6.8628521835688359</v>
      </c>
      <c r="L69" s="73" t="s">
        <v>817</v>
      </c>
      <c r="M69" s="22" t="s">
        <v>865</v>
      </c>
      <c r="N69" s="80">
        <v>1999</v>
      </c>
      <c r="O69" s="22" t="s">
        <v>773</v>
      </c>
      <c r="P69" s="22" t="s">
        <v>819</v>
      </c>
      <c r="Q69" s="22" t="s">
        <v>862</v>
      </c>
      <c r="R69" s="22">
        <v>2</v>
      </c>
      <c r="S69" s="33" t="s">
        <v>866</v>
      </c>
    </row>
    <row r="70" spans="1:19" s="81" customFormat="1" ht="27" customHeight="1" x14ac:dyDescent="0.25">
      <c r="A70" s="22" t="s">
        <v>816</v>
      </c>
      <c r="B70" s="22" t="s">
        <v>793</v>
      </c>
      <c r="C70" s="22" t="s">
        <v>72</v>
      </c>
      <c r="D70" s="22">
        <v>31200</v>
      </c>
      <c r="E70" s="22">
        <v>3700</v>
      </c>
      <c r="F70" s="72">
        <v>0.88141025641025639</v>
      </c>
      <c r="G70" s="22" t="s">
        <v>706</v>
      </c>
      <c r="H70" s="22">
        <v>5800</v>
      </c>
      <c r="I70" s="22">
        <v>1000</v>
      </c>
      <c r="J70" s="72">
        <v>0.82758620689655171</v>
      </c>
      <c r="K70" s="73">
        <v>0.68588872960371494</v>
      </c>
      <c r="L70" s="73">
        <v>0.10671129789076161</v>
      </c>
      <c r="M70" s="22" t="s">
        <v>839</v>
      </c>
      <c r="N70" s="80">
        <v>2006</v>
      </c>
      <c r="O70" s="22" t="s">
        <v>773</v>
      </c>
      <c r="P70" s="22" t="s">
        <v>792</v>
      </c>
      <c r="Q70" s="22" t="s">
        <v>840</v>
      </c>
      <c r="R70" s="22">
        <v>4</v>
      </c>
      <c r="S70" s="33" t="s">
        <v>1263</v>
      </c>
    </row>
    <row r="71" spans="1:19" s="81" customFormat="1" ht="27" customHeight="1" x14ac:dyDescent="0.25">
      <c r="A71" s="69" t="s">
        <v>725</v>
      </c>
      <c r="B71" s="22" t="s">
        <v>793</v>
      </c>
      <c r="C71" s="32" t="s">
        <v>72</v>
      </c>
      <c r="D71" s="32">
        <v>40000</v>
      </c>
      <c r="E71" s="32">
        <v>3000</v>
      </c>
      <c r="F71" s="99">
        <f>(D71-E71)/D71</f>
        <v>0.92500000000000004</v>
      </c>
      <c r="G71" s="32" t="s">
        <v>706</v>
      </c>
      <c r="H71" s="32">
        <v>5000</v>
      </c>
      <c r="I71" s="32">
        <v>100</v>
      </c>
      <c r="J71" s="99">
        <f t="shared" ref="J71:J78" si="0">(H71-I71)/H71</f>
        <v>0.98</v>
      </c>
      <c r="K71" s="101">
        <v>1.5512822625836438</v>
      </c>
      <c r="L71" s="101">
        <f>256*(10^-6*365)</f>
        <v>9.3439999999999995E-2</v>
      </c>
      <c r="M71" s="32" t="s">
        <v>808</v>
      </c>
      <c r="N71" s="32">
        <v>2006</v>
      </c>
      <c r="O71" s="22" t="s">
        <v>773</v>
      </c>
      <c r="P71" s="22" t="s">
        <v>792</v>
      </c>
      <c r="Q71" s="32" t="s">
        <v>817</v>
      </c>
      <c r="R71" s="32" t="s">
        <v>817</v>
      </c>
      <c r="S71" s="33" t="s">
        <v>1263</v>
      </c>
    </row>
    <row r="72" spans="1:19" s="81" customFormat="1" ht="27" customHeight="1" x14ac:dyDescent="0.25">
      <c r="A72" s="32" t="s">
        <v>1257</v>
      </c>
      <c r="B72" s="22" t="s">
        <v>793</v>
      </c>
      <c r="C72" s="32" t="s">
        <v>72</v>
      </c>
      <c r="D72" s="32">
        <v>40000</v>
      </c>
      <c r="E72" s="32">
        <v>3000</v>
      </c>
      <c r="F72" s="99">
        <f>(D72-E72)/D72</f>
        <v>0.92500000000000004</v>
      </c>
      <c r="G72" s="32" t="s">
        <v>706</v>
      </c>
      <c r="H72" s="32">
        <v>5000</v>
      </c>
      <c r="I72" s="32">
        <v>100</v>
      </c>
      <c r="J72" s="99">
        <f t="shared" si="0"/>
        <v>0.98</v>
      </c>
      <c r="K72" s="101">
        <v>1.0620317028457253</v>
      </c>
      <c r="L72" s="101">
        <f>199*(10^-6*365)</f>
        <v>7.2634999999999991E-2</v>
      </c>
      <c r="M72" s="32" t="s">
        <v>808</v>
      </c>
      <c r="N72" s="32">
        <v>2006</v>
      </c>
      <c r="O72" s="22" t="s">
        <v>773</v>
      </c>
      <c r="P72" s="22" t="s">
        <v>792</v>
      </c>
      <c r="Q72" s="32" t="s">
        <v>817</v>
      </c>
      <c r="R72" s="32" t="s">
        <v>817</v>
      </c>
      <c r="S72" s="33" t="s">
        <v>1263</v>
      </c>
    </row>
    <row r="73" spans="1:19" s="81" customFormat="1" ht="27" customHeight="1" x14ac:dyDescent="0.2">
      <c r="A73" s="32" t="s">
        <v>1264</v>
      </c>
      <c r="B73" s="22" t="s">
        <v>793</v>
      </c>
      <c r="C73" s="32" t="s">
        <v>72</v>
      </c>
      <c r="D73" s="32">
        <v>40000</v>
      </c>
      <c r="E73" s="32">
        <v>3000</v>
      </c>
      <c r="F73" s="99">
        <f>(D73-E73)/D73</f>
        <v>0.92500000000000004</v>
      </c>
      <c r="G73" s="32" t="s">
        <v>706</v>
      </c>
      <c r="H73" s="32">
        <v>5000</v>
      </c>
      <c r="I73" s="32">
        <v>100</v>
      </c>
      <c r="J73" s="99">
        <f t="shared" si="0"/>
        <v>0.98</v>
      </c>
      <c r="K73" s="101">
        <v>0.89497053610594834</v>
      </c>
      <c r="L73" s="101">
        <f>448*(10^-6*365)</f>
        <v>0.16352</v>
      </c>
      <c r="M73" s="32" t="s">
        <v>808</v>
      </c>
      <c r="N73" s="32">
        <v>2006</v>
      </c>
      <c r="O73" s="22" t="s">
        <v>773</v>
      </c>
      <c r="P73" s="22" t="s">
        <v>792</v>
      </c>
      <c r="Q73" s="32" t="s">
        <v>817</v>
      </c>
      <c r="R73" s="32" t="s">
        <v>817</v>
      </c>
      <c r="S73" s="110" t="s">
        <v>1265</v>
      </c>
    </row>
    <row r="74" spans="1:19" s="81" customFormat="1" ht="27" customHeight="1" x14ac:dyDescent="0.25">
      <c r="A74" s="32" t="s">
        <v>732</v>
      </c>
      <c r="B74" s="22" t="s">
        <v>793</v>
      </c>
      <c r="C74" s="32" t="s">
        <v>817</v>
      </c>
      <c r="D74" s="32" t="s">
        <v>817</v>
      </c>
      <c r="E74" s="32" t="s">
        <v>817</v>
      </c>
      <c r="F74" s="32" t="s">
        <v>817</v>
      </c>
      <c r="G74" s="32" t="s">
        <v>706</v>
      </c>
      <c r="H74" s="32">
        <v>5000</v>
      </c>
      <c r="I74" s="32">
        <v>500</v>
      </c>
      <c r="J74" s="99">
        <f t="shared" si="0"/>
        <v>0.9</v>
      </c>
      <c r="K74" s="101">
        <v>3.5798821444237933E-2</v>
      </c>
      <c r="L74" s="101">
        <f>91*(10^-6*365)</f>
        <v>3.3215000000000001E-2</v>
      </c>
      <c r="M74" s="32" t="s">
        <v>808</v>
      </c>
      <c r="N74" s="32">
        <v>2006</v>
      </c>
      <c r="O74" s="22" t="s">
        <v>773</v>
      </c>
      <c r="P74" s="22" t="s">
        <v>792</v>
      </c>
      <c r="Q74" s="32" t="s">
        <v>817</v>
      </c>
      <c r="R74" s="32" t="s">
        <v>817</v>
      </c>
      <c r="S74" s="33" t="s">
        <v>1266</v>
      </c>
    </row>
    <row r="75" spans="1:19" s="81" customFormat="1" ht="27" customHeight="1" x14ac:dyDescent="0.25">
      <c r="A75" s="32" t="s">
        <v>1255</v>
      </c>
      <c r="B75" s="22" t="s">
        <v>793</v>
      </c>
      <c r="C75" s="32" t="s">
        <v>817</v>
      </c>
      <c r="D75" s="32" t="s">
        <v>817</v>
      </c>
      <c r="E75" s="32" t="s">
        <v>817</v>
      </c>
      <c r="F75" s="32" t="s">
        <v>817</v>
      </c>
      <c r="G75" s="32" t="s">
        <v>706</v>
      </c>
      <c r="H75" s="32">
        <v>5000</v>
      </c>
      <c r="I75" s="32">
        <v>500</v>
      </c>
      <c r="J75" s="99">
        <f t="shared" si="0"/>
        <v>0.9</v>
      </c>
      <c r="K75" s="101">
        <v>0.21479292866542757</v>
      </c>
      <c r="L75" s="111">
        <f>7*(10^-6*365)</f>
        <v>2.555E-3</v>
      </c>
      <c r="M75" s="32" t="s">
        <v>808</v>
      </c>
      <c r="N75" s="32">
        <v>2006</v>
      </c>
      <c r="O75" s="22" t="s">
        <v>773</v>
      </c>
      <c r="P75" s="22" t="s">
        <v>792</v>
      </c>
      <c r="Q75" s="32" t="s">
        <v>817</v>
      </c>
      <c r="R75" s="32" t="s">
        <v>817</v>
      </c>
      <c r="S75" s="33" t="s">
        <v>1263</v>
      </c>
    </row>
    <row r="76" spans="1:19" s="81" customFormat="1" ht="27" customHeight="1" x14ac:dyDescent="0.25">
      <c r="A76" s="32" t="s">
        <v>1267</v>
      </c>
      <c r="B76" s="22" t="s">
        <v>793</v>
      </c>
      <c r="C76" s="32" t="s">
        <v>817</v>
      </c>
      <c r="D76" s="32" t="s">
        <v>817</v>
      </c>
      <c r="E76" s="32" t="s">
        <v>817</v>
      </c>
      <c r="F76" s="32" t="s">
        <v>817</v>
      </c>
      <c r="G76" s="32" t="s">
        <v>706</v>
      </c>
      <c r="H76" s="32">
        <v>5000</v>
      </c>
      <c r="I76" s="32">
        <v>500</v>
      </c>
      <c r="J76" s="99">
        <f t="shared" si="0"/>
        <v>0.9</v>
      </c>
      <c r="K76" s="101">
        <v>0.52504938118215638</v>
      </c>
      <c r="L76" s="101">
        <f>25*(10^-6*365)</f>
        <v>9.1249999999999994E-3</v>
      </c>
      <c r="M76" s="32" t="s">
        <v>808</v>
      </c>
      <c r="N76" s="32">
        <v>2006</v>
      </c>
      <c r="O76" s="22" t="s">
        <v>773</v>
      </c>
      <c r="P76" s="22" t="s">
        <v>792</v>
      </c>
      <c r="Q76" s="32" t="s">
        <v>817</v>
      </c>
      <c r="R76" s="32" t="s">
        <v>817</v>
      </c>
      <c r="S76" s="33" t="s">
        <v>1263</v>
      </c>
    </row>
    <row r="77" spans="1:19" s="81" customFormat="1" ht="27" customHeight="1" x14ac:dyDescent="0.25">
      <c r="A77" s="32" t="s">
        <v>1268</v>
      </c>
      <c r="B77" s="22" t="s">
        <v>793</v>
      </c>
      <c r="C77" s="32" t="s">
        <v>817</v>
      </c>
      <c r="D77" s="32" t="s">
        <v>817</v>
      </c>
      <c r="E77" s="32" t="s">
        <v>817</v>
      </c>
      <c r="F77" s="32" t="s">
        <v>817</v>
      </c>
      <c r="G77" s="32" t="s">
        <v>706</v>
      </c>
      <c r="H77" s="32">
        <v>5000</v>
      </c>
      <c r="I77" s="32">
        <v>100</v>
      </c>
      <c r="J77" s="99">
        <f t="shared" si="0"/>
        <v>0.98</v>
      </c>
      <c r="K77" s="101">
        <v>0.56084820262639423</v>
      </c>
      <c r="L77" s="101">
        <f>106*(10^-6*365)</f>
        <v>3.8689999999999995E-2</v>
      </c>
      <c r="M77" s="32" t="s">
        <v>808</v>
      </c>
      <c r="N77" s="32">
        <v>2006</v>
      </c>
      <c r="O77" s="22" t="s">
        <v>773</v>
      </c>
      <c r="P77" s="22" t="s">
        <v>792</v>
      </c>
      <c r="Q77" s="32" t="s">
        <v>817</v>
      </c>
      <c r="R77" s="32" t="s">
        <v>817</v>
      </c>
      <c r="S77" s="33" t="s">
        <v>1269</v>
      </c>
    </row>
    <row r="78" spans="1:19" s="81" customFormat="1" ht="27" customHeight="1" x14ac:dyDescent="0.25">
      <c r="A78" s="32" t="s">
        <v>1270</v>
      </c>
      <c r="B78" s="22" t="s">
        <v>793</v>
      </c>
      <c r="C78" s="32" t="s">
        <v>817</v>
      </c>
      <c r="D78" s="32" t="s">
        <v>817</v>
      </c>
      <c r="E78" s="32" t="s">
        <v>817</v>
      </c>
      <c r="F78" s="32" t="s">
        <v>817</v>
      </c>
      <c r="G78" s="32" t="s">
        <v>706</v>
      </c>
      <c r="H78" s="32">
        <v>5000</v>
      </c>
      <c r="I78" s="32">
        <v>100</v>
      </c>
      <c r="J78" s="99">
        <f t="shared" si="0"/>
        <v>0.98</v>
      </c>
      <c r="K78" s="101">
        <v>0.34605527396096664</v>
      </c>
      <c r="L78" s="101">
        <f>215*(10^-6*365)</f>
        <v>7.8474999999999989E-2</v>
      </c>
      <c r="M78" s="32" t="s">
        <v>808</v>
      </c>
      <c r="N78" s="32">
        <v>2006</v>
      </c>
      <c r="O78" s="22" t="s">
        <v>773</v>
      </c>
      <c r="P78" s="22" t="s">
        <v>792</v>
      </c>
      <c r="Q78" s="32" t="s">
        <v>817</v>
      </c>
      <c r="R78" s="32" t="s">
        <v>817</v>
      </c>
      <c r="S78" s="33" t="s">
        <v>1271</v>
      </c>
    </row>
    <row r="79" spans="1:19" s="81" customFormat="1" ht="27" customHeight="1" x14ac:dyDescent="0.25">
      <c r="A79" s="32" t="s">
        <v>1257</v>
      </c>
      <c r="B79" s="22" t="s">
        <v>793</v>
      </c>
      <c r="C79" s="32" t="s">
        <v>72</v>
      </c>
      <c r="D79" s="32">
        <v>40000</v>
      </c>
      <c r="E79" s="32">
        <v>3000</v>
      </c>
      <c r="F79" s="99">
        <f t="shared" ref="F79:F85" si="1">(D79-E79)/D79</f>
        <v>0.92500000000000004</v>
      </c>
      <c r="G79" s="32" t="s">
        <v>817</v>
      </c>
      <c r="H79" s="32" t="s">
        <v>817</v>
      </c>
      <c r="I79" s="32" t="s">
        <v>817</v>
      </c>
      <c r="J79" s="32" t="s">
        <v>817</v>
      </c>
      <c r="K79" s="101">
        <v>0.56084820262639423</v>
      </c>
      <c r="L79" s="101">
        <f>44*(10^-6*365)</f>
        <v>1.6059999999999998E-2</v>
      </c>
      <c r="M79" s="32" t="s">
        <v>808</v>
      </c>
      <c r="N79" s="32">
        <v>2006</v>
      </c>
      <c r="O79" s="22" t="s">
        <v>773</v>
      </c>
      <c r="P79" s="22" t="s">
        <v>792</v>
      </c>
      <c r="Q79" s="32" t="s">
        <v>817</v>
      </c>
      <c r="R79" s="32" t="s">
        <v>817</v>
      </c>
      <c r="S79" s="33" t="s">
        <v>1263</v>
      </c>
    </row>
    <row r="80" spans="1:19" s="81" customFormat="1" ht="27" customHeight="1" x14ac:dyDescent="0.25">
      <c r="A80" s="32" t="s">
        <v>751</v>
      </c>
      <c r="B80" s="22" t="s">
        <v>793</v>
      </c>
      <c r="C80" s="32" t="s">
        <v>72</v>
      </c>
      <c r="D80" s="32">
        <v>40000</v>
      </c>
      <c r="E80" s="32">
        <v>3000</v>
      </c>
      <c r="F80" s="99">
        <f t="shared" si="1"/>
        <v>0.92500000000000004</v>
      </c>
      <c r="G80" s="32" t="s">
        <v>817</v>
      </c>
      <c r="H80" s="32" t="s">
        <v>817</v>
      </c>
      <c r="I80" s="32" t="s">
        <v>817</v>
      </c>
      <c r="J80" s="32" t="s">
        <v>817</v>
      </c>
      <c r="K80" s="101">
        <v>0.84723877418029769</v>
      </c>
      <c r="L80" s="101">
        <f>82*(10^-6*365)</f>
        <v>2.9929999999999998E-2</v>
      </c>
      <c r="M80" s="32" t="s">
        <v>808</v>
      </c>
      <c r="N80" s="32">
        <v>2006</v>
      </c>
      <c r="O80" s="22" t="s">
        <v>773</v>
      </c>
      <c r="P80" s="22" t="s">
        <v>792</v>
      </c>
      <c r="Q80" s="32" t="s">
        <v>817</v>
      </c>
      <c r="R80" s="32" t="s">
        <v>817</v>
      </c>
      <c r="S80" s="33" t="s">
        <v>1272</v>
      </c>
    </row>
    <row r="81" spans="1:19" s="81" customFormat="1" ht="27" customHeight="1" x14ac:dyDescent="0.25">
      <c r="A81" s="112" t="s">
        <v>734</v>
      </c>
      <c r="B81" s="22" t="s">
        <v>793</v>
      </c>
      <c r="C81" s="32" t="s">
        <v>72</v>
      </c>
      <c r="D81" s="32">
        <v>40000</v>
      </c>
      <c r="E81" s="32">
        <v>3000</v>
      </c>
      <c r="F81" s="99">
        <f t="shared" si="1"/>
        <v>0.92500000000000004</v>
      </c>
      <c r="G81" s="32" t="s">
        <v>817</v>
      </c>
      <c r="H81" s="32" t="s">
        <v>817</v>
      </c>
      <c r="I81" s="32" t="s">
        <v>817</v>
      </c>
      <c r="J81" s="32" t="s">
        <v>817</v>
      </c>
      <c r="K81" s="101">
        <v>0.84723877418029769</v>
      </c>
      <c r="L81" s="101">
        <f>156*(10^-6*365)</f>
        <v>5.6939999999999998E-2</v>
      </c>
      <c r="M81" s="32" t="s">
        <v>808</v>
      </c>
      <c r="N81" s="32">
        <v>2006</v>
      </c>
      <c r="O81" s="22" t="s">
        <v>773</v>
      </c>
      <c r="P81" s="22" t="s">
        <v>792</v>
      </c>
      <c r="Q81" s="32" t="s">
        <v>817</v>
      </c>
      <c r="R81" s="32" t="s">
        <v>817</v>
      </c>
      <c r="S81" s="33" t="s">
        <v>1263</v>
      </c>
    </row>
    <row r="82" spans="1:19" s="81" customFormat="1" ht="78.599999999999994" customHeight="1" x14ac:dyDescent="0.2">
      <c r="A82" s="32" t="s">
        <v>1257</v>
      </c>
      <c r="B82" s="22" t="s">
        <v>793</v>
      </c>
      <c r="C82" s="32" t="s">
        <v>72</v>
      </c>
      <c r="D82" s="32">
        <v>40000</v>
      </c>
      <c r="E82" s="32">
        <v>5000</v>
      </c>
      <c r="F82" s="99">
        <f t="shared" si="1"/>
        <v>0.875</v>
      </c>
      <c r="G82" s="32" t="s">
        <v>817</v>
      </c>
      <c r="H82" s="32" t="s">
        <v>817</v>
      </c>
      <c r="I82" s="32" t="s">
        <v>817</v>
      </c>
      <c r="J82" s="32" t="s">
        <v>817</v>
      </c>
      <c r="K82" s="101">
        <v>0.75177525032899661</v>
      </c>
      <c r="L82" s="101">
        <f>122*(10^-6*365)</f>
        <v>4.453E-2</v>
      </c>
      <c r="M82" s="32" t="s">
        <v>808</v>
      </c>
      <c r="N82" s="32">
        <v>2006</v>
      </c>
      <c r="O82" s="22" t="s">
        <v>773</v>
      </c>
      <c r="P82" s="22" t="s">
        <v>792</v>
      </c>
      <c r="Q82" s="32" t="s">
        <v>817</v>
      </c>
      <c r="R82" s="32" t="s">
        <v>817</v>
      </c>
      <c r="S82" s="110" t="s">
        <v>1273</v>
      </c>
    </row>
    <row r="83" spans="1:19" s="81" customFormat="1" ht="27" customHeight="1" x14ac:dyDescent="0.2">
      <c r="A83" s="32" t="s">
        <v>751</v>
      </c>
      <c r="B83" s="22" t="s">
        <v>793</v>
      </c>
      <c r="C83" s="32" t="s">
        <v>72</v>
      </c>
      <c r="D83" s="32">
        <v>40000</v>
      </c>
      <c r="E83" s="32">
        <v>5000</v>
      </c>
      <c r="F83" s="99">
        <f t="shared" si="1"/>
        <v>0.875</v>
      </c>
      <c r="G83" s="32" t="s">
        <v>817</v>
      </c>
      <c r="H83" s="32" t="s">
        <v>817</v>
      </c>
      <c r="I83" s="32" t="s">
        <v>817</v>
      </c>
      <c r="J83" s="32" t="s">
        <v>817</v>
      </c>
      <c r="K83" s="101">
        <v>1.9212034175074357</v>
      </c>
      <c r="L83" s="101">
        <f>309*(10^-6*365)</f>
        <v>0.112785</v>
      </c>
      <c r="M83" s="32" t="s">
        <v>808</v>
      </c>
      <c r="N83" s="32">
        <v>2006</v>
      </c>
      <c r="O83" s="22" t="s">
        <v>773</v>
      </c>
      <c r="P83" s="22" t="s">
        <v>792</v>
      </c>
      <c r="Q83" s="32" t="s">
        <v>817</v>
      </c>
      <c r="R83" s="32" t="s">
        <v>817</v>
      </c>
      <c r="S83" s="110" t="s">
        <v>1273</v>
      </c>
    </row>
    <row r="84" spans="1:19" s="81" customFormat="1" ht="27" customHeight="1" x14ac:dyDescent="0.2">
      <c r="A84" s="32" t="s">
        <v>725</v>
      </c>
      <c r="B84" s="22" t="s">
        <v>793</v>
      </c>
      <c r="C84" s="32" t="s">
        <v>72</v>
      </c>
      <c r="D84" s="32">
        <v>40000</v>
      </c>
      <c r="E84" s="32">
        <v>5000</v>
      </c>
      <c r="F84" s="99">
        <f t="shared" si="1"/>
        <v>0.875</v>
      </c>
      <c r="G84" s="32" t="s">
        <v>817</v>
      </c>
      <c r="H84" s="32" t="s">
        <v>817</v>
      </c>
      <c r="I84" s="32" t="s">
        <v>817</v>
      </c>
      <c r="J84" s="32" t="s">
        <v>817</v>
      </c>
      <c r="K84" s="101">
        <v>2.5894480844665435</v>
      </c>
      <c r="L84" s="101">
        <f>453*(10^-6*365)</f>
        <v>0.16534499999999999</v>
      </c>
      <c r="M84" s="32" t="s">
        <v>808</v>
      </c>
      <c r="N84" s="32">
        <v>2006</v>
      </c>
      <c r="O84" s="22" t="s">
        <v>773</v>
      </c>
      <c r="P84" s="22" t="s">
        <v>792</v>
      </c>
      <c r="Q84" s="32" t="s">
        <v>817</v>
      </c>
      <c r="R84" s="32" t="s">
        <v>817</v>
      </c>
      <c r="S84" s="110" t="s">
        <v>1273</v>
      </c>
    </row>
    <row r="85" spans="1:19" s="81" customFormat="1" ht="27" customHeight="1" x14ac:dyDescent="0.2">
      <c r="A85" s="112" t="s">
        <v>734</v>
      </c>
      <c r="B85" s="22" t="s">
        <v>793</v>
      </c>
      <c r="C85" s="32" t="s">
        <v>72</v>
      </c>
      <c r="D85" s="32">
        <v>40000</v>
      </c>
      <c r="E85" s="32">
        <v>5000</v>
      </c>
      <c r="F85" s="99">
        <f t="shared" si="1"/>
        <v>0.875</v>
      </c>
      <c r="G85" s="32" t="s">
        <v>817</v>
      </c>
      <c r="H85" s="32" t="s">
        <v>817</v>
      </c>
      <c r="I85" s="32" t="s">
        <v>817</v>
      </c>
      <c r="J85" s="32" t="s">
        <v>817</v>
      </c>
      <c r="K85" s="101">
        <v>0.84723877418029769</v>
      </c>
      <c r="L85" s="101">
        <f>156*(10^-6*365)</f>
        <v>5.6939999999999998E-2</v>
      </c>
      <c r="M85" s="32" t="s">
        <v>808</v>
      </c>
      <c r="N85" s="32">
        <v>2006</v>
      </c>
      <c r="O85" s="22" t="s">
        <v>773</v>
      </c>
      <c r="P85" s="22" t="s">
        <v>792</v>
      </c>
      <c r="Q85" s="32" t="s">
        <v>817</v>
      </c>
      <c r="R85" s="32" t="s">
        <v>817</v>
      </c>
      <c r="S85" s="110" t="s">
        <v>1273</v>
      </c>
    </row>
    <row r="86" spans="1:19" s="81" customFormat="1" ht="27" customHeight="1" x14ac:dyDescent="0.2">
      <c r="A86" s="32" t="s">
        <v>717</v>
      </c>
      <c r="B86" s="32" t="s">
        <v>793</v>
      </c>
      <c r="C86" s="32" t="s">
        <v>817</v>
      </c>
      <c r="D86" s="32" t="s">
        <v>817</v>
      </c>
      <c r="E86" s="32" t="s">
        <v>817</v>
      </c>
      <c r="F86" s="32" t="s">
        <v>817</v>
      </c>
      <c r="G86" s="32" t="s">
        <v>706</v>
      </c>
      <c r="H86" s="32">
        <v>5000</v>
      </c>
      <c r="I86" s="32">
        <v>1000</v>
      </c>
      <c r="J86" s="99">
        <f t="shared" ref="J86:J100" si="2">(H86-I86)/H86</f>
        <v>0.8</v>
      </c>
      <c r="K86" s="101">
        <v>1.4438857982509299</v>
      </c>
      <c r="L86" s="101">
        <f>280*(10^-6*365)</f>
        <v>0.1022</v>
      </c>
      <c r="M86" s="32" t="s">
        <v>808</v>
      </c>
      <c r="N86" s="32">
        <v>2006</v>
      </c>
      <c r="O86" s="22" t="s">
        <v>773</v>
      </c>
      <c r="P86" s="22" t="s">
        <v>792</v>
      </c>
      <c r="Q86" s="32" t="s">
        <v>817</v>
      </c>
      <c r="R86" s="32" t="s">
        <v>817</v>
      </c>
      <c r="S86" s="110" t="s">
        <v>1273</v>
      </c>
    </row>
    <row r="87" spans="1:19" s="81" customFormat="1" ht="27" customHeight="1" x14ac:dyDescent="0.2">
      <c r="A87" s="32" t="s">
        <v>732</v>
      </c>
      <c r="B87" s="32" t="s">
        <v>793</v>
      </c>
      <c r="C87" s="32" t="s">
        <v>817</v>
      </c>
      <c r="D87" s="32" t="s">
        <v>817</v>
      </c>
      <c r="E87" s="32" t="s">
        <v>817</v>
      </c>
      <c r="F87" s="32" t="s">
        <v>817</v>
      </c>
      <c r="G87" s="32" t="s">
        <v>706</v>
      </c>
      <c r="H87" s="32">
        <v>5000</v>
      </c>
      <c r="I87" s="32">
        <v>500</v>
      </c>
      <c r="J87" s="99">
        <f t="shared" si="2"/>
        <v>0.9</v>
      </c>
      <c r="K87" s="101">
        <v>3.5798821444237933E-2</v>
      </c>
      <c r="L87" s="101">
        <f>91*(10^-6*365)</f>
        <v>3.3215000000000001E-2</v>
      </c>
      <c r="M87" s="32" t="s">
        <v>808</v>
      </c>
      <c r="N87" s="32">
        <v>2006</v>
      </c>
      <c r="O87" s="22" t="s">
        <v>773</v>
      </c>
      <c r="P87" s="22" t="s">
        <v>792</v>
      </c>
      <c r="Q87" s="32" t="s">
        <v>817</v>
      </c>
      <c r="R87" s="32" t="s">
        <v>817</v>
      </c>
      <c r="S87" s="110" t="s">
        <v>1273</v>
      </c>
    </row>
    <row r="88" spans="1:19" s="81" customFormat="1" ht="27" customHeight="1" x14ac:dyDescent="0.2">
      <c r="A88" s="32" t="s">
        <v>1274</v>
      </c>
      <c r="B88" s="32" t="s">
        <v>793</v>
      </c>
      <c r="C88" s="32" t="s">
        <v>817</v>
      </c>
      <c r="D88" s="32" t="s">
        <v>817</v>
      </c>
      <c r="E88" s="32" t="s">
        <v>817</v>
      </c>
      <c r="F88" s="32" t="s">
        <v>817</v>
      </c>
      <c r="G88" s="32" t="s">
        <v>706</v>
      </c>
      <c r="H88" s="32">
        <v>5000</v>
      </c>
      <c r="I88" s="32">
        <v>500</v>
      </c>
      <c r="J88" s="99">
        <f t="shared" si="2"/>
        <v>0.9</v>
      </c>
      <c r="K88" s="101">
        <v>1.5035505006579932</v>
      </c>
      <c r="L88" s="101">
        <f>290*(10^-6*365)</f>
        <v>0.10585</v>
      </c>
      <c r="M88" s="32" t="s">
        <v>808</v>
      </c>
      <c r="N88" s="32">
        <v>2006</v>
      </c>
      <c r="O88" s="22" t="s">
        <v>773</v>
      </c>
      <c r="P88" s="22" t="s">
        <v>792</v>
      </c>
      <c r="Q88" s="32" t="s">
        <v>817</v>
      </c>
      <c r="R88" s="32" t="s">
        <v>817</v>
      </c>
      <c r="S88" s="110" t="s">
        <v>1273</v>
      </c>
    </row>
    <row r="89" spans="1:19" s="81" customFormat="1" ht="27" customHeight="1" x14ac:dyDescent="0.2">
      <c r="A89" s="32" t="s">
        <v>1275</v>
      </c>
      <c r="B89" s="32" t="s">
        <v>793</v>
      </c>
      <c r="C89" s="32" t="s">
        <v>817</v>
      </c>
      <c r="D89" s="32" t="s">
        <v>817</v>
      </c>
      <c r="E89" s="32" t="s">
        <v>817</v>
      </c>
      <c r="F89" s="32" t="s">
        <v>817</v>
      </c>
      <c r="G89" s="32" t="s">
        <v>706</v>
      </c>
      <c r="H89" s="32">
        <v>5000</v>
      </c>
      <c r="I89" s="32">
        <v>500</v>
      </c>
      <c r="J89" s="99">
        <f t="shared" si="2"/>
        <v>0.9</v>
      </c>
      <c r="K89" s="101">
        <v>1.8138069531747218</v>
      </c>
      <c r="L89" s="101">
        <f>308*(10^-6*365)</f>
        <v>0.11241999999999999</v>
      </c>
      <c r="M89" s="32" t="s">
        <v>808</v>
      </c>
      <c r="N89" s="32">
        <v>2006</v>
      </c>
      <c r="O89" s="22" t="s">
        <v>773</v>
      </c>
      <c r="P89" s="22" t="s">
        <v>792</v>
      </c>
      <c r="Q89" s="32" t="s">
        <v>817</v>
      </c>
      <c r="R89" s="32" t="s">
        <v>817</v>
      </c>
      <c r="S89" s="110" t="s">
        <v>1273</v>
      </c>
    </row>
    <row r="90" spans="1:19" s="81" customFormat="1" ht="27" customHeight="1" x14ac:dyDescent="0.2">
      <c r="A90" s="32" t="s">
        <v>1270</v>
      </c>
      <c r="B90" s="32" t="s">
        <v>793</v>
      </c>
      <c r="C90" s="32" t="s">
        <v>817</v>
      </c>
      <c r="D90" s="32" t="s">
        <v>817</v>
      </c>
      <c r="E90" s="32" t="s">
        <v>817</v>
      </c>
      <c r="F90" s="32" t="s">
        <v>817</v>
      </c>
      <c r="G90" s="32" t="s">
        <v>706</v>
      </c>
      <c r="H90" s="32">
        <v>5000</v>
      </c>
      <c r="I90" s="32">
        <v>100</v>
      </c>
      <c r="J90" s="99">
        <f t="shared" si="2"/>
        <v>0.98</v>
      </c>
      <c r="K90" s="101">
        <v>0.34605527396096664</v>
      </c>
      <c r="L90" s="101">
        <f>215*(10^-6*365)</f>
        <v>7.8474999999999989E-2</v>
      </c>
      <c r="M90" s="32" t="s">
        <v>808</v>
      </c>
      <c r="N90" s="32">
        <v>2006</v>
      </c>
      <c r="O90" s="22" t="s">
        <v>773</v>
      </c>
      <c r="P90" s="22" t="s">
        <v>792</v>
      </c>
      <c r="Q90" s="32" t="s">
        <v>817</v>
      </c>
      <c r="R90" s="32" t="s">
        <v>817</v>
      </c>
      <c r="S90" s="110" t="s">
        <v>1273</v>
      </c>
    </row>
    <row r="91" spans="1:19" s="81" customFormat="1" ht="27" customHeight="1" x14ac:dyDescent="0.2">
      <c r="A91" s="32" t="s">
        <v>1276</v>
      </c>
      <c r="B91" s="32" t="s">
        <v>793</v>
      </c>
      <c r="C91" s="32" t="s">
        <v>817</v>
      </c>
      <c r="D91" s="32" t="s">
        <v>817</v>
      </c>
      <c r="E91" s="32" t="s">
        <v>817</v>
      </c>
      <c r="F91" s="32" t="s">
        <v>817</v>
      </c>
      <c r="G91" s="32" t="s">
        <v>706</v>
      </c>
      <c r="H91" s="32">
        <v>5000</v>
      </c>
      <c r="I91" s="32">
        <v>100</v>
      </c>
      <c r="J91" s="99">
        <f t="shared" si="2"/>
        <v>0.98</v>
      </c>
      <c r="K91" s="101">
        <v>1.8496057746189598</v>
      </c>
      <c r="L91" s="101">
        <f>389*(10^-6*365)</f>
        <v>0.141985</v>
      </c>
      <c r="M91" s="32" t="s">
        <v>808</v>
      </c>
      <c r="N91" s="32">
        <v>2006</v>
      </c>
      <c r="O91" s="22" t="s">
        <v>773</v>
      </c>
      <c r="P91" s="22" t="s">
        <v>792</v>
      </c>
      <c r="Q91" s="32" t="s">
        <v>817</v>
      </c>
      <c r="R91" s="32" t="s">
        <v>817</v>
      </c>
      <c r="S91" s="110" t="s">
        <v>1273</v>
      </c>
    </row>
    <row r="92" spans="1:19" s="81" customFormat="1" ht="27" customHeight="1" x14ac:dyDescent="0.2">
      <c r="A92" s="32" t="s">
        <v>759</v>
      </c>
      <c r="B92" s="32" t="s">
        <v>793</v>
      </c>
      <c r="C92" s="32" t="s">
        <v>72</v>
      </c>
      <c r="D92" s="32">
        <v>40000</v>
      </c>
      <c r="E92" s="32">
        <v>5000</v>
      </c>
      <c r="F92" s="99">
        <f t="shared" ref="F92:F100" si="3">(D92-E92)/D92</f>
        <v>0.875</v>
      </c>
      <c r="G92" s="32" t="s">
        <v>706</v>
      </c>
      <c r="H92" s="32">
        <v>5000</v>
      </c>
      <c r="I92" s="32">
        <v>1000</v>
      </c>
      <c r="J92" s="99">
        <f t="shared" si="2"/>
        <v>0.8</v>
      </c>
      <c r="K92" s="101">
        <v>2.3149904533940528</v>
      </c>
      <c r="L92" s="101">
        <f>302*(10^-6*365)</f>
        <v>0.11022999999999999</v>
      </c>
      <c r="M92" s="32" t="s">
        <v>808</v>
      </c>
      <c r="N92" s="32">
        <v>2006</v>
      </c>
      <c r="O92" s="22" t="s">
        <v>773</v>
      </c>
      <c r="P92" s="22" t="s">
        <v>792</v>
      </c>
      <c r="Q92" s="32" t="s">
        <v>817</v>
      </c>
      <c r="R92" s="32" t="s">
        <v>817</v>
      </c>
      <c r="S92" s="110" t="s">
        <v>1273</v>
      </c>
    </row>
    <row r="93" spans="1:19" s="81" customFormat="1" ht="27" customHeight="1" x14ac:dyDescent="0.2">
      <c r="A93" s="32" t="s">
        <v>767</v>
      </c>
      <c r="B93" s="32" t="s">
        <v>793</v>
      </c>
      <c r="C93" s="32" t="s">
        <v>72</v>
      </c>
      <c r="D93" s="32">
        <v>40000</v>
      </c>
      <c r="E93" s="32">
        <v>5000</v>
      </c>
      <c r="F93" s="99">
        <f t="shared" si="3"/>
        <v>0.875</v>
      </c>
      <c r="G93" s="32" t="s">
        <v>706</v>
      </c>
      <c r="H93" s="32">
        <v>5000</v>
      </c>
      <c r="I93" s="32">
        <v>1000</v>
      </c>
      <c r="J93" s="99">
        <f t="shared" si="2"/>
        <v>0.8</v>
      </c>
      <c r="K93" s="101">
        <v>2.4462527986895917</v>
      </c>
      <c r="L93" s="101">
        <f>436*(10^-6*365)</f>
        <v>0.15914</v>
      </c>
      <c r="M93" s="32" t="s">
        <v>808</v>
      </c>
      <c r="N93" s="32">
        <v>2006</v>
      </c>
      <c r="O93" s="22" t="s">
        <v>773</v>
      </c>
      <c r="P93" s="22" t="s">
        <v>792</v>
      </c>
      <c r="Q93" s="32" t="s">
        <v>817</v>
      </c>
      <c r="R93" s="32" t="s">
        <v>817</v>
      </c>
      <c r="S93" s="110" t="s">
        <v>1273</v>
      </c>
    </row>
    <row r="94" spans="1:19" s="81" customFormat="1" ht="27" customHeight="1" x14ac:dyDescent="0.2">
      <c r="A94" s="32" t="s">
        <v>725</v>
      </c>
      <c r="B94" s="32" t="s">
        <v>793</v>
      </c>
      <c r="C94" s="32" t="s">
        <v>72</v>
      </c>
      <c r="D94" s="32">
        <v>40000</v>
      </c>
      <c r="E94" s="32">
        <v>5000</v>
      </c>
      <c r="F94" s="99">
        <f t="shared" si="3"/>
        <v>0.875</v>
      </c>
      <c r="G94" s="32" t="s">
        <v>706</v>
      </c>
      <c r="H94" s="32">
        <v>5000</v>
      </c>
      <c r="I94" s="32">
        <v>500</v>
      </c>
      <c r="J94" s="99">
        <f t="shared" si="2"/>
        <v>0.9</v>
      </c>
      <c r="K94" s="101">
        <v>2.6133139654293691</v>
      </c>
      <c r="L94" s="101">
        <f>452*(10^-6*365)</f>
        <v>0.16497999999999999</v>
      </c>
      <c r="M94" s="32" t="s">
        <v>808</v>
      </c>
      <c r="N94" s="32">
        <v>2006</v>
      </c>
      <c r="O94" s="22" t="s">
        <v>773</v>
      </c>
      <c r="P94" s="22" t="s">
        <v>792</v>
      </c>
      <c r="Q94" s="32" t="s">
        <v>817</v>
      </c>
      <c r="R94" s="32" t="s">
        <v>817</v>
      </c>
      <c r="S94" s="110" t="s">
        <v>1273</v>
      </c>
    </row>
    <row r="95" spans="1:19" s="81" customFormat="1" ht="27" customHeight="1" x14ac:dyDescent="0.2">
      <c r="A95" s="32" t="s">
        <v>1277</v>
      </c>
      <c r="B95" s="32" t="s">
        <v>793</v>
      </c>
      <c r="C95" s="32" t="s">
        <v>72</v>
      </c>
      <c r="D95" s="32">
        <v>40000</v>
      </c>
      <c r="E95" s="32">
        <v>5000</v>
      </c>
      <c r="F95" s="99">
        <f t="shared" si="3"/>
        <v>0.875</v>
      </c>
      <c r="G95" s="32" t="s">
        <v>706</v>
      </c>
      <c r="H95" s="32">
        <v>5000</v>
      </c>
      <c r="I95" s="32">
        <v>500</v>
      </c>
      <c r="J95" s="99">
        <f t="shared" si="2"/>
        <v>0.9</v>
      </c>
      <c r="K95" s="101">
        <v>2.7803751321691461</v>
      </c>
      <c r="L95" s="101">
        <f>456*(10^-6*365)</f>
        <v>0.16644</v>
      </c>
      <c r="M95" s="32" t="s">
        <v>808</v>
      </c>
      <c r="N95" s="32">
        <v>2006</v>
      </c>
      <c r="O95" s="22" t="s">
        <v>773</v>
      </c>
      <c r="P95" s="22" t="s">
        <v>792</v>
      </c>
      <c r="Q95" s="32" t="s">
        <v>817</v>
      </c>
      <c r="R95" s="32" t="s">
        <v>817</v>
      </c>
      <c r="S95" s="110" t="s">
        <v>1273</v>
      </c>
    </row>
    <row r="96" spans="1:19" s="81" customFormat="1" ht="27" customHeight="1" x14ac:dyDescent="0.2">
      <c r="A96" s="32" t="s">
        <v>1278</v>
      </c>
      <c r="B96" s="32" t="s">
        <v>793</v>
      </c>
      <c r="C96" s="32" t="s">
        <v>72</v>
      </c>
      <c r="D96" s="32">
        <v>40000</v>
      </c>
      <c r="E96" s="32">
        <v>5000</v>
      </c>
      <c r="F96" s="99">
        <f t="shared" si="3"/>
        <v>0.875</v>
      </c>
      <c r="G96" s="32" t="s">
        <v>706</v>
      </c>
      <c r="H96" s="32">
        <v>5000</v>
      </c>
      <c r="I96" s="32">
        <v>500</v>
      </c>
      <c r="J96" s="99">
        <f t="shared" si="2"/>
        <v>0.9</v>
      </c>
      <c r="K96" s="101">
        <v>2.923570417946098</v>
      </c>
      <c r="L96" s="101">
        <f>455*(10^-6*365)</f>
        <v>0.166075</v>
      </c>
      <c r="M96" s="32" t="s">
        <v>808</v>
      </c>
      <c r="N96" s="32">
        <v>2006</v>
      </c>
      <c r="O96" s="22" t="s">
        <v>773</v>
      </c>
      <c r="P96" s="22" t="s">
        <v>792</v>
      </c>
      <c r="Q96" s="32" t="s">
        <v>817</v>
      </c>
      <c r="R96" s="32" t="s">
        <v>817</v>
      </c>
      <c r="S96" s="110" t="s">
        <v>1273</v>
      </c>
    </row>
    <row r="97" spans="1:19" s="81" customFormat="1" ht="72.599999999999994" customHeight="1" x14ac:dyDescent="0.2">
      <c r="A97" s="32" t="s">
        <v>1279</v>
      </c>
      <c r="B97" s="32" t="s">
        <v>793</v>
      </c>
      <c r="C97" s="32" t="s">
        <v>72</v>
      </c>
      <c r="D97" s="32">
        <v>40000</v>
      </c>
      <c r="E97" s="32">
        <v>5000</v>
      </c>
      <c r="F97" s="99">
        <f t="shared" si="3"/>
        <v>0.875</v>
      </c>
      <c r="G97" s="32" t="s">
        <v>706</v>
      </c>
      <c r="H97" s="32">
        <v>5000</v>
      </c>
      <c r="I97" s="32">
        <v>100</v>
      </c>
      <c r="J97" s="99">
        <f t="shared" si="2"/>
        <v>0.98</v>
      </c>
      <c r="K97" s="101">
        <v>0.99043405995724942</v>
      </c>
      <c r="L97" s="101">
        <f>259*(10^-6*365)</f>
        <v>9.4534999999999994E-2</v>
      </c>
      <c r="M97" s="32" t="s">
        <v>808</v>
      </c>
      <c r="N97" s="32">
        <v>2006</v>
      </c>
      <c r="O97" s="22" t="s">
        <v>773</v>
      </c>
      <c r="P97" s="22" t="s">
        <v>792</v>
      </c>
      <c r="Q97" s="32" t="s">
        <v>817</v>
      </c>
      <c r="R97" s="32" t="s">
        <v>817</v>
      </c>
      <c r="S97" s="110" t="s">
        <v>1273</v>
      </c>
    </row>
    <row r="98" spans="1:19" s="81" customFormat="1" ht="27" customHeight="1" x14ac:dyDescent="0.2">
      <c r="A98" s="32" t="s">
        <v>1280</v>
      </c>
      <c r="B98" s="32" t="s">
        <v>793</v>
      </c>
      <c r="C98" s="32" t="s">
        <v>72</v>
      </c>
      <c r="D98" s="32">
        <v>40000</v>
      </c>
      <c r="E98" s="32">
        <v>5000</v>
      </c>
      <c r="F98" s="99">
        <f t="shared" si="3"/>
        <v>0.875</v>
      </c>
      <c r="G98" s="32" t="s">
        <v>706</v>
      </c>
      <c r="H98" s="32">
        <v>5000</v>
      </c>
      <c r="I98" s="32">
        <v>100</v>
      </c>
      <c r="J98" s="99">
        <f t="shared" si="2"/>
        <v>0.98</v>
      </c>
      <c r="K98" s="101">
        <v>2.2314598700241643</v>
      </c>
      <c r="L98" s="101">
        <f>387*(10^-6*365)</f>
        <v>0.14125499999999999</v>
      </c>
      <c r="M98" s="32" t="s">
        <v>808</v>
      </c>
      <c r="N98" s="32">
        <v>2006</v>
      </c>
      <c r="O98" s="22" t="s">
        <v>773</v>
      </c>
      <c r="P98" s="22" t="s">
        <v>792</v>
      </c>
      <c r="Q98" s="32" t="s">
        <v>817</v>
      </c>
      <c r="R98" s="32" t="s">
        <v>817</v>
      </c>
      <c r="S98" s="110" t="s">
        <v>1273</v>
      </c>
    </row>
    <row r="99" spans="1:19" s="81" customFormat="1" ht="27" customHeight="1" x14ac:dyDescent="0.2">
      <c r="A99" s="32" t="s">
        <v>1264</v>
      </c>
      <c r="B99" s="32" t="s">
        <v>793</v>
      </c>
      <c r="C99" s="32" t="s">
        <v>72</v>
      </c>
      <c r="D99" s="32">
        <v>40000</v>
      </c>
      <c r="E99" s="32">
        <v>3000</v>
      </c>
      <c r="F99" s="99">
        <f t="shared" si="3"/>
        <v>0.92500000000000004</v>
      </c>
      <c r="G99" s="32" t="s">
        <v>706</v>
      </c>
      <c r="H99" s="32">
        <v>5000</v>
      </c>
      <c r="I99" s="32">
        <v>100</v>
      </c>
      <c r="J99" s="99">
        <f t="shared" si="2"/>
        <v>0.98</v>
      </c>
      <c r="K99" s="101">
        <v>0.89497053610594834</v>
      </c>
      <c r="L99" s="101">
        <f>448*(10^-6*365)</f>
        <v>0.16352</v>
      </c>
      <c r="M99" s="32" t="s">
        <v>808</v>
      </c>
      <c r="N99" s="32">
        <v>2006</v>
      </c>
      <c r="O99" s="22" t="s">
        <v>773</v>
      </c>
      <c r="P99" s="22" t="s">
        <v>792</v>
      </c>
      <c r="Q99" s="32" t="s">
        <v>817</v>
      </c>
      <c r="R99" s="32" t="s">
        <v>817</v>
      </c>
      <c r="S99" s="110" t="s">
        <v>1273</v>
      </c>
    </row>
    <row r="100" spans="1:19" s="81" customFormat="1" ht="27" customHeight="1" x14ac:dyDescent="0.2">
      <c r="A100" s="32" t="s">
        <v>1281</v>
      </c>
      <c r="B100" s="32" t="s">
        <v>793</v>
      </c>
      <c r="C100" s="32" t="s">
        <v>72</v>
      </c>
      <c r="D100" s="32">
        <v>40000</v>
      </c>
      <c r="E100" s="32">
        <v>3000</v>
      </c>
      <c r="F100" s="99">
        <f t="shared" si="3"/>
        <v>0.92500000000000004</v>
      </c>
      <c r="G100" s="32" t="s">
        <v>706</v>
      </c>
      <c r="H100" s="32">
        <v>5000</v>
      </c>
      <c r="I100" s="32">
        <v>100</v>
      </c>
      <c r="J100" s="99">
        <f t="shared" si="2"/>
        <v>0.98</v>
      </c>
      <c r="K100" s="101">
        <v>2.9593692393903357</v>
      </c>
      <c r="L100" s="101">
        <f>477*(10^-6*365)</f>
        <v>0.17410499999999998</v>
      </c>
      <c r="M100" s="32" t="s">
        <v>808</v>
      </c>
      <c r="N100" s="32">
        <v>2006</v>
      </c>
      <c r="O100" s="22" t="s">
        <v>773</v>
      </c>
      <c r="P100" s="22" t="s">
        <v>792</v>
      </c>
      <c r="Q100" s="32" t="s">
        <v>817</v>
      </c>
      <c r="R100" s="32" t="s">
        <v>817</v>
      </c>
      <c r="S100" s="110" t="s">
        <v>1273</v>
      </c>
    </row>
    <row r="101" spans="1:19" s="81" customFormat="1" ht="27" customHeight="1" x14ac:dyDescent="0.25">
      <c r="A101" s="8" t="s">
        <v>719</v>
      </c>
      <c r="B101" s="22" t="s">
        <v>793</v>
      </c>
      <c r="C101" s="22" t="s">
        <v>72</v>
      </c>
      <c r="D101" s="8" t="s">
        <v>817</v>
      </c>
      <c r="E101" s="22">
        <v>8000</v>
      </c>
      <c r="F101" s="8" t="s">
        <v>817</v>
      </c>
      <c r="G101" s="22" t="s">
        <v>706</v>
      </c>
      <c r="H101" s="8" t="s">
        <v>817</v>
      </c>
      <c r="I101" s="22">
        <v>1000</v>
      </c>
      <c r="J101" s="8" t="s">
        <v>817</v>
      </c>
      <c r="K101" s="73">
        <v>13.648780001155725</v>
      </c>
      <c r="L101" s="73">
        <v>0.12997640834935173</v>
      </c>
      <c r="M101" s="22" t="s">
        <v>808</v>
      </c>
      <c r="N101" s="80">
        <v>2010</v>
      </c>
      <c r="O101" s="22" t="s">
        <v>773</v>
      </c>
      <c r="P101" s="22" t="s">
        <v>609</v>
      </c>
      <c r="Q101" s="32" t="s">
        <v>817</v>
      </c>
      <c r="R101" s="32" t="s">
        <v>817</v>
      </c>
      <c r="S101" s="8"/>
    </row>
    <row r="102" spans="1:19" s="81" customFormat="1" ht="27" customHeight="1" x14ac:dyDescent="0.25">
      <c r="A102" s="22" t="s">
        <v>857</v>
      </c>
      <c r="B102" s="22" t="s">
        <v>793</v>
      </c>
      <c r="C102" s="22" t="s">
        <v>72</v>
      </c>
      <c r="D102" s="8" t="s">
        <v>817</v>
      </c>
      <c r="E102" s="22">
        <v>6000</v>
      </c>
      <c r="F102" s="8" t="s">
        <v>817</v>
      </c>
      <c r="G102" s="22" t="s">
        <v>706</v>
      </c>
      <c r="H102" s="8" t="s">
        <v>817</v>
      </c>
      <c r="I102" s="22">
        <v>300</v>
      </c>
      <c r="J102" s="8" t="s">
        <v>817</v>
      </c>
      <c r="K102" s="73">
        <v>14.777626467416725</v>
      </c>
      <c r="L102" s="73">
        <v>0.24084965581738665</v>
      </c>
      <c r="M102" s="22" t="s">
        <v>808</v>
      </c>
      <c r="N102" s="80">
        <v>2010</v>
      </c>
      <c r="O102" s="22" t="s">
        <v>773</v>
      </c>
      <c r="P102" s="22" t="s">
        <v>609</v>
      </c>
      <c r="Q102" s="32" t="s">
        <v>817</v>
      </c>
      <c r="R102" s="32" t="s">
        <v>817</v>
      </c>
      <c r="S102" s="8"/>
    </row>
    <row r="103" spans="1:19" s="81" customFormat="1" ht="27" customHeight="1" x14ac:dyDescent="0.25">
      <c r="A103" s="22" t="s">
        <v>832</v>
      </c>
      <c r="B103" s="22" t="s">
        <v>793</v>
      </c>
      <c r="C103" s="22" t="s">
        <v>72</v>
      </c>
      <c r="D103" s="8" t="s">
        <v>817</v>
      </c>
      <c r="E103" s="22">
        <v>3000</v>
      </c>
      <c r="F103" s="8" t="s">
        <v>817</v>
      </c>
      <c r="G103" s="22" t="s">
        <v>706</v>
      </c>
      <c r="H103" s="8" t="s">
        <v>817</v>
      </c>
      <c r="I103" s="22">
        <v>100</v>
      </c>
      <c r="J103" s="8" t="s">
        <v>817</v>
      </c>
      <c r="K103" s="73">
        <v>16.830074587891268</v>
      </c>
      <c r="L103" s="73">
        <v>0.32812488102026549</v>
      </c>
      <c r="M103" s="22" t="s">
        <v>808</v>
      </c>
      <c r="N103" s="74">
        <v>2010</v>
      </c>
      <c r="O103" s="22" t="s">
        <v>773</v>
      </c>
      <c r="P103" s="22" t="s">
        <v>609</v>
      </c>
      <c r="Q103" s="32" t="s">
        <v>817</v>
      </c>
      <c r="R103" s="32" t="s">
        <v>817</v>
      </c>
      <c r="S103" s="8"/>
    </row>
    <row r="104" spans="1:19" s="81" customFormat="1" ht="27" customHeight="1" x14ac:dyDescent="0.25">
      <c r="A104" s="22" t="s">
        <v>831</v>
      </c>
      <c r="B104" s="22" t="s">
        <v>793</v>
      </c>
      <c r="C104" s="22" t="s">
        <v>72</v>
      </c>
      <c r="D104" s="8" t="s">
        <v>817</v>
      </c>
      <c r="E104" s="22">
        <v>2000</v>
      </c>
      <c r="F104" s="8" t="s">
        <v>817</v>
      </c>
      <c r="G104" s="22" t="s">
        <v>706</v>
      </c>
      <c r="H104" s="8" t="s">
        <v>817</v>
      </c>
      <c r="I104" s="22">
        <v>20</v>
      </c>
      <c r="J104" s="8" t="s">
        <v>817</v>
      </c>
      <c r="K104" s="73">
        <v>22.166439701125089</v>
      </c>
      <c r="L104" s="78">
        <v>0.51129048241171504</v>
      </c>
      <c r="M104" s="22" t="s">
        <v>808</v>
      </c>
      <c r="N104" s="74">
        <v>2010</v>
      </c>
      <c r="O104" s="22" t="s">
        <v>773</v>
      </c>
      <c r="P104" s="22" t="s">
        <v>609</v>
      </c>
      <c r="Q104" s="32" t="s">
        <v>817</v>
      </c>
      <c r="R104" s="32" t="s">
        <v>817</v>
      </c>
      <c r="S104" s="8"/>
    </row>
    <row r="105" spans="1:19" s="81" customFormat="1" ht="27" customHeight="1" x14ac:dyDescent="0.25">
      <c r="A105" s="22" t="s">
        <v>719</v>
      </c>
      <c r="B105" s="22" t="s">
        <v>944</v>
      </c>
      <c r="C105" s="72" t="s">
        <v>817</v>
      </c>
      <c r="D105" s="72" t="s">
        <v>817</v>
      </c>
      <c r="E105" s="72" t="s">
        <v>817</v>
      </c>
      <c r="F105" s="72" t="s">
        <v>817</v>
      </c>
      <c r="G105" s="22" t="s">
        <v>706</v>
      </c>
      <c r="H105" s="22">
        <v>7500</v>
      </c>
      <c r="I105" s="22">
        <v>5860</v>
      </c>
      <c r="J105" s="72">
        <v>0.21866666666666668</v>
      </c>
      <c r="K105" s="73">
        <v>2.8082407879812616</v>
      </c>
      <c r="L105" s="73">
        <v>0.30638240366330327</v>
      </c>
      <c r="M105" s="22" t="s">
        <v>796</v>
      </c>
      <c r="N105" s="80">
        <v>2004</v>
      </c>
      <c r="O105" s="22" t="s">
        <v>773</v>
      </c>
      <c r="P105" s="22" t="s">
        <v>608</v>
      </c>
      <c r="Q105" s="32" t="s">
        <v>817</v>
      </c>
      <c r="R105" s="32" t="s">
        <v>817</v>
      </c>
      <c r="S105" s="33"/>
    </row>
    <row r="106" spans="1:19" s="81" customFormat="1" ht="27" customHeight="1" x14ac:dyDescent="0.25">
      <c r="A106" s="22" t="s">
        <v>717</v>
      </c>
      <c r="B106" s="22" t="s">
        <v>944</v>
      </c>
      <c r="C106" s="72" t="s">
        <v>817</v>
      </c>
      <c r="D106" s="72" t="s">
        <v>817</v>
      </c>
      <c r="E106" s="72" t="s">
        <v>817</v>
      </c>
      <c r="F106" s="72" t="s">
        <v>817</v>
      </c>
      <c r="G106" s="22" t="s">
        <v>706</v>
      </c>
      <c r="H106" s="22">
        <v>7500</v>
      </c>
      <c r="I106" s="22">
        <v>4120</v>
      </c>
      <c r="J106" s="72">
        <v>0.45066666666666666</v>
      </c>
      <c r="K106" s="73">
        <v>3.2846151556805516</v>
      </c>
      <c r="L106" s="73">
        <v>0.35519721668219745</v>
      </c>
      <c r="M106" s="22" t="s">
        <v>796</v>
      </c>
      <c r="N106" s="80">
        <v>2004</v>
      </c>
      <c r="O106" s="22" t="s">
        <v>773</v>
      </c>
      <c r="P106" s="22" t="s">
        <v>608</v>
      </c>
      <c r="Q106" s="32" t="s">
        <v>817</v>
      </c>
      <c r="R106" s="32" t="s">
        <v>817</v>
      </c>
      <c r="S106" s="33"/>
    </row>
    <row r="107" spans="1:19" s="81" customFormat="1" ht="27" customHeight="1" x14ac:dyDescent="0.25">
      <c r="A107" s="22" t="s">
        <v>719</v>
      </c>
      <c r="B107" s="22" t="s">
        <v>944</v>
      </c>
      <c r="C107" s="72" t="s">
        <v>817</v>
      </c>
      <c r="D107" s="72" t="s">
        <v>817</v>
      </c>
      <c r="E107" s="72" t="s">
        <v>817</v>
      </c>
      <c r="F107" s="72" t="s">
        <v>817</v>
      </c>
      <c r="G107" s="22" t="s">
        <v>706</v>
      </c>
      <c r="H107" s="22">
        <v>7500</v>
      </c>
      <c r="I107" s="22">
        <v>5860</v>
      </c>
      <c r="J107" s="72">
        <v>0.21866666666666668</v>
      </c>
      <c r="K107" s="73">
        <v>3.3863457551697915</v>
      </c>
      <c r="L107" s="73">
        <v>0.35903361120129751</v>
      </c>
      <c r="M107" s="22" t="s">
        <v>815</v>
      </c>
      <c r="N107" s="80">
        <v>2004</v>
      </c>
      <c r="O107" s="22" t="s">
        <v>773</v>
      </c>
      <c r="P107" s="22" t="s">
        <v>608</v>
      </c>
      <c r="Q107" s="32" t="s">
        <v>817</v>
      </c>
      <c r="R107" s="32" t="s">
        <v>817</v>
      </c>
      <c r="S107" s="33"/>
    </row>
    <row r="108" spans="1:19" s="81" customFormat="1" ht="27" customHeight="1" x14ac:dyDescent="0.25">
      <c r="A108" s="22" t="s">
        <v>717</v>
      </c>
      <c r="B108" s="22" t="s">
        <v>944</v>
      </c>
      <c r="C108" s="72" t="s">
        <v>817</v>
      </c>
      <c r="D108" s="72" t="s">
        <v>817</v>
      </c>
      <c r="E108" s="72" t="s">
        <v>817</v>
      </c>
      <c r="F108" s="72" t="s">
        <v>817</v>
      </c>
      <c r="G108" s="22" t="s">
        <v>706</v>
      </c>
      <c r="H108" s="22">
        <v>7500</v>
      </c>
      <c r="I108" s="22">
        <v>4120</v>
      </c>
      <c r="J108" s="72">
        <v>0.45066666666666666</v>
      </c>
      <c r="K108" s="73">
        <v>3.954132143996604</v>
      </c>
      <c r="L108" s="73">
        <v>0.41618266058927117</v>
      </c>
      <c r="M108" s="22" t="s">
        <v>815</v>
      </c>
      <c r="N108" s="80">
        <v>2004</v>
      </c>
      <c r="O108" s="22" t="s">
        <v>773</v>
      </c>
      <c r="P108" s="22" t="s">
        <v>608</v>
      </c>
      <c r="Q108" s="32" t="s">
        <v>817</v>
      </c>
      <c r="R108" s="32" t="s">
        <v>817</v>
      </c>
      <c r="S108" s="33"/>
    </row>
    <row r="109" spans="1:19" s="81" customFormat="1" ht="27" customHeight="1" x14ac:dyDescent="0.25">
      <c r="A109" s="22" t="s">
        <v>712</v>
      </c>
      <c r="B109" s="22" t="s">
        <v>944</v>
      </c>
      <c r="C109" s="72" t="s">
        <v>817</v>
      </c>
      <c r="D109" s="72" t="s">
        <v>817</v>
      </c>
      <c r="E109" s="72" t="s">
        <v>817</v>
      </c>
      <c r="F109" s="72" t="s">
        <v>817</v>
      </c>
      <c r="G109" s="22" t="s">
        <v>706</v>
      </c>
      <c r="H109" s="22">
        <v>7500</v>
      </c>
      <c r="I109" s="22">
        <v>2950</v>
      </c>
      <c r="J109" s="72">
        <v>0.60666666666666669</v>
      </c>
      <c r="K109" s="73">
        <v>4.055333585621141</v>
      </c>
      <c r="L109" s="73">
        <v>0.41763784471720566</v>
      </c>
      <c r="M109" s="22" t="s">
        <v>796</v>
      </c>
      <c r="N109" s="80">
        <v>2004</v>
      </c>
      <c r="O109" s="22" t="s">
        <v>773</v>
      </c>
      <c r="P109" s="22" t="s">
        <v>608</v>
      </c>
      <c r="Q109" s="32" t="s">
        <v>817</v>
      </c>
      <c r="R109" s="32" t="s">
        <v>817</v>
      </c>
      <c r="S109" s="33"/>
    </row>
    <row r="110" spans="1:19" s="81" customFormat="1" ht="27" customHeight="1" x14ac:dyDescent="0.25">
      <c r="A110" s="22" t="s">
        <v>970</v>
      </c>
      <c r="B110" s="22" t="s">
        <v>944</v>
      </c>
      <c r="C110" s="72" t="s">
        <v>817</v>
      </c>
      <c r="D110" s="72" t="s">
        <v>817</v>
      </c>
      <c r="E110" s="72" t="s">
        <v>817</v>
      </c>
      <c r="F110" s="72" t="s">
        <v>817</v>
      </c>
      <c r="G110" s="22" t="s">
        <v>706</v>
      </c>
      <c r="H110" s="22">
        <v>7500</v>
      </c>
      <c r="I110" s="22">
        <v>1000</v>
      </c>
      <c r="J110" s="72">
        <v>0.8666666666666667</v>
      </c>
      <c r="K110" s="73">
        <v>4.0610220326667026</v>
      </c>
      <c r="L110" s="73">
        <v>0.63723835856914157</v>
      </c>
      <c r="M110" s="22" t="s">
        <v>796</v>
      </c>
      <c r="N110" s="80">
        <v>2004</v>
      </c>
      <c r="O110" s="22" t="s">
        <v>773</v>
      </c>
      <c r="P110" s="22" t="s">
        <v>608</v>
      </c>
      <c r="Q110" s="32" t="s">
        <v>817</v>
      </c>
      <c r="R110" s="32" t="s">
        <v>817</v>
      </c>
      <c r="S110" s="33"/>
    </row>
    <row r="111" spans="1:19" s="81" customFormat="1" ht="27" customHeight="1" x14ac:dyDescent="0.25">
      <c r="A111" s="22" t="s">
        <v>966</v>
      </c>
      <c r="B111" s="22" t="s">
        <v>944</v>
      </c>
      <c r="C111" s="72" t="s">
        <v>817</v>
      </c>
      <c r="D111" s="72" t="s">
        <v>817</v>
      </c>
      <c r="E111" s="72" t="s">
        <v>817</v>
      </c>
      <c r="F111" s="72" t="s">
        <v>817</v>
      </c>
      <c r="G111" s="22" t="s">
        <v>706</v>
      </c>
      <c r="H111" s="22">
        <v>7500</v>
      </c>
      <c r="I111" s="22">
        <v>325</v>
      </c>
      <c r="J111" s="72">
        <v>0.95666666666666667</v>
      </c>
      <c r="K111" s="73">
        <v>4.2192402342130375</v>
      </c>
      <c r="L111" s="73">
        <v>0.68737606624979442</v>
      </c>
      <c r="M111" s="22" t="s">
        <v>796</v>
      </c>
      <c r="N111" s="80">
        <v>2004</v>
      </c>
      <c r="O111" s="22" t="s">
        <v>773</v>
      </c>
      <c r="P111" s="22" t="s">
        <v>608</v>
      </c>
      <c r="Q111" s="32" t="s">
        <v>817</v>
      </c>
      <c r="R111" s="32" t="s">
        <v>817</v>
      </c>
      <c r="S111" s="33"/>
    </row>
    <row r="112" spans="1:19" s="81" customFormat="1" ht="27" customHeight="1" x14ac:dyDescent="0.25">
      <c r="A112" s="22" t="s">
        <v>719</v>
      </c>
      <c r="B112" s="22" t="s">
        <v>944</v>
      </c>
      <c r="C112" s="72" t="s">
        <v>817</v>
      </c>
      <c r="D112" s="72" t="s">
        <v>817</v>
      </c>
      <c r="E112" s="72" t="s">
        <v>817</v>
      </c>
      <c r="F112" s="72" t="s">
        <v>817</v>
      </c>
      <c r="G112" s="22" t="s">
        <v>706</v>
      </c>
      <c r="H112" s="22">
        <v>7500</v>
      </c>
      <c r="I112" s="22">
        <v>5860</v>
      </c>
      <c r="J112" s="72">
        <v>0.21866666666666668</v>
      </c>
      <c r="K112" s="73">
        <v>4.3364487012448532</v>
      </c>
      <c r="L112" s="73">
        <v>0.45242997432145821</v>
      </c>
      <c r="M112" s="22" t="s">
        <v>811</v>
      </c>
      <c r="N112" s="80">
        <v>2004</v>
      </c>
      <c r="O112" s="22" t="s">
        <v>773</v>
      </c>
      <c r="P112" s="22" t="s">
        <v>608</v>
      </c>
      <c r="Q112" s="32" t="s">
        <v>817</v>
      </c>
      <c r="R112" s="32" t="s">
        <v>817</v>
      </c>
      <c r="S112" s="33"/>
    </row>
    <row r="113" spans="1:19" s="81" customFormat="1" ht="27" customHeight="1" x14ac:dyDescent="0.25">
      <c r="A113" s="22" t="s">
        <v>967</v>
      </c>
      <c r="B113" s="22" t="s">
        <v>944</v>
      </c>
      <c r="C113" s="72" t="s">
        <v>817</v>
      </c>
      <c r="D113" s="72" t="s">
        <v>817</v>
      </c>
      <c r="E113" s="72" t="s">
        <v>817</v>
      </c>
      <c r="F113" s="72" t="s">
        <v>817</v>
      </c>
      <c r="G113" s="22" t="s">
        <v>706</v>
      </c>
      <c r="H113" s="22">
        <v>7500</v>
      </c>
      <c r="I113" s="22">
        <v>145</v>
      </c>
      <c r="J113" s="72">
        <v>0.98066666666666669</v>
      </c>
      <c r="K113" s="73">
        <v>4.5561815045629652</v>
      </c>
      <c r="L113" s="73">
        <v>0.72798893236578499</v>
      </c>
      <c r="M113" s="22" t="s">
        <v>796</v>
      </c>
      <c r="N113" s="80">
        <v>2004</v>
      </c>
      <c r="O113" s="22" t="s">
        <v>773</v>
      </c>
      <c r="P113" s="22" t="s">
        <v>608</v>
      </c>
      <c r="Q113" s="32" t="s">
        <v>817</v>
      </c>
      <c r="R113" s="32" t="s">
        <v>817</v>
      </c>
      <c r="S113" s="33"/>
    </row>
    <row r="114" spans="1:19" s="81" customFormat="1" ht="27" customHeight="1" x14ac:dyDescent="0.25">
      <c r="A114" s="22" t="s">
        <v>712</v>
      </c>
      <c r="B114" s="22" t="s">
        <v>944</v>
      </c>
      <c r="C114" s="72" t="s">
        <v>817</v>
      </c>
      <c r="D114" s="72" t="s">
        <v>817</v>
      </c>
      <c r="E114" s="72" t="s">
        <v>817</v>
      </c>
      <c r="F114" s="72" t="s">
        <v>817</v>
      </c>
      <c r="G114" s="22" t="s">
        <v>706</v>
      </c>
      <c r="H114" s="22">
        <v>7500</v>
      </c>
      <c r="I114" s="22">
        <v>2950</v>
      </c>
      <c r="J114" s="72">
        <v>0.60666666666666669</v>
      </c>
      <c r="K114" s="73">
        <v>4.8296238311484787</v>
      </c>
      <c r="L114" s="73">
        <v>0.48391486727131405</v>
      </c>
      <c r="M114" s="22" t="s">
        <v>815</v>
      </c>
      <c r="N114" s="80">
        <v>2004</v>
      </c>
      <c r="O114" s="22" t="s">
        <v>773</v>
      </c>
      <c r="P114" s="22" t="s">
        <v>608</v>
      </c>
      <c r="Q114" s="32" t="s">
        <v>817</v>
      </c>
      <c r="R114" s="32" t="s">
        <v>817</v>
      </c>
      <c r="S114" s="33"/>
    </row>
    <row r="115" spans="1:19" s="81" customFormat="1" ht="27" customHeight="1" x14ac:dyDescent="0.25">
      <c r="A115" s="22" t="s">
        <v>965</v>
      </c>
      <c r="B115" s="22" t="s">
        <v>944</v>
      </c>
      <c r="C115" s="72" t="s">
        <v>817</v>
      </c>
      <c r="D115" s="72" t="s">
        <v>817</v>
      </c>
      <c r="E115" s="72" t="s">
        <v>817</v>
      </c>
      <c r="F115" s="72" t="s">
        <v>817</v>
      </c>
      <c r="G115" s="22" t="s">
        <v>706</v>
      </c>
      <c r="H115" s="22">
        <v>7500</v>
      </c>
      <c r="I115" s="22">
        <v>1000</v>
      </c>
      <c r="J115" s="72">
        <v>0.8666666666666667</v>
      </c>
      <c r="K115" s="73">
        <v>4.8296238311484787</v>
      </c>
      <c r="L115" s="73">
        <v>0.70351538112324985</v>
      </c>
      <c r="M115" s="22" t="s">
        <v>815</v>
      </c>
      <c r="N115" s="80">
        <v>2004</v>
      </c>
      <c r="O115" s="22" t="s">
        <v>773</v>
      </c>
      <c r="P115" s="22" t="s">
        <v>608</v>
      </c>
      <c r="Q115" s="32" t="s">
        <v>817</v>
      </c>
      <c r="R115" s="32" t="s">
        <v>817</v>
      </c>
      <c r="S115" s="33"/>
    </row>
    <row r="116" spans="1:19" s="81" customFormat="1" ht="27" customHeight="1" x14ac:dyDescent="0.25">
      <c r="A116" s="22" t="s">
        <v>966</v>
      </c>
      <c r="B116" s="22" t="s">
        <v>944</v>
      </c>
      <c r="C116" s="72" t="s">
        <v>817</v>
      </c>
      <c r="D116" s="72" t="s">
        <v>817</v>
      </c>
      <c r="E116" s="72" t="s">
        <v>817</v>
      </c>
      <c r="F116" s="72" t="s">
        <v>817</v>
      </c>
      <c r="G116" s="22" t="s">
        <v>706</v>
      </c>
      <c r="H116" s="22">
        <v>7500</v>
      </c>
      <c r="I116" s="22">
        <v>325</v>
      </c>
      <c r="J116" s="72">
        <v>0.95666666666666667</v>
      </c>
      <c r="K116" s="73">
        <v>4.9894295062889231</v>
      </c>
      <c r="L116" s="73">
        <v>0.75352079933772687</v>
      </c>
      <c r="M116" s="22" t="s">
        <v>815</v>
      </c>
      <c r="N116" s="80">
        <v>2004</v>
      </c>
      <c r="O116" s="22" t="s">
        <v>773</v>
      </c>
      <c r="P116" s="22" t="s">
        <v>608</v>
      </c>
      <c r="Q116" s="32" t="s">
        <v>817</v>
      </c>
      <c r="R116" s="32" t="s">
        <v>817</v>
      </c>
      <c r="S116" s="33"/>
    </row>
    <row r="117" spans="1:19" s="81" customFormat="1" ht="27" customHeight="1" x14ac:dyDescent="0.25">
      <c r="A117" s="22" t="s">
        <v>717</v>
      </c>
      <c r="B117" s="22" t="s">
        <v>944</v>
      </c>
      <c r="C117" s="72" t="s">
        <v>817</v>
      </c>
      <c r="D117" s="72" t="s">
        <v>817</v>
      </c>
      <c r="E117" s="72" t="s">
        <v>817</v>
      </c>
      <c r="F117" s="72" t="s">
        <v>817</v>
      </c>
      <c r="G117" s="22" t="s">
        <v>706</v>
      </c>
      <c r="H117" s="22">
        <v>7500</v>
      </c>
      <c r="I117" s="22">
        <v>4120</v>
      </c>
      <c r="J117" s="72">
        <v>0.45066666666666666</v>
      </c>
      <c r="K117" s="73">
        <v>5.1096806310427842</v>
      </c>
      <c r="L117" s="73">
        <v>0.52783497004170121</v>
      </c>
      <c r="M117" s="22" t="s">
        <v>811</v>
      </c>
      <c r="N117" s="80">
        <v>2004</v>
      </c>
      <c r="O117" s="22" t="s">
        <v>773</v>
      </c>
      <c r="P117" s="22" t="s">
        <v>608</v>
      </c>
      <c r="Q117" s="32" t="s">
        <v>817</v>
      </c>
      <c r="R117" s="32" t="s">
        <v>817</v>
      </c>
      <c r="S117" s="33"/>
    </row>
    <row r="118" spans="1:19" s="81" customFormat="1" ht="27" customHeight="1" x14ac:dyDescent="0.25">
      <c r="A118" s="22" t="s">
        <v>719</v>
      </c>
      <c r="B118" s="22" t="s">
        <v>944</v>
      </c>
      <c r="C118" s="72" t="s">
        <v>817</v>
      </c>
      <c r="D118" s="72" t="s">
        <v>817</v>
      </c>
      <c r="E118" s="72" t="s">
        <v>817</v>
      </c>
      <c r="F118" s="72" t="s">
        <v>817</v>
      </c>
      <c r="G118" s="22" t="s">
        <v>706</v>
      </c>
      <c r="H118" s="22">
        <v>7500</v>
      </c>
      <c r="I118" s="22">
        <v>5860</v>
      </c>
      <c r="J118" s="72">
        <v>0.21866666666666668</v>
      </c>
      <c r="K118" s="73">
        <v>5.2294025979319425</v>
      </c>
      <c r="L118" s="73">
        <v>0.54635549530632233</v>
      </c>
      <c r="M118" s="22" t="s">
        <v>808</v>
      </c>
      <c r="N118" s="80">
        <v>2004</v>
      </c>
      <c r="O118" s="22" t="s">
        <v>773</v>
      </c>
      <c r="P118" s="22" t="s">
        <v>608</v>
      </c>
      <c r="Q118" s="32" t="s">
        <v>817</v>
      </c>
      <c r="R118" s="32" t="s">
        <v>817</v>
      </c>
      <c r="S118" s="33"/>
    </row>
    <row r="119" spans="1:19" s="81" customFormat="1" ht="27" customHeight="1" x14ac:dyDescent="0.25">
      <c r="A119" s="22" t="s">
        <v>968</v>
      </c>
      <c r="B119" s="22" t="s">
        <v>944</v>
      </c>
      <c r="C119" s="72" t="s">
        <v>817</v>
      </c>
      <c r="D119" s="72" t="s">
        <v>817</v>
      </c>
      <c r="E119" s="72" t="s">
        <v>817</v>
      </c>
      <c r="F119" s="72" t="s">
        <v>817</v>
      </c>
      <c r="G119" s="22" t="s">
        <v>706</v>
      </c>
      <c r="H119" s="22">
        <v>7500</v>
      </c>
      <c r="I119" s="22">
        <v>100</v>
      </c>
      <c r="J119" s="72">
        <v>0.98666666666666669</v>
      </c>
      <c r="K119" s="73">
        <v>5.4364356124971716</v>
      </c>
      <c r="L119" s="73">
        <v>0.78818063947580352</v>
      </c>
      <c r="M119" s="22" t="s">
        <v>796</v>
      </c>
      <c r="N119" s="80">
        <v>2004</v>
      </c>
      <c r="O119" s="22" t="s">
        <v>773</v>
      </c>
      <c r="P119" s="22" t="s">
        <v>608</v>
      </c>
      <c r="Q119" s="32" t="s">
        <v>817</v>
      </c>
      <c r="R119" s="32" t="s">
        <v>817</v>
      </c>
      <c r="S119" s="33"/>
    </row>
    <row r="120" spans="1:19" s="81" customFormat="1" ht="27" customHeight="1" x14ac:dyDescent="0.25">
      <c r="A120" s="22" t="s">
        <v>967</v>
      </c>
      <c r="B120" s="22" t="s">
        <v>944</v>
      </c>
      <c r="C120" s="72" t="s">
        <v>817</v>
      </c>
      <c r="D120" s="72" t="s">
        <v>817</v>
      </c>
      <c r="E120" s="72" t="s">
        <v>817</v>
      </c>
      <c r="F120" s="72" t="s">
        <v>817</v>
      </c>
      <c r="G120" s="22" t="s">
        <v>706</v>
      </c>
      <c r="H120" s="22">
        <v>7500</v>
      </c>
      <c r="I120" s="22">
        <v>145</v>
      </c>
      <c r="J120" s="72">
        <v>0.98066666666666669</v>
      </c>
      <c r="K120" s="73">
        <v>5.4606445848073539</v>
      </c>
      <c r="L120" s="73">
        <v>0.80167416502574174</v>
      </c>
      <c r="M120" s="22" t="s">
        <v>815</v>
      </c>
      <c r="N120" s="80">
        <v>2004</v>
      </c>
      <c r="O120" s="22" t="s">
        <v>773</v>
      </c>
      <c r="P120" s="22" t="s">
        <v>608</v>
      </c>
      <c r="Q120" s="32" t="s">
        <v>817</v>
      </c>
      <c r="R120" s="32" t="s">
        <v>817</v>
      </c>
      <c r="S120" s="33"/>
    </row>
    <row r="121" spans="1:19" s="81" customFormat="1" ht="27" customHeight="1" x14ac:dyDescent="0.25">
      <c r="A121" s="22" t="s">
        <v>712</v>
      </c>
      <c r="B121" s="22" t="s">
        <v>944</v>
      </c>
      <c r="C121" s="72" t="s">
        <v>817</v>
      </c>
      <c r="D121" s="72" t="s">
        <v>817</v>
      </c>
      <c r="E121" s="72" t="s">
        <v>817</v>
      </c>
      <c r="F121" s="72" t="s">
        <v>817</v>
      </c>
      <c r="G121" s="22" t="s">
        <v>706</v>
      </c>
      <c r="H121" s="22">
        <v>7500</v>
      </c>
      <c r="I121" s="22">
        <v>2950</v>
      </c>
      <c r="J121" s="72">
        <v>0.60666666666666669</v>
      </c>
      <c r="K121" s="73">
        <v>6.0641491295016499</v>
      </c>
      <c r="L121" s="73">
        <v>0.60390141309282364</v>
      </c>
      <c r="M121" s="22" t="s">
        <v>811</v>
      </c>
      <c r="N121" s="80">
        <v>2004</v>
      </c>
      <c r="O121" s="22" t="s">
        <v>773</v>
      </c>
      <c r="P121" s="22" t="s">
        <v>608</v>
      </c>
      <c r="Q121" s="32" t="s">
        <v>817</v>
      </c>
      <c r="R121" s="32" t="s">
        <v>817</v>
      </c>
      <c r="S121" s="33"/>
    </row>
    <row r="122" spans="1:19" s="81" customFormat="1" ht="27" customHeight="1" x14ac:dyDescent="0.25">
      <c r="A122" s="22" t="s">
        <v>965</v>
      </c>
      <c r="B122" s="22" t="s">
        <v>944</v>
      </c>
      <c r="C122" s="72" t="s">
        <v>817</v>
      </c>
      <c r="D122" s="72" t="s">
        <v>817</v>
      </c>
      <c r="E122" s="72" t="s">
        <v>817</v>
      </c>
      <c r="F122" s="72" t="s">
        <v>817</v>
      </c>
      <c r="G122" s="22" t="s">
        <v>706</v>
      </c>
      <c r="H122" s="22">
        <v>7500</v>
      </c>
      <c r="I122" s="22">
        <v>1000</v>
      </c>
      <c r="J122" s="72">
        <v>0.8666666666666667</v>
      </c>
      <c r="K122" s="73">
        <v>6.0747322867957187</v>
      </c>
      <c r="L122" s="73">
        <v>0.82416337427563868</v>
      </c>
      <c r="M122" s="22" t="s">
        <v>811</v>
      </c>
      <c r="N122" s="80">
        <v>2004</v>
      </c>
      <c r="O122" s="22" t="s">
        <v>773</v>
      </c>
      <c r="P122" s="22" t="s">
        <v>608</v>
      </c>
      <c r="Q122" s="32" t="s">
        <v>817</v>
      </c>
      <c r="R122" s="32" t="s">
        <v>817</v>
      </c>
      <c r="S122" s="33"/>
    </row>
    <row r="123" spans="1:19" s="81" customFormat="1" ht="27" customHeight="1" x14ac:dyDescent="0.25">
      <c r="A123" s="22" t="s">
        <v>717</v>
      </c>
      <c r="B123" s="22" t="s">
        <v>944</v>
      </c>
      <c r="C123" s="72" t="s">
        <v>817</v>
      </c>
      <c r="D123" s="72" t="s">
        <v>817</v>
      </c>
      <c r="E123" s="72" t="s">
        <v>817</v>
      </c>
      <c r="F123" s="72" t="s">
        <v>817</v>
      </c>
      <c r="G123" s="22" t="s">
        <v>706</v>
      </c>
      <c r="H123" s="22">
        <v>7500</v>
      </c>
      <c r="I123" s="22">
        <v>4120</v>
      </c>
      <c r="J123" s="72">
        <v>0.45066666666666666</v>
      </c>
      <c r="K123" s="73">
        <v>6.196438595677515</v>
      </c>
      <c r="L123" s="73">
        <v>0.641603910952945</v>
      </c>
      <c r="M123" s="22" t="s">
        <v>808</v>
      </c>
      <c r="N123" s="80">
        <v>2004</v>
      </c>
      <c r="O123" s="22" t="s">
        <v>773</v>
      </c>
      <c r="P123" s="22" t="s">
        <v>608</v>
      </c>
      <c r="Q123" s="32" t="s">
        <v>817</v>
      </c>
      <c r="R123" s="32" t="s">
        <v>817</v>
      </c>
      <c r="S123" s="33"/>
    </row>
    <row r="124" spans="1:19" s="81" customFormat="1" ht="27" customHeight="1" x14ac:dyDescent="0.25">
      <c r="A124" s="22" t="s">
        <v>966</v>
      </c>
      <c r="B124" s="22" t="s">
        <v>944</v>
      </c>
      <c r="C124" s="72" t="s">
        <v>817</v>
      </c>
      <c r="D124" s="72" t="s">
        <v>817</v>
      </c>
      <c r="E124" s="72" t="s">
        <v>817</v>
      </c>
      <c r="F124" s="72" t="s">
        <v>817</v>
      </c>
      <c r="G124" s="22" t="s">
        <v>706</v>
      </c>
      <c r="H124" s="22">
        <v>7500</v>
      </c>
      <c r="I124" s="22">
        <v>325</v>
      </c>
      <c r="J124" s="72">
        <v>0.95666666666666667</v>
      </c>
      <c r="K124" s="73">
        <v>6.2334796462067574</v>
      </c>
      <c r="L124" s="73">
        <v>0.87443337142246735</v>
      </c>
      <c r="M124" s="22" t="s">
        <v>811</v>
      </c>
      <c r="N124" s="80">
        <v>2004</v>
      </c>
      <c r="O124" s="22" t="s">
        <v>773</v>
      </c>
      <c r="P124" s="22" t="s">
        <v>608</v>
      </c>
      <c r="Q124" s="32" t="s">
        <v>817</v>
      </c>
      <c r="R124" s="32" t="s">
        <v>817</v>
      </c>
      <c r="S124" s="33"/>
    </row>
    <row r="125" spans="1:19" s="81" customFormat="1" ht="27" customHeight="1" x14ac:dyDescent="0.25">
      <c r="A125" s="22" t="s">
        <v>968</v>
      </c>
      <c r="B125" s="22" t="s">
        <v>944</v>
      </c>
      <c r="C125" s="72" t="s">
        <v>817</v>
      </c>
      <c r="D125" s="72" t="s">
        <v>817</v>
      </c>
      <c r="E125" s="72" t="s">
        <v>817</v>
      </c>
      <c r="F125" s="72" t="s">
        <v>817</v>
      </c>
      <c r="G125" s="22" t="s">
        <v>706</v>
      </c>
      <c r="H125" s="22">
        <v>7500</v>
      </c>
      <c r="I125" s="22">
        <v>100</v>
      </c>
      <c r="J125" s="72">
        <v>0.98666666666666669</v>
      </c>
      <c r="K125" s="73">
        <v>6.2935390638505995</v>
      </c>
      <c r="L125" s="73">
        <v>0.8627918983989914</v>
      </c>
      <c r="M125" s="22" t="s">
        <v>815</v>
      </c>
      <c r="N125" s="80">
        <v>2004</v>
      </c>
      <c r="O125" s="22" t="s">
        <v>773</v>
      </c>
      <c r="P125" s="22" t="s">
        <v>608</v>
      </c>
      <c r="Q125" s="32" t="s">
        <v>817</v>
      </c>
      <c r="R125" s="32" t="s">
        <v>817</v>
      </c>
      <c r="S125" s="33"/>
    </row>
    <row r="126" spans="1:19" s="81" customFormat="1" ht="27" customHeight="1" x14ac:dyDescent="0.25">
      <c r="A126" s="22" t="s">
        <v>969</v>
      </c>
      <c r="B126" s="22" t="s">
        <v>944</v>
      </c>
      <c r="C126" s="72" t="s">
        <v>817</v>
      </c>
      <c r="D126" s="72" t="s">
        <v>817</v>
      </c>
      <c r="E126" s="72" t="s">
        <v>817</v>
      </c>
      <c r="F126" s="72" t="s">
        <v>817</v>
      </c>
      <c r="G126" s="22" t="s">
        <v>706</v>
      </c>
      <c r="H126" s="22">
        <v>7500</v>
      </c>
      <c r="I126" s="22">
        <v>50</v>
      </c>
      <c r="J126" s="72">
        <v>0.99333333333333329</v>
      </c>
      <c r="K126" s="73">
        <v>6.4316492665382023</v>
      </c>
      <c r="L126" s="73">
        <v>1.2957753211925973</v>
      </c>
      <c r="M126" s="22" t="s">
        <v>796</v>
      </c>
      <c r="N126" s="80">
        <v>2004</v>
      </c>
      <c r="O126" s="22" t="s">
        <v>773</v>
      </c>
      <c r="P126" s="22" t="s">
        <v>608</v>
      </c>
      <c r="Q126" s="32" t="s">
        <v>817</v>
      </c>
      <c r="R126" s="32" t="s">
        <v>817</v>
      </c>
      <c r="S126" s="33"/>
    </row>
    <row r="127" spans="1:19" s="81" customFormat="1" ht="27" customHeight="1" x14ac:dyDescent="0.25">
      <c r="A127" s="22" t="s">
        <v>967</v>
      </c>
      <c r="B127" s="22" t="s">
        <v>944</v>
      </c>
      <c r="C127" s="72" t="s">
        <v>817</v>
      </c>
      <c r="D127" s="72" t="s">
        <v>817</v>
      </c>
      <c r="E127" s="72" t="s">
        <v>817</v>
      </c>
      <c r="F127" s="72" t="s">
        <v>817</v>
      </c>
      <c r="G127" s="22" t="s">
        <v>706</v>
      </c>
      <c r="H127" s="22">
        <v>7500</v>
      </c>
      <c r="I127" s="22">
        <v>145</v>
      </c>
      <c r="J127" s="72">
        <v>0.98066666666666669</v>
      </c>
      <c r="K127" s="73">
        <v>6.6184419927785241</v>
      </c>
      <c r="L127" s="73">
        <v>0.91808889526050297</v>
      </c>
      <c r="M127" s="22" t="s">
        <v>811</v>
      </c>
      <c r="N127" s="80">
        <v>2004</v>
      </c>
      <c r="O127" s="22" t="s">
        <v>773</v>
      </c>
      <c r="P127" s="22" t="s">
        <v>608</v>
      </c>
      <c r="Q127" s="32" t="s">
        <v>817</v>
      </c>
      <c r="R127" s="32" t="s">
        <v>817</v>
      </c>
      <c r="S127" s="33"/>
    </row>
    <row r="128" spans="1:19" s="81" customFormat="1" ht="27" customHeight="1" x14ac:dyDescent="0.25">
      <c r="A128" s="22" t="s">
        <v>712</v>
      </c>
      <c r="B128" s="22" t="s">
        <v>944</v>
      </c>
      <c r="C128" s="72" t="s">
        <v>817</v>
      </c>
      <c r="D128" s="72" t="s">
        <v>817</v>
      </c>
      <c r="E128" s="72" t="s">
        <v>817</v>
      </c>
      <c r="F128" s="72" t="s">
        <v>817</v>
      </c>
      <c r="G128" s="22" t="s">
        <v>706</v>
      </c>
      <c r="H128" s="22">
        <v>7500</v>
      </c>
      <c r="I128" s="22">
        <v>2950</v>
      </c>
      <c r="J128" s="72">
        <v>0.60666666666666669</v>
      </c>
      <c r="K128" s="73">
        <v>7.2124216959081577</v>
      </c>
      <c r="L128" s="73">
        <v>0.71833180133494678</v>
      </c>
      <c r="M128" s="22" t="s">
        <v>808</v>
      </c>
      <c r="N128" s="80">
        <v>2004</v>
      </c>
      <c r="O128" s="22" t="s">
        <v>773</v>
      </c>
      <c r="P128" s="22" t="s">
        <v>608</v>
      </c>
      <c r="Q128" s="32" t="s">
        <v>817</v>
      </c>
      <c r="R128" s="32" t="s">
        <v>817</v>
      </c>
      <c r="S128" s="33"/>
    </row>
    <row r="129" spans="1:19" s="81" customFormat="1" ht="27" customHeight="1" x14ac:dyDescent="0.25">
      <c r="A129" s="22" t="s">
        <v>965</v>
      </c>
      <c r="B129" s="22" t="s">
        <v>944</v>
      </c>
      <c r="C129" s="72" t="s">
        <v>817</v>
      </c>
      <c r="D129" s="72" t="s">
        <v>817</v>
      </c>
      <c r="E129" s="72" t="s">
        <v>817</v>
      </c>
      <c r="F129" s="72" t="s">
        <v>817</v>
      </c>
      <c r="G129" s="22" t="s">
        <v>706</v>
      </c>
      <c r="H129" s="22">
        <v>7500</v>
      </c>
      <c r="I129" s="22">
        <v>1000</v>
      </c>
      <c r="J129" s="72">
        <v>0.8666666666666667</v>
      </c>
      <c r="K129" s="73">
        <v>7.2296193265110213</v>
      </c>
      <c r="L129" s="73">
        <v>0.93925520984864119</v>
      </c>
      <c r="M129" s="22" t="s">
        <v>808</v>
      </c>
      <c r="N129" s="80">
        <v>2004</v>
      </c>
      <c r="O129" s="22" t="s">
        <v>773</v>
      </c>
      <c r="P129" s="22" t="s">
        <v>608</v>
      </c>
      <c r="Q129" s="32" t="s">
        <v>817</v>
      </c>
      <c r="R129" s="32" t="s">
        <v>817</v>
      </c>
      <c r="S129" s="33"/>
    </row>
    <row r="130" spans="1:19" s="81" customFormat="1" ht="27" customHeight="1" x14ac:dyDescent="0.25">
      <c r="A130" s="22" t="s">
        <v>969</v>
      </c>
      <c r="B130" s="22" t="s">
        <v>944</v>
      </c>
      <c r="C130" s="72" t="s">
        <v>817</v>
      </c>
      <c r="D130" s="72" t="s">
        <v>817</v>
      </c>
      <c r="E130" s="72" t="s">
        <v>817</v>
      </c>
      <c r="F130" s="72" t="s">
        <v>817</v>
      </c>
      <c r="G130" s="22" t="s">
        <v>706</v>
      </c>
      <c r="H130" s="22">
        <v>7500</v>
      </c>
      <c r="I130" s="22">
        <v>50</v>
      </c>
      <c r="J130" s="72">
        <v>0.99333333333333329</v>
      </c>
      <c r="K130" s="73">
        <v>7.3370383730458224</v>
      </c>
      <c r="L130" s="73">
        <v>0.9736504710543662</v>
      </c>
      <c r="M130" s="22" t="s">
        <v>815</v>
      </c>
      <c r="N130" s="80">
        <v>2004</v>
      </c>
      <c r="O130" s="22" t="s">
        <v>773</v>
      </c>
      <c r="P130" s="22" t="s">
        <v>608</v>
      </c>
      <c r="Q130" s="32" t="s">
        <v>817</v>
      </c>
      <c r="R130" s="32" t="s">
        <v>817</v>
      </c>
      <c r="S130" s="33"/>
    </row>
    <row r="131" spans="1:19" s="81" customFormat="1" ht="27" customHeight="1" x14ac:dyDescent="0.25">
      <c r="A131" s="22" t="s">
        <v>966</v>
      </c>
      <c r="B131" s="22" t="s">
        <v>944</v>
      </c>
      <c r="C131" s="72" t="s">
        <v>817</v>
      </c>
      <c r="D131" s="72" t="s">
        <v>817</v>
      </c>
      <c r="E131" s="72" t="s">
        <v>817</v>
      </c>
      <c r="F131" s="72" t="s">
        <v>817</v>
      </c>
      <c r="G131" s="22" t="s">
        <v>706</v>
      </c>
      <c r="H131" s="22">
        <v>7500</v>
      </c>
      <c r="I131" s="22">
        <v>325</v>
      </c>
      <c r="J131" s="72">
        <v>0.95666666666666667</v>
      </c>
      <c r="K131" s="73">
        <v>7.4121787898337139</v>
      </c>
      <c r="L131" s="73">
        <v>0.9921709963189872</v>
      </c>
      <c r="M131" s="22" t="s">
        <v>808</v>
      </c>
      <c r="N131" s="80">
        <v>2004</v>
      </c>
      <c r="O131" s="22" t="s">
        <v>773</v>
      </c>
      <c r="P131" s="22" t="s">
        <v>608</v>
      </c>
      <c r="Q131" s="32" t="s">
        <v>817</v>
      </c>
      <c r="R131" s="32" t="s">
        <v>817</v>
      </c>
      <c r="S131" s="33"/>
    </row>
    <row r="132" spans="1:19" s="81" customFormat="1" ht="27" customHeight="1" x14ac:dyDescent="0.25">
      <c r="A132" s="22" t="s">
        <v>968</v>
      </c>
      <c r="B132" s="22" t="s">
        <v>944</v>
      </c>
      <c r="C132" s="72" t="s">
        <v>817</v>
      </c>
      <c r="D132" s="72" t="s">
        <v>817</v>
      </c>
      <c r="E132" s="72" t="s">
        <v>817</v>
      </c>
      <c r="F132" s="72" t="s">
        <v>817</v>
      </c>
      <c r="G132" s="22" t="s">
        <v>706</v>
      </c>
      <c r="H132" s="22">
        <v>7500</v>
      </c>
      <c r="I132" s="22">
        <v>100</v>
      </c>
      <c r="J132" s="72">
        <v>0.98666666666666669</v>
      </c>
      <c r="K132" s="73">
        <v>7.472370496943733</v>
      </c>
      <c r="L132" s="73">
        <v>0.98621797034107339</v>
      </c>
      <c r="M132" s="22" t="s">
        <v>811</v>
      </c>
      <c r="N132" s="80">
        <v>2004</v>
      </c>
      <c r="O132" s="22" t="s">
        <v>773</v>
      </c>
      <c r="P132" s="22" t="s">
        <v>608</v>
      </c>
      <c r="Q132" s="32" t="s">
        <v>817</v>
      </c>
      <c r="R132" s="32" t="s">
        <v>817</v>
      </c>
      <c r="S132" s="33"/>
    </row>
    <row r="133" spans="1:19" s="81" customFormat="1" ht="27" customHeight="1" x14ac:dyDescent="0.25">
      <c r="A133" s="22" t="s">
        <v>969</v>
      </c>
      <c r="B133" s="22" t="s">
        <v>944</v>
      </c>
      <c r="C133" s="72" t="s">
        <v>817</v>
      </c>
      <c r="D133" s="72" t="s">
        <v>817</v>
      </c>
      <c r="E133" s="72" t="s">
        <v>817</v>
      </c>
      <c r="F133" s="72" t="s">
        <v>817</v>
      </c>
      <c r="G133" s="22" t="s">
        <v>706</v>
      </c>
      <c r="H133" s="22">
        <v>7500</v>
      </c>
      <c r="I133" s="22">
        <v>50</v>
      </c>
      <c r="J133" s="72">
        <v>0.99333333333333329</v>
      </c>
      <c r="K133" s="73">
        <v>7.4862608908921988</v>
      </c>
      <c r="L133" s="73">
        <v>1.0331807308335055</v>
      </c>
      <c r="M133" s="22" t="s">
        <v>811</v>
      </c>
      <c r="N133" s="80">
        <v>2004</v>
      </c>
      <c r="O133" s="22" t="s">
        <v>773</v>
      </c>
      <c r="P133" s="22" t="s">
        <v>608</v>
      </c>
      <c r="Q133" s="32" t="s">
        <v>817</v>
      </c>
      <c r="R133" s="32" t="s">
        <v>817</v>
      </c>
      <c r="S133" s="33"/>
    </row>
    <row r="134" spans="1:19" s="81" customFormat="1" ht="27" customHeight="1" x14ac:dyDescent="0.25">
      <c r="A134" s="22" t="s">
        <v>967</v>
      </c>
      <c r="B134" s="22" t="s">
        <v>944</v>
      </c>
      <c r="C134" s="72" t="s">
        <v>817</v>
      </c>
      <c r="D134" s="72" t="s">
        <v>817</v>
      </c>
      <c r="E134" s="72" t="s">
        <v>817</v>
      </c>
      <c r="F134" s="72" t="s">
        <v>817</v>
      </c>
      <c r="G134" s="22" t="s">
        <v>706</v>
      </c>
      <c r="H134" s="22">
        <v>7500</v>
      </c>
      <c r="I134" s="22">
        <v>145</v>
      </c>
      <c r="J134" s="72">
        <v>0.98066666666666669</v>
      </c>
      <c r="K134" s="73">
        <v>7.7680374538467918</v>
      </c>
      <c r="L134" s="73">
        <v>1.0345036254952642</v>
      </c>
      <c r="M134" s="22" t="s">
        <v>808</v>
      </c>
      <c r="N134" s="80">
        <v>2004</v>
      </c>
      <c r="O134" s="22" t="s">
        <v>773</v>
      </c>
      <c r="P134" s="22" t="s">
        <v>608</v>
      </c>
      <c r="Q134" s="32" t="s">
        <v>817</v>
      </c>
      <c r="R134" s="32" t="s">
        <v>817</v>
      </c>
      <c r="S134" s="33"/>
    </row>
    <row r="135" spans="1:19" s="81" customFormat="1" ht="27" customHeight="1" x14ac:dyDescent="0.25">
      <c r="A135" s="22" t="s">
        <v>968</v>
      </c>
      <c r="B135" s="22" t="s">
        <v>944</v>
      </c>
      <c r="C135" s="72" t="s">
        <v>817</v>
      </c>
      <c r="D135" s="72" t="s">
        <v>817</v>
      </c>
      <c r="E135" s="72" t="s">
        <v>817</v>
      </c>
      <c r="F135" s="72" t="s">
        <v>817</v>
      </c>
      <c r="G135" s="22" t="s">
        <v>706</v>
      </c>
      <c r="H135" s="22">
        <v>7500</v>
      </c>
      <c r="I135" s="22">
        <v>100</v>
      </c>
      <c r="J135" s="72">
        <v>0.98666666666666669</v>
      </c>
      <c r="K135" s="73">
        <v>8.7152300316659836</v>
      </c>
      <c r="L135" s="73">
        <v>1.1165230945243003</v>
      </c>
      <c r="M135" s="22" t="s">
        <v>808</v>
      </c>
      <c r="N135" s="80">
        <v>2004</v>
      </c>
      <c r="O135" s="22" t="s">
        <v>773</v>
      </c>
      <c r="P135" s="22" t="s">
        <v>608</v>
      </c>
      <c r="Q135" s="32" t="s">
        <v>817</v>
      </c>
      <c r="R135" s="32" t="s">
        <v>817</v>
      </c>
      <c r="S135" s="33"/>
    </row>
    <row r="136" spans="1:19" s="81" customFormat="1" ht="27" customHeight="1" x14ac:dyDescent="0.25">
      <c r="A136" s="22" t="s">
        <v>969</v>
      </c>
      <c r="B136" s="22" t="s">
        <v>944</v>
      </c>
      <c r="C136" s="72" t="s">
        <v>817</v>
      </c>
      <c r="D136" s="72" t="s">
        <v>817</v>
      </c>
      <c r="E136" s="72" t="s">
        <v>817</v>
      </c>
      <c r="F136" s="72" t="s">
        <v>817</v>
      </c>
      <c r="G136" s="22" t="s">
        <v>706</v>
      </c>
      <c r="H136" s="22">
        <v>7500</v>
      </c>
      <c r="I136" s="22">
        <v>50</v>
      </c>
      <c r="J136" s="72">
        <v>0.99333333333333329</v>
      </c>
      <c r="K136" s="73">
        <v>9.6293502429412108</v>
      </c>
      <c r="L136" s="73">
        <v>1.2144172994944404</v>
      </c>
      <c r="M136" s="22" t="s">
        <v>808</v>
      </c>
      <c r="N136" s="80">
        <v>2004</v>
      </c>
      <c r="O136" s="22" t="s">
        <v>773</v>
      </c>
      <c r="P136" s="22" t="s">
        <v>608</v>
      </c>
      <c r="Q136" s="32" t="s">
        <v>817</v>
      </c>
      <c r="R136" s="32" t="s">
        <v>817</v>
      </c>
      <c r="S136" s="33"/>
    </row>
    <row r="137" spans="1:19" s="81" customFormat="1" ht="27" customHeight="1" x14ac:dyDescent="0.25">
      <c r="A137" s="22" t="s">
        <v>719</v>
      </c>
      <c r="B137" s="22" t="s">
        <v>944</v>
      </c>
      <c r="C137" s="72" t="s">
        <v>817</v>
      </c>
      <c r="D137" s="72" t="s">
        <v>817</v>
      </c>
      <c r="E137" s="72" t="s">
        <v>817</v>
      </c>
      <c r="F137" s="72" t="s">
        <v>817</v>
      </c>
      <c r="G137" s="22" t="s">
        <v>706</v>
      </c>
      <c r="H137" s="22">
        <v>7500</v>
      </c>
      <c r="I137" s="22">
        <v>5860</v>
      </c>
      <c r="J137" s="72">
        <v>0.21866666666666668</v>
      </c>
      <c r="K137" s="73">
        <v>9.7365047105436631</v>
      </c>
      <c r="L137" s="73">
        <v>1.230292035435544</v>
      </c>
      <c r="M137" s="22" t="s">
        <v>804</v>
      </c>
      <c r="N137" s="80">
        <v>2004</v>
      </c>
      <c r="O137" s="22" t="s">
        <v>773</v>
      </c>
      <c r="P137" s="22" t="s">
        <v>608</v>
      </c>
      <c r="Q137" s="32" t="s">
        <v>817</v>
      </c>
      <c r="R137" s="32" t="s">
        <v>817</v>
      </c>
      <c r="S137" s="33"/>
    </row>
    <row r="138" spans="1:19" s="81" customFormat="1" ht="27" customHeight="1" x14ac:dyDescent="0.25">
      <c r="A138" s="22" t="s">
        <v>717</v>
      </c>
      <c r="B138" s="22" t="s">
        <v>944</v>
      </c>
      <c r="C138" s="72" t="s">
        <v>817</v>
      </c>
      <c r="D138" s="72" t="s">
        <v>817</v>
      </c>
      <c r="E138" s="72" t="s">
        <v>817</v>
      </c>
      <c r="F138" s="72" t="s">
        <v>817</v>
      </c>
      <c r="G138" s="22" t="s">
        <v>706</v>
      </c>
      <c r="H138" s="22">
        <v>7500</v>
      </c>
      <c r="I138" s="22">
        <v>4120</v>
      </c>
      <c r="J138" s="72">
        <v>0.45066666666666666</v>
      </c>
      <c r="K138" s="73">
        <v>11.826678276122328</v>
      </c>
      <c r="L138" s="73">
        <v>1.4419551813169282</v>
      </c>
      <c r="M138" s="22" t="s">
        <v>804</v>
      </c>
      <c r="N138" s="80">
        <v>2004</v>
      </c>
      <c r="O138" s="22" t="s">
        <v>773</v>
      </c>
      <c r="P138" s="22" t="s">
        <v>608</v>
      </c>
      <c r="Q138" s="32" t="s">
        <v>817</v>
      </c>
      <c r="R138" s="32" t="s">
        <v>817</v>
      </c>
      <c r="S138" s="33"/>
    </row>
    <row r="139" spans="1:19" s="81" customFormat="1" ht="27" customHeight="1" x14ac:dyDescent="0.25">
      <c r="A139" s="22" t="s">
        <v>712</v>
      </c>
      <c r="B139" s="22" t="s">
        <v>944</v>
      </c>
      <c r="C139" s="72" t="s">
        <v>817</v>
      </c>
      <c r="D139" s="72" t="s">
        <v>817</v>
      </c>
      <c r="E139" s="72" t="s">
        <v>817</v>
      </c>
      <c r="F139" s="72" t="s">
        <v>817</v>
      </c>
      <c r="G139" s="22" t="s">
        <v>706</v>
      </c>
      <c r="H139" s="22">
        <v>7500</v>
      </c>
      <c r="I139" s="22">
        <v>2950</v>
      </c>
      <c r="J139" s="72">
        <v>0.60666666666666669</v>
      </c>
      <c r="K139" s="73">
        <v>12.818849272441314</v>
      </c>
      <c r="L139" s="73">
        <v>1.54778675425762</v>
      </c>
      <c r="M139" s="22" t="s">
        <v>804</v>
      </c>
      <c r="N139" s="80">
        <v>2004</v>
      </c>
      <c r="O139" s="22" t="s">
        <v>773</v>
      </c>
      <c r="P139" s="22" t="s">
        <v>608</v>
      </c>
      <c r="Q139" s="32" t="s">
        <v>817</v>
      </c>
      <c r="R139" s="32" t="s">
        <v>817</v>
      </c>
      <c r="S139" s="33"/>
    </row>
    <row r="140" spans="1:19" s="81" customFormat="1" ht="27" customHeight="1" x14ac:dyDescent="0.25">
      <c r="A140" s="22" t="s">
        <v>965</v>
      </c>
      <c r="B140" s="22" t="s">
        <v>944</v>
      </c>
      <c r="C140" s="72" t="s">
        <v>817</v>
      </c>
      <c r="D140" s="72" t="s">
        <v>817</v>
      </c>
      <c r="E140" s="72" t="s">
        <v>817</v>
      </c>
      <c r="F140" s="72" t="s">
        <v>817</v>
      </c>
      <c r="G140" s="22" t="s">
        <v>706</v>
      </c>
      <c r="H140" s="22">
        <v>7500</v>
      </c>
      <c r="I140" s="22">
        <v>1000</v>
      </c>
      <c r="J140" s="72">
        <v>0.8666666666666667</v>
      </c>
      <c r="K140" s="73">
        <v>12.911451898764421</v>
      </c>
      <c r="L140" s="73">
        <v>1.7859077933741772</v>
      </c>
      <c r="M140" s="22" t="s">
        <v>804</v>
      </c>
      <c r="N140" s="80">
        <v>2004</v>
      </c>
      <c r="O140" s="22" t="s">
        <v>773</v>
      </c>
      <c r="P140" s="22" t="s">
        <v>608</v>
      </c>
      <c r="Q140" s="32" t="s">
        <v>817</v>
      </c>
      <c r="R140" s="32" t="s">
        <v>817</v>
      </c>
      <c r="S140" s="33"/>
    </row>
    <row r="141" spans="1:19" s="81" customFormat="1" ht="27" customHeight="1" x14ac:dyDescent="0.25">
      <c r="A141" s="22" t="s">
        <v>966</v>
      </c>
      <c r="B141" s="22" t="s">
        <v>944</v>
      </c>
      <c r="C141" s="72" t="s">
        <v>817</v>
      </c>
      <c r="D141" s="72" t="s">
        <v>817</v>
      </c>
      <c r="E141" s="72" t="s">
        <v>817</v>
      </c>
      <c r="F141" s="72" t="s">
        <v>817</v>
      </c>
      <c r="G141" s="22" t="s">
        <v>706</v>
      </c>
      <c r="H141" s="22">
        <v>7500</v>
      </c>
      <c r="I141" s="22">
        <v>325</v>
      </c>
      <c r="J141" s="72">
        <v>0.95666666666666667</v>
      </c>
      <c r="K141" s="73">
        <v>13.387693976997534</v>
      </c>
      <c r="L141" s="73">
        <v>1.8652814730796961</v>
      </c>
      <c r="M141" s="22" t="s">
        <v>804</v>
      </c>
      <c r="N141" s="80">
        <v>2004</v>
      </c>
      <c r="O141" s="22" t="s">
        <v>773</v>
      </c>
      <c r="P141" s="22" t="s">
        <v>608</v>
      </c>
      <c r="Q141" s="32" t="s">
        <v>817</v>
      </c>
      <c r="R141" s="32" t="s">
        <v>817</v>
      </c>
      <c r="S141" s="33"/>
    </row>
    <row r="142" spans="1:19" s="81" customFormat="1" ht="51" customHeight="1" x14ac:dyDescent="0.25">
      <c r="A142" s="22" t="s">
        <v>967</v>
      </c>
      <c r="B142" s="22" t="s">
        <v>944</v>
      </c>
      <c r="C142" s="72" t="s">
        <v>817</v>
      </c>
      <c r="D142" s="72" t="s">
        <v>817</v>
      </c>
      <c r="E142" s="72" t="s">
        <v>817</v>
      </c>
      <c r="F142" s="72" t="s">
        <v>817</v>
      </c>
      <c r="G142" s="22" t="s">
        <v>706</v>
      </c>
      <c r="H142" s="22">
        <v>7500</v>
      </c>
      <c r="I142" s="22">
        <v>145</v>
      </c>
      <c r="J142" s="72">
        <v>0.98066666666666669</v>
      </c>
      <c r="K142" s="73">
        <v>14.340178133463763</v>
      </c>
      <c r="L142" s="73">
        <v>1.9711130460203878</v>
      </c>
      <c r="M142" s="22" t="s">
        <v>804</v>
      </c>
      <c r="N142" s="80">
        <v>2004</v>
      </c>
      <c r="O142" s="22" t="s">
        <v>773</v>
      </c>
      <c r="P142" s="22" t="s">
        <v>608</v>
      </c>
      <c r="Q142" s="32" t="s">
        <v>817</v>
      </c>
      <c r="R142" s="32" t="s">
        <v>817</v>
      </c>
      <c r="S142" s="33"/>
    </row>
    <row r="143" spans="1:19" s="37" customFormat="1" ht="27" customHeight="1" x14ac:dyDescent="0.25">
      <c r="A143" s="22" t="s">
        <v>968</v>
      </c>
      <c r="B143" s="22" t="s">
        <v>944</v>
      </c>
      <c r="C143" s="72" t="s">
        <v>817</v>
      </c>
      <c r="D143" s="72" t="s">
        <v>817</v>
      </c>
      <c r="E143" s="72" t="s">
        <v>817</v>
      </c>
      <c r="F143" s="72" t="s">
        <v>817</v>
      </c>
      <c r="G143" s="22" t="s">
        <v>706</v>
      </c>
      <c r="H143" s="22">
        <v>7500</v>
      </c>
      <c r="I143" s="22">
        <v>100</v>
      </c>
      <c r="J143" s="72">
        <v>0.98666666666666669</v>
      </c>
      <c r="K143" s="73">
        <v>14.697359692138598</v>
      </c>
      <c r="L143" s="73">
        <v>2.1166314588138397</v>
      </c>
      <c r="M143" s="22" t="s">
        <v>804</v>
      </c>
      <c r="N143" s="80">
        <v>2004</v>
      </c>
      <c r="O143" s="22" t="s">
        <v>773</v>
      </c>
      <c r="P143" s="22" t="s">
        <v>608</v>
      </c>
      <c r="Q143" s="32" t="s">
        <v>817</v>
      </c>
      <c r="R143" s="32" t="s">
        <v>817</v>
      </c>
      <c r="S143" s="33"/>
    </row>
    <row r="144" spans="1:19" s="37" customFormat="1" ht="27" customHeight="1" x14ac:dyDescent="0.25">
      <c r="A144" s="22" t="s">
        <v>969</v>
      </c>
      <c r="B144" s="22" t="s">
        <v>944</v>
      </c>
      <c r="C144" s="72" t="s">
        <v>817</v>
      </c>
      <c r="D144" s="72" t="s">
        <v>817</v>
      </c>
      <c r="E144" s="72" t="s">
        <v>817</v>
      </c>
      <c r="F144" s="72" t="s">
        <v>817</v>
      </c>
      <c r="G144" s="22" t="s">
        <v>706</v>
      </c>
      <c r="H144" s="22">
        <v>7500</v>
      </c>
      <c r="I144" s="22">
        <v>50</v>
      </c>
      <c r="J144" s="72">
        <v>0.99333333333333329</v>
      </c>
      <c r="K144" s="73">
        <v>16.231917499778632</v>
      </c>
      <c r="L144" s="73">
        <v>2.3282946046952233</v>
      </c>
      <c r="M144" s="22" t="s">
        <v>804</v>
      </c>
      <c r="N144" s="80">
        <v>2004</v>
      </c>
      <c r="O144" s="22" t="s">
        <v>773</v>
      </c>
      <c r="P144" s="22" t="s">
        <v>608</v>
      </c>
      <c r="Q144" s="32" t="s">
        <v>817</v>
      </c>
      <c r="R144" s="32" t="s">
        <v>817</v>
      </c>
      <c r="S144" s="33"/>
    </row>
    <row r="145" spans="1:19" s="37" customFormat="1" ht="27" customHeight="1" x14ac:dyDescent="0.25">
      <c r="A145" s="22" t="s">
        <v>873</v>
      </c>
      <c r="B145" s="22" t="s">
        <v>793</v>
      </c>
      <c r="C145" s="22" t="s">
        <v>72</v>
      </c>
      <c r="D145" s="22">
        <v>26600</v>
      </c>
      <c r="E145" s="22">
        <v>7000</v>
      </c>
      <c r="F145" s="77">
        <v>0.73684210526315785</v>
      </c>
      <c r="G145" s="72" t="s">
        <v>817</v>
      </c>
      <c r="H145" s="72" t="s">
        <v>817</v>
      </c>
      <c r="I145" s="72" t="s">
        <v>817</v>
      </c>
      <c r="J145" s="72" t="s">
        <v>817</v>
      </c>
      <c r="K145" s="73">
        <v>6.0117156999519673E-2</v>
      </c>
      <c r="L145" s="73" t="s">
        <v>817</v>
      </c>
      <c r="M145" s="22" t="s">
        <v>874</v>
      </c>
      <c r="N145" s="80">
        <v>1999</v>
      </c>
      <c r="O145" s="22" t="s">
        <v>773</v>
      </c>
      <c r="P145" s="22" t="s">
        <v>819</v>
      </c>
      <c r="Q145" s="22" t="s">
        <v>869</v>
      </c>
      <c r="R145" s="22">
        <v>3</v>
      </c>
      <c r="S145" s="33" t="s">
        <v>875</v>
      </c>
    </row>
    <row r="146" spans="1:19" s="37" customFormat="1" ht="27" customHeight="1" x14ac:dyDescent="0.25">
      <c r="A146" s="22" t="s">
        <v>719</v>
      </c>
      <c r="B146" s="22" t="s">
        <v>793</v>
      </c>
      <c r="C146" s="22" t="s">
        <v>72</v>
      </c>
      <c r="D146" s="22">
        <v>18300</v>
      </c>
      <c r="E146" s="22">
        <v>6800</v>
      </c>
      <c r="F146" s="77">
        <v>0.62841530054644812</v>
      </c>
      <c r="G146" s="72" t="s">
        <v>817</v>
      </c>
      <c r="H146" s="72" t="s">
        <v>817</v>
      </c>
      <c r="I146" s="72" t="s">
        <v>817</v>
      </c>
      <c r="J146" s="72" t="s">
        <v>817</v>
      </c>
      <c r="K146" s="73">
        <v>0.20956047895909047</v>
      </c>
      <c r="L146" s="73" t="s">
        <v>817</v>
      </c>
      <c r="M146" s="22" t="s">
        <v>900</v>
      </c>
      <c r="N146" s="80">
        <v>1999</v>
      </c>
      <c r="O146" s="22" t="s">
        <v>773</v>
      </c>
      <c r="P146" s="22" t="s">
        <v>819</v>
      </c>
      <c r="Q146" s="22" t="s">
        <v>869</v>
      </c>
      <c r="R146" s="22">
        <v>3</v>
      </c>
      <c r="S146" s="33" t="s">
        <v>1282</v>
      </c>
    </row>
    <row r="147" spans="1:19" s="37" customFormat="1" ht="27" customHeight="1" x14ac:dyDescent="0.25">
      <c r="A147" s="22" t="s">
        <v>876</v>
      </c>
      <c r="B147" s="22" t="s">
        <v>793</v>
      </c>
      <c r="C147" s="22" t="s">
        <v>72</v>
      </c>
      <c r="D147" s="22">
        <v>19500</v>
      </c>
      <c r="E147" s="22">
        <v>4100</v>
      </c>
      <c r="F147" s="77">
        <v>0.78974358974358971</v>
      </c>
      <c r="G147" s="72" t="s">
        <v>817</v>
      </c>
      <c r="H147" s="72" t="s">
        <v>817</v>
      </c>
      <c r="I147" s="72" t="s">
        <v>817</v>
      </c>
      <c r="J147" s="72" t="s">
        <v>817</v>
      </c>
      <c r="K147" s="73">
        <v>0.26302141830405573</v>
      </c>
      <c r="L147" s="73" t="s">
        <v>817</v>
      </c>
      <c r="M147" s="22" t="s">
        <v>877</v>
      </c>
      <c r="N147" s="80">
        <v>1999</v>
      </c>
      <c r="O147" s="22" t="s">
        <v>773</v>
      </c>
      <c r="P147" s="22" t="s">
        <v>819</v>
      </c>
      <c r="Q147" s="22" t="s">
        <v>869</v>
      </c>
      <c r="R147" s="22">
        <v>3</v>
      </c>
      <c r="S147" s="33" t="s">
        <v>878</v>
      </c>
    </row>
    <row r="148" spans="1:19" s="37" customFormat="1" ht="27" customHeight="1" x14ac:dyDescent="0.25">
      <c r="A148" s="22" t="s">
        <v>759</v>
      </c>
      <c r="B148" s="22" t="s">
        <v>793</v>
      </c>
      <c r="C148" s="22" t="s">
        <v>72</v>
      </c>
      <c r="D148" s="22">
        <v>29000</v>
      </c>
      <c r="E148" s="22">
        <v>6900</v>
      </c>
      <c r="F148" s="77">
        <v>0.76206896551724135</v>
      </c>
      <c r="G148" s="72" t="s">
        <v>817</v>
      </c>
      <c r="H148" s="72" t="s">
        <v>817</v>
      </c>
      <c r="I148" s="72" t="s">
        <v>817</v>
      </c>
      <c r="J148" s="72" t="s">
        <v>817</v>
      </c>
      <c r="K148" s="73">
        <v>0.26613840008872192</v>
      </c>
      <c r="L148" s="73" t="s">
        <v>817</v>
      </c>
      <c r="M148" s="22" t="s">
        <v>901</v>
      </c>
      <c r="N148" s="80">
        <v>1999</v>
      </c>
      <c r="O148" s="22" t="s">
        <v>773</v>
      </c>
      <c r="P148" s="22" t="s">
        <v>819</v>
      </c>
      <c r="Q148" s="22" t="s">
        <v>869</v>
      </c>
      <c r="R148" s="22">
        <v>3</v>
      </c>
      <c r="S148" s="33" t="s">
        <v>902</v>
      </c>
    </row>
    <row r="149" spans="1:19" s="37" customFormat="1" ht="27" customHeight="1" x14ac:dyDescent="0.25">
      <c r="A149" s="22" t="s">
        <v>882</v>
      </c>
      <c r="B149" s="22" t="s">
        <v>793</v>
      </c>
      <c r="C149" s="22" t="s">
        <v>72</v>
      </c>
      <c r="D149" s="22">
        <v>32100</v>
      </c>
      <c r="E149" s="22">
        <v>6000</v>
      </c>
      <c r="F149" s="77">
        <v>0.81308411214953269</v>
      </c>
      <c r="G149" s="72" t="s">
        <v>817</v>
      </c>
      <c r="H149" s="72" t="s">
        <v>817</v>
      </c>
      <c r="I149" s="72" t="s">
        <v>817</v>
      </c>
      <c r="J149" s="72" t="s">
        <v>817</v>
      </c>
      <c r="K149" s="73">
        <v>0.26848349133329585</v>
      </c>
      <c r="L149" s="73" t="s">
        <v>817</v>
      </c>
      <c r="M149" s="22" t="s">
        <v>883</v>
      </c>
      <c r="N149" s="80">
        <v>1999</v>
      </c>
      <c r="O149" s="22" t="s">
        <v>773</v>
      </c>
      <c r="P149" s="22" t="s">
        <v>819</v>
      </c>
      <c r="Q149" s="22" t="s">
        <v>869</v>
      </c>
      <c r="R149" s="22">
        <v>3</v>
      </c>
      <c r="S149" s="33" t="s">
        <v>884</v>
      </c>
    </row>
    <row r="150" spans="1:19" s="37" customFormat="1" ht="27" customHeight="1" x14ac:dyDescent="0.25">
      <c r="A150" s="22" t="s">
        <v>888</v>
      </c>
      <c r="B150" s="22" t="s">
        <v>793</v>
      </c>
      <c r="C150" s="22" t="s">
        <v>72</v>
      </c>
      <c r="D150" s="22">
        <v>41100</v>
      </c>
      <c r="E150" s="22">
        <v>5500</v>
      </c>
      <c r="F150" s="77">
        <v>0.86618004866180054</v>
      </c>
      <c r="G150" s="72" t="s">
        <v>817</v>
      </c>
      <c r="H150" s="72" t="s">
        <v>817</v>
      </c>
      <c r="I150" s="72" t="s">
        <v>817</v>
      </c>
      <c r="J150" s="72" t="s">
        <v>817</v>
      </c>
      <c r="K150" s="73">
        <v>0.2692617043516532</v>
      </c>
      <c r="L150" s="73" t="s">
        <v>817</v>
      </c>
      <c r="M150" s="22" t="s">
        <v>886</v>
      </c>
      <c r="N150" s="80">
        <v>1999</v>
      </c>
      <c r="O150" s="22" t="s">
        <v>773</v>
      </c>
      <c r="P150" s="22" t="s">
        <v>819</v>
      </c>
      <c r="Q150" s="22" t="s">
        <v>869</v>
      </c>
      <c r="R150" s="22">
        <v>3</v>
      </c>
      <c r="S150" s="33" t="s">
        <v>889</v>
      </c>
    </row>
    <row r="151" spans="1:19" s="37" customFormat="1" ht="27" customHeight="1" x14ac:dyDescent="0.25">
      <c r="A151" s="22" t="s">
        <v>719</v>
      </c>
      <c r="B151" s="22" t="s">
        <v>793</v>
      </c>
      <c r="C151" s="22" t="s">
        <v>72</v>
      </c>
      <c r="D151" s="22">
        <v>15400</v>
      </c>
      <c r="E151" s="22">
        <v>5100</v>
      </c>
      <c r="F151" s="77">
        <v>0.66883116883116878</v>
      </c>
      <c r="G151" s="72" t="s">
        <v>817</v>
      </c>
      <c r="H151" s="72" t="s">
        <v>817</v>
      </c>
      <c r="I151" s="72" t="s">
        <v>817</v>
      </c>
      <c r="J151" s="72" t="s">
        <v>817</v>
      </c>
      <c r="K151" s="73">
        <v>0.2864651392739016</v>
      </c>
      <c r="L151" s="73" t="s">
        <v>817</v>
      </c>
      <c r="M151" s="22" t="s">
        <v>896</v>
      </c>
      <c r="N151" s="80">
        <v>1999</v>
      </c>
      <c r="O151" s="22" t="s">
        <v>773</v>
      </c>
      <c r="P151" s="22" t="s">
        <v>819</v>
      </c>
      <c r="Q151" s="22" t="s">
        <v>869</v>
      </c>
      <c r="R151" s="22">
        <v>3</v>
      </c>
      <c r="S151" s="33" t="s">
        <v>897</v>
      </c>
    </row>
    <row r="152" spans="1:19" s="37" customFormat="1" ht="27" customHeight="1" x14ac:dyDescent="0.25">
      <c r="A152" s="22" t="s">
        <v>857</v>
      </c>
      <c r="B152" s="22" t="s">
        <v>793</v>
      </c>
      <c r="C152" s="22" t="s">
        <v>72</v>
      </c>
      <c r="D152" s="22">
        <v>20000</v>
      </c>
      <c r="E152" s="22">
        <v>6000</v>
      </c>
      <c r="F152" s="77">
        <v>0.7</v>
      </c>
      <c r="G152" s="72" t="s">
        <v>817</v>
      </c>
      <c r="H152" s="72" t="s">
        <v>817</v>
      </c>
      <c r="I152" s="72" t="s">
        <v>817</v>
      </c>
      <c r="J152" s="72" t="s">
        <v>817</v>
      </c>
      <c r="K152" s="73">
        <v>0.3168778000626688</v>
      </c>
      <c r="L152" s="73" t="s">
        <v>817</v>
      </c>
      <c r="M152" s="22" t="s">
        <v>871</v>
      </c>
      <c r="N152" s="80">
        <v>1999</v>
      </c>
      <c r="O152" s="22" t="s">
        <v>773</v>
      </c>
      <c r="P152" s="22" t="s">
        <v>819</v>
      </c>
      <c r="Q152" s="22" t="s">
        <v>869</v>
      </c>
      <c r="R152" s="22">
        <v>3</v>
      </c>
      <c r="S152" s="33" t="s">
        <v>872</v>
      </c>
    </row>
    <row r="153" spans="1:19" s="37" customFormat="1" ht="27" customHeight="1" x14ac:dyDescent="0.25">
      <c r="A153" s="22" t="s">
        <v>867</v>
      </c>
      <c r="B153" s="22" t="s">
        <v>793</v>
      </c>
      <c r="C153" s="22" t="s">
        <v>72</v>
      </c>
      <c r="D153" s="22">
        <v>11600</v>
      </c>
      <c r="E153" s="22">
        <v>6300</v>
      </c>
      <c r="F153" s="77">
        <v>0.45689655172413796</v>
      </c>
      <c r="G153" s="72" t="s">
        <v>817</v>
      </c>
      <c r="H153" s="72" t="s">
        <v>817</v>
      </c>
      <c r="I153" s="72" t="s">
        <v>817</v>
      </c>
      <c r="J153" s="72" t="s">
        <v>817</v>
      </c>
      <c r="K153" s="73">
        <v>0.4257117668624934</v>
      </c>
      <c r="L153" s="73" t="s">
        <v>817</v>
      </c>
      <c r="M153" s="22" t="s">
        <v>868</v>
      </c>
      <c r="N153" s="80">
        <v>1999</v>
      </c>
      <c r="O153" s="22" t="s">
        <v>773</v>
      </c>
      <c r="P153" s="22" t="s">
        <v>819</v>
      </c>
      <c r="Q153" s="22" t="s">
        <v>869</v>
      </c>
      <c r="R153" s="22">
        <v>3</v>
      </c>
      <c r="S153" s="33" t="s">
        <v>870</v>
      </c>
    </row>
    <row r="154" spans="1:19" s="38" customFormat="1" ht="27" customHeight="1" x14ac:dyDescent="0.25">
      <c r="A154" s="22" t="s">
        <v>719</v>
      </c>
      <c r="B154" s="22" t="s">
        <v>793</v>
      </c>
      <c r="C154" s="22" t="s">
        <v>72</v>
      </c>
      <c r="D154" s="22">
        <v>29000</v>
      </c>
      <c r="E154" s="22">
        <v>5300</v>
      </c>
      <c r="F154" s="77">
        <v>0.8172413793103448</v>
      </c>
      <c r="G154" s="72" t="s">
        <v>817</v>
      </c>
      <c r="H154" s="72" t="s">
        <v>817</v>
      </c>
      <c r="I154" s="72" t="s">
        <v>817</v>
      </c>
      <c r="J154" s="72" t="s">
        <v>817</v>
      </c>
      <c r="K154" s="73">
        <v>1.09657140475745</v>
      </c>
      <c r="L154" s="73" t="s">
        <v>817</v>
      </c>
      <c r="M154" s="22" t="s">
        <v>898</v>
      </c>
      <c r="N154" s="80">
        <v>1999</v>
      </c>
      <c r="O154" s="22" t="s">
        <v>773</v>
      </c>
      <c r="P154" s="22" t="s">
        <v>819</v>
      </c>
      <c r="Q154" s="22" t="s">
        <v>869</v>
      </c>
      <c r="R154" s="22">
        <v>3</v>
      </c>
      <c r="S154" s="33" t="s">
        <v>899</v>
      </c>
    </row>
    <row r="155" spans="1:19" s="38" customFormat="1" ht="27" customHeight="1" x14ac:dyDescent="0.25">
      <c r="A155" s="22" t="s">
        <v>857</v>
      </c>
      <c r="B155" s="22" t="s">
        <v>793</v>
      </c>
      <c r="C155" s="22" t="s">
        <v>72</v>
      </c>
      <c r="D155" s="22">
        <v>28800</v>
      </c>
      <c r="E155" s="22">
        <v>6800</v>
      </c>
      <c r="F155" s="77">
        <v>0.76388888888888884</v>
      </c>
      <c r="G155" s="72" t="s">
        <v>817</v>
      </c>
      <c r="H155" s="72" t="s">
        <v>817</v>
      </c>
      <c r="I155" s="72" t="s">
        <v>817</v>
      </c>
      <c r="J155" s="72" t="s">
        <v>817</v>
      </c>
      <c r="K155" s="73">
        <v>1.5258163246593683</v>
      </c>
      <c r="L155" s="73" t="s">
        <v>817</v>
      </c>
      <c r="M155" s="22" t="s">
        <v>886</v>
      </c>
      <c r="N155" s="80">
        <v>1999</v>
      </c>
      <c r="O155" s="22" t="s">
        <v>773</v>
      </c>
      <c r="P155" s="22" t="s">
        <v>819</v>
      </c>
      <c r="Q155" s="22" t="s">
        <v>869</v>
      </c>
      <c r="R155" s="22">
        <v>3</v>
      </c>
      <c r="S155" s="33" t="s">
        <v>890</v>
      </c>
    </row>
    <row r="156" spans="1:19" s="38" customFormat="1" ht="27" customHeight="1" x14ac:dyDescent="0.25">
      <c r="A156" s="22" t="s">
        <v>963</v>
      </c>
      <c r="B156" s="22" t="s">
        <v>793</v>
      </c>
      <c r="C156" s="22" t="s">
        <v>72</v>
      </c>
      <c r="D156" s="22">
        <v>37000</v>
      </c>
      <c r="E156" s="22">
        <v>8500</v>
      </c>
      <c r="F156" s="77">
        <v>0.77027027027027029</v>
      </c>
      <c r="G156" s="72" t="s">
        <v>817</v>
      </c>
      <c r="H156" s="72" t="s">
        <v>817</v>
      </c>
      <c r="I156" s="72" t="s">
        <v>817</v>
      </c>
      <c r="J156" s="72" t="s">
        <v>817</v>
      </c>
      <c r="K156" s="73">
        <v>2.3283740126847903</v>
      </c>
      <c r="L156" s="73" t="s">
        <v>817</v>
      </c>
      <c r="M156" s="22" t="s">
        <v>838</v>
      </c>
      <c r="N156" s="80">
        <v>1999</v>
      </c>
      <c r="O156" s="22" t="s">
        <v>773</v>
      </c>
      <c r="P156" s="22" t="s">
        <v>819</v>
      </c>
      <c r="Q156" s="22" t="s">
        <v>869</v>
      </c>
      <c r="R156" s="22">
        <v>3</v>
      </c>
      <c r="S156" s="33" t="s">
        <v>964</v>
      </c>
    </row>
    <row r="157" spans="1:19" s="38" customFormat="1" ht="27" customHeight="1" x14ac:dyDescent="0.25">
      <c r="A157" s="22" t="s">
        <v>891</v>
      </c>
      <c r="B157" s="22" t="s">
        <v>793</v>
      </c>
      <c r="C157" s="22" t="s">
        <v>72</v>
      </c>
      <c r="D157" s="22">
        <v>27000</v>
      </c>
      <c r="E157" s="22">
        <v>3500</v>
      </c>
      <c r="F157" s="77">
        <v>0.87037037037037035</v>
      </c>
      <c r="G157" s="72" t="s">
        <v>817</v>
      </c>
      <c r="H157" s="72" t="s">
        <v>817</v>
      </c>
      <c r="I157" s="72" t="s">
        <v>817</v>
      </c>
      <c r="J157" s="72" t="s">
        <v>817</v>
      </c>
      <c r="K157" s="73">
        <v>3.2341383052035106</v>
      </c>
      <c r="L157" s="73" t="s">
        <v>817</v>
      </c>
      <c r="M157" s="22" t="s">
        <v>892</v>
      </c>
      <c r="N157" s="80">
        <v>1999</v>
      </c>
      <c r="O157" s="22" t="s">
        <v>773</v>
      </c>
      <c r="P157" s="22" t="s">
        <v>819</v>
      </c>
      <c r="Q157" s="22" t="s">
        <v>869</v>
      </c>
      <c r="R157" s="22">
        <v>3</v>
      </c>
      <c r="S157" s="33" t="s">
        <v>893</v>
      </c>
    </row>
    <row r="158" spans="1:19" s="38" customFormat="1" ht="27" customHeight="1" x14ac:dyDescent="0.25">
      <c r="A158" s="22" t="s">
        <v>879</v>
      </c>
      <c r="B158" s="22" t="s">
        <v>793</v>
      </c>
      <c r="C158" s="22" t="s">
        <v>72</v>
      </c>
      <c r="D158" s="22">
        <v>19500</v>
      </c>
      <c r="E158" s="22">
        <v>4000</v>
      </c>
      <c r="F158" s="77">
        <v>0.79487179487179482</v>
      </c>
      <c r="G158" s="72" t="s">
        <v>817</v>
      </c>
      <c r="H158" s="72" t="s">
        <v>817</v>
      </c>
      <c r="I158" s="72" t="s">
        <v>817</v>
      </c>
      <c r="J158" s="72" t="s">
        <v>817</v>
      </c>
      <c r="K158" s="73">
        <v>3.4360641435605435</v>
      </c>
      <c r="L158" s="73" t="s">
        <v>817</v>
      </c>
      <c r="M158" s="22" t="s">
        <v>880</v>
      </c>
      <c r="N158" s="80">
        <v>1999</v>
      </c>
      <c r="O158" s="22" t="s">
        <v>773</v>
      </c>
      <c r="P158" s="22" t="s">
        <v>819</v>
      </c>
      <c r="Q158" s="22" t="s">
        <v>869</v>
      </c>
      <c r="R158" s="22">
        <v>3</v>
      </c>
      <c r="S158" s="33" t="s">
        <v>881</v>
      </c>
    </row>
    <row r="159" spans="1:19" s="38" customFormat="1" ht="27" customHeight="1" x14ac:dyDescent="0.25">
      <c r="A159" s="22" t="s">
        <v>864</v>
      </c>
      <c r="B159" s="22" t="s">
        <v>793</v>
      </c>
      <c r="C159" s="22" t="s">
        <v>72</v>
      </c>
      <c r="D159" s="22">
        <v>25000</v>
      </c>
      <c r="E159" s="22">
        <v>6800</v>
      </c>
      <c r="F159" s="77">
        <v>0.72799999999999998</v>
      </c>
      <c r="G159" s="72" t="s">
        <v>817</v>
      </c>
      <c r="H159" s="72" t="s">
        <v>817</v>
      </c>
      <c r="I159" s="72" t="s">
        <v>817</v>
      </c>
      <c r="J159" s="72" t="s">
        <v>817</v>
      </c>
      <c r="K159" s="73">
        <v>3.9437151611306032</v>
      </c>
      <c r="L159" s="73" t="s">
        <v>817</v>
      </c>
      <c r="M159" s="22" t="s">
        <v>894</v>
      </c>
      <c r="N159" s="80">
        <v>1999</v>
      </c>
      <c r="O159" s="22" t="s">
        <v>773</v>
      </c>
      <c r="P159" s="22" t="s">
        <v>819</v>
      </c>
      <c r="Q159" s="22" t="s">
        <v>869</v>
      </c>
      <c r="R159" s="22">
        <v>3</v>
      </c>
      <c r="S159" s="33" t="s">
        <v>895</v>
      </c>
    </row>
    <row r="160" spans="1:19" s="38" customFormat="1" ht="27" customHeight="1" x14ac:dyDescent="0.25">
      <c r="A160" s="22" t="s">
        <v>885</v>
      </c>
      <c r="B160" s="22" t="s">
        <v>793</v>
      </c>
      <c r="C160" s="22" t="s">
        <v>72</v>
      </c>
      <c r="D160" s="22">
        <v>25000</v>
      </c>
      <c r="E160" s="22">
        <v>4000</v>
      </c>
      <c r="F160" s="77">
        <v>0.84</v>
      </c>
      <c r="G160" s="72" t="s">
        <v>817</v>
      </c>
      <c r="H160" s="72" t="s">
        <v>817</v>
      </c>
      <c r="I160" s="72" t="s">
        <v>817</v>
      </c>
      <c r="J160" s="72" t="s">
        <v>817</v>
      </c>
      <c r="K160" s="73">
        <v>4.9734017623003428</v>
      </c>
      <c r="L160" s="73" t="s">
        <v>817</v>
      </c>
      <c r="M160" s="22" t="s">
        <v>886</v>
      </c>
      <c r="N160" s="80">
        <v>1999</v>
      </c>
      <c r="O160" s="22" t="s">
        <v>773</v>
      </c>
      <c r="P160" s="22" t="s">
        <v>819</v>
      </c>
      <c r="Q160" s="22" t="s">
        <v>869</v>
      </c>
      <c r="R160" s="22">
        <v>3</v>
      </c>
      <c r="S160" s="33" t="s">
        <v>887</v>
      </c>
    </row>
    <row r="161" spans="1:19" s="38" customFormat="1" ht="27" customHeight="1" x14ac:dyDescent="0.25">
      <c r="A161" s="22" t="s">
        <v>947</v>
      </c>
      <c r="B161" s="22" t="s">
        <v>944</v>
      </c>
      <c r="C161" s="22" t="s">
        <v>72</v>
      </c>
      <c r="D161" s="22" t="s">
        <v>817</v>
      </c>
      <c r="E161" s="22" t="s">
        <v>817</v>
      </c>
      <c r="F161" s="72">
        <v>0.48499999999999999</v>
      </c>
      <c r="G161" s="22" t="s">
        <v>706</v>
      </c>
      <c r="H161" s="22" t="s">
        <v>817</v>
      </c>
      <c r="I161" s="22" t="s">
        <v>817</v>
      </c>
      <c r="J161" s="72">
        <v>0.56000000000000005</v>
      </c>
      <c r="K161" s="82">
        <v>0.16918141833798228</v>
      </c>
      <c r="L161" s="22" t="s">
        <v>817</v>
      </c>
      <c r="M161" s="22" t="s">
        <v>948</v>
      </c>
      <c r="N161" s="83">
        <v>2011</v>
      </c>
      <c r="O161" s="22" t="s">
        <v>775</v>
      </c>
      <c r="P161" s="22" t="s">
        <v>943</v>
      </c>
      <c r="Q161" s="22" t="s">
        <v>945</v>
      </c>
      <c r="R161" s="22" t="s">
        <v>1006</v>
      </c>
      <c r="S161" s="33" t="s">
        <v>949</v>
      </c>
    </row>
    <row r="162" spans="1:19" s="38" customFormat="1" ht="27" customHeight="1" x14ac:dyDescent="0.25">
      <c r="A162" s="22" t="s">
        <v>825</v>
      </c>
      <c r="B162" s="22" t="s">
        <v>944</v>
      </c>
      <c r="C162" s="22" t="s">
        <v>72</v>
      </c>
      <c r="D162" s="22" t="s">
        <v>817</v>
      </c>
      <c r="E162" s="22" t="s">
        <v>817</v>
      </c>
      <c r="F162" s="72">
        <v>0.65400000000000003</v>
      </c>
      <c r="G162" s="22" t="s">
        <v>706</v>
      </c>
      <c r="H162" s="22" t="s">
        <v>817</v>
      </c>
      <c r="I162" s="22" t="s">
        <v>817</v>
      </c>
      <c r="J162" s="72">
        <v>0.64</v>
      </c>
      <c r="K162" s="82">
        <v>0.49639175660742341</v>
      </c>
      <c r="L162" s="22" t="s">
        <v>817</v>
      </c>
      <c r="M162" s="22" t="s">
        <v>942</v>
      </c>
      <c r="N162" s="83">
        <v>2011</v>
      </c>
      <c r="O162" s="22" t="s">
        <v>775</v>
      </c>
      <c r="P162" s="22" t="s">
        <v>943</v>
      </c>
      <c r="Q162" s="22" t="s">
        <v>945</v>
      </c>
      <c r="R162" s="22" t="s">
        <v>1006</v>
      </c>
      <c r="S162" s="33" t="s">
        <v>946</v>
      </c>
    </row>
    <row r="163" spans="1:19" s="38" customFormat="1" ht="27" customHeight="1" x14ac:dyDescent="0.25">
      <c r="A163" s="22" t="s">
        <v>732</v>
      </c>
      <c r="B163" s="22" t="s">
        <v>793</v>
      </c>
      <c r="C163" s="72" t="s">
        <v>817</v>
      </c>
      <c r="D163" s="72" t="s">
        <v>817</v>
      </c>
      <c r="E163" s="72" t="s">
        <v>817</v>
      </c>
      <c r="F163" s="72" t="s">
        <v>817</v>
      </c>
      <c r="G163" s="22" t="s">
        <v>706</v>
      </c>
      <c r="H163" s="22" t="s">
        <v>817</v>
      </c>
      <c r="I163" s="22">
        <v>2730</v>
      </c>
      <c r="J163" s="77">
        <v>0.73</v>
      </c>
      <c r="K163" s="73">
        <v>0.45332270323830692</v>
      </c>
      <c r="L163" s="73">
        <v>6.6429039816448432E-2</v>
      </c>
      <c r="M163" s="22" t="s">
        <v>823</v>
      </c>
      <c r="N163" s="80">
        <v>2003</v>
      </c>
      <c r="O163" s="22" t="s">
        <v>775</v>
      </c>
      <c r="P163" s="22" t="s">
        <v>1008</v>
      </c>
      <c r="Q163" s="22" t="s">
        <v>1009</v>
      </c>
      <c r="R163" s="22">
        <v>6</v>
      </c>
      <c r="S163" s="33"/>
    </row>
    <row r="164" spans="1:19" s="38" customFormat="1" ht="27" customHeight="1" x14ac:dyDescent="0.25">
      <c r="A164" s="22" t="s">
        <v>732</v>
      </c>
      <c r="B164" s="22" t="s">
        <v>793</v>
      </c>
      <c r="C164" s="72" t="s">
        <v>817</v>
      </c>
      <c r="D164" s="72" t="s">
        <v>817</v>
      </c>
      <c r="E164" s="72" t="s">
        <v>817</v>
      </c>
      <c r="F164" s="72" t="s">
        <v>817</v>
      </c>
      <c r="G164" s="22" t="s">
        <v>706</v>
      </c>
      <c r="H164" s="22" t="s">
        <v>1006</v>
      </c>
      <c r="I164" s="22">
        <v>2510</v>
      </c>
      <c r="J164" s="77">
        <v>0.73</v>
      </c>
      <c r="K164" s="73">
        <v>2.3432303056375448</v>
      </c>
      <c r="L164" s="73">
        <v>6.3902020644104607E-2</v>
      </c>
      <c r="M164" s="22" t="s">
        <v>1007</v>
      </c>
      <c r="N164" s="80">
        <v>2003</v>
      </c>
      <c r="O164" s="22" t="s">
        <v>775</v>
      </c>
      <c r="P164" s="22" t="s">
        <v>1008</v>
      </c>
      <c r="Q164" s="22" t="s">
        <v>1009</v>
      </c>
      <c r="R164" s="22">
        <v>6</v>
      </c>
      <c r="S164" s="33"/>
    </row>
    <row r="165" spans="1:19" s="38" customFormat="1" ht="27" customHeight="1" x14ac:dyDescent="0.25">
      <c r="A165" s="22" t="s">
        <v>732</v>
      </c>
      <c r="B165" s="22" t="s">
        <v>793</v>
      </c>
      <c r="C165" s="72" t="s">
        <v>817</v>
      </c>
      <c r="D165" s="72" t="s">
        <v>817</v>
      </c>
      <c r="E165" s="72" t="s">
        <v>817</v>
      </c>
      <c r="F165" s="72" t="s">
        <v>817</v>
      </c>
      <c r="G165" s="22" t="s">
        <v>706</v>
      </c>
      <c r="H165" s="22" t="s">
        <v>1006</v>
      </c>
      <c r="I165" s="22">
        <v>3360</v>
      </c>
      <c r="J165" s="77">
        <v>0.77</v>
      </c>
      <c r="K165" s="73">
        <v>5.0262290055925334</v>
      </c>
      <c r="L165" s="73">
        <v>0.12181282743856776</v>
      </c>
      <c r="M165" s="22" t="s">
        <v>818</v>
      </c>
      <c r="N165" s="80">
        <v>2003</v>
      </c>
      <c r="O165" s="22" t="s">
        <v>775</v>
      </c>
      <c r="P165" s="22" t="s">
        <v>1008</v>
      </c>
      <c r="Q165" s="22" t="s">
        <v>1009</v>
      </c>
      <c r="R165" s="22">
        <v>6</v>
      </c>
      <c r="S165" s="33"/>
    </row>
    <row r="166" spans="1:19" s="38" customFormat="1" ht="27" customHeight="1" x14ac:dyDescent="0.25">
      <c r="A166" s="22" t="s">
        <v>934</v>
      </c>
      <c r="B166" s="22" t="s">
        <v>793</v>
      </c>
      <c r="C166" s="22" t="s">
        <v>72</v>
      </c>
      <c r="D166" s="22">
        <v>27200</v>
      </c>
      <c r="E166" s="22">
        <v>8000</v>
      </c>
      <c r="F166" s="77">
        <v>0.70588235294117652</v>
      </c>
      <c r="G166" s="72" t="s">
        <v>817</v>
      </c>
      <c r="H166" s="72" t="s">
        <v>817</v>
      </c>
      <c r="I166" s="72" t="s">
        <v>817</v>
      </c>
      <c r="J166" s="72" t="s">
        <v>817</v>
      </c>
      <c r="K166" s="73">
        <v>2.6849457698882799E-2</v>
      </c>
      <c r="L166" s="73" t="s">
        <v>817</v>
      </c>
      <c r="M166" s="22" t="s">
        <v>935</v>
      </c>
      <c r="N166" s="80">
        <v>1999</v>
      </c>
      <c r="O166" s="22" t="s">
        <v>773</v>
      </c>
      <c r="P166" s="22" t="s">
        <v>819</v>
      </c>
      <c r="Q166" s="22" t="s">
        <v>800</v>
      </c>
      <c r="R166" s="22">
        <v>3</v>
      </c>
      <c r="S166" s="33" t="s">
        <v>936</v>
      </c>
    </row>
    <row r="167" spans="1:19" s="38" customFormat="1" ht="27" customHeight="1" x14ac:dyDescent="0.25">
      <c r="A167" s="22" t="s">
        <v>857</v>
      </c>
      <c r="B167" s="22" t="s">
        <v>793</v>
      </c>
      <c r="C167" s="22" t="s">
        <v>72</v>
      </c>
      <c r="D167" s="22">
        <v>35100</v>
      </c>
      <c r="E167" s="22">
        <v>8000</v>
      </c>
      <c r="F167" s="77">
        <v>0.77207977207977208</v>
      </c>
      <c r="G167" s="72" t="s">
        <v>817</v>
      </c>
      <c r="H167" s="72" t="s">
        <v>817</v>
      </c>
      <c r="I167" s="72" t="s">
        <v>817</v>
      </c>
      <c r="J167" s="72" t="s">
        <v>817</v>
      </c>
      <c r="K167" s="73">
        <v>5.9467353575259951E-2</v>
      </c>
      <c r="L167" s="73" t="s">
        <v>817</v>
      </c>
      <c r="M167" s="22" t="s">
        <v>921</v>
      </c>
      <c r="N167" s="80">
        <v>1999</v>
      </c>
      <c r="O167" s="22" t="s">
        <v>773</v>
      </c>
      <c r="P167" s="22" t="s">
        <v>819</v>
      </c>
      <c r="Q167" s="22" t="s">
        <v>800</v>
      </c>
      <c r="R167" s="22">
        <v>3</v>
      </c>
      <c r="S167" s="33" t="s">
        <v>922</v>
      </c>
    </row>
    <row r="168" spans="1:19" s="38" customFormat="1" ht="27" customHeight="1" x14ac:dyDescent="0.25">
      <c r="A168" s="22" t="s">
        <v>882</v>
      </c>
      <c r="B168" s="22" t="s">
        <v>793</v>
      </c>
      <c r="C168" s="22" t="s">
        <v>72</v>
      </c>
      <c r="D168" s="22">
        <v>22000</v>
      </c>
      <c r="E168" s="22">
        <v>4000</v>
      </c>
      <c r="F168" s="77">
        <v>0.81818181818181823</v>
      </c>
      <c r="G168" s="72" t="s">
        <v>817</v>
      </c>
      <c r="H168" s="72" t="s">
        <v>817</v>
      </c>
      <c r="I168" s="72" t="s">
        <v>817</v>
      </c>
      <c r="J168" s="72" t="s">
        <v>817</v>
      </c>
      <c r="K168" s="73">
        <v>6.3839708618674357E-2</v>
      </c>
      <c r="L168" s="73" t="s">
        <v>817</v>
      </c>
      <c r="M168" s="22" t="s">
        <v>932</v>
      </c>
      <c r="N168" s="80">
        <v>1999</v>
      </c>
      <c r="O168" s="22" t="s">
        <v>773</v>
      </c>
      <c r="P168" s="22" t="s">
        <v>819</v>
      </c>
      <c r="Q168" s="22" t="s">
        <v>800</v>
      </c>
      <c r="R168" s="22">
        <v>3</v>
      </c>
      <c r="S168" s="33" t="s">
        <v>933</v>
      </c>
    </row>
    <row r="169" spans="1:19" s="38" customFormat="1" ht="27" customHeight="1" x14ac:dyDescent="0.25">
      <c r="A169" s="22" t="s">
        <v>882</v>
      </c>
      <c r="B169" s="22" t="s">
        <v>793</v>
      </c>
      <c r="C169" s="22" t="s">
        <v>72</v>
      </c>
      <c r="D169" s="22">
        <v>20400</v>
      </c>
      <c r="E169" s="22">
        <v>6000</v>
      </c>
      <c r="F169" s="77">
        <v>0.70588235294117652</v>
      </c>
      <c r="G169" s="72" t="s">
        <v>817</v>
      </c>
      <c r="H169" s="72" t="s">
        <v>817</v>
      </c>
      <c r="I169" s="72" t="s">
        <v>817</v>
      </c>
      <c r="J169" s="72" t="s">
        <v>817</v>
      </c>
      <c r="K169" s="73">
        <v>0.14122117361100692</v>
      </c>
      <c r="L169" s="73" t="s">
        <v>817</v>
      </c>
      <c r="M169" s="22" t="s">
        <v>912</v>
      </c>
      <c r="N169" s="80">
        <v>1999</v>
      </c>
      <c r="O169" s="22" t="s">
        <v>773</v>
      </c>
      <c r="P169" s="22" t="s">
        <v>819</v>
      </c>
      <c r="Q169" s="22" t="s">
        <v>800</v>
      </c>
      <c r="R169" s="22">
        <v>3</v>
      </c>
      <c r="S169" s="33" t="s">
        <v>913</v>
      </c>
    </row>
    <row r="170" spans="1:19" s="38" customFormat="1" ht="27" customHeight="1" x14ac:dyDescent="0.25">
      <c r="A170" s="22" t="s">
        <v>882</v>
      </c>
      <c r="B170" s="22" t="s">
        <v>793</v>
      </c>
      <c r="C170" s="22" t="s">
        <v>72</v>
      </c>
      <c r="D170" s="22">
        <v>37000</v>
      </c>
      <c r="E170" s="22">
        <v>6000</v>
      </c>
      <c r="F170" s="77">
        <v>0.83783783783783783</v>
      </c>
      <c r="G170" s="72" t="s">
        <v>817</v>
      </c>
      <c r="H170" s="72" t="s">
        <v>817</v>
      </c>
      <c r="I170" s="72" t="s">
        <v>817</v>
      </c>
      <c r="J170" s="72" t="s">
        <v>817</v>
      </c>
      <c r="K170" s="73">
        <v>0.16643924032725815</v>
      </c>
      <c r="L170" s="73" t="s">
        <v>817</v>
      </c>
      <c r="M170" s="22" t="s">
        <v>903</v>
      </c>
      <c r="N170" s="80">
        <v>1999</v>
      </c>
      <c r="O170" s="22" t="s">
        <v>773</v>
      </c>
      <c r="P170" s="22" t="s">
        <v>819</v>
      </c>
      <c r="Q170" s="22" t="s">
        <v>800</v>
      </c>
      <c r="R170" s="22">
        <v>3</v>
      </c>
      <c r="S170" s="33" t="s">
        <v>904</v>
      </c>
    </row>
    <row r="171" spans="1:19" s="38" customFormat="1" ht="27" customHeight="1" x14ac:dyDescent="0.25">
      <c r="A171" s="22" t="s">
        <v>848</v>
      </c>
      <c r="B171" s="22" t="s">
        <v>793</v>
      </c>
      <c r="C171" s="22" t="s">
        <v>72</v>
      </c>
      <c r="D171" s="22">
        <v>13400</v>
      </c>
      <c r="E171" s="22">
        <v>8000</v>
      </c>
      <c r="F171" s="77">
        <v>0.40298507462686567</v>
      </c>
      <c r="G171" s="72" t="s">
        <v>817</v>
      </c>
      <c r="H171" s="72" t="s">
        <v>817</v>
      </c>
      <c r="I171" s="72" t="s">
        <v>817</v>
      </c>
      <c r="J171" s="72" t="s">
        <v>817</v>
      </c>
      <c r="K171" s="73">
        <v>0.21845150292952634</v>
      </c>
      <c r="L171" s="73" t="s">
        <v>817</v>
      </c>
      <c r="M171" s="22" t="s">
        <v>910</v>
      </c>
      <c r="N171" s="80">
        <v>1999</v>
      </c>
      <c r="O171" s="22" t="s">
        <v>773</v>
      </c>
      <c r="P171" s="22" t="s">
        <v>819</v>
      </c>
      <c r="Q171" s="22" t="s">
        <v>800</v>
      </c>
      <c r="R171" s="22">
        <v>3</v>
      </c>
      <c r="S171" s="33" t="s">
        <v>911</v>
      </c>
    </row>
    <row r="172" spans="1:19" s="38" customFormat="1" ht="27" customHeight="1" x14ac:dyDescent="0.25">
      <c r="A172" s="22" t="s">
        <v>882</v>
      </c>
      <c r="B172" s="22" t="s">
        <v>793</v>
      </c>
      <c r="C172" s="22" t="s">
        <v>72</v>
      </c>
      <c r="D172" s="22">
        <v>25000</v>
      </c>
      <c r="E172" s="22">
        <v>8000</v>
      </c>
      <c r="F172" s="77">
        <v>0.68</v>
      </c>
      <c r="G172" s="72" t="s">
        <v>817</v>
      </c>
      <c r="H172" s="72" t="s">
        <v>817</v>
      </c>
      <c r="I172" s="72" t="s">
        <v>817</v>
      </c>
      <c r="J172" s="72" t="s">
        <v>817</v>
      </c>
      <c r="K172" s="73">
        <v>0.31068658194421522</v>
      </c>
      <c r="L172" s="73" t="s">
        <v>817</v>
      </c>
      <c r="M172" s="22" t="s">
        <v>908</v>
      </c>
      <c r="N172" s="80">
        <v>1999</v>
      </c>
      <c r="O172" s="22" t="s">
        <v>773</v>
      </c>
      <c r="P172" s="22" t="s">
        <v>819</v>
      </c>
      <c r="Q172" s="22" t="s">
        <v>800</v>
      </c>
      <c r="R172" s="22">
        <v>3</v>
      </c>
      <c r="S172" s="33" t="s">
        <v>909</v>
      </c>
    </row>
    <row r="173" spans="1:19" s="38" customFormat="1" ht="27" customHeight="1" x14ac:dyDescent="0.25">
      <c r="A173" s="22" t="s">
        <v>937</v>
      </c>
      <c r="B173" s="22" t="s">
        <v>793</v>
      </c>
      <c r="C173" s="22" t="s">
        <v>72</v>
      </c>
      <c r="D173" s="22">
        <v>25800</v>
      </c>
      <c r="E173" s="22">
        <v>6000</v>
      </c>
      <c r="F173" s="77">
        <v>0.76744186046511631</v>
      </c>
      <c r="G173" s="72" t="s">
        <v>817</v>
      </c>
      <c r="H173" s="72" t="s">
        <v>817</v>
      </c>
      <c r="I173" s="72" t="s">
        <v>817</v>
      </c>
      <c r="J173" s="72" t="s">
        <v>817</v>
      </c>
      <c r="K173" s="73">
        <v>0.43822523717812456</v>
      </c>
      <c r="L173" s="73" t="s">
        <v>817</v>
      </c>
      <c r="M173" s="22" t="s">
        <v>938</v>
      </c>
      <c r="N173" s="80">
        <v>1999</v>
      </c>
      <c r="O173" s="22" t="s">
        <v>773</v>
      </c>
      <c r="P173" s="22" t="s">
        <v>819</v>
      </c>
      <c r="Q173" s="22" t="s">
        <v>800</v>
      </c>
      <c r="R173" s="22">
        <v>3</v>
      </c>
      <c r="S173" s="33" t="s">
        <v>939</v>
      </c>
    </row>
    <row r="174" spans="1:19" s="38" customFormat="1" ht="27" customHeight="1" x14ac:dyDescent="0.25">
      <c r="A174" s="22" t="s">
        <v>845</v>
      </c>
      <c r="B174" s="22" t="s">
        <v>793</v>
      </c>
      <c r="C174" s="22" t="s">
        <v>72</v>
      </c>
      <c r="D174" s="22">
        <v>33000</v>
      </c>
      <c r="E174" s="22">
        <v>5000</v>
      </c>
      <c r="F174" s="77">
        <v>0.84848484848484851</v>
      </c>
      <c r="G174" s="72" t="s">
        <v>817</v>
      </c>
      <c r="H174" s="72" t="s">
        <v>817</v>
      </c>
      <c r="I174" s="72" t="s">
        <v>817</v>
      </c>
      <c r="J174" s="72" t="s">
        <v>817</v>
      </c>
      <c r="K174" s="73">
        <v>0.48225976898803558</v>
      </c>
      <c r="L174" s="73" t="s">
        <v>817</v>
      </c>
      <c r="M174" s="22" t="s">
        <v>799</v>
      </c>
      <c r="N174" s="80">
        <v>1999</v>
      </c>
      <c r="O174" s="22" t="s">
        <v>773</v>
      </c>
      <c r="P174" s="22" t="s">
        <v>819</v>
      </c>
      <c r="Q174" s="22" t="s">
        <v>800</v>
      </c>
      <c r="R174" s="22">
        <v>3</v>
      </c>
      <c r="S174" s="33" t="s">
        <v>1283</v>
      </c>
    </row>
    <row r="175" spans="1:19" s="38" customFormat="1" ht="27" customHeight="1" x14ac:dyDescent="0.25">
      <c r="A175" s="22" t="s">
        <v>845</v>
      </c>
      <c r="B175" s="22" t="s">
        <v>793</v>
      </c>
      <c r="C175" s="22" t="s">
        <v>72</v>
      </c>
      <c r="D175" s="22">
        <v>40000</v>
      </c>
      <c r="E175" s="22">
        <v>4000</v>
      </c>
      <c r="F175" s="77">
        <v>0.9</v>
      </c>
      <c r="G175" s="72" t="s">
        <v>817</v>
      </c>
      <c r="H175" s="72" t="s">
        <v>817</v>
      </c>
      <c r="I175" s="72" t="s">
        <v>817</v>
      </c>
      <c r="J175" s="72" t="s">
        <v>817</v>
      </c>
      <c r="K175" s="73">
        <v>0.84403188094845139</v>
      </c>
      <c r="L175" s="73" t="s">
        <v>817</v>
      </c>
      <c r="M175" s="22" t="s">
        <v>928</v>
      </c>
      <c r="N175" s="80">
        <v>1999</v>
      </c>
      <c r="O175" s="22" t="s">
        <v>773</v>
      </c>
      <c r="P175" s="22" t="s">
        <v>819</v>
      </c>
      <c r="Q175" s="22" t="s">
        <v>800</v>
      </c>
      <c r="R175" s="22">
        <v>3</v>
      </c>
      <c r="S175" s="33" t="s">
        <v>1284</v>
      </c>
    </row>
    <row r="176" spans="1:19" s="38" customFormat="1" ht="27" customHeight="1" x14ac:dyDescent="0.25">
      <c r="A176" s="22" t="s">
        <v>719</v>
      </c>
      <c r="B176" s="22" t="s">
        <v>793</v>
      </c>
      <c r="C176" s="22" t="s">
        <v>72</v>
      </c>
      <c r="D176" s="22">
        <v>34000</v>
      </c>
      <c r="E176" s="22">
        <v>8000</v>
      </c>
      <c r="F176" s="77">
        <v>0.76470588235294112</v>
      </c>
      <c r="G176" s="72" t="s">
        <v>817</v>
      </c>
      <c r="H176" s="72" t="s">
        <v>817</v>
      </c>
      <c r="I176" s="72" t="s">
        <v>817</v>
      </c>
      <c r="J176" s="72" t="s">
        <v>817</v>
      </c>
      <c r="K176" s="73">
        <v>0.91031168509655058</v>
      </c>
      <c r="L176" s="73" t="s">
        <v>817</v>
      </c>
      <c r="M176" s="22" t="s">
        <v>940</v>
      </c>
      <c r="N176" s="80">
        <v>1999</v>
      </c>
      <c r="O176" s="22" t="s">
        <v>773</v>
      </c>
      <c r="P176" s="22" t="s">
        <v>819</v>
      </c>
      <c r="Q176" s="22" t="s">
        <v>800</v>
      </c>
      <c r="R176" s="22">
        <v>3</v>
      </c>
      <c r="S176" s="33" t="s">
        <v>941</v>
      </c>
    </row>
    <row r="177" spans="1:19" s="38" customFormat="1" ht="27" customHeight="1" x14ac:dyDescent="0.25">
      <c r="A177" s="22" t="s">
        <v>917</v>
      </c>
      <c r="B177" s="22" t="s">
        <v>793</v>
      </c>
      <c r="C177" s="22" t="s">
        <v>72</v>
      </c>
      <c r="D177" s="22">
        <v>38000</v>
      </c>
      <c r="E177" s="22">
        <v>4000</v>
      </c>
      <c r="F177" s="77">
        <v>0.89473684210526316</v>
      </c>
      <c r="G177" s="72" t="s">
        <v>817</v>
      </c>
      <c r="H177" s="72" t="s">
        <v>817</v>
      </c>
      <c r="I177" s="72" t="s">
        <v>817</v>
      </c>
      <c r="J177" s="72" t="s">
        <v>817</v>
      </c>
      <c r="K177" s="73">
        <v>1.1073553861039231</v>
      </c>
      <c r="L177" s="73" t="s">
        <v>817</v>
      </c>
      <c r="M177" s="22" t="s">
        <v>918</v>
      </c>
      <c r="N177" s="80">
        <v>1999</v>
      </c>
      <c r="O177" s="22" t="s">
        <v>773</v>
      </c>
      <c r="P177" s="22" t="s">
        <v>819</v>
      </c>
      <c r="Q177" s="22" t="s">
        <v>800</v>
      </c>
      <c r="R177" s="22">
        <v>3</v>
      </c>
      <c r="S177" s="33" t="s">
        <v>919</v>
      </c>
    </row>
    <row r="178" spans="1:19" s="38" customFormat="1" ht="27" customHeight="1" x14ac:dyDescent="0.25">
      <c r="A178" s="22" t="s">
        <v>848</v>
      </c>
      <c r="B178" s="22" t="s">
        <v>793</v>
      </c>
      <c r="C178" s="22" t="s">
        <v>72</v>
      </c>
      <c r="D178" s="22">
        <v>21300</v>
      </c>
      <c r="E178" s="22">
        <v>8000</v>
      </c>
      <c r="F178" s="77">
        <v>0.62441314553990612</v>
      </c>
      <c r="G178" s="72" t="s">
        <v>817</v>
      </c>
      <c r="H178" s="72" t="s">
        <v>817</v>
      </c>
      <c r="I178" s="72" t="s">
        <v>817</v>
      </c>
      <c r="J178" s="72" t="s">
        <v>817</v>
      </c>
      <c r="K178" s="73">
        <v>1.4097232572799194</v>
      </c>
      <c r="L178" s="73" t="s">
        <v>817</v>
      </c>
      <c r="M178" s="22" t="s">
        <v>923</v>
      </c>
      <c r="N178" s="80">
        <v>1999</v>
      </c>
      <c r="O178" s="22" t="s">
        <v>773</v>
      </c>
      <c r="P178" s="22" t="s">
        <v>819</v>
      </c>
      <c r="Q178" s="22" t="s">
        <v>800</v>
      </c>
      <c r="R178" s="22">
        <v>3</v>
      </c>
      <c r="S178" s="33" t="s">
        <v>924</v>
      </c>
    </row>
    <row r="179" spans="1:19" s="38" customFormat="1" ht="27" customHeight="1" x14ac:dyDescent="0.25">
      <c r="A179" s="22" t="s">
        <v>882</v>
      </c>
      <c r="B179" s="22" t="s">
        <v>793</v>
      </c>
      <c r="C179" s="22" t="s">
        <v>72</v>
      </c>
      <c r="D179" s="22">
        <v>31000</v>
      </c>
      <c r="E179" s="22">
        <v>4500</v>
      </c>
      <c r="F179" s="77">
        <v>0.85483870967741937</v>
      </c>
      <c r="G179" s="72" t="s">
        <v>817</v>
      </c>
      <c r="H179" s="72" t="s">
        <v>817</v>
      </c>
      <c r="I179" s="72" t="s">
        <v>817</v>
      </c>
      <c r="J179" s="72" t="s">
        <v>817</v>
      </c>
      <c r="K179" s="73">
        <v>1.9655681714838107</v>
      </c>
      <c r="L179" s="73" t="s">
        <v>817</v>
      </c>
      <c r="M179" s="22" t="s">
        <v>914</v>
      </c>
      <c r="N179" s="80">
        <v>1999</v>
      </c>
      <c r="O179" s="22" t="s">
        <v>773</v>
      </c>
      <c r="P179" s="22" t="s">
        <v>819</v>
      </c>
      <c r="Q179" s="22" t="s">
        <v>800</v>
      </c>
      <c r="R179" s="22">
        <v>3</v>
      </c>
      <c r="S179" s="33" t="s">
        <v>915</v>
      </c>
    </row>
    <row r="180" spans="1:19" s="38" customFormat="1" ht="27" customHeight="1" x14ac:dyDescent="0.25">
      <c r="A180" s="22" t="s">
        <v>857</v>
      </c>
      <c r="B180" s="22" t="s">
        <v>793</v>
      </c>
      <c r="C180" s="22" t="s">
        <v>72</v>
      </c>
      <c r="D180" s="22">
        <v>36000</v>
      </c>
      <c r="E180" s="22">
        <v>6000</v>
      </c>
      <c r="F180" s="77">
        <v>0.83333333333333337</v>
      </c>
      <c r="G180" s="72" t="s">
        <v>817</v>
      </c>
      <c r="H180" s="72" t="s">
        <v>817</v>
      </c>
      <c r="I180" s="72" t="s">
        <v>817</v>
      </c>
      <c r="J180" s="72" t="s">
        <v>817</v>
      </c>
      <c r="K180" s="73">
        <v>2.0194627826373988</v>
      </c>
      <c r="L180" s="73" t="s">
        <v>817</v>
      </c>
      <c r="M180" s="22" t="s">
        <v>829</v>
      </c>
      <c r="N180" s="80">
        <v>1999</v>
      </c>
      <c r="O180" s="22" t="s">
        <v>773</v>
      </c>
      <c r="P180" s="22" t="s">
        <v>819</v>
      </c>
      <c r="Q180" s="22" t="s">
        <v>800</v>
      </c>
      <c r="R180" s="22">
        <v>3</v>
      </c>
      <c r="S180" s="33" t="s">
        <v>916</v>
      </c>
    </row>
    <row r="181" spans="1:19" s="38" customFormat="1" ht="27" customHeight="1" x14ac:dyDescent="0.25">
      <c r="A181" s="22" t="s">
        <v>845</v>
      </c>
      <c r="B181" s="22" t="s">
        <v>793</v>
      </c>
      <c r="C181" s="22" t="s">
        <v>72</v>
      </c>
      <c r="D181" s="22">
        <v>17000</v>
      </c>
      <c r="E181" s="22">
        <v>8000</v>
      </c>
      <c r="F181" s="77">
        <v>0.52941176470588236</v>
      </c>
      <c r="G181" s="72" t="s">
        <v>817</v>
      </c>
      <c r="H181" s="72" t="s">
        <v>817</v>
      </c>
      <c r="I181" s="72" t="s">
        <v>817</v>
      </c>
      <c r="J181" s="72" t="s">
        <v>817</v>
      </c>
      <c r="K181" s="73">
        <v>2.1150586540048497</v>
      </c>
      <c r="L181" s="73" t="s">
        <v>817</v>
      </c>
      <c r="M181" s="22" t="s">
        <v>920</v>
      </c>
      <c r="N181" s="80">
        <v>1999</v>
      </c>
      <c r="O181" s="22" t="s">
        <v>773</v>
      </c>
      <c r="P181" s="22" t="s">
        <v>819</v>
      </c>
      <c r="Q181" s="22" t="s">
        <v>800</v>
      </c>
      <c r="R181" s="22">
        <v>3</v>
      </c>
      <c r="S181" s="33" t="s">
        <v>1285</v>
      </c>
    </row>
    <row r="182" spans="1:19" s="38" customFormat="1" ht="27" customHeight="1" x14ac:dyDescent="0.25">
      <c r="A182" s="22" t="s">
        <v>929</v>
      </c>
      <c r="B182" s="22" t="s">
        <v>793</v>
      </c>
      <c r="C182" s="22" t="s">
        <v>72</v>
      </c>
      <c r="D182" s="22">
        <v>20000</v>
      </c>
      <c r="E182" s="22">
        <v>4000</v>
      </c>
      <c r="F182" s="77">
        <v>0.8</v>
      </c>
      <c r="G182" s="72" t="s">
        <v>817</v>
      </c>
      <c r="H182" s="72" t="s">
        <v>817</v>
      </c>
      <c r="I182" s="72" t="s">
        <v>817</v>
      </c>
      <c r="J182" s="72" t="s">
        <v>817</v>
      </c>
      <c r="K182" s="73">
        <v>2.9956006523546925</v>
      </c>
      <c r="L182" s="73" t="s">
        <v>817</v>
      </c>
      <c r="M182" s="22" t="s">
        <v>930</v>
      </c>
      <c r="N182" s="80">
        <v>1999</v>
      </c>
      <c r="O182" s="22" t="s">
        <v>773</v>
      </c>
      <c r="P182" s="22" t="s">
        <v>819</v>
      </c>
      <c r="Q182" s="22" t="s">
        <v>800</v>
      </c>
      <c r="R182" s="22">
        <v>3</v>
      </c>
      <c r="S182" s="33" t="s">
        <v>931</v>
      </c>
    </row>
    <row r="183" spans="1:19" s="38" customFormat="1" ht="27" customHeight="1" x14ac:dyDescent="0.25">
      <c r="A183" s="22" t="s">
        <v>925</v>
      </c>
      <c r="B183" s="22" t="s">
        <v>793</v>
      </c>
      <c r="C183" s="22" t="s">
        <v>72</v>
      </c>
      <c r="D183" s="22">
        <v>23000</v>
      </c>
      <c r="E183" s="22">
        <v>7000</v>
      </c>
      <c r="F183" s="77">
        <v>0.69565217391304346</v>
      </c>
      <c r="G183" s="72" t="s">
        <v>817</v>
      </c>
      <c r="H183" s="72" t="s">
        <v>817</v>
      </c>
      <c r="I183" s="72" t="s">
        <v>817</v>
      </c>
      <c r="J183" s="72" t="s">
        <v>817</v>
      </c>
      <c r="K183" s="73">
        <v>3.2806764946556997</v>
      </c>
      <c r="L183" s="73" t="s">
        <v>817</v>
      </c>
      <c r="M183" s="22" t="s">
        <v>926</v>
      </c>
      <c r="N183" s="80">
        <v>1999</v>
      </c>
      <c r="O183" s="22" t="s">
        <v>773</v>
      </c>
      <c r="P183" s="22" t="s">
        <v>819</v>
      </c>
      <c r="Q183" s="22" t="s">
        <v>800</v>
      </c>
      <c r="R183" s="22">
        <v>3</v>
      </c>
      <c r="S183" s="33" t="s">
        <v>927</v>
      </c>
    </row>
    <row r="184" spans="1:19" s="38" customFormat="1" ht="27" customHeight="1" x14ac:dyDescent="0.25">
      <c r="A184" s="22" t="s">
        <v>905</v>
      </c>
      <c r="B184" s="22" t="s">
        <v>793</v>
      </c>
      <c r="C184" s="22" t="s">
        <v>72</v>
      </c>
      <c r="D184" s="22">
        <v>63000</v>
      </c>
      <c r="E184" s="22">
        <v>4000</v>
      </c>
      <c r="F184" s="77">
        <v>0.93650793650793651</v>
      </c>
      <c r="G184" s="72" t="s">
        <v>817</v>
      </c>
      <c r="H184" s="72" t="s">
        <v>817</v>
      </c>
      <c r="I184" s="72" t="s">
        <v>817</v>
      </c>
      <c r="J184" s="72" t="s">
        <v>817</v>
      </c>
      <c r="K184" s="73">
        <v>5.9479712225572774</v>
      </c>
      <c r="L184" s="73" t="s">
        <v>817</v>
      </c>
      <c r="M184" s="22" t="s">
        <v>906</v>
      </c>
      <c r="N184" s="80">
        <v>1999</v>
      </c>
      <c r="O184" s="22" t="s">
        <v>773</v>
      </c>
      <c r="P184" s="22" t="s">
        <v>819</v>
      </c>
      <c r="Q184" s="22" t="s">
        <v>800</v>
      </c>
      <c r="R184" s="22">
        <v>3</v>
      </c>
      <c r="S184" s="33" t="s">
        <v>907</v>
      </c>
    </row>
    <row r="185" spans="1:19" s="38" customFormat="1" ht="27" customHeight="1" x14ac:dyDescent="0.25">
      <c r="A185" s="22" t="s">
        <v>798</v>
      </c>
      <c r="B185" s="22" t="s">
        <v>793</v>
      </c>
      <c r="C185" s="22" t="s">
        <v>700</v>
      </c>
      <c r="D185" s="22">
        <v>18900</v>
      </c>
      <c r="E185" s="22">
        <v>1000</v>
      </c>
      <c r="F185" s="72">
        <v>0.94708994708994709</v>
      </c>
      <c r="G185" s="22" t="s">
        <v>706</v>
      </c>
      <c r="H185" s="22">
        <v>6400</v>
      </c>
      <c r="I185" s="22">
        <v>180</v>
      </c>
      <c r="J185" s="72">
        <v>0.97187500000000004</v>
      </c>
      <c r="K185" s="73">
        <v>1.2653464494413362</v>
      </c>
      <c r="L185" s="73">
        <v>5.1182794463442198E-2</v>
      </c>
      <c r="M185" s="22" t="s">
        <v>799</v>
      </c>
      <c r="N185" s="74">
        <v>2006</v>
      </c>
      <c r="O185" s="22" t="s">
        <v>773</v>
      </c>
      <c r="P185" s="22" t="s">
        <v>792</v>
      </c>
      <c r="Q185" s="22" t="s">
        <v>800</v>
      </c>
      <c r="R185" s="22">
        <v>3</v>
      </c>
      <c r="S185" s="33" t="s">
        <v>1263</v>
      </c>
    </row>
    <row r="186" spans="1:19" s="38" customFormat="1" ht="27" customHeight="1" x14ac:dyDescent="0.25">
      <c r="A186" s="22" t="s">
        <v>747</v>
      </c>
      <c r="B186" s="22" t="s">
        <v>793</v>
      </c>
      <c r="C186" s="22" t="s">
        <v>703</v>
      </c>
      <c r="D186" s="22">
        <v>38500</v>
      </c>
      <c r="E186" s="22">
        <v>3000</v>
      </c>
      <c r="F186" s="72">
        <v>0.92207792207792205</v>
      </c>
      <c r="G186" s="72" t="s">
        <v>817</v>
      </c>
      <c r="H186" s="72" t="s">
        <v>817</v>
      </c>
      <c r="I186" s="72" t="s">
        <v>817</v>
      </c>
      <c r="J186" s="72" t="s">
        <v>817</v>
      </c>
      <c r="K186" s="76">
        <v>2.1027322282293017E-3</v>
      </c>
      <c r="L186" s="73">
        <v>1.6821857825834414E-2</v>
      </c>
      <c r="M186" s="22" t="s">
        <v>796</v>
      </c>
      <c r="N186" s="74">
        <v>2010</v>
      </c>
      <c r="O186" s="22" t="s">
        <v>773</v>
      </c>
      <c r="P186" s="22" t="s">
        <v>802</v>
      </c>
      <c r="Q186" s="22" t="s">
        <v>803</v>
      </c>
      <c r="R186" s="22">
        <v>10</v>
      </c>
      <c r="S186" s="33"/>
    </row>
    <row r="187" spans="1:19" s="38" customFormat="1" ht="27" customHeight="1" x14ac:dyDescent="0.25">
      <c r="A187" s="22" t="s">
        <v>747</v>
      </c>
      <c r="B187" s="22" t="s">
        <v>793</v>
      </c>
      <c r="C187" s="22" t="s">
        <v>703</v>
      </c>
      <c r="D187" s="22">
        <v>38500</v>
      </c>
      <c r="E187" s="22">
        <v>3000</v>
      </c>
      <c r="F187" s="72">
        <v>0.92207792207792205</v>
      </c>
      <c r="G187" s="72" t="s">
        <v>817</v>
      </c>
      <c r="H187" s="72" t="s">
        <v>817</v>
      </c>
      <c r="I187" s="72" t="s">
        <v>817</v>
      </c>
      <c r="J187" s="72" t="s">
        <v>817</v>
      </c>
      <c r="K187" s="75">
        <v>4.2054644564586035E-3</v>
      </c>
      <c r="L187" s="73">
        <v>1.6821857825834414E-2</v>
      </c>
      <c r="M187" s="22" t="s">
        <v>808</v>
      </c>
      <c r="N187" s="74">
        <v>2010</v>
      </c>
      <c r="O187" s="22" t="s">
        <v>773</v>
      </c>
      <c r="P187" s="22" t="s">
        <v>802</v>
      </c>
      <c r="Q187" s="22" t="s">
        <v>803</v>
      </c>
      <c r="R187" s="22">
        <v>10</v>
      </c>
      <c r="S187" s="33"/>
    </row>
    <row r="188" spans="1:19" s="38" customFormat="1" ht="27" customHeight="1" x14ac:dyDescent="0.25">
      <c r="A188" s="22" t="s">
        <v>747</v>
      </c>
      <c r="B188" s="22" t="s">
        <v>793</v>
      </c>
      <c r="C188" s="22" t="s">
        <v>703</v>
      </c>
      <c r="D188" s="22">
        <v>38500</v>
      </c>
      <c r="E188" s="22">
        <v>3000</v>
      </c>
      <c r="F188" s="72">
        <v>0.92207792207792205</v>
      </c>
      <c r="G188" s="72" t="s">
        <v>817</v>
      </c>
      <c r="H188" s="72" t="s">
        <v>817</v>
      </c>
      <c r="I188" s="72" t="s">
        <v>817</v>
      </c>
      <c r="J188" s="72" t="s">
        <v>817</v>
      </c>
      <c r="K188" s="73">
        <v>3.2592349537554174E-2</v>
      </c>
      <c r="L188" s="73">
        <v>1.6821857825834414E-2</v>
      </c>
      <c r="M188" s="22" t="s">
        <v>804</v>
      </c>
      <c r="N188" s="74">
        <v>2010</v>
      </c>
      <c r="O188" s="22" t="s">
        <v>773</v>
      </c>
      <c r="P188" s="22" t="s">
        <v>802</v>
      </c>
      <c r="Q188" s="22" t="s">
        <v>803</v>
      </c>
      <c r="R188" s="22">
        <v>10</v>
      </c>
      <c r="S188" s="33"/>
    </row>
    <row r="189" spans="1:19" s="38" customFormat="1" ht="27" customHeight="1" x14ac:dyDescent="0.25">
      <c r="A189" s="22" t="s">
        <v>759</v>
      </c>
      <c r="B189" s="22" t="s">
        <v>793</v>
      </c>
      <c r="C189" s="22" t="s">
        <v>703</v>
      </c>
      <c r="D189" s="22">
        <v>38500</v>
      </c>
      <c r="E189" s="22">
        <v>8000</v>
      </c>
      <c r="F189" s="72">
        <v>0.79220779220779225</v>
      </c>
      <c r="G189" s="72" t="s">
        <v>817</v>
      </c>
      <c r="H189" s="72" t="s">
        <v>817</v>
      </c>
      <c r="I189" s="72" t="s">
        <v>817</v>
      </c>
      <c r="J189" s="72" t="s">
        <v>817</v>
      </c>
      <c r="K189" s="73">
        <v>0.18924590054063714</v>
      </c>
      <c r="L189" s="75">
        <v>4.2054644564586035E-3</v>
      </c>
      <c r="M189" s="22" t="s">
        <v>808</v>
      </c>
      <c r="N189" s="80">
        <v>2010</v>
      </c>
      <c r="O189" s="22" t="s">
        <v>773</v>
      </c>
      <c r="P189" s="22" t="s">
        <v>802</v>
      </c>
      <c r="Q189" s="22" t="s">
        <v>803</v>
      </c>
      <c r="R189" s="22">
        <v>10</v>
      </c>
      <c r="S189" s="33"/>
    </row>
    <row r="190" spans="1:19" s="38" customFormat="1" ht="27" customHeight="1" x14ac:dyDescent="0.25">
      <c r="A190" s="22" t="s">
        <v>759</v>
      </c>
      <c r="B190" s="22" t="s">
        <v>793</v>
      </c>
      <c r="C190" s="72" t="s">
        <v>817</v>
      </c>
      <c r="D190" s="72" t="s">
        <v>817</v>
      </c>
      <c r="E190" s="72" t="s">
        <v>817</v>
      </c>
      <c r="F190" s="72" t="s">
        <v>817</v>
      </c>
      <c r="G190" s="22" t="s">
        <v>706</v>
      </c>
      <c r="H190" s="22">
        <v>9100</v>
      </c>
      <c r="I190" s="22">
        <v>1000</v>
      </c>
      <c r="J190" s="72">
        <v>0.89010989010989006</v>
      </c>
      <c r="K190" s="73">
        <v>0.21027322282293018</v>
      </c>
      <c r="L190" s="73">
        <v>1.0513661141146508E-2</v>
      </c>
      <c r="M190" s="22" t="s">
        <v>808</v>
      </c>
      <c r="N190" s="80">
        <v>2010</v>
      </c>
      <c r="O190" s="22" t="s">
        <v>773</v>
      </c>
      <c r="P190" s="22" t="s">
        <v>802</v>
      </c>
      <c r="Q190" s="22" t="s">
        <v>803</v>
      </c>
      <c r="R190" s="22">
        <v>10</v>
      </c>
      <c r="S190" s="33"/>
    </row>
    <row r="191" spans="1:19" s="38" customFormat="1" ht="27" customHeight="1" x14ac:dyDescent="0.25">
      <c r="A191" s="22" t="s">
        <v>759</v>
      </c>
      <c r="B191" s="22" t="s">
        <v>793</v>
      </c>
      <c r="C191" s="22" t="s">
        <v>703</v>
      </c>
      <c r="D191" s="22">
        <v>38500</v>
      </c>
      <c r="E191" s="22">
        <v>8000</v>
      </c>
      <c r="F191" s="72">
        <v>0.79220779220779225</v>
      </c>
      <c r="G191" s="22" t="s">
        <v>706</v>
      </c>
      <c r="H191" s="22">
        <v>9100</v>
      </c>
      <c r="I191" s="22">
        <v>1000</v>
      </c>
      <c r="J191" s="72">
        <v>0.89010989010989006</v>
      </c>
      <c r="K191" s="73">
        <v>0.24181420624636971</v>
      </c>
      <c r="L191" s="73">
        <v>0</v>
      </c>
      <c r="M191" s="22" t="s">
        <v>808</v>
      </c>
      <c r="N191" s="80">
        <v>2010</v>
      </c>
      <c r="O191" s="22" t="s">
        <v>773</v>
      </c>
      <c r="P191" s="22" t="s">
        <v>802</v>
      </c>
      <c r="Q191" s="22" t="s">
        <v>803</v>
      </c>
      <c r="R191" s="22">
        <v>10</v>
      </c>
      <c r="S191" s="33"/>
    </row>
    <row r="192" spans="1:19" s="38" customFormat="1" ht="27" customHeight="1" x14ac:dyDescent="0.25">
      <c r="A192" s="22" t="s">
        <v>747</v>
      </c>
      <c r="B192" s="22" t="s">
        <v>793</v>
      </c>
      <c r="C192" s="22" t="s">
        <v>703</v>
      </c>
      <c r="D192" s="22">
        <v>38500</v>
      </c>
      <c r="E192" s="22">
        <v>8000</v>
      </c>
      <c r="F192" s="72">
        <v>0.79220779220779225</v>
      </c>
      <c r="G192" s="22" t="s">
        <v>706</v>
      </c>
      <c r="H192" s="22">
        <v>9100</v>
      </c>
      <c r="I192" s="22">
        <v>1000</v>
      </c>
      <c r="J192" s="72">
        <v>0.89010989010989006</v>
      </c>
      <c r="K192" s="73">
        <v>0.24181420624636971</v>
      </c>
      <c r="L192" s="73">
        <v>6.3081966846879056E-2</v>
      </c>
      <c r="M192" s="22" t="s">
        <v>796</v>
      </c>
      <c r="N192" s="80">
        <v>2010</v>
      </c>
      <c r="O192" s="22" t="s">
        <v>773</v>
      </c>
      <c r="P192" s="22" t="s">
        <v>802</v>
      </c>
      <c r="Q192" s="22" t="s">
        <v>803</v>
      </c>
      <c r="R192" s="22">
        <v>10</v>
      </c>
      <c r="S192" s="33"/>
    </row>
    <row r="193" spans="1:19" s="38" customFormat="1" ht="27" customHeight="1" x14ac:dyDescent="0.25">
      <c r="A193" s="22" t="s">
        <v>747</v>
      </c>
      <c r="B193" s="22" t="s">
        <v>793</v>
      </c>
      <c r="C193" s="72" t="s">
        <v>817</v>
      </c>
      <c r="D193" s="72" t="s">
        <v>817</v>
      </c>
      <c r="E193" s="72" t="s">
        <v>817</v>
      </c>
      <c r="F193" s="72" t="s">
        <v>817</v>
      </c>
      <c r="G193" s="22" t="s">
        <v>706</v>
      </c>
      <c r="H193" s="22">
        <v>9100</v>
      </c>
      <c r="I193" s="22">
        <v>1000</v>
      </c>
      <c r="J193" s="72">
        <v>0.89010989010989006</v>
      </c>
      <c r="K193" s="73">
        <v>0.24181420624636971</v>
      </c>
      <c r="L193" s="73">
        <v>6.3081966846879056E-2</v>
      </c>
      <c r="M193" s="22" t="s">
        <v>796</v>
      </c>
      <c r="N193" s="80">
        <v>2010</v>
      </c>
      <c r="O193" s="22" t="s">
        <v>773</v>
      </c>
      <c r="P193" s="22" t="s">
        <v>802</v>
      </c>
      <c r="Q193" s="22" t="s">
        <v>803</v>
      </c>
      <c r="R193" s="22">
        <v>10</v>
      </c>
      <c r="S193" s="33"/>
    </row>
    <row r="194" spans="1:19" s="38" customFormat="1" ht="27" customHeight="1" x14ac:dyDescent="0.25">
      <c r="A194" s="22" t="s">
        <v>736</v>
      </c>
      <c r="B194" s="22" t="s">
        <v>793</v>
      </c>
      <c r="C194" s="72" t="s">
        <v>817</v>
      </c>
      <c r="D194" s="72" t="s">
        <v>817</v>
      </c>
      <c r="E194" s="72" t="s">
        <v>817</v>
      </c>
      <c r="F194" s="72" t="s">
        <v>817</v>
      </c>
      <c r="G194" s="22" t="s">
        <v>706</v>
      </c>
      <c r="H194" s="22">
        <v>9100</v>
      </c>
      <c r="I194" s="22">
        <v>1000</v>
      </c>
      <c r="J194" s="72">
        <v>0.89010989010989006</v>
      </c>
      <c r="K194" s="73">
        <v>0.24181420624636971</v>
      </c>
      <c r="L194" s="73">
        <v>0.14719125597605112</v>
      </c>
      <c r="M194" s="22" t="s">
        <v>808</v>
      </c>
      <c r="N194" s="80">
        <v>2010</v>
      </c>
      <c r="O194" s="22" t="s">
        <v>773</v>
      </c>
      <c r="P194" s="22" t="s">
        <v>802</v>
      </c>
      <c r="Q194" s="22" t="s">
        <v>803</v>
      </c>
      <c r="R194" s="22">
        <v>10</v>
      </c>
      <c r="S194" s="33" t="s">
        <v>807</v>
      </c>
    </row>
    <row r="195" spans="1:19" s="38" customFormat="1" ht="27" customHeight="1" x14ac:dyDescent="0.25">
      <c r="A195" s="22" t="s">
        <v>759</v>
      </c>
      <c r="B195" s="22" t="s">
        <v>793</v>
      </c>
      <c r="C195" s="22" t="s">
        <v>703</v>
      </c>
      <c r="D195" s="22">
        <v>38500</v>
      </c>
      <c r="E195" s="22">
        <v>8000</v>
      </c>
      <c r="F195" s="72">
        <v>0.79220779220779225</v>
      </c>
      <c r="G195" s="72" t="s">
        <v>817</v>
      </c>
      <c r="H195" s="72" t="s">
        <v>817</v>
      </c>
      <c r="I195" s="72" t="s">
        <v>817</v>
      </c>
      <c r="J195" s="72" t="s">
        <v>817</v>
      </c>
      <c r="K195" s="73">
        <v>0.25232786738751622</v>
      </c>
      <c r="L195" s="73">
        <v>1.0513661141146508E-2</v>
      </c>
      <c r="M195" s="22" t="s">
        <v>810</v>
      </c>
      <c r="N195" s="80">
        <v>2010</v>
      </c>
      <c r="O195" s="22" t="s">
        <v>773</v>
      </c>
      <c r="P195" s="22" t="s">
        <v>802</v>
      </c>
      <c r="Q195" s="22" t="s">
        <v>803</v>
      </c>
      <c r="R195" s="22">
        <v>10</v>
      </c>
      <c r="S195" s="33"/>
    </row>
    <row r="196" spans="1:19" s="38" customFormat="1" ht="27" customHeight="1" x14ac:dyDescent="0.25">
      <c r="A196" s="22" t="s">
        <v>736</v>
      </c>
      <c r="B196" s="22" t="s">
        <v>793</v>
      </c>
      <c r="C196" s="72" t="s">
        <v>817</v>
      </c>
      <c r="D196" s="72" t="s">
        <v>817</v>
      </c>
      <c r="E196" s="72" t="s">
        <v>817</v>
      </c>
      <c r="F196" s="72" t="s">
        <v>817</v>
      </c>
      <c r="G196" s="22" t="s">
        <v>706</v>
      </c>
      <c r="H196" s="22">
        <v>9100</v>
      </c>
      <c r="I196" s="22">
        <v>1000</v>
      </c>
      <c r="J196" s="72">
        <v>0.89010989010989006</v>
      </c>
      <c r="K196" s="73">
        <v>0.25232786738751622</v>
      </c>
      <c r="L196" s="73">
        <v>0.1366775948349046</v>
      </c>
      <c r="M196" s="22" t="s">
        <v>796</v>
      </c>
      <c r="N196" s="80">
        <v>2010</v>
      </c>
      <c r="O196" s="22" t="s">
        <v>773</v>
      </c>
      <c r="P196" s="22" t="s">
        <v>802</v>
      </c>
      <c r="Q196" s="22" t="s">
        <v>803</v>
      </c>
      <c r="R196" s="22">
        <v>10</v>
      </c>
      <c r="S196" s="33" t="s">
        <v>807</v>
      </c>
    </row>
    <row r="197" spans="1:19" s="38" customFormat="1" ht="27" customHeight="1" x14ac:dyDescent="0.25">
      <c r="A197" s="22" t="s">
        <v>755</v>
      </c>
      <c r="B197" s="22" t="s">
        <v>793</v>
      </c>
      <c r="C197" s="72" t="s">
        <v>817</v>
      </c>
      <c r="D197" s="72" t="s">
        <v>817</v>
      </c>
      <c r="E197" s="72" t="s">
        <v>817</v>
      </c>
      <c r="F197" s="72" t="s">
        <v>817</v>
      </c>
      <c r="G197" s="22" t="s">
        <v>706</v>
      </c>
      <c r="H197" s="22">
        <v>9100</v>
      </c>
      <c r="I197" s="22">
        <v>1000</v>
      </c>
      <c r="J197" s="72">
        <v>0.89010989010989006</v>
      </c>
      <c r="K197" s="73">
        <v>0.26284152852866272</v>
      </c>
      <c r="L197" s="73">
        <v>0.1366775948349046</v>
      </c>
      <c r="M197" s="22" t="s">
        <v>808</v>
      </c>
      <c r="N197" s="80">
        <v>2010</v>
      </c>
      <c r="O197" s="22" t="s">
        <v>773</v>
      </c>
      <c r="P197" s="22" t="s">
        <v>802</v>
      </c>
      <c r="Q197" s="22" t="s">
        <v>803</v>
      </c>
      <c r="R197" s="22">
        <v>10</v>
      </c>
      <c r="S197" s="33"/>
    </row>
    <row r="198" spans="1:19" s="38" customFormat="1" ht="27" customHeight="1" x14ac:dyDescent="0.25">
      <c r="A198" s="22" t="s">
        <v>765</v>
      </c>
      <c r="B198" s="22" t="s">
        <v>793</v>
      </c>
      <c r="C198" s="72" t="s">
        <v>817</v>
      </c>
      <c r="D198" s="72" t="s">
        <v>817</v>
      </c>
      <c r="E198" s="72" t="s">
        <v>817</v>
      </c>
      <c r="F198" s="72" t="s">
        <v>817</v>
      </c>
      <c r="G198" s="22" t="s">
        <v>706</v>
      </c>
      <c r="H198" s="22">
        <v>9100</v>
      </c>
      <c r="I198" s="22">
        <v>1000</v>
      </c>
      <c r="J198" s="72">
        <v>0.89010989010989006</v>
      </c>
      <c r="K198" s="73">
        <v>0.26284152852866272</v>
      </c>
      <c r="L198" s="73">
        <v>0.1366775948349046</v>
      </c>
      <c r="M198" s="22" t="s">
        <v>808</v>
      </c>
      <c r="N198" s="80">
        <v>2010</v>
      </c>
      <c r="O198" s="22" t="s">
        <v>773</v>
      </c>
      <c r="P198" s="22" t="s">
        <v>802</v>
      </c>
      <c r="Q198" s="22" t="s">
        <v>803</v>
      </c>
      <c r="R198" s="22">
        <v>10</v>
      </c>
      <c r="S198" s="33"/>
    </row>
    <row r="199" spans="1:19" s="38" customFormat="1" ht="27" customHeight="1" x14ac:dyDescent="0.25">
      <c r="A199" s="22" t="s">
        <v>841</v>
      </c>
      <c r="B199" s="22" t="s">
        <v>793</v>
      </c>
      <c r="C199" s="72" t="s">
        <v>817</v>
      </c>
      <c r="D199" s="72" t="s">
        <v>817</v>
      </c>
      <c r="E199" s="72" t="s">
        <v>817</v>
      </c>
      <c r="F199" s="72" t="s">
        <v>817</v>
      </c>
      <c r="G199" s="22" t="s">
        <v>706</v>
      </c>
      <c r="H199" s="22">
        <v>9100</v>
      </c>
      <c r="I199" s="22">
        <v>1000</v>
      </c>
      <c r="J199" s="72">
        <v>0.89010989010989006</v>
      </c>
      <c r="K199" s="73">
        <v>0.26284152852866272</v>
      </c>
      <c r="L199" s="73">
        <v>0.1366775948349046</v>
      </c>
      <c r="M199" s="22" t="s">
        <v>808</v>
      </c>
      <c r="N199" s="80">
        <v>2010</v>
      </c>
      <c r="O199" s="22" t="s">
        <v>773</v>
      </c>
      <c r="P199" s="22" t="s">
        <v>802</v>
      </c>
      <c r="Q199" s="22" t="s">
        <v>803</v>
      </c>
      <c r="R199" s="22">
        <v>10</v>
      </c>
      <c r="S199" s="33"/>
    </row>
    <row r="200" spans="1:19" s="38" customFormat="1" ht="27" customHeight="1" x14ac:dyDescent="0.25">
      <c r="A200" s="22" t="s">
        <v>719</v>
      </c>
      <c r="B200" s="22" t="s">
        <v>793</v>
      </c>
      <c r="C200" s="72" t="s">
        <v>817</v>
      </c>
      <c r="D200" s="72" t="s">
        <v>817</v>
      </c>
      <c r="E200" s="72" t="s">
        <v>817</v>
      </c>
      <c r="F200" s="72" t="s">
        <v>817</v>
      </c>
      <c r="G200" s="22" t="s">
        <v>706</v>
      </c>
      <c r="H200" s="22">
        <v>9100</v>
      </c>
      <c r="I200" s="22">
        <v>1000</v>
      </c>
      <c r="J200" s="72">
        <v>0.89010989010989006</v>
      </c>
      <c r="K200" s="73">
        <v>0.26284152852866272</v>
      </c>
      <c r="L200" s="73">
        <v>0.14719125597605112</v>
      </c>
      <c r="M200" s="22" t="s">
        <v>808</v>
      </c>
      <c r="N200" s="80">
        <v>2010</v>
      </c>
      <c r="O200" s="22" t="s">
        <v>773</v>
      </c>
      <c r="P200" s="22" t="s">
        <v>802</v>
      </c>
      <c r="Q200" s="22" t="s">
        <v>803</v>
      </c>
      <c r="R200" s="22">
        <v>10</v>
      </c>
      <c r="S200" s="33"/>
    </row>
    <row r="201" spans="1:19" s="38" customFormat="1" ht="27" customHeight="1" x14ac:dyDescent="0.25">
      <c r="A201" s="22" t="s">
        <v>755</v>
      </c>
      <c r="B201" s="22" t="s">
        <v>793</v>
      </c>
      <c r="C201" s="72" t="s">
        <v>817</v>
      </c>
      <c r="D201" s="72" t="s">
        <v>817</v>
      </c>
      <c r="E201" s="72" t="s">
        <v>817</v>
      </c>
      <c r="F201" s="72" t="s">
        <v>817</v>
      </c>
      <c r="G201" s="22" t="s">
        <v>706</v>
      </c>
      <c r="H201" s="22">
        <v>9100</v>
      </c>
      <c r="I201" s="22">
        <v>1000</v>
      </c>
      <c r="J201" s="72">
        <v>0.89010989010989006</v>
      </c>
      <c r="K201" s="73">
        <v>0.28386885081095575</v>
      </c>
      <c r="L201" s="73">
        <v>0.11565027255261159</v>
      </c>
      <c r="M201" s="22" t="s">
        <v>809</v>
      </c>
      <c r="N201" s="80">
        <v>2010</v>
      </c>
      <c r="O201" s="22" t="s">
        <v>773</v>
      </c>
      <c r="P201" s="22" t="s">
        <v>802</v>
      </c>
      <c r="Q201" s="22" t="s">
        <v>803</v>
      </c>
      <c r="R201" s="22">
        <v>10</v>
      </c>
      <c r="S201" s="33"/>
    </row>
    <row r="202" spans="1:19" s="38" customFormat="1" ht="27" customHeight="1" x14ac:dyDescent="0.25">
      <c r="A202" s="22" t="s">
        <v>765</v>
      </c>
      <c r="B202" s="22" t="s">
        <v>793</v>
      </c>
      <c r="C202" s="72" t="s">
        <v>817</v>
      </c>
      <c r="D202" s="72" t="s">
        <v>817</v>
      </c>
      <c r="E202" s="72" t="s">
        <v>817</v>
      </c>
      <c r="F202" s="72" t="s">
        <v>817</v>
      </c>
      <c r="G202" s="22" t="s">
        <v>706</v>
      </c>
      <c r="H202" s="22">
        <v>9100</v>
      </c>
      <c r="I202" s="22">
        <v>1000</v>
      </c>
      <c r="J202" s="72">
        <v>0.89010989010989006</v>
      </c>
      <c r="K202" s="73">
        <v>0.28386885081095575</v>
      </c>
      <c r="L202" s="73">
        <v>0.11565027255261159</v>
      </c>
      <c r="M202" s="22" t="s">
        <v>809</v>
      </c>
      <c r="N202" s="80">
        <v>2010</v>
      </c>
      <c r="O202" s="22" t="s">
        <v>773</v>
      </c>
      <c r="P202" s="22" t="s">
        <v>802</v>
      </c>
      <c r="Q202" s="22" t="s">
        <v>803</v>
      </c>
      <c r="R202" s="22">
        <v>10</v>
      </c>
      <c r="S202" s="33"/>
    </row>
    <row r="203" spans="1:19" s="38" customFormat="1" ht="27" customHeight="1" x14ac:dyDescent="0.25">
      <c r="A203" s="22" t="s">
        <v>841</v>
      </c>
      <c r="B203" s="22" t="s">
        <v>793</v>
      </c>
      <c r="C203" s="72" t="s">
        <v>817</v>
      </c>
      <c r="D203" s="72" t="s">
        <v>817</v>
      </c>
      <c r="E203" s="72" t="s">
        <v>817</v>
      </c>
      <c r="F203" s="72" t="s">
        <v>817</v>
      </c>
      <c r="G203" s="22" t="s">
        <v>706</v>
      </c>
      <c r="H203" s="22">
        <v>9100</v>
      </c>
      <c r="I203" s="22">
        <v>1000</v>
      </c>
      <c r="J203" s="72">
        <v>0.89010989010989006</v>
      </c>
      <c r="K203" s="73">
        <v>0.28386885081095575</v>
      </c>
      <c r="L203" s="73">
        <v>0.11565027255261159</v>
      </c>
      <c r="M203" s="22" t="s">
        <v>809</v>
      </c>
      <c r="N203" s="80">
        <v>2010</v>
      </c>
      <c r="O203" s="22" t="s">
        <v>773</v>
      </c>
      <c r="P203" s="22" t="s">
        <v>802</v>
      </c>
      <c r="Q203" s="22" t="s">
        <v>803</v>
      </c>
      <c r="R203" s="22">
        <v>10</v>
      </c>
      <c r="S203" s="33"/>
    </row>
    <row r="204" spans="1:19" s="38" customFormat="1" ht="27" customHeight="1" x14ac:dyDescent="0.25">
      <c r="A204" s="22" t="s">
        <v>719</v>
      </c>
      <c r="B204" s="22" t="s">
        <v>793</v>
      </c>
      <c r="C204" s="72" t="s">
        <v>817</v>
      </c>
      <c r="D204" s="72" t="s">
        <v>817</v>
      </c>
      <c r="E204" s="72" t="s">
        <v>817</v>
      </c>
      <c r="F204" s="72" t="s">
        <v>817</v>
      </c>
      <c r="G204" s="22" t="s">
        <v>706</v>
      </c>
      <c r="H204" s="22">
        <v>9100</v>
      </c>
      <c r="I204" s="22">
        <v>1000</v>
      </c>
      <c r="J204" s="72">
        <v>0.89010989010989006</v>
      </c>
      <c r="K204" s="73">
        <v>0.28386885081095575</v>
      </c>
      <c r="L204" s="73">
        <v>0.12616393369375811</v>
      </c>
      <c r="M204" s="22" t="s">
        <v>809</v>
      </c>
      <c r="N204" s="80">
        <v>2010</v>
      </c>
      <c r="O204" s="22" t="s">
        <v>773</v>
      </c>
      <c r="P204" s="22" t="s">
        <v>802</v>
      </c>
      <c r="Q204" s="22" t="s">
        <v>803</v>
      </c>
      <c r="R204" s="22">
        <v>10</v>
      </c>
      <c r="S204" s="33"/>
    </row>
    <row r="205" spans="1:19" s="38" customFormat="1" ht="27" customHeight="1" x14ac:dyDescent="0.25">
      <c r="A205" s="22" t="s">
        <v>747</v>
      </c>
      <c r="B205" s="22" t="s">
        <v>793</v>
      </c>
      <c r="C205" s="72" t="s">
        <v>817</v>
      </c>
      <c r="D205" s="72" t="s">
        <v>817</v>
      </c>
      <c r="E205" s="72" t="s">
        <v>817</v>
      </c>
      <c r="F205" s="72" t="s">
        <v>817</v>
      </c>
      <c r="G205" s="22" t="s">
        <v>706</v>
      </c>
      <c r="H205" s="22">
        <v>9100</v>
      </c>
      <c r="I205" s="22">
        <v>100</v>
      </c>
      <c r="J205" s="72">
        <v>0.98901098901098905</v>
      </c>
      <c r="K205" s="73">
        <v>0.29438251195210224</v>
      </c>
      <c r="L205" s="73">
        <v>9.462295027031857E-2</v>
      </c>
      <c r="M205" s="22" t="s">
        <v>796</v>
      </c>
      <c r="N205" s="80">
        <v>2010</v>
      </c>
      <c r="O205" s="22" t="s">
        <v>773</v>
      </c>
      <c r="P205" s="22" t="s">
        <v>802</v>
      </c>
      <c r="Q205" s="22" t="s">
        <v>803</v>
      </c>
      <c r="R205" s="22">
        <v>10</v>
      </c>
      <c r="S205" s="33"/>
    </row>
    <row r="206" spans="1:19" s="38" customFormat="1" ht="27" customHeight="1" x14ac:dyDescent="0.25">
      <c r="A206" s="22" t="s">
        <v>747</v>
      </c>
      <c r="B206" s="22" t="s">
        <v>793</v>
      </c>
      <c r="C206" s="22" t="s">
        <v>703</v>
      </c>
      <c r="D206" s="22">
        <v>38500</v>
      </c>
      <c r="E206" s="22">
        <v>3000</v>
      </c>
      <c r="F206" s="72">
        <v>0.92207792207792205</v>
      </c>
      <c r="G206" s="22" t="s">
        <v>706</v>
      </c>
      <c r="H206" s="22">
        <v>9100</v>
      </c>
      <c r="I206" s="22">
        <v>100</v>
      </c>
      <c r="J206" s="72">
        <v>0.98901098901098905</v>
      </c>
      <c r="K206" s="73">
        <v>0.29438251195210224</v>
      </c>
      <c r="L206" s="73">
        <v>0.10513661141146509</v>
      </c>
      <c r="M206" s="22" t="s">
        <v>796</v>
      </c>
      <c r="N206" s="74">
        <v>2010</v>
      </c>
      <c r="O206" s="22" t="s">
        <v>773</v>
      </c>
      <c r="P206" s="22" t="s">
        <v>802</v>
      </c>
      <c r="Q206" s="22" t="s">
        <v>803</v>
      </c>
      <c r="R206" s="22">
        <v>10</v>
      </c>
      <c r="S206" s="33"/>
    </row>
    <row r="207" spans="1:19" s="38" customFormat="1" ht="27" customHeight="1" x14ac:dyDescent="0.25">
      <c r="A207" s="22" t="s">
        <v>736</v>
      </c>
      <c r="B207" s="22" t="s">
        <v>793</v>
      </c>
      <c r="C207" s="72" t="s">
        <v>817</v>
      </c>
      <c r="D207" s="72" t="s">
        <v>817</v>
      </c>
      <c r="E207" s="72" t="s">
        <v>817</v>
      </c>
      <c r="F207" s="72" t="s">
        <v>817</v>
      </c>
      <c r="G207" s="22" t="s">
        <v>706</v>
      </c>
      <c r="H207" s="22">
        <v>9100</v>
      </c>
      <c r="I207" s="22">
        <v>1000</v>
      </c>
      <c r="J207" s="72">
        <v>0.89010989010989006</v>
      </c>
      <c r="K207" s="73">
        <v>0.30489617309324873</v>
      </c>
      <c r="L207" s="73">
        <v>9.462295027031857E-2</v>
      </c>
      <c r="M207" s="22" t="s">
        <v>796</v>
      </c>
      <c r="N207" s="80">
        <v>2010</v>
      </c>
      <c r="O207" s="22" t="s">
        <v>773</v>
      </c>
      <c r="P207" s="22" t="s">
        <v>802</v>
      </c>
      <c r="Q207" s="22" t="s">
        <v>803</v>
      </c>
      <c r="R207" s="22">
        <v>10</v>
      </c>
      <c r="S207" s="33" t="s">
        <v>805</v>
      </c>
    </row>
    <row r="208" spans="1:19" s="38" customFormat="1" ht="27" customHeight="1" x14ac:dyDescent="0.25">
      <c r="A208" s="22" t="s">
        <v>736</v>
      </c>
      <c r="B208" s="22" t="s">
        <v>793</v>
      </c>
      <c r="C208" s="22" t="s">
        <v>703</v>
      </c>
      <c r="D208" s="22">
        <v>38500</v>
      </c>
      <c r="E208" s="22">
        <v>8000</v>
      </c>
      <c r="F208" s="72">
        <v>0.79220779220779225</v>
      </c>
      <c r="G208" s="72" t="s">
        <v>817</v>
      </c>
      <c r="H208" s="72" t="s">
        <v>817</v>
      </c>
      <c r="I208" s="72" t="s">
        <v>817</v>
      </c>
      <c r="J208" s="72" t="s">
        <v>817</v>
      </c>
      <c r="K208" s="73">
        <v>0.32592349537554177</v>
      </c>
      <c r="L208" s="73">
        <v>-5.2568305705732545E-2</v>
      </c>
      <c r="M208" s="22" t="s">
        <v>796</v>
      </c>
      <c r="N208" s="80">
        <v>2010</v>
      </c>
      <c r="O208" s="22" t="s">
        <v>773</v>
      </c>
      <c r="P208" s="22" t="s">
        <v>802</v>
      </c>
      <c r="Q208" s="22" t="s">
        <v>803</v>
      </c>
      <c r="R208" s="22">
        <v>10</v>
      </c>
      <c r="S208" s="33" t="s">
        <v>805</v>
      </c>
    </row>
    <row r="209" spans="1:19" s="38" customFormat="1" ht="27" customHeight="1" x14ac:dyDescent="0.25">
      <c r="A209" s="22" t="s">
        <v>747</v>
      </c>
      <c r="B209" s="22" t="s">
        <v>793</v>
      </c>
      <c r="C209" s="22" t="s">
        <v>703</v>
      </c>
      <c r="D209" s="22">
        <v>38500</v>
      </c>
      <c r="E209" s="22">
        <v>8000</v>
      </c>
      <c r="F209" s="72">
        <v>0.79220779220779225</v>
      </c>
      <c r="G209" s="22" t="s">
        <v>706</v>
      </c>
      <c r="H209" s="22">
        <v>9100</v>
      </c>
      <c r="I209" s="22">
        <v>1000</v>
      </c>
      <c r="J209" s="72">
        <v>0.89010989010989006</v>
      </c>
      <c r="K209" s="73">
        <v>0.34695081765783481</v>
      </c>
      <c r="L209" s="73">
        <v>8.4109289129172066E-2</v>
      </c>
      <c r="M209" s="22" t="s">
        <v>808</v>
      </c>
      <c r="N209" s="80">
        <v>2010</v>
      </c>
      <c r="O209" s="22" t="s">
        <v>773</v>
      </c>
      <c r="P209" s="22" t="s">
        <v>802</v>
      </c>
      <c r="Q209" s="22" t="s">
        <v>803</v>
      </c>
      <c r="R209" s="22">
        <v>10</v>
      </c>
      <c r="S209" s="33"/>
    </row>
    <row r="210" spans="1:19" s="38" customFormat="1" ht="27" customHeight="1" x14ac:dyDescent="0.25">
      <c r="A210" s="22" t="s">
        <v>747</v>
      </c>
      <c r="B210" s="22" t="s">
        <v>793</v>
      </c>
      <c r="C210" s="72" t="s">
        <v>817</v>
      </c>
      <c r="D210" s="72" t="s">
        <v>817</v>
      </c>
      <c r="E210" s="72" t="s">
        <v>817</v>
      </c>
      <c r="F210" s="72" t="s">
        <v>817</v>
      </c>
      <c r="G210" s="22" t="s">
        <v>706</v>
      </c>
      <c r="H210" s="22">
        <v>9100</v>
      </c>
      <c r="I210" s="22">
        <v>1000</v>
      </c>
      <c r="J210" s="72">
        <v>0.89010989010989006</v>
      </c>
      <c r="K210" s="73">
        <v>0.34695081765783481</v>
      </c>
      <c r="L210" s="73">
        <v>8.4109289129172066E-2</v>
      </c>
      <c r="M210" s="22" t="s">
        <v>808</v>
      </c>
      <c r="N210" s="80">
        <v>2010</v>
      </c>
      <c r="O210" s="22" t="s">
        <v>773</v>
      </c>
      <c r="P210" s="22" t="s">
        <v>802</v>
      </c>
      <c r="Q210" s="22" t="s">
        <v>803</v>
      </c>
      <c r="R210" s="22">
        <v>10</v>
      </c>
      <c r="S210" s="33"/>
    </row>
    <row r="211" spans="1:19" s="38" customFormat="1" ht="27" customHeight="1" x14ac:dyDescent="0.25">
      <c r="A211" s="22" t="s">
        <v>747</v>
      </c>
      <c r="B211" s="22" t="s">
        <v>793</v>
      </c>
      <c r="C211" s="72" t="s">
        <v>817</v>
      </c>
      <c r="D211" s="72" t="s">
        <v>817</v>
      </c>
      <c r="E211" s="72" t="s">
        <v>817</v>
      </c>
      <c r="F211" s="72" t="s">
        <v>817</v>
      </c>
      <c r="G211" s="22" t="s">
        <v>706</v>
      </c>
      <c r="H211" s="22">
        <v>9100</v>
      </c>
      <c r="I211" s="22">
        <v>100</v>
      </c>
      <c r="J211" s="72">
        <v>0.98901098901098905</v>
      </c>
      <c r="K211" s="73">
        <v>0.3574644787989813</v>
      </c>
      <c r="L211" s="73">
        <v>0.11565027255261159</v>
      </c>
      <c r="M211" s="22" t="s">
        <v>808</v>
      </c>
      <c r="N211" s="80">
        <v>2010</v>
      </c>
      <c r="O211" s="22" t="s">
        <v>773</v>
      </c>
      <c r="P211" s="22" t="s">
        <v>802</v>
      </c>
      <c r="Q211" s="22" t="s">
        <v>803</v>
      </c>
      <c r="R211" s="22">
        <v>10</v>
      </c>
      <c r="S211" s="33"/>
    </row>
    <row r="212" spans="1:19" s="38" customFormat="1" ht="27" customHeight="1" x14ac:dyDescent="0.25">
      <c r="A212" s="22" t="s">
        <v>747</v>
      </c>
      <c r="B212" s="22" t="s">
        <v>793</v>
      </c>
      <c r="C212" s="22" t="s">
        <v>703</v>
      </c>
      <c r="D212" s="22">
        <v>38500</v>
      </c>
      <c r="E212" s="22">
        <v>3000</v>
      </c>
      <c r="F212" s="72">
        <v>0.92207792207792205</v>
      </c>
      <c r="G212" s="22" t="s">
        <v>706</v>
      </c>
      <c r="H212" s="22">
        <v>9100</v>
      </c>
      <c r="I212" s="22">
        <v>100</v>
      </c>
      <c r="J212" s="72">
        <v>0.98901098901098905</v>
      </c>
      <c r="K212" s="73">
        <v>0.36797813994012779</v>
      </c>
      <c r="L212" s="73">
        <v>0.12616393369375811</v>
      </c>
      <c r="M212" s="22" t="s">
        <v>808</v>
      </c>
      <c r="N212" s="74">
        <v>2010</v>
      </c>
      <c r="O212" s="22" t="s">
        <v>773</v>
      </c>
      <c r="P212" s="22" t="s">
        <v>802</v>
      </c>
      <c r="Q212" s="22" t="s">
        <v>803</v>
      </c>
      <c r="R212" s="22">
        <v>10</v>
      </c>
      <c r="S212" s="33"/>
    </row>
    <row r="213" spans="1:19" s="38" customFormat="1" ht="27" customHeight="1" x14ac:dyDescent="0.25">
      <c r="A213" s="22" t="s">
        <v>736</v>
      </c>
      <c r="B213" s="22" t="s">
        <v>793</v>
      </c>
      <c r="C213" s="22" t="s">
        <v>703</v>
      </c>
      <c r="D213" s="22">
        <v>38500</v>
      </c>
      <c r="E213" s="22">
        <v>8000</v>
      </c>
      <c r="F213" s="72">
        <v>0.79220779220779225</v>
      </c>
      <c r="G213" s="22" t="s">
        <v>706</v>
      </c>
      <c r="H213" s="22">
        <v>9100</v>
      </c>
      <c r="I213" s="22">
        <v>1000</v>
      </c>
      <c r="J213" s="72">
        <v>0.89010989010989006</v>
      </c>
      <c r="K213" s="73">
        <v>0.46260109021044638</v>
      </c>
      <c r="L213" s="73">
        <v>5.2568305705732545E-2</v>
      </c>
      <c r="M213" s="22" t="s">
        <v>796</v>
      </c>
      <c r="N213" s="80">
        <v>2010</v>
      </c>
      <c r="O213" s="22" t="s">
        <v>773</v>
      </c>
      <c r="P213" s="22" t="s">
        <v>802</v>
      </c>
      <c r="Q213" s="22" t="s">
        <v>803</v>
      </c>
      <c r="R213" s="22">
        <v>10</v>
      </c>
      <c r="S213" s="33" t="s">
        <v>805</v>
      </c>
    </row>
    <row r="214" spans="1:19" s="38" customFormat="1" ht="27" customHeight="1" x14ac:dyDescent="0.25">
      <c r="A214" s="22" t="s">
        <v>759</v>
      </c>
      <c r="B214" s="22" t="s">
        <v>793</v>
      </c>
      <c r="C214" s="22" t="s">
        <v>703</v>
      </c>
      <c r="D214" s="22">
        <v>38500</v>
      </c>
      <c r="E214" s="22">
        <v>8000</v>
      </c>
      <c r="F214" s="72">
        <v>0.79220779220779225</v>
      </c>
      <c r="G214" s="72" t="s">
        <v>817</v>
      </c>
      <c r="H214" s="72" t="s">
        <v>817</v>
      </c>
      <c r="I214" s="72" t="s">
        <v>817</v>
      </c>
      <c r="J214" s="72" t="s">
        <v>817</v>
      </c>
      <c r="K214" s="73">
        <v>0.47311475135159292</v>
      </c>
      <c r="L214" s="73">
        <v>1.0513661141146508E-2</v>
      </c>
      <c r="M214" s="22" t="s">
        <v>801</v>
      </c>
      <c r="N214" s="80">
        <v>2010</v>
      </c>
      <c r="O214" s="22" t="s">
        <v>773</v>
      </c>
      <c r="P214" s="22" t="s">
        <v>802</v>
      </c>
      <c r="Q214" s="22" t="s">
        <v>803</v>
      </c>
      <c r="R214" s="22">
        <v>10</v>
      </c>
      <c r="S214" s="33"/>
    </row>
    <row r="215" spans="1:19" s="38" customFormat="1" ht="27" customHeight="1" x14ac:dyDescent="0.25">
      <c r="A215" s="22" t="s">
        <v>736</v>
      </c>
      <c r="B215" s="22" t="s">
        <v>793</v>
      </c>
      <c r="C215" s="72" t="s">
        <v>817</v>
      </c>
      <c r="D215" s="72" t="s">
        <v>817</v>
      </c>
      <c r="E215" s="72" t="s">
        <v>817</v>
      </c>
      <c r="F215" s="72" t="s">
        <v>817</v>
      </c>
      <c r="G215" s="22" t="s">
        <v>706</v>
      </c>
      <c r="H215" s="22">
        <v>9100</v>
      </c>
      <c r="I215" s="22">
        <v>1000</v>
      </c>
      <c r="J215" s="72">
        <v>0.89010989010989006</v>
      </c>
      <c r="K215" s="73">
        <v>0.48362841249273941</v>
      </c>
      <c r="L215" s="73">
        <v>0.10513661141146509</v>
      </c>
      <c r="M215" s="22" t="s">
        <v>808</v>
      </c>
      <c r="N215" s="80">
        <v>2010</v>
      </c>
      <c r="O215" s="22" t="s">
        <v>773</v>
      </c>
      <c r="P215" s="22" t="s">
        <v>802</v>
      </c>
      <c r="Q215" s="22" t="s">
        <v>803</v>
      </c>
      <c r="R215" s="22">
        <v>10</v>
      </c>
      <c r="S215" s="33" t="s">
        <v>805</v>
      </c>
    </row>
    <row r="216" spans="1:19" s="38" customFormat="1" ht="27" customHeight="1" x14ac:dyDescent="0.25">
      <c r="A216" s="22" t="s">
        <v>759</v>
      </c>
      <c r="B216" s="22" t="s">
        <v>793</v>
      </c>
      <c r="C216" s="72" t="s">
        <v>817</v>
      </c>
      <c r="D216" s="72" t="s">
        <v>817</v>
      </c>
      <c r="E216" s="72" t="s">
        <v>817</v>
      </c>
      <c r="F216" s="72" t="s">
        <v>817</v>
      </c>
      <c r="G216" s="22" t="s">
        <v>706</v>
      </c>
      <c r="H216" s="22">
        <v>9100</v>
      </c>
      <c r="I216" s="22">
        <v>1000</v>
      </c>
      <c r="J216" s="72">
        <v>0.89010989010989006</v>
      </c>
      <c r="K216" s="73">
        <v>0.4941420736338859</v>
      </c>
      <c r="L216" s="73">
        <v>2.1027322282293016E-2</v>
      </c>
      <c r="M216" s="22" t="s">
        <v>804</v>
      </c>
      <c r="N216" s="80">
        <v>2010</v>
      </c>
      <c r="O216" s="22" t="s">
        <v>773</v>
      </c>
      <c r="P216" s="22" t="s">
        <v>802</v>
      </c>
      <c r="Q216" s="22" t="s">
        <v>803</v>
      </c>
      <c r="R216" s="22">
        <v>10</v>
      </c>
      <c r="S216" s="33"/>
    </row>
    <row r="217" spans="1:19" s="38" customFormat="1" ht="27" customHeight="1" x14ac:dyDescent="0.25">
      <c r="A217" s="22" t="s">
        <v>736</v>
      </c>
      <c r="B217" s="22" t="s">
        <v>793</v>
      </c>
      <c r="C217" s="22" t="s">
        <v>703</v>
      </c>
      <c r="D217" s="22">
        <v>38500</v>
      </c>
      <c r="E217" s="22">
        <v>3000</v>
      </c>
      <c r="F217" s="72">
        <v>0.92207792207792205</v>
      </c>
      <c r="G217" s="72" t="s">
        <v>817</v>
      </c>
      <c r="H217" s="72" t="s">
        <v>817</v>
      </c>
      <c r="I217" s="72" t="s">
        <v>817</v>
      </c>
      <c r="J217" s="72" t="s">
        <v>817</v>
      </c>
      <c r="K217" s="73">
        <v>0.51516939591617894</v>
      </c>
      <c r="L217" s="73">
        <v>-1.0513661141146508E-2</v>
      </c>
      <c r="M217" s="22" t="s">
        <v>796</v>
      </c>
      <c r="N217" s="74">
        <v>2010</v>
      </c>
      <c r="O217" s="22" t="s">
        <v>773</v>
      </c>
      <c r="P217" s="22" t="s">
        <v>802</v>
      </c>
      <c r="Q217" s="22" t="s">
        <v>803</v>
      </c>
      <c r="R217" s="22">
        <v>10</v>
      </c>
      <c r="S217" s="33" t="s">
        <v>805</v>
      </c>
    </row>
    <row r="218" spans="1:19" s="38" customFormat="1" ht="27" customHeight="1" x14ac:dyDescent="0.25">
      <c r="A218" s="22" t="s">
        <v>759</v>
      </c>
      <c r="B218" s="22" t="s">
        <v>793</v>
      </c>
      <c r="C218" s="22" t="s">
        <v>703</v>
      </c>
      <c r="D218" s="22">
        <v>38500</v>
      </c>
      <c r="E218" s="22">
        <v>8000</v>
      </c>
      <c r="F218" s="72">
        <v>0.79220779220779225</v>
      </c>
      <c r="G218" s="22" t="s">
        <v>706</v>
      </c>
      <c r="H218" s="22">
        <v>9100</v>
      </c>
      <c r="I218" s="22">
        <v>1000</v>
      </c>
      <c r="J218" s="72">
        <v>0.89010989010989006</v>
      </c>
      <c r="K218" s="73">
        <v>0.52568305705732543</v>
      </c>
      <c r="L218" s="73">
        <v>1.0513661141146508E-2</v>
      </c>
      <c r="M218" s="22" t="s">
        <v>810</v>
      </c>
      <c r="N218" s="80">
        <v>2010</v>
      </c>
      <c r="O218" s="22" t="s">
        <v>773</v>
      </c>
      <c r="P218" s="22" t="s">
        <v>802</v>
      </c>
      <c r="Q218" s="22" t="s">
        <v>803</v>
      </c>
      <c r="R218" s="22">
        <v>10</v>
      </c>
      <c r="S218" s="33"/>
    </row>
    <row r="219" spans="1:19" s="38" customFormat="1" ht="27" customHeight="1" x14ac:dyDescent="0.25">
      <c r="A219" s="22" t="s">
        <v>759</v>
      </c>
      <c r="B219" s="22" t="s">
        <v>793</v>
      </c>
      <c r="C219" s="22" t="s">
        <v>703</v>
      </c>
      <c r="D219" s="22">
        <v>38500</v>
      </c>
      <c r="E219" s="22">
        <v>3000</v>
      </c>
      <c r="F219" s="72">
        <v>0.92207792207792205</v>
      </c>
      <c r="G219" s="72" t="s">
        <v>817</v>
      </c>
      <c r="H219" s="72" t="s">
        <v>817</v>
      </c>
      <c r="I219" s="72" t="s">
        <v>817</v>
      </c>
      <c r="J219" s="72" t="s">
        <v>817</v>
      </c>
      <c r="K219" s="73">
        <v>0.62030600732764396</v>
      </c>
      <c r="L219" s="73">
        <v>0.14719125597605112</v>
      </c>
      <c r="M219" s="22" t="s">
        <v>808</v>
      </c>
      <c r="N219" s="74">
        <v>2010</v>
      </c>
      <c r="O219" s="22" t="s">
        <v>773</v>
      </c>
      <c r="P219" s="22" t="s">
        <v>802</v>
      </c>
      <c r="Q219" s="22" t="s">
        <v>803</v>
      </c>
      <c r="R219" s="22">
        <v>10</v>
      </c>
      <c r="S219" s="33"/>
    </row>
    <row r="220" spans="1:19" s="38" customFormat="1" ht="27" customHeight="1" x14ac:dyDescent="0.25">
      <c r="A220" s="22" t="s">
        <v>736</v>
      </c>
      <c r="B220" s="22" t="s">
        <v>793</v>
      </c>
      <c r="C220" s="22" t="s">
        <v>703</v>
      </c>
      <c r="D220" s="22">
        <v>38500</v>
      </c>
      <c r="E220" s="22">
        <v>8000</v>
      </c>
      <c r="F220" s="72">
        <v>0.79220779220779225</v>
      </c>
      <c r="G220" s="72" t="s">
        <v>817</v>
      </c>
      <c r="H220" s="72" t="s">
        <v>817</v>
      </c>
      <c r="I220" s="72" t="s">
        <v>817</v>
      </c>
      <c r="J220" s="72" t="s">
        <v>817</v>
      </c>
      <c r="K220" s="73">
        <v>0.78852458558598815</v>
      </c>
      <c r="L220" s="73">
        <v>-5.2568305705732545E-2</v>
      </c>
      <c r="M220" s="22" t="s">
        <v>808</v>
      </c>
      <c r="N220" s="80">
        <v>2010</v>
      </c>
      <c r="O220" s="22" t="s">
        <v>773</v>
      </c>
      <c r="P220" s="22" t="s">
        <v>802</v>
      </c>
      <c r="Q220" s="22" t="s">
        <v>803</v>
      </c>
      <c r="R220" s="22">
        <v>10</v>
      </c>
      <c r="S220" s="33" t="s">
        <v>805</v>
      </c>
    </row>
    <row r="221" spans="1:19" s="38" customFormat="1" ht="27" customHeight="1" x14ac:dyDescent="0.25">
      <c r="A221" s="22" t="s">
        <v>736</v>
      </c>
      <c r="B221" s="22" t="s">
        <v>793</v>
      </c>
      <c r="C221" s="72" t="s">
        <v>817</v>
      </c>
      <c r="D221" s="72" t="s">
        <v>817</v>
      </c>
      <c r="E221" s="72" t="s">
        <v>817</v>
      </c>
      <c r="F221" s="72" t="s">
        <v>817</v>
      </c>
      <c r="G221" s="22" t="s">
        <v>706</v>
      </c>
      <c r="H221" s="22">
        <v>9100</v>
      </c>
      <c r="I221" s="22">
        <v>1000</v>
      </c>
      <c r="J221" s="72">
        <v>0.89010989010989006</v>
      </c>
      <c r="K221" s="73">
        <v>0.82006556900942773</v>
      </c>
      <c r="L221" s="73">
        <v>0.19975956168178366</v>
      </c>
      <c r="M221" s="22" t="s">
        <v>804</v>
      </c>
      <c r="N221" s="80">
        <v>2010</v>
      </c>
      <c r="O221" s="22" t="s">
        <v>773</v>
      </c>
      <c r="P221" s="22" t="s">
        <v>802</v>
      </c>
      <c r="Q221" s="22" t="s">
        <v>803</v>
      </c>
      <c r="R221" s="22">
        <v>10</v>
      </c>
      <c r="S221" s="33" t="s">
        <v>807</v>
      </c>
    </row>
    <row r="222" spans="1:19" s="38" customFormat="1" ht="27" customHeight="1" x14ac:dyDescent="0.25">
      <c r="A222" s="22" t="s">
        <v>736</v>
      </c>
      <c r="B222" s="22" t="s">
        <v>793</v>
      </c>
      <c r="C222" s="22" t="s">
        <v>703</v>
      </c>
      <c r="D222" s="22">
        <v>38500</v>
      </c>
      <c r="E222" s="22">
        <v>8000</v>
      </c>
      <c r="F222" s="72">
        <v>0.79220779220779225</v>
      </c>
      <c r="G222" s="22" t="s">
        <v>706</v>
      </c>
      <c r="H222" s="22">
        <v>9100</v>
      </c>
      <c r="I222" s="22">
        <v>1000</v>
      </c>
      <c r="J222" s="72">
        <v>0.89010989010989006</v>
      </c>
      <c r="K222" s="73">
        <v>0.88314753585630668</v>
      </c>
      <c r="L222" s="73">
        <v>8.4109289129172066E-2</v>
      </c>
      <c r="M222" s="22" t="s">
        <v>808</v>
      </c>
      <c r="N222" s="80">
        <v>2010</v>
      </c>
      <c r="O222" s="22" t="s">
        <v>773</v>
      </c>
      <c r="P222" s="22" t="s">
        <v>802</v>
      </c>
      <c r="Q222" s="22" t="s">
        <v>803</v>
      </c>
      <c r="R222" s="22">
        <v>10</v>
      </c>
      <c r="S222" s="33" t="s">
        <v>805</v>
      </c>
    </row>
    <row r="223" spans="1:19" s="38" customFormat="1" ht="27" customHeight="1" x14ac:dyDescent="0.25">
      <c r="A223" s="22" t="s">
        <v>755</v>
      </c>
      <c r="B223" s="22" t="s">
        <v>793</v>
      </c>
      <c r="C223" s="72" t="s">
        <v>817</v>
      </c>
      <c r="D223" s="72" t="s">
        <v>817</v>
      </c>
      <c r="E223" s="72" t="s">
        <v>817</v>
      </c>
      <c r="F223" s="72" t="s">
        <v>817</v>
      </c>
      <c r="G223" s="22" t="s">
        <v>706</v>
      </c>
      <c r="H223" s="22">
        <v>9100</v>
      </c>
      <c r="I223" s="22">
        <v>100</v>
      </c>
      <c r="J223" s="72">
        <v>0.98901098901098905</v>
      </c>
      <c r="K223" s="73">
        <v>1.0093114695500649</v>
      </c>
      <c r="L223" s="73">
        <v>0.14719125597605112</v>
      </c>
      <c r="M223" s="22" t="s">
        <v>809</v>
      </c>
      <c r="N223" s="80">
        <v>2010</v>
      </c>
      <c r="O223" s="22" t="s">
        <v>773</v>
      </c>
      <c r="P223" s="22" t="s">
        <v>802</v>
      </c>
      <c r="Q223" s="22" t="s">
        <v>803</v>
      </c>
      <c r="R223" s="22">
        <v>10</v>
      </c>
      <c r="S223" s="33"/>
    </row>
    <row r="224" spans="1:19" s="38" customFormat="1" ht="27" customHeight="1" x14ac:dyDescent="0.25">
      <c r="A224" s="22" t="s">
        <v>765</v>
      </c>
      <c r="B224" s="22" t="s">
        <v>793</v>
      </c>
      <c r="C224" s="72" t="s">
        <v>817</v>
      </c>
      <c r="D224" s="72" t="s">
        <v>817</v>
      </c>
      <c r="E224" s="72" t="s">
        <v>817</v>
      </c>
      <c r="F224" s="72" t="s">
        <v>817</v>
      </c>
      <c r="G224" s="22" t="s">
        <v>706</v>
      </c>
      <c r="H224" s="22">
        <v>9100</v>
      </c>
      <c r="I224" s="22">
        <v>100</v>
      </c>
      <c r="J224" s="72">
        <v>0.98901098901098905</v>
      </c>
      <c r="K224" s="73">
        <v>1.0093114695500649</v>
      </c>
      <c r="L224" s="73">
        <v>0.14719125597605112</v>
      </c>
      <c r="M224" s="22" t="s">
        <v>809</v>
      </c>
      <c r="N224" s="80">
        <v>2010</v>
      </c>
      <c r="O224" s="22" t="s">
        <v>773</v>
      </c>
      <c r="P224" s="22" t="s">
        <v>802</v>
      </c>
      <c r="Q224" s="22" t="s">
        <v>803</v>
      </c>
      <c r="R224" s="22">
        <v>10</v>
      </c>
      <c r="S224" s="33"/>
    </row>
    <row r="225" spans="1:19" s="38" customFormat="1" ht="27" customHeight="1" x14ac:dyDescent="0.25">
      <c r="A225" s="22" t="s">
        <v>841</v>
      </c>
      <c r="B225" s="22" t="s">
        <v>793</v>
      </c>
      <c r="C225" s="72" t="s">
        <v>817</v>
      </c>
      <c r="D225" s="72" t="s">
        <v>817</v>
      </c>
      <c r="E225" s="72" t="s">
        <v>817</v>
      </c>
      <c r="F225" s="72" t="s">
        <v>817</v>
      </c>
      <c r="G225" s="22" t="s">
        <v>706</v>
      </c>
      <c r="H225" s="22">
        <v>9100</v>
      </c>
      <c r="I225" s="22">
        <v>100</v>
      </c>
      <c r="J225" s="72">
        <v>0.98901098901098905</v>
      </c>
      <c r="K225" s="73">
        <v>1.0093114695500649</v>
      </c>
      <c r="L225" s="73">
        <v>0.14719125597605112</v>
      </c>
      <c r="M225" s="22" t="s">
        <v>809</v>
      </c>
      <c r="N225" s="80">
        <v>2010</v>
      </c>
      <c r="O225" s="22" t="s">
        <v>773</v>
      </c>
      <c r="P225" s="22" t="s">
        <v>802</v>
      </c>
      <c r="Q225" s="22" t="s">
        <v>803</v>
      </c>
      <c r="R225" s="22">
        <v>10</v>
      </c>
      <c r="S225" s="33"/>
    </row>
    <row r="226" spans="1:19" s="38" customFormat="1" ht="27" customHeight="1" x14ac:dyDescent="0.25">
      <c r="A226" s="22" t="s">
        <v>719</v>
      </c>
      <c r="B226" s="22" t="s">
        <v>793</v>
      </c>
      <c r="C226" s="72" t="s">
        <v>817</v>
      </c>
      <c r="D226" s="72" t="s">
        <v>817</v>
      </c>
      <c r="E226" s="72" t="s">
        <v>817</v>
      </c>
      <c r="F226" s="72" t="s">
        <v>817</v>
      </c>
      <c r="G226" s="22" t="s">
        <v>706</v>
      </c>
      <c r="H226" s="22">
        <v>9100</v>
      </c>
      <c r="I226" s="22">
        <v>100</v>
      </c>
      <c r="J226" s="72">
        <v>0.98901098901098905</v>
      </c>
      <c r="K226" s="73">
        <v>1.0093114695500649</v>
      </c>
      <c r="L226" s="73">
        <v>0.15770491711719761</v>
      </c>
      <c r="M226" s="22" t="s">
        <v>809</v>
      </c>
      <c r="N226" s="80">
        <v>2010</v>
      </c>
      <c r="O226" s="22" t="s">
        <v>773</v>
      </c>
      <c r="P226" s="22" t="s">
        <v>802</v>
      </c>
      <c r="Q226" s="22" t="s">
        <v>803</v>
      </c>
      <c r="R226" s="22">
        <v>10</v>
      </c>
      <c r="S226" s="33"/>
    </row>
    <row r="227" spans="1:19" s="38" customFormat="1" ht="27" customHeight="1" x14ac:dyDescent="0.25">
      <c r="A227" s="22" t="s">
        <v>759</v>
      </c>
      <c r="B227" s="22" t="s">
        <v>793</v>
      </c>
      <c r="C227" s="22" t="s">
        <v>703</v>
      </c>
      <c r="D227" s="22">
        <v>38500</v>
      </c>
      <c r="E227" s="22">
        <v>3000</v>
      </c>
      <c r="F227" s="72">
        <v>0.92207792207792205</v>
      </c>
      <c r="G227" s="72" t="s">
        <v>817</v>
      </c>
      <c r="H227" s="72" t="s">
        <v>817</v>
      </c>
      <c r="I227" s="72" t="s">
        <v>817</v>
      </c>
      <c r="J227" s="72" t="s">
        <v>817</v>
      </c>
      <c r="K227" s="73">
        <v>1.0093114695500649</v>
      </c>
      <c r="L227" s="73">
        <v>0.32592349537554177</v>
      </c>
      <c r="M227" s="22" t="s">
        <v>804</v>
      </c>
      <c r="N227" s="74">
        <v>2010</v>
      </c>
      <c r="O227" s="22" t="s">
        <v>773</v>
      </c>
      <c r="P227" s="22" t="s">
        <v>802</v>
      </c>
      <c r="Q227" s="22" t="s">
        <v>803</v>
      </c>
      <c r="R227" s="22">
        <v>10</v>
      </c>
      <c r="S227" s="33"/>
    </row>
    <row r="228" spans="1:19" s="38" customFormat="1" ht="27" customHeight="1" x14ac:dyDescent="0.25">
      <c r="A228" s="22" t="s">
        <v>736</v>
      </c>
      <c r="B228" s="22" t="s">
        <v>793</v>
      </c>
      <c r="C228" s="72" t="s">
        <v>817</v>
      </c>
      <c r="D228" s="72" t="s">
        <v>817</v>
      </c>
      <c r="E228" s="72" t="s">
        <v>817</v>
      </c>
      <c r="F228" s="72">
        <v>0.89010989010989006</v>
      </c>
      <c r="G228" s="22" t="s">
        <v>706</v>
      </c>
      <c r="H228" s="22">
        <v>9100</v>
      </c>
      <c r="I228" s="22">
        <v>1000</v>
      </c>
      <c r="J228" s="72">
        <v>0.98901098901098905</v>
      </c>
      <c r="K228" s="73">
        <v>1.0513661141146509</v>
      </c>
      <c r="L228" s="73">
        <v>0.14719125597605112</v>
      </c>
      <c r="M228" s="22" t="s">
        <v>804</v>
      </c>
      <c r="N228" s="80">
        <v>2010</v>
      </c>
      <c r="O228" s="22" t="s">
        <v>773</v>
      </c>
      <c r="P228" s="22" t="s">
        <v>802</v>
      </c>
      <c r="Q228" s="22" t="s">
        <v>803</v>
      </c>
      <c r="R228" s="22">
        <v>10</v>
      </c>
      <c r="S228" s="33" t="s">
        <v>805</v>
      </c>
    </row>
    <row r="229" spans="1:19" s="38" customFormat="1" ht="27" customHeight="1" x14ac:dyDescent="0.25">
      <c r="A229" s="22" t="s">
        <v>736</v>
      </c>
      <c r="B229" s="22" t="s">
        <v>793</v>
      </c>
      <c r="C229" s="72" t="s">
        <v>817</v>
      </c>
      <c r="D229" s="72" t="s">
        <v>817</v>
      </c>
      <c r="E229" s="72" t="s">
        <v>817</v>
      </c>
      <c r="F229" s="72">
        <v>0.98901098901098905</v>
      </c>
      <c r="G229" s="22" t="s">
        <v>706</v>
      </c>
      <c r="H229" s="22">
        <v>9100</v>
      </c>
      <c r="I229" s="22">
        <v>100</v>
      </c>
      <c r="J229" s="72">
        <v>0.98901098901098905</v>
      </c>
      <c r="K229" s="73">
        <v>1.0618797752557974</v>
      </c>
      <c r="L229" s="73">
        <v>0.19975956168178366</v>
      </c>
      <c r="M229" s="22" t="s">
        <v>796</v>
      </c>
      <c r="N229" s="80">
        <v>2010</v>
      </c>
      <c r="O229" s="22" t="s">
        <v>773</v>
      </c>
      <c r="P229" s="22" t="s">
        <v>802</v>
      </c>
      <c r="Q229" s="22" t="s">
        <v>803</v>
      </c>
      <c r="R229" s="22">
        <v>10</v>
      </c>
      <c r="S229" s="33"/>
    </row>
    <row r="230" spans="1:19" s="38" customFormat="1" ht="27" customHeight="1" x14ac:dyDescent="0.25">
      <c r="A230" s="22" t="s">
        <v>736</v>
      </c>
      <c r="B230" s="22" t="s">
        <v>793</v>
      </c>
      <c r="C230" s="22" t="s">
        <v>703</v>
      </c>
      <c r="D230" s="22">
        <v>38500</v>
      </c>
      <c r="E230" s="22">
        <v>8000</v>
      </c>
      <c r="F230" s="72">
        <v>0.79220779220779225</v>
      </c>
      <c r="G230" s="72" t="s">
        <v>817</v>
      </c>
      <c r="H230" s="72" t="s">
        <v>817</v>
      </c>
      <c r="I230" s="72" t="s">
        <v>817</v>
      </c>
      <c r="J230" s="72" t="s">
        <v>817</v>
      </c>
      <c r="K230" s="73">
        <v>1.1249617421026765</v>
      </c>
      <c r="L230" s="73">
        <v>2.1027322282293016E-2</v>
      </c>
      <c r="M230" s="22" t="s">
        <v>804</v>
      </c>
      <c r="N230" s="80">
        <v>2010</v>
      </c>
      <c r="O230" s="22" t="s">
        <v>773</v>
      </c>
      <c r="P230" s="22" t="s">
        <v>802</v>
      </c>
      <c r="Q230" s="22" t="s">
        <v>803</v>
      </c>
      <c r="R230" s="22">
        <v>10</v>
      </c>
      <c r="S230" s="33" t="s">
        <v>805</v>
      </c>
    </row>
    <row r="231" spans="1:19" s="38" customFormat="1" ht="27" customHeight="1" x14ac:dyDescent="0.25">
      <c r="A231" s="22" t="s">
        <v>736</v>
      </c>
      <c r="B231" s="22" t="s">
        <v>793</v>
      </c>
      <c r="C231" s="72" t="s">
        <v>817</v>
      </c>
      <c r="D231" s="72" t="s">
        <v>817</v>
      </c>
      <c r="E231" s="72" t="s">
        <v>817</v>
      </c>
      <c r="F231" s="72" t="s">
        <v>817</v>
      </c>
      <c r="G231" s="22" t="s">
        <v>706</v>
      </c>
      <c r="H231" s="22">
        <v>9100</v>
      </c>
      <c r="I231" s="22">
        <v>100</v>
      </c>
      <c r="J231" s="72">
        <v>0.98901098901098905</v>
      </c>
      <c r="K231" s="73">
        <v>1.1249617421026765</v>
      </c>
      <c r="L231" s="73">
        <v>0.15770491711719761</v>
      </c>
      <c r="M231" s="22" t="s">
        <v>796</v>
      </c>
      <c r="N231" s="80">
        <v>2010</v>
      </c>
      <c r="O231" s="22" t="s">
        <v>773</v>
      </c>
      <c r="P231" s="22" t="s">
        <v>802</v>
      </c>
      <c r="Q231" s="22" t="s">
        <v>803</v>
      </c>
      <c r="R231" s="22">
        <v>10</v>
      </c>
      <c r="S231" s="33"/>
    </row>
    <row r="232" spans="1:19" s="38" customFormat="1" ht="27" customHeight="1" x14ac:dyDescent="0.25">
      <c r="A232" s="22" t="s">
        <v>736</v>
      </c>
      <c r="B232" s="22" t="s">
        <v>793</v>
      </c>
      <c r="C232" s="22" t="s">
        <v>703</v>
      </c>
      <c r="D232" s="22">
        <v>38500</v>
      </c>
      <c r="E232" s="22">
        <v>3000</v>
      </c>
      <c r="F232" s="72">
        <v>0.92207792207792205</v>
      </c>
      <c r="G232" s="72" t="s">
        <v>817</v>
      </c>
      <c r="H232" s="72" t="s">
        <v>817</v>
      </c>
      <c r="I232" s="72" t="s">
        <v>817</v>
      </c>
      <c r="J232" s="72" t="s">
        <v>817</v>
      </c>
      <c r="K232" s="73">
        <v>1.2090710312318484</v>
      </c>
      <c r="L232" s="73">
        <v>2.1027322282293016E-2</v>
      </c>
      <c r="M232" s="22" t="s">
        <v>808</v>
      </c>
      <c r="N232" s="74">
        <v>2010</v>
      </c>
      <c r="O232" s="22" t="s">
        <v>773</v>
      </c>
      <c r="P232" s="22" t="s">
        <v>802</v>
      </c>
      <c r="Q232" s="22" t="s">
        <v>803</v>
      </c>
      <c r="R232" s="22">
        <v>10</v>
      </c>
      <c r="S232" s="33" t="s">
        <v>805</v>
      </c>
    </row>
    <row r="233" spans="1:19" s="38" customFormat="1" ht="27" customHeight="1" x14ac:dyDescent="0.25">
      <c r="A233" s="22" t="s">
        <v>765</v>
      </c>
      <c r="B233" s="22" t="s">
        <v>793</v>
      </c>
      <c r="C233" s="72" t="s">
        <v>817</v>
      </c>
      <c r="D233" s="72" t="s">
        <v>817</v>
      </c>
      <c r="E233" s="72" t="s">
        <v>817</v>
      </c>
      <c r="F233" s="72" t="s">
        <v>817</v>
      </c>
      <c r="G233" s="22" t="s">
        <v>706</v>
      </c>
      <c r="H233" s="22">
        <v>9100</v>
      </c>
      <c r="I233" s="22">
        <v>1000</v>
      </c>
      <c r="J233" s="72">
        <v>0.89010989010989006</v>
      </c>
      <c r="K233" s="73">
        <v>1.2826666592198741</v>
      </c>
      <c r="L233" s="73">
        <v>0.22078688396407667</v>
      </c>
      <c r="M233" s="22" t="s">
        <v>804</v>
      </c>
      <c r="N233" s="80">
        <v>2010</v>
      </c>
      <c r="O233" s="22" t="s">
        <v>773</v>
      </c>
      <c r="P233" s="22" t="s">
        <v>802</v>
      </c>
      <c r="Q233" s="22" t="s">
        <v>803</v>
      </c>
      <c r="R233" s="22">
        <v>10</v>
      </c>
      <c r="S233" s="33"/>
    </row>
    <row r="234" spans="1:19" s="38" customFormat="1" ht="27" customHeight="1" x14ac:dyDescent="0.25">
      <c r="A234" s="22" t="s">
        <v>719</v>
      </c>
      <c r="B234" s="22" t="s">
        <v>793</v>
      </c>
      <c r="C234" s="72" t="s">
        <v>817</v>
      </c>
      <c r="D234" s="72" t="s">
        <v>817</v>
      </c>
      <c r="E234" s="72" t="s">
        <v>817</v>
      </c>
      <c r="F234" s="72" t="s">
        <v>817</v>
      </c>
      <c r="G234" s="22" t="s">
        <v>706</v>
      </c>
      <c r="H234" s="22">
        <v>9100</v>
      </c>
      <c r="I234" s="22">
        <v>1000</v>
      </c>
      <c r="J234" s="72">
        <v>0.89010989010989006</v>
      </c>
      <c r="K234" s="73">
        <v>1.2826666592198741</v>
      </c>
      <c r="L234" s="73">
        <v>0.23130054510522319</v>
      </c>
      <c r="M234" s="22" t="s">
        <v>804</v>
      </c>
      <c r="N234" s="80">
        <v>2010</v>
      </c>
      <c r="O234" s="22" t="s">
        <v>773</v>
      </c>
      <c r="P234" s="22" t="s">
        <v>802</v>
      </c>
      <c r="Q234" s="22" t="s">
        <v>803</v>
      </c>
      <c r="R234" s="22">
        <v>10</v>
      </c>
      <c r="S234" s="33"/>
    </row>
    <row r="235" spans="1:19" s="38" customFormat="1" ht="27" customHeight="1" x14ac:dyDescent="0.25">
      <c r="A235" s="22" t="s">
        <v>755</v>
      </c>
      <c r="B235" s="22" t="s">
        <v>793</v>
      </c>
      <c r="C235" s="72" t="s">
        <v>817</v>
      </c>
      <c r="D235" s="72" t="s">
        <v>817</v>
      </c>
      <c r="E235" s="72" t="s">
        <v>817</v>
      </c>
      <c r="F235" s="72" t="s">
        <v>817</v>
      </c>
      <c r="G235" s="22" t="s">
        <v>706</v>
      </c>
      <c r="H235" s="22">
        <v>9100</v>
      </c>
      <c r="I235" s="22">
        <v>1000</v>
      </c>
      <c r="J235" s="72">
        <v>0.89010989010989006</v>
      </c>
      <c r="K235" s="73">
        <v>1.2826666592198741</v>
      </c>
      <c r="L235" s="73">
        <v>0.23130054510522319</v>
      </c>
      <c r="M235" s="22" t="s">
        <v>804</v>
      </c>
      <c r="N235" s="80">
        <v>2010</v>
      </c>
      <c r="O235" s="22" t="s">
        <v>773</v>
      </c>
      <c r="P235" s="22" t="s">
        <v>802</v>
      </c>
      <c r="Q235" s="22" t="s">
        <v>803</v>
      </c>
      <c r="R235" s="22">
        <v>10</v>
      </c>
      <c r="S235" s="33"/>
    </row>
    <row r="236" spans="1:19" s="38" customFormat="1" ht="27" customHeight="1" x14ac:dyDescent="0.25">
      <c r="A236" s="22" t="s">
        <v>841</v>
      </c>
      <c r="B236" s="22" t="s">
        <v>793</v>
      </c>
      <c r="C236" s="72" t="s">
        <v>817</v>
      </c>
      <c r="D236" s="72" t="s">
        <v>817</v>
      </c>
      <c r="E236" s="72" t="s">
        <v>817</v>
      </c>
      <c r="F236" s="72" t="s">
        <v>817</v>
      </c>
      <c r="G236" s="22" t="s">
        <v>706</v>
      </c>
      <c r="H236" s="22">
        <v>9100</v>
      </c>
      <c r="I236" s="22">
        <v>1000</v>
      </c>
      <c r="J236" s="72">
        <v>0.89010989010989006</v>
      </c>
      <c r="K236" s="73">
        <v>1.2826666592198741</v>
      </c>
      <c r="L236" s="73">
        <v>0.23130054510522319</v>
      </c>
      <c r="M236" s="22" t="s">
        <v>804</v>
      </c>
      <c r="N236" s="80">
        <v>2010</v>
      </c>
      <c r="O236" s="22" t="s">
        <v>773</v>
      </c>
      <c r="P236" s="22" t="s">
        <v>802</v>
      </c>
      <c r="Q236" s="22" t="s">
        <v>803</v>
      </c>
      <c r="R236" s="22">
        <v>10</v>
      </c>
      <c r="S236" s="33"/>
    </row>
    <row r="237" spans="1:19" s="38" customFormat="1" ht="27" customHeight="1" x14ac:dyDescent="0.25">
      <c r="A237" s="22" t="s">
        <v>747</v>
      </c>
      <c r="B237" s="22" t="s">
        <v>793</v>
      </c>
      <c r="C237" s="22" t="s">
        <v>703</v>
      </c>
      <c r="D237" s="22">
        <v>38500</v>
      </c>
      <c r="E237" s="22">
        <v>8000</v>
      </c>
      <c r="F237" s="72">
        <v>0.79220779220779225</v>
      </c>
      <c r="G237" s="22" t="s">
        <v>706</v>
      </c>
      <c r="H237" s="22">
        <v>9100</v>
      </c>
      <c r="I237" s="22">
        <v>1000</v>
      </c>
      <c r="J237" s="72">
        <v>0.89010989010989006</v>
      </c>
      <c r="K237" s="73">
        <v>1.3878032706313392</v>
      </c>
      <c r="L237" s="73">
        <v>0.16821857825834413</v>
      </c>
      <c r="M237" s="22" t="s">
        <v>804</v>
      </c>
      <c r="N237" s="80">
        <v>2010</v>
      </c>
      <c r="O237" s="22" t="s">
        <v>773</v>
      </c>
      <c r="P237" s="22" t="s">
        <v>802</v>
      </c>
      <c r="Q237" s="22" t="s">
        <v>803</v>
      </c>
      <c r="R237" s="22">
        <v>10</v>
      </c>
      <c r="S237" s="33"/>
    </row>
    <row r="238" spans="1:19" s="38" customFormat="1" ht="27" customHeight="1" x14ac:dyDescent="0.25">
      <c r="A238" s="22" t="s">
        <v>747</v>
      </c>
      <c r="B238" s="22" t="s">
        <v>793</v>
      </c>
      <c r="C238" s="72" t="s">
        <v>817</v>
      </c>
      <c r="D238" s="72" t="s">
        <v>817</v>
      </c>
      <c r="E238" s="72" t="s">
        <v>817</v>
      </c>
      <c r="F238" s="72" t="s">
        <v>817</v>
      </c>
      <c r="G238" s="22" t="s">
        <v>706</v>
      </c>
      <c r="H238" s="22">
        <v>9100</v>
      </c>
      <c r="I238" s="22">
        <v>100</v>
      </c>
      <c r="J238" s="72">
        <v>0.98901098901098905</v>
      </c>
      <c r="K238" s="73">
        <v>1.3878032706313392</v>
      </c>
      <c r="L238" s="73">
        <v>0.19975956168178366</v>
      </c>
      <c r="M238" s="22" t="s">
        <v>804</v>
      </c>
      <c r="N238" s="80">
        <v>2010</v>
      </c>
      <c r="O238" s="22" t="s">
        <v>773</v>
      </c>
      <c r="P238" s="22" t="s">
        <v>802</v>
      </c>
      <c r="Q238" s="22" t="s">
        <v>803</v>
      </c>
      <c r="R238" s="22">
        <v>10</v>
      </c>
      <c r="S238" s="33"/>
    </row>
    <row r="239" spans="1:19" s="38" customFormat="1" ht="27" customHeight="1" x14ac:dyDescent="0.25">
      <c r="A239" s="22" t="s">
        <v>747</v>
      </c>
      <c r="B239" s="22" t="s">
        <v>793</v>
      </c>
      <c r="C239" s="22" t="s">
        <v>703</v>
      </c>
      <c r="D239" s="22">
        <v>38500</v>
      </c>
      <c r="E239" s="22">
        <v>3000</v>
      </c>
      <c r="F239" s="72">
        <v>0.92207792207792205</v>
      </c>
      <c r="G239" s="22" t="s">
        <v>706</v>
      </c>
      <c r="H239" s="22">
        <v>9100</v>
      </c>
      <c r="I239" s="22">
        <v>100</v>
      </c>
      <c r="J239" s="72">
        <v>0.98901098901098905</v>
      </c>
      <c r="K239" s="73">
        <v>1.4193442540547787</v>
      </c>
      <c r="L239" s="73">
        <v>0.21027322282293018</v>
      </c>
      <c r="M239" s="22" t="s">
        <v>804</v>
      </c>
      <c r="N239" s="74">
        <v>2010</v>
      </c>
      <c r="O239" s="22" t="s">
        <v>773</v>
      </c>
      <c r="P239" s="22" t="s">
        <v>802</v>
      </c>
      <c r="Q239" s="22" t="s">
        <v>803</v>
      </c>
      <c r="R239" s="22">
        <v>10</v>
      </c>
      <c r="S239" s="33"/>
    </row>
    <row r="240" spans="1:19" s="38" customFormat="1" ht="27" customHeight="1" x14ac:dyDescent="0.25">
      <c r="A240" s="22" t="s">
        <v>736</v>
      </c>
      <c r="B240" s="22" t="s">
        <v>793</v>
      </c>
      <c r="C240" s="22" t="s">
        <v>703</v>
      </c>
      <c r="D240" s="22">
        <v>38500</v>
      </c>
      <c r="E240" s="22">
        <v>3000</v>
      </c>
      <c r="F240" s="72">
        <v>0.92207792207792205</v>
      </c>
      <c r="G240" s="22" t="s">
        <v>706</v>
      </c>
      <c r="H240" s="22">
        <v>9100</v>
      </c>
      <c r="I240" s="22">
        <v>100</v>
      </c>
      <c r="J240" s="72">
        <v>0.98901098901098905</v>
      </c>
      <c r="K240" s="73">
        <v>1.4298579151959252</v>
      </c>
      <c r="L240" s="73">
        <v>0.15770491711719761</v>
      </c>
      <c r="M240" s="22" t="s">
        <v>796</v>
      </c>
      <c r="N240" s="74">
        <v>2010</v>
      </c>
      <c r="O240" s="22" t="s">
        <v>773</v>
      </c>
      <c r="P240" s="22" t="s">
        <v>802</v>
      </c>
      <c r="Q240" s="22" t="s">
        <v>803</v>
      </c>
      <c r="R240" s="22">
        <v>10</v>
      </c>
      <c r="S240" s="33" t="s">
        <v>1286</v>
      </c>
    </row>
    <row r="241" spans="1:19" s="38" customFormat="1" ht="27" customHeight="1" x14ac:dyDescent="0.25">
      <c r="A241" s="22" t="s">
        <v>736</v>
      </c>
      <c r="B241" s="22" t="s">
        <v>793</v>
      </c>
      <c r="C241" s="72" t="s">
        <v>817</v>
      </c>
      <c r="D241" s="72" t="s">
        <v>817</v>
      </c>
      <c r="E241" s="72" t="s">
        <v>817</v>
      </c>
      <c r="F241" s="72" t="s">
        <v>817</v>
      </c>
      <c r="G241" s="22" t="s">
        <v>706</v>
      </c>
      <c r="H241" s="22">
        <v>9100</v>
      </c>
      <c r="I241" s="22">
        <v>100</v>
      </c>
      <c r="J241" s="72">
        <v>0.98901098901098905</v>
      </c>
      <c r="K241" s="73">
        <v>1.4719125597605112</v>
      </c>
      <c r="L241" s="73">
        <v>0.22078688396407667</v>
      </c>
      <c r="M241" s="22" t="s">
        <v>808</v>
      </c>
      <c r="N241" s="80">
        <v>2010</v>
      </c>
      <c r="O241" s="22" t="s">
        <v>773</v>
      </c>
      <c r="P241" s="22" t="s">
        <v>802</v>
      </c>
      <c r="Q241" s="22" t="s">
        <v>803</v>
      </c>
      <c r="R241" s="22">
        <v>10</v>
      </c>
      <c r="S241" s="33" t="s">
        <v>807</v>
      </c>
    </row>
    <row r="242" spans="1:19" s="38" customFormat="1" ht="27" customHeight="1" x14ac:dyDescent="0.25">
      <c r="A242" s="22" t="s">
        <v>755</v>
      </c>
      <c r="B242" s="22" t="s">
        <v>793</v>
      </c>
      <c r="C242" s="72" t="s">
        <v>817</v>
      </c>
      <c r="D242" s="72" t="s">
        <v>817</v>
      </c>
      <c r="E242" s="72" t="s">
        <v>817</v>
      </c>
      <c r="F242" s="72" t="s">
        <v>817</v>
      </c>
      <c r="G242" s="22" t="s">
        <v>706</v>
      </c>
      <c r="H242" s="22">
        <v>9100</v>
      </c>
      <c r="I242" s="22">
        <v>100</v>
      </c>
      <c r="J242" s="72">
        <v>0.98901098901098905</v>
      </c>
      <c r="K242" s="73">
        <v>1.4929398820428041</v>
      </c>
      <c r="L242" s="73">
        <v>0.17873223939949065</v>
      </c>
      <c r="M242" s="22" t="s">
        <v>808</v>
      </c>
      <c r="N242" s="80">
        <v>2010</v>
      </c>
      <c r="O242" s="22" t="s">
        <v>773</v>
      </c>
      <c r="P242" s="22" t="s">
        <v>802</v>
      </c>
      <c r="Q242" s="22" t="s">
        <v>803</v>
      </c>
      <c r="R242" s="22">
        <v>10</v>
      </c>
      <c r="S242" s="33"/>
    </row>
    <row r="243" spans="1:19" s="38" customFormat="1" ht="27" customHeight="1" x14ac:dyDescent="0.25">
      <c r="A243" s="22" t="s">
        <v>765</v>
      </c>
      <c r="B243" s="22" t="s">
        <v>793</v>
      </c>
      <c r="C243" s="72" t="s">
        <v>817</v>
      </c>
      <c r="D243" s="72" t="s">
        <v>817</v>
      </c>
      <c r="E243" s="72" t="s">
        <v>817</v>
      </c>
      <c r="F243" s="72" t="s">
        <v>817</v>
      </c>
      <c r="G243" s="22" t="s">
        <v>706</v>
      </c>
      <c r="H243" s="22">
        <v>9100</v>
      </c>
      <c r="I243" s="22">
        <v>100</v>
      </c>
      <c r="J243" s="72">
        <v>0.98901098901098905</v>
      </c>
      <c r="K243" s="73">
        <v>1.4929398820428041</v>
      </c>
      <c r="L243" s="73">
        <v>0.17873223939949065</v>
      </c>
      <c r="M243" s="22" t="s">
        <v>808</v>
      </c>
      <c r="N243" s="80">
        <v>2010</v>
      </c>
      <c r="O243" s="22" t="s">
        <v>773</v>
      </c>
      <c r="P243" s="22" t="s">
        <v>802</v>
      </c>
      <c r="Q243" s="22" t="s">
        <v>803</v>
      </c>
      <c r="R243" s="22">
        <v>10</v>
      </c>
      <c r="S243" s="33"/>
    </row>
    <row r="244" spans="1:19" s="38" customFormat="1" ht="27" customHeight="1" x14ac:dyDescent="0.25">
      <c r="A244" s="22" t="s">
        <v>841</v>
      </c>
      <c r="B244" s="22" t="s">
        <v>793</v>
      </c>
      <c r="C244" s="72" t="s">
        <v>817</v>
      </c>
      <c r="D244" s="72" t="s">
        <v>817</v>
      </c>
      <c r="E244" s="72" t="s">
        <v>817</v>
      </c>
      <c r="F244" s="72" t="s">
        <v>817</v>
      </c>
      <c r="G244" s="22" t="s">
        <v>706</v>
      </c>
      <c r="H244" s="22">
        <v>9100</v>
      </c>
      <c r="I244" s="22">
        <v>100</v>
      </c>
      <c r="J244" s="72">
        <v>0.98901098901098905</v>
      </c>
      <c r="K244" s="73">
        <v>1.4929398820428041</v>
      </c>
      <c r="L244" s="73">
        <v>0.17873223939949065</v>
      </c>
      <c r="M244" s="22" t="s">
        <v>808</v>
      </c>
      <c r="N244" s="80">
        <v>2010</v>
      </c>
      <c r="O244" s="22" t="s">
        <v>773</v>
      </c>
      <c r="P244" s="22" t="s">
        <v>802</v>
      </c>
      <c r="Q244" s="22" t="s">
        <v>803</v>
      </c>
      <c r="R244" s="22">
        <v>10</v>
      </c>
      <c r="S244" s="33"/>
    </row>
    <row r="245" spans="1:19" s="38" customFormat="1" ht="27" customHeight="1" x14ac:dyDescent="0.25">
      <c r="A245" s="22" t="s">
        <v>719</v>
      </c>
      <c r="B245" s="22" t="s">
        <v>793</v>
      </c>
      <c r="C245" s="72" t="s">
        <v>817</v>
      </c>
      <c r="D245" s="72" t="s">
        <v>817</v>
      </c>
      <c r="E245" s="72" t="s">
        <v>817</v>
      </c>
      <c r="F245" s="72" t="s">
        <v>817</v>
      </c>
      <c r="G245" s="22" t="s">
        <v>706</v>
      </c>
      <c r="H245" s="22">
        <v>9100</v>
      </c>
      <c r="I245" s="22">
        <v>100</v>
      </c>
      <c r="J245" s="72">
        <v>0.98901098901098905</v>
      </c>
      <c r="K245" s="73">
        <v>1.4929398820428041</v>
      </c>
      <c r="L245" s="73">
        <v>0.18924590054063714</v>
      </c>
      <c r="M245" s="22" t="s">
        <v>808</v>
      </c>
      <c r="N245" s="80">
        <v>2010</v>
      </c>
      <c r="O245" s="22" t="s">
        <v>773</v>
      </c>
      <c r="P245" s="22" t="s">
        <v>802</v>
      </c>
      <c r="Q245" s="22" t="s">
        <v>803</v>
      </c>
      <c r="R245" s="22">
        <v>10</v>
      </c>
      <c r="S245" s="33"/>
    </row>
    <row r="246" spans="1:19" s="38" customFormat="1" ht="27" customHeight="1" x14ac:dyDescent="0.25">
      <c r="A246" s="22" t="s">
        <v>759</v>
      </c>
      <c r="B246" s="22" t="s">
        <v>793</v>
      </c>
      <c r="C246" s="72" t="s">
        <v>817</v>
      </c>
      <c r="D246" s="72" t="s">
        <v>817</v>
      </c>
      <c r="E246" s="72" t="s">
        <v>817</v>
      </c>
      <c r="F246" s="72" t="s">
        <v>817</v>
      </c>
      <c r="G246" s="22" t="s">
        <v>706</v>
      </c>
      <c r="H246" s="22">
        <v>9100</v>
      </c>
      <c r="I246" s="22">
        <v>1000</v>
      </c>
      <c r="J246" s="72">
        <v>0.89010989010989006</v>
      </c>
      <c r="K246" s="73">
        <v>1.5139672043250971</v>
      </c>
      <c r="L246" s="73">
        <v>0.10513661141146509</v>
      </c>
      <c r="M246" s="22" t="s">
        <v>801</v>
      </c>
      <c r="N246" s="80">
        <v>2010</v>
      </c>
      <c r="O246" s="22" t="s">
        <v>773</v>
      </c>
      <c r="P246" s="22" t="s">
        <v>802</v>
      </c>
      <c r="Q246" s="22" t="s">
        <v>803</v>
      </c>
      <c r="R246" s="22">
        <v>10</v>
      </c>
      <c r="S246" s="33"/>
    </row>
    <row r="247" spans="1:19" s="38" customFormat="1" ht="27" customHeight="1" x14ac:dyDescent="0.25">
      <c r="A247" s="22" t="s">
        <v>759</v>
      </c>
      <c r="B247" s="22" t="s">
        <v>793</v>
      </c>
      <c r="C247" s="22" t="s">
        <v>703</v>
      </c>
      <c r="D247" s="22">
        <v>38500</v>
      </c>
      <c r="E247" s="22">
        <v>8000</v>
      </c>
      <c r="F247" s="72">
        <v>0.79220779220779225</v>
      </c>
      <c r="G247" s="22" t="s">
        <v>706</v>
      </c>
      <c r="H247" s="22">
        <v>9100</v>
      </c>
      <c r="I247" s="22">
        <v>1000</v>
      </c>
      <c r="J247" s="72">
        <v>0.89010989010989006</v>
      </c>
      <c r="K247" s="73">
        <v>1.5665355100308298</v>
      </c>
      <c r="L247" s="73">
        <v>0.10513661141146509</v>
      </c>
      <c r="M247" s="22" t="s">
        <v>801</v>
      </c>
      <c r="N247" s="80">
        <v>2010</v>
      </c>
      <c r="O247" s="22" t="s">
        <v>773</v>
      </c>
      <c r="P247" s="22" t="s">
        <v>802</v>
      </c>
      <c r="Q247" s="22" t="s">
        <v>803</v>
      </c>
      <c r="R247" s="22">
        <v>10</v>
      </c>
      <c r="S247" s="33"/>
    </row>
    <row r="248" spans="1:19" s="38" customFormat="1" ht="27" customHeight="1" x14ac:dyDescent="0.25">
      <c r="A248" s="22" t="s">
        <v>736</v>
      </c>
      <c r="B248" s="22" t="s">
        <v>793</v>
      </c>
      <c r="C248" s="22" t="s">
        <v>703</v>
      </c>
      <c r="D248" s="22">
        <v>38500</v>
      </c>
      <c r="E248" s="22">
        <v>8000</v>
      </c>
      <c r="F248" s="72">
        <v>0.79220779220779225</v>
      </c>
      <c r="G248" s="22" t="s">
        <v>706</v>
      </c>
      <c r="H248" s="22">
        <v>9100</v>
      </c>
      <c r="I248" s="22">
        <v>1000</v>
      </c>
      <c r="J248" s="72">
        <v>0.89010989010989006</v>
      </c>
      <c r="K248" s="73">
        <v>1.6401311380188555</v>
      </c>
      <c r="L248" s="73">
        <v>0.21027322282293018</v>
      </c>
      <c r="M248" s="22" t="s">
        <v>804</v>
      </c>
      <c r="N248" s="80">
        <v>2010</v>
      </c>
      <c r="O248" s="22" t="s">
        <v>773</v>
      </c>
      <c r="P248" s="22" t="s">
        <v>802</v>
      </c>
      <c r="Q248" s="22" t="s">
        <v>803</v>
      </c>
      <c r="R248" s="22">
        <v>10</v>
      </c>
      <c r="S248" s="33" t="s">
        <v>807</v>
      </c>
    </row>
    <row r="249" spans="1:19" s="38" customFormat="1" ht="27" customHeight="1" x14ac:dyDescent="0.25">
      <c r="A249" s="22" t="s">
        <v>736</v>
      </c>
      <c r="B249" s="22" t="s">
        <v>793</v>
      </c>
      <c r="C249" s="72" t="s">
        <v>817</v>
      </c>
      <c r="D249" s="72" t="s">
        <v>817</v>
      </c>
      <c r="E249" s="72" t="s">
        <v>817</v>
      </c>
      <c r="F249" s="72" t="s">
        <v>817</v>
      </c>
      <c r="G249" s="22" t="s">
        <v>706</v>
      </c>
      <c r="H249" s="22">
        <v>9100</v>
      </c>
      <c r="I249" s="22">
        <v>100</v>
      </c>
      <c r="J249" s="72">
        <v>0.98901098901098905</v>
      </c>
      <c r="K249" s="73">
        <v>1.7347540882891739</v>
      </c>
      <c r="L249" s="73">
        <v>0.18924590054063714</v>
      </c>
      <c r="M249" s="22" t="s">
        <v>808</v>
      </c>
      <c r="N249" s="80">
        <v>2010</v>
      </c>
      <c r="O249" s="22" t="s">
        <v>773</v>
      </c>
      <c r="P249" s="22" t="s">
        <v>802</v>
      </c>
      <c r="Q249" s="22" t="s">
        <v>803</v>
      </c>
      <c r="R249" s="22">
        <v>10</v>
      </c>
      <c r="S249" s="33" t="s">
        <v>805</v>
      </c>
    </row>
    <row r="250" spans="1:19" s="38" customFormat="1" ht="27" customHeight="1" x14ac:dyDescent="0.25">
      <c r="A250" s="22" t="s">
        <v>759</v>
      </c>
      <c r="B250" s="22" t="s">
        <v>793</v>
      </c>
      <c r="C250" s="22" t="s">
        <v>703</v>
      </c>
      <c r="D250" s="22">
        <v>38500</v>
      </c>
      <c r="E250" s="22">
        <v>3000</v>
      </c>
      <c r="F250" s="72">
        <v>0.92207792207792205</v>
      </c>
      <c r="G250" s="22" t="s">
        <v>706</v>
      </c>
      <c r="H250" s="22">
        <v>9100</v>
      </c>
      <c r="I250" s="22">
        <v>100</v>
      </c>
      <c r="J250" s="72">
        <v>0.98901098901098905</v>
      </c>
      <c r="K250" s="73">
        <v>1.8924590054063717</v>
      </c>
      <c r="L250" s="73">
        <v>0.19975956168178366</v>
      </c>
      <c r="M250" s="22" t="s">
        <v>808</v>
      </c>
      <c r="N250" s="74">
        <v>2010</v>
      </c>
      <c r="O250" s="22" t="s">
        <v>773</v>
      </c>
      <c r="P250" s="22" t="s">
        <v>802</v>
      </c>
      <c r="Q250" s="22" t="s">
        <v>803</v>
      </c>
      <c r="R250" s="22">
        <v>10</v>
      </c>
      <c r="S250" s="33"/>
    </row>
    <row r="251" spans="1:19" s="38" customFormat="1" ht="27" customHeight="1" x14ac:dyDescent="0.25">
      <c r="A251" s="22" t="s">
        <v>736</v>
      </c>
      <c r="B251" s="22" t="s">
        <v>793</v>
      </c>
      <c r="C251" s="22" t="s">
        <v>703</v>
      </c>
      <c r="D251" s="22">
        <v>38500</v>
      </c>
      <c r="E251" s="22">
        <v>3000</v>
      </c>
      <c r="F251" s="72">
        <v>0.92207792207792205</v>
      </c>
      <c r="G251" s="72" t="s">
        <v>817</v>
      </c>
      <c r="H251" s="72" t="s">
        <v>817</v>
      </c>
      <c r="I251" s="72" t="s">
        <v>817</v>
      </c>
      <c r="J251" s="72" t="s">
        <v>817</v>
      </c>
      <c r="K251" s="73">
        <v>1.9450273111121041</v>
      </c>
      <c r="L251" s="73">
        <v>0.15770491711719761</v>
      </c>
      <c r="M251" s="22" t="s">
        <v>804</v>
      </c>
      <c r="N251" s="74">
        <v>2010</v>
      </c>
      <c r="O251" s="22" t="s">
        <v>773</v>
      </c>
      <c r="P251" s="22" t="s">
        <v>802</v>
      </c>
      <c r="Q251" s="22" t="s">
        <v>803</v>
      </c>
      <c r="R251" s="22">
        <v>10</v>
      </c>
      <c r="S251" s="33" t="s">
        <v>805</v>
      </c>
    </row>
    <row r="252" spans="1:19" s="38" customFormat="1" ht="27" customHeight="1" x14ac:dyDescent="0.25">
      <c r="A252" s="22" t="s">
        <v>759</v>
      </c>
      <c r="B252" s="22" t="s">
        <v>793</v>
      </c>
      <c r="C252" s="22" t="s">
        <v>703</v>
      </c>
      <c r="D252" s="22">
        <v>38500</v>
      </c>
      <c r="E252" s="22">
        <v>3000</v>
      </c>
      <c r="F252" s="72">
        <v>0.92207792207792205</v>
      </c>
      <c r="G252" s="72" t="s">
        <v>817</v>
      </c>
      <c r="H252" s="72" t="s">
        <v>817</v>
      </c>
      <c r="I252" s="72" t="s">
        <v>817</v>
      </c>
      <c r="J252" s="72" t="s">
        <v>817</v>
      </c>
      <c r="K252" s="73">
        <v>2.0817049059470087</v>
      </c>
      <c r="L252" s="73">
        <v>0.73595627988025558</v>
      </c>
      <c r="M252" s="22" t="s">
        <v>801</v>
      </c>
      <c r="N252" s="74">
        <v>2010</v>
      </c>
      <c r="O252" s="22" t="s">
        <v>773</v>
      </c>
      <c r="P252" s="22" t="s">
        <v>802</v>
      </c>
      <c r="Q252" s="22" t="s">
        <v>803</v>
      </c>
      <c r="R252" s="22">
        <v>10</v>
      </c>
      <c r="S252" s="33"/>
    </row>
    <row r="253" spans="1:19" s="38" customFormat="1" ht="27" customHeight="1" x14ac:dyDescent="0.25">
      <c r="A253" s="22" t="s">
        <v>736</v>
      </c>
      <c r="B253" s="22" t="s">
        <v>793</v>
      </c>
      <c r="C253" s="22" t="s">
        <v>703</v>
      </c>
      <c r="D253" s="22">
        <v>38500</v>
      </c>
      <c r="E253" s="22">
        <v>8000</v>
      </c>
      <c r="F253" s="72">
        <v>0.79220779220779225</v>
      </c>
      <c r="G253" s="72" t="s">
        <v>817</v>
      </c>
      <c r="H253" s="72" t="s">
        <v>817</v>
      </c>
      <c r="I253" s="72" t="s">
        <v>817</v>
      </c>
      <c r="J253" s="72" t="s">
        <v>817</v>
      </c>
      <c r="K253" s="73">
        <v>2.313005451052232</v>
      </c>
      <c r="L253" s="73">
        <v>-2.1027322282293016E-2</v>
      </c>
      <c r="M253" s="22" t="s">
        <v>796</v>
      </c>
      <c r="N253" s="80">
        <v>2010</v>
      </c>
      <c r="O253" s="22" t="s">
        <v>773</v>
      </c>
      <c r="P253" s="22" t="s">
        <v>802</v>
      </c>
      <c r="Q253" s="22" t="s">
        <v>803</v>
      </c>
      <c r="R253" s="22">
        <v>10</v>
      </c>
      <c r="S253" s="33" t="s">
        <v>807</v>
      </c>
    </row>
    <row r="254" spans="1:19" s="38" customFormat="1" ht="27" customHeight="1" x14ac:dyDescent="0.25">
      <c r="A254" s="22" t="s">
        <v>104</v>
      </c>
      <c r="B254" s="22" t="s">
        <v>793</v>
      </c>
      <c r="C254" s="72" t="s">
        <v>817</v>
      </c>
      <c r="D254" s="72" t="s">
        <v>817</v>
      </c>
      <c r="E254" s="72" t="s">
        <v>817</v>
      </c>
      <c r="F254" s="72" t="s">
        <v>817</v>
      </c>
      <c r="G254" s="22" t="s">
        <v>706</v>
      </c>
      <c r="H254" s="22">
        <v>9100</v>
      </c>
      <c r="I254" s="22">
        <v>1000</v>
      </c>
      <c r="J254" s="72">
        <v>0.89010989010989006</v>
      </c>
      <c r="K254" s="73">
        <v>2.334032773334525</v>
      </c>
      <c r="L254" s="73">
        <v>8.4109289129172066E-2</v>
      </c>
      <c r="M254" s="22" t="s">
        <v>814</v>
      </c>
      <c r="N254" s="80">
        <v>2010</v>
      </c>
      <c r="O254" s="22" t="s">
        <v>773</v>
      </c>
      <c r="P254" s="22" t="s">
        <v>802</v>
      </c>
      <c r="Q254" s="22" t="s">
        <v>803</v>
      </c>
      <c r="R254" s="22">
        <v>10</v>
      </c>
      <c r="S254" s="33"/>
    </row>
    <row r="255" spans="1:19" s="38" customFormat="1" ht="27" customHeight="1" x14ac:dyDescent="0.25">
      <c r="A255" s="22" t="s">
        <v>213</v>
      </c>
      <c r="B255" s="22" t="s">
        <v>793</v>
      </c>
      <c r="C255" s="72" t="s">
        <v>817</v>
      </c>
      <c r="D255" s="72" t="s">
        <v>817</v>
      </c>
      <c r="E255" s="72" t="s">
        <v>817</v>
      </c>
      <c r="F255" s="72" t="s">
        <v>817</v>
      </c>
      <c r="G255" s="22" t="s">
        <v>706</v>
      </c>
      <c r="H255" s="22">
        <v>9100</v>
      </c>
      <c r="I255" s="22">
        <v>1000</v>
      </c>
      <c r="J255" s="72">
        <v>0.89010989010989006</v>
      </c>
      <c r="K255" s="73">
        <v>2.334032773334525</v>
      </c>
      <c r="L255" s="73">
        <v>8.4109289129172066E-2</v>
      </c>
      <c r="M255" s="22" t="s">
        <v>814</v>
      </c>
      <c r="N255" s="80">
        <v>2010</v>
      </c>
      <c r="O255" s="22" t="s">
        <v>773</v>
      </c>
      <c r="P255" s="22" t="s">
        <v>802</v>
      </c>
      <c r="Q255" s="22" t="s">
        <v>803</v>
      </c>
      <c r="R255" s="22">
        <v>10</v>
      </c>
      <c r="S255" s="33"/>
    </row>
    <row r="256" spans="1:19" s="38" customFormat="1" ht="27" customHeight="1" x14ac:dyDescent="0.25">
      <c r="A256" s="22" t="s">
        <v>736</v>
      </c>
      <c r="B256" s="22" t="s">
        <v>793</v>
      </c>
      <c r="C256" s="22" t="s">
        <v>703</v>
      </c>
      <c r="D256" s="22">
        <v>38500</v>
      </c>
      <c r="E256" s="22">
        <v>8000</v>
      </c>
      <c r="F256" s="72">
        <v>0.79220779220779225</v>
      </c>
      <c r="G256" s="72" t="s">
        <v>817</v>
      </c>
      <c r="H256" s="72" t="s">
        <v>817</v>
      </c>
      <c r="I256" s="72" t="s">
        <v>817</v>
      </c>
      <c r="J256" s="72" t="s">
        <v>817</v>
      </c>
      <c r="K256" s="73">
        <v>2.3760874178991109</v>
      </c>
      <c r="L256" s="73">
        <v>1.0513661141146508E-2</v>
      </c>
      <c r="M256" s="22" t="s">
        <v>808</v>
      </c>
      <c r="N256" s="80">
        <v>2010</v>
      </c>
      <c r="O256" s="22" t="s">
        <v>773</v>
      </c>
      <c r="P256" s="22" t="s">
        <v>802</v>
      </c>
      <c r="Q256" s="22" t="s">
        <v>803</v>
      </c>
      <c r="R256" s="22">
        <v>10</v>
      </c>
      <c r="S256" s="33" t="s">
        <v>807</v>
      </c>
    </row>
    <row r="257" spans="1:19" s="38" customFormat="1" ht="27" customHeight="1" x14ac:dyDescent="0.25">
      <c r="A257" s="22" t="s">
        <v>736</v>
      </c>
      <c r="B257" s="22" t="s">
        <v>793</v>
      </c>
      <c r="C257" s="22" t="s">
        <v>703</v>
      </c>
      <c r="D257" s="22">
        <v>38500</v>
      </c>
      <c r="E257" s="22">
        <v>8000</v>
      </c>
      <c r="F257" s="72">
        <v>0.79220779220779225</v>
      </c>
      <c r="G257" s="22" t="s">
        <v>706</v>
      </c>
      <c r="H257" s="22">
        <v>9100</v>
      </c>
      <c r="I257" s="22">
        <v>1000</v>
      </c>
      <c r="J257" s="72">
        <v>0.89010989010989006</v>
      </c>
      <c r="K257" s="73">
        <v>2.4496830458871366</v>
      </c>
      <c r="L257" s="73">
        <v>9.462295027031857E-2</v>
      </c>
      <c r="M257" s="22" t="s">
        <v>796</v>
      </c>
      <c r="N257" s="80">
        <v>2010</v>
      </c>
      <c r="O257" s="22" t="s">
        <v>773</v>
      </c>
      <c r="P257" s="22" t="s">
        <v>802</v>
      </c>
      <c r="Q257" s="22" t="s">
        <v>803</v>
      </c>
      <c r="R257" s="22">
        <v>10</v>
      </c>
      <c r="S257" s="33" t="s">
        <v>1287</v>
      </c>
    </row>
    <row r="258" spans="1:19" s="38" customFormat="1" ht="27" customHeight="1" x14ac:dyDescent="0.25">
      <c r="A258" s="22" t="s">
        <v>736</v>
      </c>
      <c r="B258" s="22" t="s">
        <v>793</v>
      </c>
      <c r="C258" s="22" t="s">
        <v>703</v>
      </c>
      <c r="D258" s="22">
        <v>38500</v>
      </c>
      <c r="E258" s="22">
        <v>8000</v>
      </c>
      <c r="F258" s="72">
        <v>0.79220779220779225</v>
      </c>
      <c r="G258" s="22" t="s">
        <v>706</v>
      </c>
      <c r="H258" s="22">
        <v>9100</v>
      </c>
      <c r="I258" s="22">
        <v>1000</v>
      </c>
      <c r="J258" s="72">
        <v>0.89010989010989006</v>
      </c>
      <c r="K258" s="73">
        <v>2.4601967070282829</v>
      </c>
      <c r="L258" s="73">
        <v>0.14719125597605112</v>
      </c>
      <c r="M258" s="22" t="s">
        <v>808</v>
      </c>
      <c r="N258" s="80">
        <v>2010</v>
      </c>
      <c r="O258" s="22" t="s">
        <v>773</v>
      </c>
      <c r="P258" s="22" t="s">
        <v>802</v>
      </c>
      <c r="Q258" s="22" t="s">
        <v>803</v>
      </c>
      <c r="R258" s="22">
        <v>10</v>
      </c>
      <c r="S258" s="33" t="s">
        <v>1287</v>
      </c>
    </row>
    <row r="259" spans="1:19" s="38" customFormat="1" ht="27" customHeight="1" x14ac:dyDescent="0.25">
      <c r="A259" s="22" t="s">
        <v>736</v>
      </c>
      <c r="B259" s="22" t="s">
        <v>793</v>
      </c>
      <c r="C259" s="22" t="s">
        <v>703</v>
      </c>
      <c r="D259" s="22">
        <v>38500</v>
      </c>
      <c r="E259" s="22">
        <v>3000</v>
      </c>
      <c r="F259" s="72">
        <v>0.92207792207792205</v>
      </c>
      <c r="G259" s="72" t="s">
        <v>817</v>
      </c>
      <c r="H259" s="72" t="s">
        <v>817</v>
      </c>
      <c r="I259" s="72" t="s">
        <v>817</v>
      </c>
      <c r="J259" s="72" t="s">
        <v>817</v>
      </c>
      <c r="K259" s="73">
        <v>2.5022513515928688</v>
      </c>
      <c r="L259" s="73">
        <v>2.1027322282293016E-2</v>
      </c>
      <c r="M259" s="22" t="s">
        <v>796</v>
      </c>
      <c r="N259" s="74">
        <v>2010</v>
      </c>
      <c r="O259" s="22" t="s">
        <v>773</v>
      </c>
      <c r="P259" s="22" t="s">
        <v>802</v>
      </c>
      <c r="Q259" s="22" t="s">
        <v>803</v>
      </c>
      <c r="R259" s="22">
        <v>10</v>
      </c>
      <c r="S259" s="33" t="s">
        <v>807</v>
      </c>
    </row>
    <row r="260" spans="1:19" s="38" customFormat="1" ht="27" customHeight="1" x14ac:dyDescent="0.25">
      <c r="A260" s="22" t="s">
        <v>736</v>
      </c>
      <c r="B260" s="22" t="s">
        <v>793</v>
      </c>
      <c r="C260" s="22" t="s">
        <v>703</v>
      </c>
      <c r="D260" s="22">
        <v>38500</v>
      </c>
      <c r="E260" s="22">
        <v>3000</v>
      </c>
      <c r="F260" s="72">
        <v>0.92207792207792205</v>
      </c>
      <c r="G260" s="22" t="s">
        <v>706</v>
      </c>
      <c r="H260" s="22">
        <v>9100</v>
      </c>
      <c r="I260" s="22">
        <v>100</v>
      </c>
      <c r="J260" s="72">
        <v>0.98901098901098905</v>
      </c>
      <c r="K260" s="73">
        <v>2.5443059961574552</v>
      </c>
      <c r="L260" s="73">
        <v>0.21027322282293018</v>
      </c>
      <c r="M260" s="22" t="s">
        <v>808</v>
      </c>
      <c r="N260" s="74">
        <v>2010</v>
      </c>
      <c r="O260" s="22" t="s">
        <v>773</v>
      </c>
      <c r="P260" s="22" t="s">
        <v>802</v>
      </c>
      <c r="Q260" s="22" t="s">
        <v>803</v>
      </c>
      <c r="R260" s="22">
        <v>10</v>
      </c>
      <c r="S260" s="33" t="s">
        <v>1286</v>
      </c>
    </row>
    <row r="261" spans="1:19" s="38" customFormat="1" ht="27" customHeight="1" x14ac:dyDescent="0.25">
      <c r="A261" s="22" t="s">
        <v>104</v>
      </c>
      <c r="B261" s="22" t="s">
        <v>793</v>
      </c>
      <c r="C261" s="72" t="s">
        <v>817</v>
      </c>
      <c r="D261" s="72" t="s">
        <v>817</v>
      </c>
      <c r="E261" s="72" t="s">
        <v>817</v>
      </c>
      <c r="F261" s="72" t="s">
        <v>817</v>
      </c>
      <c r="G261" s="22" t="s">
        <v>706</v>
      </c>
      <c r="H261" s="22">
        <v>9100</v>
      </c>
      <c r="I261" s="22">
        <v>1000</v>
      </c>
      <c r="J261" s="72">
        <v>0.89010989010989006</v>
      </c>
      <c r="K261" s="73">
        <v>2.5758469795808949</v>
      </c>
      <c r="L261" s="73">
        <v>4.2054644564586033E-2</v>
      </c>
      <c r="M261" s="22" t="s">
        <v>815</v>
      </c>
      <c r="N261" s="80">
        <v>2010</v>
      </c>
      <c r="O261" s="22" t="s">
        <v>773</v>
      </c>
      <c r="P261" s="22" t="s">
        <v>802</v>
      </c>
      <c r="Q261" s="22" t="s">
        <v>803</v>
      </c>
      <c r="R261" s="22">
        <v>10</v>
      </c>
      <c r="S261" s="33"/>
    </row>
    <row r="262" spans="1:19" s="38" customFormat="1" ht="27" customHeight="1" x14ac:dyDescent="0.25">
      <c r="A262" s="22" t="s">
        <v>213</v>
      </c>
      <c r="B262" s="22" t="s">
        <v>793</v>
      </c>
      <c r="C262" s="72" t="s">
        <v>817</v>
      </c>
      <c r="D262" s="72" t="s">
        <v>817</v>
      </c>
      <c r="E262" s="72" t="s">
        <v>817</v>
      </c>
      <c r="F262" s="72" t="s">
        <v>817</v>
      </c>
      <c r="G262" s="22" t="s">
        <v>706</v>
      </c>
      <c r="H262" s="22">
        <v>9100</v>
      </c>
      <c r="I262" s="22">
        <v>1000</v>
      </c>
      <c r="J262" s="72">
        <v>0.89010989010989006</v>
      </c>
      <c r="K262" s="73">
        <v>2.5758469795808949</v>
      </c>
      <c r="L262" s="73">
        <v>4.2054644564586033E-2</v>
      </c>
      <c r="M262" s="22" t="s">
        <v>815</v>
      </c>
      <c r="N262" s="80">
        <v>2010</v>
      </c>
      <c r="O262" s="22" t="s">
        <v>773</v>
      </c>
      <c r="P262" s="22" t="s">
        <v>802</v>
      </c>
      <c r="Q262" s="22" t="s">
        <v>803</v>
      </c>
      <c r="R262" s="22">
        <v>10</v>
      </c>
      <c r="S262" s="33"/>
    </row>
    <row r="263" spans="1:19" s="38" customFormat="1" ht="27" customHeight="1" x14ac:dyDescent="0.25">
      <c r="A263" s="22" t="s">
        <v>736</v>
      </c>
      <c r="B263" s="22" t="s">
        <v>793</v>
      </c>
      <c r="C263" s="22" t="s">
        <v>703</v>
      </c>
      <c r="D263" s="22">
        <v>38500</v>
      </c>
      <c r="E263" s="22">
        <v>3000</v>
      </c>
      <c r="F263" s="72">
        <v>0.92207792207792205</v>
      </c>
      <c r="G263" s="72" t="s">
        <v>817</v>
      </c>
      <c r="H263" s="72" t="s">
        <v>817</v>
      </c>
      <c r="I263" s="72" t="s">
        <v>817</v>
      </c>
      <c r="J263" s="72" t="s">
        <v>817</v>
      </c>
      <c r="K263" s="73">
        <v>2.7861202024038247</v>
      </c>
      <c r="L263" s="73">
        <v>7.3595627988025561E-2</v>
      </c>
      <c r="M263" s="22" t="s">
        <v>808</v>
      </c>
      <c r="N263" s="74">
        <v>2010</v>
      </c>
      <c r="O263" s="22" t="s">
        <v>773</v>
      </c>
      <c r="P263" s="22" t="s">
        <v>802</v>
      </c>
      <c r="Q263" s="22" t="s">
        <v>803</v>
      </c>
      <c r="R263" s="22">
        <v>10</v>
      </c>
      <c r="S263" s="33" t="s">
        <v>807</v>
      </c>
    </row>
    <row r="264" spans="1:19" s="38" customFormat="1" ht="27" customHeight="1" x14ac:dyDescent="0.25">
      <c r="A264" s="22" t="s">
        <v>759</v>
      </c>
      <c r="B264" s="22" t="s">
        <v>793</v>
      </c>
      <c r="C264" s="22" t="s">
        <v>703</v>
      </c>
      <c r="D264" s="22">
        <v>38500</v>
      </c>
      <c r="E264" s="22">
        <v>3000</v>
      </c>
      <c r="F264" s="72">
        <v>0.92207792207792205</v>
      </c>
      <c r="G264" s="22" t="s">
        <v>706</v>
      </c>
      <c r="H264" s="22">
        <v>9100</v>
      </c>
      <c r="I264" s="22">
        <v>100</v>
      </c>
      <c r="J264" s="72">
        <v>0.98901098901098905</v>
      </c>
      <c r="K264" s="73">
        <v>3.1225573589205133</v>
      </c>
      <c r="L264" s="73">
        <v>0.41003278450471387</v>
      </c>
      <c r="M264" s="22" t="s">
        <v>810</v>
      </c>
      <c r="N264" s="74">
        <v>2010</v>
      </c>
      <c r="O264" s="22" t="s">
        <v>773</v>
      </c>
      <c r="P264" s="22" t="s">
        <v>802</v>
      </c>
      <c r="Q264" s="22" t="s">
        <v>803</v>
      </c>
      <c r="R264" s="22">
        <v>10</v>
      </c>
      <c r="S264" s="33"/>
    </row>
    <row r="265" spans="1:19" s="38" customFormat="1" ht="27" customHeight="1" x14ac:dyDescent="0.25">
      <c r="A265" s="22" t="s">
        <v>719</v>
      </c>
      <c r="B265" s="22" t="s">
        <v>793</v>
      </c>
      <c r="C265" s="22" t="s">
        <v>703</v>
      </c>
      <c r="D265" s="22">
        <v>38500</v>
      </c>
      <c r="E265" s="22">
        <v>8000</v>
      </c>
      <c r="F265" s="72">
        <v>0.79220779220779225</v>
      </c>
      <c r="G265" s="72" t="s">
        <v>817</v>
      </c>
      <c r="H265" s="72" t="s">
        <v>817</v>
      </c>
      <c r="I265" s="72" t="s">
        <v>817</v>
      </c>
      <c r="J265" s="72" t="s">
        <v>817</v>
      </c>
      <c r="K265" s="73">
        <v>3.1856393257673918</v>
      </c>
      <c r="L265" s="73">
        <v>0.14719125597605112</v>
      </c>
      <c r="M265" s="22" t="s">
        <v>813</v>
      </c>
      <c r="N265" s="80">
        <v>2010</v>
      </c>
      <c r="O265" s="22" t="s">
        <v>773</v>
      </c>
      <c r="P265" s="22" t="s">
        <v>802</v>
      </c>
      <c r="Q265" s="22" t="s">
        <v>803</v>
      </c>
      <c r="R265" s="22">
        <v>10</v>
      </c>
      <c r="S265" s="33" t="s">
        <v>1288</v>
      </c>
    </row>
    <row r="266" spans="1:19" s="38" customFormat="1" ht="27" customHeight="1" x14ac:dyDescent="0.25">
      <c r="A266" s="22" t="s">
        <v>736</v>
      </c>
      <c r="B266" s="22" t="s">
        <v>793</v>
      </c>
      <c r="C266" s="72" t="s">
        <v>817</v>
      </c>
      <c r="D266" s="72" t="s">
        <v>817</v>
      </c>
      <c r="E266" s="72" t="s">
        <v>817</v>
      </c>
      <c r="F266" s="72" t="s">
        <v>817</v>
      </c>
      <c r="G266" s="22" t="s">
        <v>706</v>
      </c>
      <c r="H266" s="22">
        <v>9100</v>
      </c>
      <c r="I266" s="22">
        <v>100</v>
      </c>
      <c r="J266" s="72">
        <v>0.98901098901098905</v>
      </c>
      <c r="K266" s="73">
        <v>3.3012895983200039</v>
      </c>
      <c r="L266" s="73">
        <v>0.30489617309324873</v>
      </c>
      <c r="M266" s="22" t="s">
        <v>804</v>
      </c>
      <c r="N266" s="80">
        <v>2010</v>
      </c>
      <c r="O266" s="22" t="s">
        <v>773</v>
      </c>
      <c r="P266" s="22" t="s">
        <v>802</v>
      </c>
      <c r="Q266" s="22" t="s">
        <v>803</v>
      </c>
      <c r="R266" s="22">
        <v>10</v>
      </c>
      <c r="S266" s="33" t="s">
        <v>807</v>
      </c>
    </row>
    <row r="267" spans="1:19" s="38" customFormat="1" ht="27" customHeight="1" x14ac:dyDescent="0.25">
      <c r="A267" s="22" t="s">
        <v>736</v>
      </c>
      <c r="B267" s="22" t="s">
        <v>793</v>
      </c>
      <c r="C267" s="22" t="s">
        <v>703</v>
      </c>
      <c r="D267" s="22">
        <v>38500</v>
      </c>
      <c r="E267" s="22">
        <v>3000</v>
      </c>
      <c r="F267" s="72">
        <v>0.92207792207792205</v>
      </c>
      <c r="G267" s="22" t="s">
        <v>706</v>
      </c>
      <c r="H267" s="22">
        <v>9100</v>
      </c>
      <c r="I267" s="22">
        <v>100</v>
      </c>
      <c r="J267" s="72">
        <v>0.98901098901098905</v>
      </c>
      <c r="K267" s="73">
        <v>3.4169398708726151</v>
      </c>
      <c r="L267" s="73">
        <v>0.18924590054063714</v>
      </c>
      <c r="M267" s="22" t="s">
        <v>796</v>
      </c>
      <c r="N267" s="74">
        <v>2010</v>
      </c>
      <c r="O267" s="22" t="s">
        <v>773</v>
      </c>
      <c r="P267" s="22" t="s">
        <v>802</v>
      </c>
      <c r="Q267" s="22" t="s">
        <v>803</v>
      </c>
      <c r="R267" s="22">
        <v>10</v>
      </c>
      <c r="S267" s="33" t="s">
        <v>1289</v>
      </c>
    </row>
    <row r="268" spans="1:19" s="38" customFormat="1" ht="27" customHeight="1" x14ac:dyDescent="0.25">
      <c r="A268" s="22" t="s">
        <v>719</v>
      </c>
      <c r="B268" s="22" t="s">
        <v>793</v>
      </c>
      <c r="C268" s="22" t="s">
        <v>703</v>
      </c>
      <c r="D268" s="22">
        <v>38500</v>
      </c>
      <c r="E268" s="22">
        <v>8000</v>
      </c>
      <c r="F268" s="72">
        <v>0.79220779220779225</v>
      </c>
      <c r="G268" s="72" t="s">
        <v>817</v>
      </c>
      <c r="H268" s="72" t="s">
        <v>817</v>
      </c>
      <c r="I268" s="72" t="s">
        <v>817</v>
      </c>
      <c r="J268" s="72" t="s">
        <v>817</v>
      </c>
      <c r="K268" s="73">
        <v>3.4905354988606407</v>
      </c>
      <c r="L268" s="73">
        <v>8.4109289129172066E-2</v>
      </c>
      <c r="M268" s="22" t="s">
        <v>809</v>
      </c>
      <c r="N268" s="80">
        <v>2010</v>
      </c>
      <c r="O268" s="22" t="s">
        <v>773</v>
      </c>
      <c r="P268" s="22" t="s">
        <v>802</v>
      </c>
      <c r="Q268" s="22" t="s">
        <v>803</v>
      </c>
      <c r="R268" s="22">
        <v>10</v>
      </c>
      <c r="S268" s="33"/>
    </row>
    <row r="269" spans="1:19" s="38" customFormat="1" ht="27" customHeight="1" x14ac:dyDescent="0.25">
      <c r="A269" s="22" t="s">
        <v>841</v>
      </c>
      <c r="B269" s="22" t="s">
        <v>793</v>
      </c>
      <c r="C269" s="22" t="s">
        <v>703</v>
      </c>
      <c r="D269" s="22">
        <v>38500</v>
      </c>
      <c r="E269" s="22">
        <v>8000</v>
      </c>
      <c r="F269" s="72">
        <v>0.79220779220779225</v>
      </c>
      <c r="G269" s="22" t="s">
        <v>706</v>
      </c>
      <c r="H269" s="22">
        <v>9100</v>
      </c>
      <c r="I269" s="22">
        <v>1000</v>
      </c>
      <c r="J269" s="72">
        <v>0.89010989010989006</v>
      </c>
      <c r="K269" s="73">
        <v>3.5431038045663734</v>
      </c>
      <c r="L269" s="73">
        <v>0.15770491711719761</v>
      </c>
      <c r="M269" s="22" t="s">
        <v>809</v>
      </c>
      <c r="N269" s="80">
        <v>2010</v>
      </c>
      <c r="O269" s="22" t="s">
        <v>773</v>
      </c>
      <c r="P269" s="22" t="s">
        <v>802</v>
      </c>
      <c r="Q269" s="22" t="s">
        <v>803</v>
      </c>
      <c r="R269" s="22">
        <v>10</v>
      </c>
      <c r="S269" s="33"/>
    </row>
    <row r="270" spans="1:19" s="38" customFormat="1" ht="27" customHeight="1" x14ac:dyDescent="0.25">
      <c r="A270" s="22" t="s">
        <v>736</v>
      </c>
      <c r="B270" s="22" t="s">
        <v>793</v>
      </c>
      <c r="C270" s="72" t="s">
        <v>817</v>
      </c>
      <c r="D270" s="72" t="s">
        <v>817</v>
      </c>
      <c r="E270" s="72" t="s">
        <v>817</v>
      </c>
      <c r="F270" s="72" t="s">
        <v>817</v>
      </c>
      <c r="G270" s="22" t="s">
        <v>706</v>
      </c>
      <c r="H270" s="22">
        <v>9100</v>
      </c>
      <c r="I270" s="22">
        <v>100</v>
      </c>
      <c r="J270" s="72">
        <v>0.98901098901098905</v>
      </c>
      <c r="K270" s="73">
        <v>3.5536174657075197</v>
      </c>
      <c r="L270" s="73">
        <v>0.25232786738751622</v>
      </c>
      <c r="M270" s="22" t="s">
        <v>804</v>
      </c>
      <c r="N270" s="80">
        <v>2010</v>
      </c>
      <c r="O270" s="22" t="s">
        <v>773</v>
      </c>
      <c r="P270" s="22" t="s">
        <v>802</v>
      </c>
      <c r="Q270" s="22" t="s">
        <v>803</v>
      </c>
      <c r="R270" s="22">
        <v>10</v>
      </c>
      <c r="S270" s="33" t="s">
        <v>805</v>
      </c>
    </row>
    <row r="271" spans="1:19" s="38" customFormat="1" ht="27" customHeight="1" x14ac:dyDescent="0.25">
      <c r="A271" s="22" t="s">
        <v>104</v>
      </c>
      <c r="B271" s="22" t="s">
        <v>793</v>
      </c>
      <c r="C271" s="72" t="s">
        <v>817</v>
      </c>
      <c r="D271" s="72" t="s">
        <v>817</v>
      </c>
      <c r="E271" s="72" t="s">
        <v>817</v>
      </c>
      <c r="F271" s="72" t="s">
        <v>817</v>
      </c>
      <c r="G271" s="22" t="s">
        <v>706</v>
      </c>
      <c r="H271" s="22">
        <v>9100</v>
      </c>
      <c r="I271" s="22">
        <v>100</v>
      </c>
      <c r="J271" s="72">
        <v>0.98901098901098905</v>
      </c>
      <c r="K271" s="73">
        <v>3.5851584491309594</v>
      </c>
      <c r="L271" s="73">
        <v>7.3595627988025561E-2</v>
      </c>
      <c r="M271" s="22" t="s">
        <v>815</v>
      </c>
      <c r="N271" s="80">
        <v>2010</v>
      </c>
      <c r="O271" s="22" t="s">
        <v>773</v>
      </c>
      <c r="P271" s="22" t="s">
        <v>802</v>
      </c>
      <c r="Q271" s="22" t="s">
        <v>803</v>
      </c>
      <c r="R271" s="22">
        <v>10</v>
      </c>
      <c r="S271" s="33"/>
    </row>
    <row r="272" spans="1:19" s="38" customFormat="1" ht="27" customHeight="1" x14ac:dyDescent="0.25">
      <c r="A272" s="22" t="s">
        <v>213</v>
      </c>
      <c r="B272" s="22" t="s">
        <v>793</v>
      </c>
      <c r="C272" s="72" t="s">
        <v>817</v>
      </c>
      <c r="D272" s="72" t="s">
        <v>817</v>
      </c>
      <c r="E272" s="72" t="s">
        <v>817</v>
      </c>
      <c r="F272" s="72" t="s">
        <v>817</v>
      </c>
      <c r="G272" s="22" t="s">
        <v>706</v>
      </c>
      <c r="H272" s="22">
        <v>9100</v>
      </c>
      <c r="I272" s="22">
        <v>100</v>
      </c>
      <c r="J272" s="72">
        <v>0.98901098901098905</v>
      </c>
      <c r="K272" s="73">
        <v>3.5851584491309594</v>
      </c>
      <c r="L272" s="73">
        <v>7.3595627988025561E-2</v>
      </c>
      <c r="M272" s="22" t="s">
        <v>815</v>
      </c>
      <c r="N272" s="80">
        <v>2010</v>
      </c>
      <c r="O272" s="22" t="s">
        <v>773</v>
      </c>
      <c r="P272" s="22" t="s">
        <v>802</v>
      </c>
      <c r="Q272" s="22" t="s">
        <v>803</v>
      </c>
      <c r="R272" s="22">
        <v>10</v>
      </c>
      <c r="S272" s="33"/>
    </row>
    <row r="273" spans="1:19" s="38" customFormat="1" ht="27" customHeight="1" x14ac:dyDescent="0.25">
      <c r="A273" s="22" t="s">
        <v>719</v>
      </c>
      <c r="B273" s="22" t="s">
        <v>793</v>
      </c>
      <c r="C273" s="22" t="s">
        <v>703</v>
      </c>
      <c r="D273" s="22">
        <v>38500</v>
      </c>
      <c r="E273" s="22">
        <v>3000</v>
      </c>
      <c r="F273" s="72">
        <v>0.92207792207792205</v>
      </c>
      <c r="G273" s="72" t="s">
        <v>817</v>
      </c>
      <c r="H273" s="72" t="s">
        <v>817</v>
      </c>
      <c r="I273" s="72" t="s">
        <v>817</v>
      </c>
      <c r="J273" s="72" t="s">
        <v>817</v>
      </c>
      <c r="K273" s="73">
        <v>3.6166994325543991</v>
      </c>
      <c r="L273" s="73">
        <v>0.10513661141146509</v>
      </c>
      <c r="M273" s="22" t="s">
        <v>809</v>
      </c>
      <c r="N273" s="74">
        <v>2010</v>
      </c>
      <c r="O273" s="22" t="s">
        <v>773</v>
      </c>
      <c r="P273" s="22" t="s">
        <v>802</v>
      </c>
      <c r="Q273" s="22" t="s">
        <v>803</v>
      </c>
      <c r="R273" s="22">
        <v>10</v>
      </c>
      <c r="S273" s="33"/>
    </row>
    <row r="274" spans="1:19" s="38" customFormat="1" ht="27" customHeight="1" x14ac:dyDescent="0.25">
      <c r="A274" s="22" t="s">
        <v>719</v>
      </c>
      <c r="B274" s="22" t="s">
        <v>793</v>
      </c>
      <c r="C274" s="22" t="s">
        <v>703</v>
      </c>
      <c r="D274" s="22">
        <v>38500</v>
      </c>
      <c r="E274" s="22">
        <v>8000</v>
      </c>
      <c r="F274" s="72">
        <v>0.79220779220779225</v>
      </c>
      <c r="G274" s="22" t="s">
        <v>706</v>
      </c>
      <c r="H274" s="22">
        <v>9100</v>
      </c>
      <c r="I274" s="22">
        <v>1000</v>
      </c>
      <c r="J274" s="72">
        <v>0.89010989010989006</v>
      </c>
      <c r="K274" s="73">
        <v>3.6272130936955458</v>
      </c>
      <c r="L274" s="73">
        <v>0.17873223939949065</v>
      </c>
      <c r="M274" s="22" t="s">
        <v>809</v>
      </c>
      <c r="N274" s="80">
        <v>2010</v>
      </c>
      <c r="O274" s="22" t="s">
        <v>773</v>
      </c>
      <c r="P274" s="22" t="s">
        <v>802</v>
      </c>
      <c r="Q274" s="22" t="s">
        <v>803</v>
      </c>
      <c r="R274" s="22">
        <v>10</v>
      </c>
      <c r="S274" s="33"/>
    </row>
    <row r="275" spans="1:19" s="38" customFormat="1" ht="27" customHeight="1" x14ac:dyDescent="0.25">
      <c r="A275" s="22" t="s">
        <v>841</v>
      </c>
      <c r="B275" s="22" t="s">
        <v>793</v>
      </c>
      <c r="C275" s="22" t="s">
        <v>703</v>
      </c>
      <c r="D275" s="22">
        <v>38500</v>
      </c>
      <c r="E275" s="22">
        <v>8000</v>
      </c>
      <c r="F275" s="72">
        <v>0.79220779220779225</v>
      </c>
      <c r="G275" s="72" t="s">
        <v>817</v>
      </c>
      <c r="H275" s="72" t="s">
        <v>817</v>
      </c>
      <c r="I275" s="72" t="s">
        <v>817</v>
      </c>
      <c r="J275" s="72" t="s">
        <v>817</v>
      </c>
      <c r="K275" s="73">
        <v>3.679781399401278</v>
      </c>
      <c r="L275" s="73">
        <v>7.3595627988025561E-2</v>
      </c>
      <c r="M275" s="22" t="s">
        <v>809</v>
      </c>
      <c r="N275" s="80">
        <v>2010</v>
      </c>
      <c r="O275" s="22" t="s">
        <v>773</v>
      </c>
      <c r="P275" s="22" t="s">
        <v>802</v>
      </c>
      <c r="Q275" s="22" t="s">
        <v>803</v>
      </c>
      <c r="R275" s="22">
        <v>10</v>
      </c>
      <c r="S275" s="33"/>
    </row>
    <row r="276" spans="1:19" s="38" customFormat="1" ht="27" customHeight="1" x14ac:dyDescent="0.25">
      <c r="A276" s="22" t="s">
        <v>765</v>
      </c>
      <c r="B276" s="22" t="s">
        <v>793</v>
      </c>
      <c r="C276" s="72" t="s">
        <v>817</v>
      </c>
      <c r="D276" s="72" t="s">
        <v>817</v>
      </c>
      <c r="E276" s="72" t="s">
        <v>817</v>
      </c>
      <c r="F276" s="72" t="s">
        <v>817</v>
      </c>
      <c r="G276" s="22" t="s">
        <v>706</v>
      </c>
      <c r="H276" s="22">
        <v>9100</v>
      </c>
      <c r="I276" s="22">
        <v>100</v>
      </c>
      <c r="J276" s="72">
        <v>0.98901098901098905</v>
      </c>
      <c r="K276" s="73">
        <v>3.7849180108127434</v>
      </c>
      <c r="L276" s="73">
        <v>0.27335518966980921</v>
      </c>
      <c r="M276" s="22" t="s">
        <v>804</v>
      </c>
      <c r="N276" s="80">
        <v>2010</v>
      </c>
      <c r="O276" s="22" t="s">
        <v>773</v>
      </c>
      <c r="P276" s="22" t="s">
        <v>802</v>
      </c>
      <c r="Q276" s="22" t="s">
        <v>803</v>
      </c>
      <c r="R276" s="22">
        <v>10</v>
      </c>
      <c r="S276" s="33"/>
    </row>
    <row r="277" spans="1:19" s="38" customFormat="1" ht="27" customHeight="1" x14ac:dyDescent="0.25">
      <c r="A277" s="22" t="s">
        <v>755</v>
      </c>
      <c r="B277" s="22" t="s">
        <v>793</v>
      </c>
      <c r="C277" s="72" t="s">
        <v>817</v>
      </c>
      <c r="D277" s="72" t="s">
        <v>817</v>
      </c>
      <c r="E277" s="72" t="s">
        <v>817</v>
      </c>
      <c r="F277" s="72" t="s">
        <v>817</v>
      </c>
      <c r="G277" s="22" t="s">
        <v>706</v>
      </c>
      <c r="H277" s="22">
        <v>9100</v>
      </c>
      <c r="I277" s="22">
        <v>100</v>
      </c>
      <c r="J277" s="72">
        <v>0.98901098901098905</v>
      </c>
      <c r="K277" s="73">
        <v>3.7849180108127434</v>
      </c>
      <c r="L277" s="73">
        <v>0.28386885081095575</v>
      </c>
      <c r="M277" s="22" t="s">
        <v>804</v>
      </c>
      <c r="N277" s="80">
        <v>2010</v>
      </c>
      <c r="O277" s="22" t="s">
        <v>773</v>
      </c>
      <c r="P277" s="22" t="s">
        <v>802</v>
      </c>
      <c r="Q277" s="22" t="s">
        <v>803</v>
      </c>
      <c r="R277" s="22">
        <v>10</v>
      </c>
      <c r="S277" s="33"/>
    </row>
    <row r="278" spans="1:19" s="38" customFormat="1" ht="27" customHeight="1" x14ac:dyDescent="0.25">
      <c r="A278" s="22" t="s">
        <v>841</v>
      </c>
      <c r="B278" s="22" t="s">
        <v>793</v>
      </c>
      <c r="C278" s="72" t="s">
        <v>817</v>
      </c>
      <c r="D278" s="72" t="s">
        <v>817</v>
      </c>
      <c r="E278" s="72" t="s">
        <v>817</v>
      </c>
      <c r="F278" s="72" t="s">
        <v>817</v>
      </c>
      <c r="G278" s="22" t="s">
        <v>706</v>
      </c>
      <c r="H278" s="22">
        <v>9100</v>
      </c>
      <c r="I278" s="22">
        <v>100</v>
      </c>
      <c r="J278" s="72">
        <v>0.98901098901098905</v>
      </c>
      <c r="K278" s="73">
        <v>3.7849180108127434</v>
      </c>
      <c r="L278" s="73">
        <v>0.28386885081095575</v>
      </c>
      <c r="M278" s="22" t="s">
        <v>804</v>
      </c>
      <c r="N278" s="80">
        <v>2010</v>
      </c>
      <c r="O278" s="22" t="s">
        <v>773</v>
      </c>
      <c r="P278" s="22" t="s">
        <v>802</v>
      </c>
      <c r="Q278" s="22" t="s">
        <v>803</v>
      </c>
      <c r="R278" s="22">
        <v>10</v>
      </c>
      <c r="S278" s="33"/>
    </row>
    <row r="279" spans="1:19" s="38" customFormat="1" ht="27" customHeight="1" x14ac:dyDescent="0.25">
      <c r="A279" s="22" t="s">
        <v>719</v>
      </c>
      <c r="B279" s="22" t="s">
        <v>793</v>
      </c>
      <c r="C279" s="72" t="s">
        <v>817</v>
      </c>
      <c r="D279" s="72" t="s">
        <v>817</v>
      </c>
      <c r="E279" s="72" t="s">
        <v>817</v>
      </c>
      <c r="F279" s="72" t="s">
        <v>817</v>
      </c>
      <c r="G279" s="22" t="s">
        <v>706</v>
      </c>
      <c r="H279" s="22">
        <v>9100</v>
      </c>
      <c r="I279" s="22">
        <v>100</v>
      </c>
      <c r="J279" s="72">
        <v>0.98901098901098905</v>
      </c>
      <c r="K279" s="73">
        <v>3.7849180108127434</v>
      </c>
      <c r="L279" s="73">
        <v>0.29438251195210224</v>
      </c>
      <c r="M279" s="22" t="s">
        <v>804</v>
      </c>
      <c r="N279" s="80">
        <v>2010</v>
      </c>
      <c r="O279" s="22" t="s">
        <v>773</v>
      </c>
      <c r="P279" s="22" t="s">
        <v>802</v>
      </c>
      <c r="Q279" s="22" t="s">
        <v>803</v>
      </c>
      <c r="R279" s="22">
        <v>10</v>
      </c>
      <c r="S279" s="33"/>
    </row>
    <row r="280" spans="1:19" s="38" customFormat="1" ht="27" customHeight="1" x14ac:dyDescent="0.25">
      <c r="A280" s="22" t="s">
        <v>806</v>
      </c>
      <c r="B280" s="22" t="s">
        <v>793</v>
      </c>
      <c r="C280" s="22" t="s">
        <v>703</v>
      </c>
      <c r="D280" s="22">
        <v>38500</v>
      </c>
      <c r="E280" s="22">
        <v>3000</v>
      </c>
      <c r="F280" s="72">
        <v>0.92207792207792205</v>
      </c>
      <c r="G280" s="72" t="s">
        <v>817</v>
      </c>
      <c r="H280" s="72" t="s">
        <v>817</v>
      </c>
      <c r="I280" s="72" t="s">
        <v>817</v>
      </c>
      <c r="J280" s="72" t="s">
        <v>817</v>
      </c>
      <c r="K280" s="73">
        <v>3.8059453330950364</v>
      </c>
      <c r="L280" s="73">
        <v>9.462295027031857E-2</v>
      </c>
      <c r="M280" s="22" t="s">
        <v>809</v>
      </c>
      <c r="N280" s="74">
        <v>2010</v>
      </c>
      <c r="O280" s="22" t="s">
        <v>773</v>
      </c>
      <c r="P280" s="22" t="s">
        <v>802</v>
      </c>
      <c r="Q280" s="22" t="s">
        <v>803</v>
      </c>
      <c r="R280" s="22">
        <v>10</v>
      </c>
      <c r="S280" s="33"/>
    </row>
    <row r="281" spans="1:19" s="38" customFormat="1" ht="27" customHeight="1" x14ac:dyDescent="0.25">
      <c r="A281" s="22" t="s">
        <v>719</v>
      </c>
      <c r="B281" s="22" t="s">
        <v>793</v>
      </c>
      <c r="C281" s="22" t="s">
        <v>703</v>
      </c>
      <c r="D281" s="22">
        <v>38500</v>
      </c>
      <c r="E281" s="22">
        <v>3000</v>
      </c>
      <c r="F281" s="72">
        <v>0.92207792207792205</v>
      </c>
      <c r="G281" s="72" t="s">
        <v>817</v>
      </c>
      <c r="H281" s="72" t="s">
        <v>817</v>
      </c>
      <c r="I281" s="72" t="s">
        <v>817</v>
      </c>
      <c r="J281" s="72" t="s">
        <v>817</v>
      </c>
      <c r="K281" s="73">
        <v>3.8585136388007686</v>
      </c>
      <c r="L281" s="73">
        <v>0.17873223939949065</v>
      </c>
      <c r="M281" s="22" t="s">
        <v>813</v>
      </c>
      <c r="N281" s="74">
        <v>2010</v>
      </c>
      <c r="O281" s="22" t="s">
        <v>773</v>
      </c>
      <c r="P281" s="22" t="s">
        <v>802</v>
      </c>
      <c r="Q281" s="22" t="s">
        <v>803</v>
      </c>
      <c r="R281" s="22">
        <v>10</v>
      </c>
      <c r="S281" s="33" t="s">
        <v>812</v>
      </c>
    </row>
    <row r="282" spans="1:19" s="38" customFormat="1" ht="27" customHeight="1" x14ac:dyDescent="0.25">
      <c r="A282" s="22" t="s">
        <v>765</v>
      </c>
      <c r="B282" s="22" t="s">
        <v>793</v>
      </c>
      <c r="C282" s="22" t="s">
        <v>703</v>
      </c>
      <c r="D282" s="22">
        <v>38500</v>
      </c>
      <c r="E282" s="22">
        <v>8000</v>
      </c>
      <c r="F282" s="72">
        <v>0.79220779220779225</v>
      </c>
      <c r="G282" s="22" t="s">
        <v>706</v>
      </c>
      <c r="H282" s="22">
        <v>9100</v>
      </c>
      <c r="I282" s="22">
        <v>1000</v>
      </c>
      <c r="J282" s="72">
        <v>0.89010989010989006</v>
      </c>
      <c r="K282" s="73">
        <v>3.8795409610830616</v>
      </c>
      <c r="L282" s="73">
        <v>0.18924590054063714</v>
      </c>
      <c r="M282" s="22" t="s">
        <v>809</v>
      </c>
      <c r="N282" s="80">
        <v>2010</v>
      </c>
      <c r="O282" s="22" t="s">
        <v>773</v>
      </c>
      <c r="P282" s="22" t="s">
        <v>802</v>
      </c>
      <c r="Q282" s="22" t="s">
        <v>803</v>
      </c>
      <c r="R282" s="22">
        <v>10</v>
      </c>
      <c r="S282" s="33"/>
    </row>
    <row r="283" spans="1:19" s="38" customFormat="1" ht="27" customHeight="1" x14ac:dyDescent="0.25">
      <c r="A283" s="22" t="s">
        <v>104</v>
      </c>
      <c r="B283" s="22" t="s">
        <v>793</v>
      </c>
      <c r="C283" s="72" t="s">
        <v>817</v>
      </c>
      <c r="D283" s="72" t="s">
        <v>817</v>
      </c>
      <c r="E283" s="72" t="s">
        <v>817</v>
      </c>
      <c r="F283" s="72" t="s">
        <v>817</v>
      </c>
      <c r="G283" s="22" t="s">
        <v>706</v>
      </c>
      <c r="H283" s="22">
        <v>9100</v>
      </c>
      <c r="I283" s="22">
        <v>100</v>
      </c>
      <c r="J283" s="72">
        <v>0.98901098901098905</v>
      </c>
      <c r="K283" s="73">
        <v>3.9110819445065013</v>
      </c>
      <c r="L283" s="73">
        <v>0.12616393369375811</v>
      </c>
      <c r="M283" s="22" t="s">
        <v>814</v>
      </c>
      <c r="N283" s="80">
        <v>2010</v>
      </c>
      <c r="O283" s="22" t="s">
        <v>773</v>
      </c>
      <c r="P283" s="22" t="s">
        <v>802</v>
      </c>
      <c r="Q283" s="22" t="s">
        <v>803</v>
      </c>
      <c r="R283" s="22">
        <v>10</v>
      </c>
      <c r="S283" s="33"/>
    </row>
    <row r="284" spans="1:19" s="38" customFormat="1" ht="27" customHeight="1" x14ac:dyDescent="0.25">
      <c r="A284" s="22" t="s">
        <v>213</v>
      </c>
      <c r="B284" s="22" t="s">
        <v>793</v>
      </c>
      <c r="C284" s="72" t="s">
        <v>817</v>
      </c>
      <c r="D284" s="72" t="s">
        <v>817</v>
      </c>
      <c r="E284" s="72" t="s">
        <v>817</v>
      </c>
      <c r="F284" s="72" t="s">
        <v>817</v>
      </c>
      <c r="G284" s="22" t="s">
        <v>706</v>
      </c>
      <c r="H284" s="22">
        <v>9100</v>
      </c>
      <c r="I284" s="22">
        <v>100</v>
      </c>
      <c r="J284" s="72">
        <v>0.98901098901098905</v>
      </c>
      <c r="K284" s="73">
        <v>3.9110819445065013</v>
      </c>
      <c r="L284" s="73">
        <v>0.12616393369375811</v>
      </c>
      <c r="M284" s="22" t="s">
        <v>814</v>
      </c>
      <c r="N284" s="80">
        <v>2010</v>
      </c>
      <c r="O284" s="22" t="s">
        <v>773</v>
      </c>
      <c r="P284" s="22" t="s">
        <v>802</v>
      </c>
      <c r="Q284" s="22" t="s">
        <v>803</v>
      </c>
      <c r="R284" s="22">
        <v>10</v>
      </c>
      <c r="S284" s="33"/>
    </row>
    <row r="285" spans="1:19" s="38" customFormat="1" ht="27" customHeight="1" x14ac:dyDescent="0.25">
      <c r="A285" s="22" t="s">
        <v>755</v>
      </c>
      <c r="B285" s="22" t="s">
        <v>793</v>
      </c>
      <c r="C285" s="22" t="s">
        <v>703</v>
      </c>
      <c r="D285" s="22">
        <v>38500</v>
      </c>
      <c r="E285" s="22">
        <v>8000</v>
      </c>
      <c r="F285" s="72">
        <v>0.79220779220779225</v>
      </c>
      <c r="G285" s="22" t="s">
        <v>706</v>
      </c>
      <c r="H285" s="22">
        <v>9100</v>
      </c>
      <c r="I285" s="22">
        <v>1000</v>
      </c>
      <c r="J285" s="72">
        <v>0.89010989010989006</v>
      </c>
      <c r="K285" s="73">
        <v>3.9321092667887942</v>
      </c>
      <c r="L285" s="73">
        <v>0.19975956168178366</v>
      </c>
      <c r="M285" s="22" t="s">
        <v>809</v>
      </c>
      <c r="N285" s="80">
        <v>2010</v>
      </c>
      <c r="O285" s="22" t="s">
        <v>773</v>
      </c>
      <c r="P285" s="22" t="s">
        <v>802</v>
      </c>
      <c r="Q285" s="22" t="s">
        <v>803</v>
      </c>
      <c r="R285" s="22">
        <v>10</v>
      </c>
      <c r="S285" s="33"/>
    </row>
    <row r="286" spans="1:19" s="38" customFormat="1" ht="27" customHeight="1" x14ac:dyDescent="0.25">
      <c r="A286" s="22" t="s">
        <v>765</v>
      </c>
      <c r="B286" s="22" t="s">
        <v>793</v>
      </c>
      <c r="C286" s="22" t="s">
        <v>703</v>
      </c>
      <c r="D286" s="22">
        <v>38500</v>
      </c>
      <c r="E286" s="22">
        <v>8000</v>
      </c>
      <c r="F286" s="72">
        <v>0.79220779220779225</v>
      </c>
      <c r="G286" s="72" t="s">
        <v>817</v>
      </c>
      <c r="H286" s="72" t="s">
        <v>817</v>
      </c>
      <c r="I286" s="72" t="s">
        <v>817</v>
      </c>
      <c r="J286" s="72" t="s">
        <v>817</v>
      </c>
      <c r="K286" s="73">
        <v>4.0162185559179662</v>
      </c>
      <c r="L286" s="73">
        <v>8.4109289129172066E-2</v>
      </c>
      <c r="M286" s="22" t="s">
        <v>809</v>
      </c>
      <c r="N286" s="80">
        <v>2010</v>
      </c>
      <c r="O286" s="22" t="s">
        <v>773</v>
      </c>
      <c r="P286" s="22" t="s">
        <v>802</v>
      </c>
      <c r="Q286" s="22" t="s">
        <v>803</v>
      </c>
      <c r="R286" s="22">
        <v>10</v>
      </c>
      <c r="S286" s="33"/>
    </row>
    <row r="287" spans="1:19" s="38" customFormat="1" ht="27" customHeight="1" x14ac:dyDescent="0.25">
      <c r="A287" s="22" t="s">
        <v>755</v>
      </c>
      <c r="B287" s="22" t="s">
        <v>793</v>
      </c>
      <c r="C287" s="22" t="s">
        <v>703</v>
      </c>
      <c r="D287" s="22">
        <v>38500</v>
      </c>
      <c r="E287" s="22">
        <v>8000</v>
      </c>
      <c r="F287" s="72">
        <v>0.79220779220779225</v>
      </c>
      <c r="G287" s="72" t="s">
        <v>817</v>
      </c>
      <c r="H287" s="72" t="s">
        <v>817</v>
      </c>
      <c r="I287" s="72" t="s">
        <v>817</v>
      </c>
      <c r="J287" s="72" t="s">
        <v>817</v>
      </c>
      <c r="K287" s="73">
        <v>4.0687868616236988</v>
      </c>
      <c r="L287" s="73">
        <v>9.462295027031857E-2</v>
      </c>
      <c r="M287" s="22" t="s">
        <v>809</v>
      </c>
      <c r="N287" s="80">
        <v>2010</v>
      </c>
      <c r="O287" s="22" t="s">
        <v>773</v>
      </c>
      <c r="P287" s="22" t="s">
        <v>802</v>
      </c>
      <c r="Q287" s="22" t="s">
        <v>803</v>
      </c>
      <c r="R287" s="22">
        <v>10</v>
      </c>
      <c r="S287" s="33"/>
    </row>
    <row r="288" spans="1:19" s="38" customFormat="1" ht="27" customHeight="1" x14ac:dyDescent="0.25">
      <c r="A288" s="22" t="s">
        <v>104</v>
      </c>
      <c r="B288" s="22" t="s">
        <v>793</v>
      </c>
      <c r="C288" s="72" t="s">
        <v>817</v>
      </c>
      <c r="D288" s="72" t="s">
        <v>817</v>
      </c>
      <c r="E288" s="72" t="s">
        <v>817</v>
      </c>
      <c r="F288" s="72" t="s">
        <v>817</v>
      </c>
      <c r="G288" s="22" t="s">
        <v>706</v>
      </c>
      <c r="H288" s="22">
        <v>9100</v>
      </c>
      <c r="I288" s="22">
        <v>1000</v>
      </c>
      <c r="J288" s="72">
        <v>0.89010989010989006</v>
      </c>
      <c r="K288" s="73">
        <v>4.0687868616236988</v>
      </c>
      <c r="L288" s="73">
        <v>0.21027322282293018</v>
      </c>
      <c r="M288" s="22" t="s">
        <v>804</v>
      </c>
      <c r="N288" s="80">
        <v>2010</v>
      </c>
      <c r="O288" s="22" t="s">
        <v>773</v>
      </c>
      <c r="P288" s="22" t="s">
        <v>802</v>
      </c>
      <c r="Q288" s="22" t="s">
        <v>803</v>
      </c>
      <c r="R288" s="22">
        <v>10</v>
      </c>
      <c r="S288" s="33"/>
    </row>
    <row r="289" spans="1:19" s="38" customFormat="1" ht="27" customHeight="1" x14ac:dyDescent="0.25">
      <c r="A289" s="22" t="s">
        <v>213</v>
      </c>
      <c r="B289" s="22" t="s">
        <v>793</v>
      </c>
      <c r="C289" s="72" t="s">
        <v>817</v>
      </c>
      <c r="D289" s="72" t="s">
        <v>817</v>
      </c>
      <c r="E289" s="72" t="s">
        <v>817</v>
      </c>
      <c r="F289" s="72" t="s">
        <v>817</v>
      </c>
      <c r="G289" s="22" t="s">
        <v>706</v>
      </c>
      <c r="H289" s="22">
        <v>9100</v>
      </c>
      <c r="I289" s="22">
        <v>1000</v>
      </c>
      <c r="J289" s="72">
        <v>0.89010989010989006</v>
      </c>
      <c r="K289" s="73">
        <v>4.0687868616236988</v>
      </c>
      <c r="L289" s="73">
        <v>0.21027322282293018</v>
      </c>
      <c r="M289" s="22" t="s">
        <v>804</v>
      </c>
      <c r="N289" s="80">
        <v>2010</v>
      </c>
      <c r="O289" s="22" t="s">
        <v>773</v>
      </c>
      <c r="P289" s="22" t="s">
        <v>802</v>
      </c>
      <c r="Q289" s="22" t="s">
        <v>803</v>
      </c>
      <c r="R289" s="22">
        <v>10</v>
      </c>
      <c r="S289" s="33"/>
    </row>
    <row r="290" spans="1:19" s="38" customFormat="1" ht="27" customHeight="1" x14ac:dyDescent="0.25">
      <c r="A290" s="22" t="s">
        <v>719</v>
      </c>
      <c r="B290" s="22" t="s">
        <v>793</v>
      </c>
      <c r="C290" s="22" t="s">
        <v>703</v>
      </c>
      <c r="D290" s="22">
        <v>38500</v>
      </c>
      <c r="E290" s="22">
        <v>8000</v>
      </c>
      <c r="F290" s="72">
        <v>0.79220779220779225</v>
      </c>
      <c r="G290" s="72" t="s">
        <v>817</v>
      </c>
      <c r="H290" s="72" t="s">
        <v>817</v>
      </c>
      <c r="I290" s="72" t="s">
        <v>817</v>
      </c>
      <c r="J290" s="72" t="s">
        <v>817</v>
      </c>
      <c r="K290" s="73">
        <v>4.1108415061882848</v>
      </c>
      <c r="L290" s="73">
        <v>0.19975956168178366</v>
      </c>
      <c r="M290" s="22" t="s">
        <v>811</v>
      </c>
      <c r="N290" s="80">
        <v>2010</v>
      </c>
      <c r="O290" s="22" t="s">
        <v>773</v>
      </c>
      <c r="P290" s="22" t="s">
        <v>802</v>
      </c>
      <c r="Q290" s="22" t="s">
        <v>803</v>
      </c>
      <c r="R290" s="22">
        <v>10</v>
      </c>
      <c r="S290" s="33" t="s">
        <v>812</v>
      </c>
    </row>
    <row r="291" spans="1:19" s="38" customFormat="1" ht="27" customHeight="1" x14ac:dyDescent="0.25">
      <c r="A291" s="22" t="s">
        <v>736</v>
      </c>
      <c r="B291" s="22" t="s">
        <v>793</v>
      </c>
      <c r="C291" s="22" t="s">
        <v>703</v>
      </c>
      <c r="D291" s="22">
        <v>38500</v>
      </c>
      <c r="E291" s="22">
        <v>3000</v>
      </c>
      <c r="F291" s="72">
        <v>0.92207792207792205</v>
      </c>
      <c r="G291" s="22" t="s">
        <v>706</v>
      </c>
      <c r="H291" s="22">
        <v>9100</v>
      </c>
      <c r="I291" s="22">
        <v>100</v>
      </c>
      <c r="J291" s="72">
        <v>0.98901098901098905</v>
      </c>
      <c r="K291" s="73">
        <v>4.1213551673294315</v>
      </c>
      <c r="L291" s="73">
        <v>0.27335518966980921</v>
      </c>
      <c r="M291" s="22" t="s">
        <v>808</v>
      </c>
      <c r="N291" s="74">
        <v>2010</v>
      </c>
      <c r="O291" s="22" t="s">
        <v>773</v>
      </c>
      <c r="P291" s="22" t="s">
        <v>802</v>
      </c>
      <c r="Q291" s="22" t="s">
        <v>803</v>
      </c>
      <c r="R291" s="22">
        <v>10</v>
      </c>
      <c r="S291" s="33" t="s">
        <v>1287</v>
      </c>
    </row>
    <row r="292" spans="1:19" s="38" customFormat="1" ht="27" customHeight="1" x14ac:dyDescent="0.25">
      <c r="A292" s="22" t="s">
        <v>765</v>
      </c>
      <c r="B292" s="22" t="s">
        <v>793</v>
      </c>
      <c r="C292" s="22" t="s">
        <v>703</v>
      </c>
      <c r="D292" s="22">
        <v>38500</v>
      </c>
      <c r="E292" s="22">
        <v>3000</v>
      </c>
      <c r="F292" s="72">
        <v>0.92207792207792205</v>
      </c>
      <c r="G292" s="72" t="s">
        <v>817</v>
      </c>
      <c r="H292" s="72" t="s">
        <v>817</v>
      </c>
      <c r="I292" s="72" t="s">
        <v>817</v>
      </c>
      <c r="J292" s="72" t="s">
        <v>817</v>
      </c>
      <c r="K292" s="73">
        <v>4.1423824896117241</v>
      </c>
      <c r="L292" s="73">
        <v>0.10513661141146509</v>
      </c>
      <c r="M292" s="22" t="s">
        <v>809</v>
      </c>
      <c r="N292" s="74">
        <v>2010</v>
      </c>
      <c r="O292" s="22" t="s">
        <v>773</v>
      </c>
      <c r="P292" s="22" t="s">
        <v>802</v>
      </c>
      <c r="Q292" s="22" t="s">
        <v>803</v>
      </c>
      <c r="R292" s="22">
        <v>10</v>
      </c>
      <c r="S292" s="33"/>
    </row>
    <row r="293" spans="1:19" s="38" customFormat="1" ht="27" customHeight="1" x14ac:dyDescent="0.25">
      <c r="A293" s="22" t="s">
        <v>755</v>
      </c>
      <c r="B293" s="22" t="s">
        <v>793</v>
      </c>
      <c r="C293" s="22" t="s">
        <v>703</v>
      </c>
      <c r="D293" s="22">
        <v>38500</v>
      </c>
      <c r="E293" s="22">
        <v>3000</v>
      </c>
      <c r="F293" s="72">
        <v>0.92207792207792205</v>
      </c>
      <c r="G293" s="72" t="s">
        <v>817</v>
      </c>
      <c r="H293" s="72" t="s">
        <v>817</v>
      </c>
      <c r="I293" s="72" t="s">
        <v>817</v>
      </c>
      <c r="J293" s="72" t="s">
        <v>817</v>
      </c>
      <c r="K293" s="73">
        <v>4.1949507953174567</v>
      </c>
      <c r="L293" s="73">
        <v>0.10513661141146509</v>
      </c>
      <c r="M293" s="22" t="s">
        <v>809</v>
      </c>
      <c r="N293" s="74">
        <v>2010</v>
      </c>
      <c r="O293" s="22" t="s">
        <v>773</v>
      </c>
      <c r="P293" s="22" t="s">
        <v>802</v>
      </c>
      <c r="Q293" s="22" t="s">
        <v>803</v>
      </c>
      <c r="R293" s="22">
        <v>10</v>
      </c>
      <c r="S293" s="33"/>
    </row>
    <row r="294" spans="1:19" s="38" customFormat="1" ht="27" customHeight="1" x14ac:dyDescent="0.25">
      <c r="A294" s="22" t="s">
        <v>719</v>
      </c>
      <c r="B294" s="22" t="s">
        <v>793</v>
      </c>
      <c r="C294" s="22" t="s">
        <v>703</v>
      </c>
      <c r="D294" s="22">
        <v>38500</v>
      </c>
      <c r="E294" s="22">
        <v>3000</v>
      </c>
      <c r="F294" s="72">
        <v>0.92207792207792205</v>
      </c>
      <c r="G294" s="22" t="s">
        <v>706</v>
      </c>
      <c r="H294" s="22">
        <v>9100</v>
      </c>
      <c r="I294" s="22">
        <v>100</v>
      </c>
      <c r="J294" s="72">
        <v>0.98901098901098905</v>
      </c>
      <c r="K294" s="73">
        <v>4.3736830347169473</v>
      </c>
      <c r="L294" s="73">
        <v>0.25232786738751622</v>
      </c>
      <c r="M294" s="22" t="s">
        <v>809</v>
      </c>
      <c r="N294" s="74">
        <v>2010</v>
      </c>
      <c r="O294" s="22" t="s">
        <v>773</v>
      </c>
      <c r="P294" s="22" t="s">
        <v>802</v>
      </c>
      <c r="Q294" s="22" t="s">
        <v>803</v>
      </c>
      <c r="R294" s="22">
        <v>10</v>
      </c>
      <c r="S294" s="33"/>
    </row>
    <row r="295" spans="1:19" s="38" customFormat="1" ht="27" customHeight="1" x14ac:dyDescent="0.25">
      <c r="A295" s="22" t="s">
        <v>841</v>
      </c>
      <c r="B295" s="22" t="s">
        <v>793</v>
      </c>
      <c r="C295" s="22" t="s">
        <v>703</v>
      </c>
      <c r="D295" s="22">
        <v>38500</v>
      </c>
      <c r="E295" s="22">
        <v>3000</v>
      </c>
      <c r="F295" s="72">
        <v>0.92207792207792205</v>
      </c>
      <c r="G295" s="22" t="s">
        <v>706</v>
      </c>
      <c r="H295" s="22">
        <v>9100</v>
      </c>
      <c r="I295" s="22">
        <v>100</v>
      </c>
      <c r="J295" s="72">
        <v>0.98901098901098905</v>
      </c>
      <c r="K295" s="73">
        <v>4.42625134042268</v>
      </c>
      <c r="L295" s="73">
        <v>0.22078688396407667</v>
      </c>
      <c r="M295" s="22" t="s">
        <v>809</v>
      </c>
      <c r="N295" s="74">
        <v>2010</v>
      </c>
      <c r="O295" s="22" t="s">
        <v>773</v>
      </c>
      <c r="P295" s="22" t="s">
        <v>802</v>
      </c>
      <c r="Q295" s="22" t="s">
        <v>803</v>
      </c>
      <c r="R295" s="22">
        <v>10</v>
      </c>
      <c r="S295" s="33"/>
    </row>
    <row r="296" spans="1:19" s="38" customFormat="1" ht="27" customHeight="1" x14ac:dyDescent="0.25">
      <c r="A296" s="22" t="s">
        <v>765</v>
      </c>
      <c r="B296" s="22" t="s">
        <v>793</v>
      </c>
      <c r="C296" s="22" t="s">
        <v>703</v>
      </c>
      <c r="D296" s="22">
        <v>38500</v>
      </c>
      <c r="E296" s="22">
        <v>3000</v>
      </c>
      <c r="F296" s="72">
        <v>0.92207792207792205</v>
      </c>
      <c r="G296" s="22" t="s">
        <v>706</v>
      </c>
      <c r="H296" s="22">
        <v>9100</v>
      </c>
      <c r="I296" s="22">
        <v>100</v>
      </c>
      <c r="J296" s="72">
        <v>0.98901098901098905</v>
      </c>
      <c r="K296" s="73">
        <v>4.7626884969393686</v>
      </c>
      <c r="L296" s="73">
        <v>0.25232786738751622</v>
      </c>
      <c r="M296" s="22" t="s">
        <v>809</v>
      </c>
      <c r="N296" s="74">
        <v>2010</v>
      </c>
      <c r="O296" s="22" t="s">
        <v>773</v>
      </c>
      <c r="P296" s="22" t="s">
        <v>802</v>
      </c>
      <c r="Q296" s="22" t="s">
        <v>803</v>
      </c>
      <c r="R296" s="22">
        <v>10</v>
      </c>
      <c r="S296" s="33"/>
    </row>
    <row r="297" spans="1:19" s="38" customFormat="1" ht="27" customHeight="1" x14ac:dyDescent="0.25">
      <c r="A297" s="22" t="s">
        <v>719</v>
      </c>
      <c r="B297" s="22" t="s">
        <v>793</v>
      </c>
      <c r="C297" s="22" t="s">
        <v>703</v>
      </c>
      <c r="D297" s="22">
        <v>38500</v>
      </c>
      <c r="E297" s="22">
        <v>8000</v>
      </c>
      <c r="F297" s="72">
        <v>0.79220779220779225</v>
      </c>
      <c r="G297" s="72" t="s">
        <v>817</v>
      </c>
      <c r="H297" s="72" t="s">
        <v>817</v>
      </c>
      <c r="I297" s="72" t="s">
        <v>817</v>
      </c>
      <c r="J297" s="72" t="s">
        <v>817</v>
      </c>
      <c r="K297" s="73">
        <v>4.7837158192216611</v>
      </c>
      <c r="L297" s="73">
        <v>0.1366775948349046</v>
      </c>
      <c r="M297" s="22" t="s">
        <v>808</v>
      </c>
      <c r="N297" s="80">
        <v>2010</v>
      </c>
      <c r="O297" s="22" t="s">
        <v>773</v>
      </c>
      <c r="P297" s="22" t="s">
        <v>802</v>
      </c>
      <c r="Q297" s="22" t="s">
        <v>803</v>
      </c>
      <c r="R297" s="22">
        <v>10</v>
      </c>
      <c r="S297" s="33"/>
    </row>
    <row r="298" spans="1:19" s="38" customFormat="1" ht="27" customHeight="1" x14ac:dyDescent="0.25">
      <c r="A298" s="22" t="s">
        <v>755</v>
      </c>
      <c r="B298" s="22" t="s">
        <v>793</v>
      </c>
      <c r="C298" s="22" t="s">
        <v>703</v>
      </c>
      <c r="D298" s="22">
        <v>38500</v>
      </c>
      <c r="E298" s="22">
        <v>3000</v>
      </c>
      <c r="F298" s="72">
        <v>0.92207792207792205</v>
      </c>
      <c r="G298" s="22" t="s">
        <v>706</v>
      </c>
      <c r="H298" s="22">
        <v>9100</v>
      </c>
      <c r="I298" s="22">
        <v>100</v>
      </c>
      <c r="J298" s="72">
        <v>0.98901098901098905</v>
      </c>
      <c r="K298" s="73">
        <v>4.8152568026451013</v>
      </c>
      <c r="L298" s="73">
        <v>0.26284152852866272</v>
      </c>
      <c r="M298" s="22" t="s">
        <v>809</v>
      </c>
      <c r="N298" s="74">
        <v>2010</v>
      </c>
      <c r="O298" s="22" t="s">
        <v>773</v>
      </c>
      <c r="P298" s="22" t="s">
        <v>802</v>
      </c>
      <c r="Q298" s="22" t="s">
        <v>803</v>
      </c>
      <c r="R298" s="22">
        <v>10</v>
      </c>
      <c r="S298" s="33"/>
    </row>
    <row r="299" spans="1:19" s="38" customFormat="1" ht="27" customHeight="1" x14ac:dyDescent="0.25">
      <c r="A299" s="22" t="s">
        <v>719</v>
      </c>
      <c r="B299" s="22" t="s">
        <v>793</v>
      </c>
      <c r="C299" s="22" t="s">
        <v>703</v>
      </c>
      <c r="D299" s="22">
        <v>38500</v>
      </c>
      <c r="E299" s="22">
        <v>3000</v>
      </c>
      <c r="F299" s="72">
        <v>0.92207792207792205</v>
      </c>
      <c r="G299" s="72" t="s">
        <v>817</v>
      </c>
      <c r="H299" s="72" t="s">
        <v>817</v>
      </c>
      <c r="I299" s="72" t="s">
        <v>817</v>
      </c>
      <c r="J299" s="72" t="s">
        <v>817</v>
      </c>
      <c r="K299" s="73">
        <v>4.8362841249273938</v>
      </c>
      <c r="L299" s="73">
        <v>0.23130054510522319</v>
      </c>
      <c r="M299" s="22" t="s">
        <v>811</v>
      </c>
      <c r="N299" s="74">
        <v>2010</v>
      </c>
      <c r="O299" s="22" t="s">
        <v>773</v>
      </c>
      <c r="P299" s="22" t="s">
        <v>802</v>
      </c>
      <c r="Q299" s="22" t="s">
        <v>803</v>
      </c>
      <c r="R299" s="22">
        <v>10</v>
      </c>
      <c r="S299" s="33" t="s">
        <v>812</v>
      </c>
    </row>
    <row r="300" spans="1:19" s="38" customFormat="1" ht="27" customHeight="1" x14ac:dyDescent="0.25">
      <c r="A300" s="22" t="s">
        <v>736</v>
      </c>
      <c r="B300" s="22" t="s">
        <v>793</v>
      </c>
      <c r="C300" s="22" t="s">
        <v>703</v>
      </c>
      <c r="D300" s="22">
        <v>38500</v>
      </c>
      <c r="E300" s="22">
        <v>3000</v>
      </c>
      <c r="F300" s="72">
        <v>0.92207792207792205</v>
      </c>
      <c r="G300" s="22" t="s">
        <v>706</v>
      </c>
      <c r="H300" s="22">
        <v>9100</v>
      </c>
      <c r="I300" s="22">
        <v>100</v>
      </c>
      <c r="J300" s="72">
        <v>0.98901098901098905</v>
      </c>
      <c r="K300" s="73">
        <v>4.9624480586211517</v>
      </c>
      <c r="L300" s="73">
        <v>0.44157376792815334</v>
      </c>
      <c r="M300" s="22" t="s">
        <v>804</v>
      </c>
      <c r="N300" s="74">
        <v>2010</v>
      </c>
      <c r="O300" s="22" t="s">
        <v>773</v>
      </c>
      <c r="P300" s="22" t="s">
        <v>802</v>
      </c>
      <c r="Q300" s="22" t="s">
        <v>803</v>
      </c>
      <c r="R300" s="22">
        <v>10</v>
      </c>
      <c r="S300" s="33" t="s">
        <v>1286</v>
      </c>
    </row>
    <row r="301" spans="1:19" s="38" customFormat="1" ht="27" customHeight="1" x14ac:dyDescent="0.25">
      <c r="A301" s="22" t="s">
        <v>719</v>
      </c>
      <c r="B301" s="22" t="s">
        <v>793</v>
      </c>
      <c r="C301" s="22" t="s">
        <v>703</v>
      </c>
      <c r="D301" s="22">
        <v>38500</v>
      </c>
      <c r="E301" s="22">
        <v>8000</v>
      </c>
      <c r="F301" s="72">
        <v>0.79220779220779225</v>
      </c>
      <c r="G301" s="22" t="s">
        <v>706</v>
      </c>
      <c r="H301" s="22">
        <v>9100</v>
      </c>
      <c r="I301" s="22">
        <v>1000</v>
      </c>
      <c r="J301" s="72">
        <v>0.89010989010989006</v>
      </c>
      <c r="K301" s="73">
        <v>4.9729617197622993</v>
      </c>
      <c r="L301" s="73">
        <v>0.26284152852866272</v>
      </c>
      <c r="M301" s="22" t="s">
        <v>808</v>
      </c>
      <c r="N301" s="80">
        <v>2010</v>
      </c>
      <c r="O301" s="22" t="s">
        <v>773</v>
      </c>
      <c r="P301" s="22" t="s">
        <v>802</v>
      </c>
      <c r="Q301" s="22" t="s">
        <v>803</v>
      </c>
      <c r="R301" s="22">
        <v>10</v>
      </c>
      <c r="S301" s="33"/>
    </row>
    <row r="302" spans="1:19" s="38" customFormat="1" ht="27" customHeight="1" x14ac:dyDescent="0.25">
      <c r="A302" s="22" t="s">
        <v>104</v>
      </c>
      <c r="B302" s="22" t="s">
        <v>793</v>
      </c>
      <c r="C302" s="72" t="s">
        <v>817</v>
      </c>
      <c r="D302" s="72" t="s">
        <v>817</v>
      </c>
      <c r="E302" s="72" t="s">
        <v>817</v>
      </c>
      <c r="F302" s="72" t="s">
        <v>817</v>
      </c>
      <c r="G302" s="22" t="s">
        <v>706</v>
      </c>
      <c r="H302" s="22">
        <v>9100</v>
      </c>
      <c r="I302" s="22">
        <v>1000</v>
      </c>
      <c r="J302" s="72">
        <v>0.89010989010989006</v>
      </c>
      <c r="K302" s="73">
        <v>5.0045027031857376</v>
      </c>
      <c r="L302" s="73">
        <v>0.3574644787989813</v>
      </c>
      <c r="M302" s="22" t="s">
        <v>801</v>
      </c>
      <c r="N302" s="80">
        <v>2010</v>
      </c>
      <c r="O302" s="22" t="s">
        <v>773</v>
      </c>
      <c r="P302" s="22" t="s">
        <v>802</v>
      </c>
      <c r="Q302" s="22" t="s">
        <v>803</v>
      </c>
      <c r="R302" s="22">
        <v>10</v>
      </c>
      <c r="S302" s="33"/>
    </row>
    <row r="303" spans="1:19" s="38" customFormat="1" ht="27" customHeight="1" x14ac:dyDescent="0.25">
      <c r="A303" s="22" t="s">
        <v>213</v>
      </c>
      <c r="B303" s="22" t="s">
        <v>793</v>
      </c>
      <c r="C303" s="72" t="s">
        <v>817</v>
      </c>
      <c r="D303" s="72" t="s">
        <v>817</v>
      </c>
      <c r="E303" s="72" t="s">
        <v>817</v>
      </c>
      <c r="F303" s="72" t="s">
        <v>817</v>
      </c>
      <c r="G303" s="22" t="s">
        <v>706</v>
      </c>
      <c r="H303" s="22">
        <v>9100</v>
      </c>
      <c r="I303" s="22">
        <v>1000</v>
      </c>
      <c r="J303" s="72">
        <v>0.89010989010989006</v>
      </c>
      <c r="K303" s="73">
        <v>5.0045027031857376</v>
      </c>
      <c r="L303" s="73">
        <v>0.3574644787989813</v>
      </c>
      <c r="M303" s="22" t="s">
        <v>801</v>
      </c>
      <c r="N303" s="80">
        <v>2010</v>
      </c>
      <c r="O303" s="22" t="s">
        <v>773</v>
      </c>
      <c r="P303" s="22" t="s">
        <v>802</v>
      </c>
      <c r="Q303" s="22" t="s">
        <v>803</v>
      </c>
      <c r="R303" s="22">
        <v>10</v>
      </c>
      <c r="S303" s="33"/>
    </row>
    <row r="304" spans="1:19" s="38" customFormat="1" ht="27" customHeight="1" x14ac:dyDescent="0.25">
      <c r="A304" s="22" t="s">
        <v>736</v>
      </c>
      <c r="B304" s="22" t="s">
        <v>793</v>
      </c>
      <c r="C304" s="22" t="s">
        <v>703</v>
      </c>
      <c r="D304" s="22">
        <v>38500</v>
      </c>
      <c r="E304" s="22">
        <v>8000</v>
      </c>
      <c r="F304" s="72">
        <v>0.79220779220779225</v>
      </c>
      <c r="G304" s="72" t="s">
        <v>817</v>
      </c>
      <c r="H304" s="72" t="s">
        <v>817</v>
      </c>
      <c r="I304" s="72" t="s">
        <v>817</v>
      </c>
      <c r="J304" s="72" t="s">
        <v>817</v>
      </c>
      <c r="K304" s="73">
        <v>5.0255300254680311</v>
      </c>
      <c r="L304" s="73">
        <v>0.22078688396407667</v>
      </c>
      <c r="M304" s="22" t="s">
        <v>804</v>
      </c>
      <c r="N304" s="80">
        <v>2010</v>
      </c>
      <c r="O304" s="22" t="s">
        <v>773</v>
      </c>
      <c r="P304" s="22" t="s">
        <v>802</v>
      </c>
      <c r="Q304" s="22" t="s">
        <v>803</v>
      </c>
      <c r="R304" s="22">
        <v>10</v>
      </c>
      <c r="S304" s="33" t="s">
        <v>1286</v>
      </c>
    </row>
    <row r="305" spans="1:19" s="38" customFormat="1" ht="27" customHeight="1" x14ac:dyDescent="0.25">
      <c r="A305" s="22" t="s">
        <v>759</v>
      </c>
      <c r="B305" s="22" t="s">
        <v>793</v>
      </c>
      <c r="C305" s="22" t="s">
        <v>703</v>
      </c>
      <c r="D305" s="22">
        <v>38500</v>
      </c>
      <c r="E305" s="22">
        <v>3000</v>
      </c>
      <c r="F305" s="72">
        <v>0.92207792207792205</v>
      </c>
      <c r="G305" s="22" t="s">
        <v>706</v>
      </c>
      <c r="H305" s="22">
        <v>9100</v>
      </c>
      <c r="I305" s="22">
        <v>100</v>
      </c>
      <c r="J305" s="72">
        <v>0.98901098901098905</v>
      </c>
      <c r="K305" s="73">
        <v>5.0991256534560563</v>
      </c>
      <c r="L305" s="73">
        <v>0.90417485813859977</v>
      </c>
      <c r="M305" s="22" t="s">
        <v>801</v>
      </c>
      <c r="N305" s="74">
        <v>2010</v>
      </c>
      <c r="O305" s="22" t="s">
        <v>773</v>
      </c>
      <c r="P305" s="22" t="s">
        <v>802</v>
      </c>
      <c r="Q305" s="22" t="s">
        <v>803</v>
      </c>
      <c r="R305" s="22">
        <v>10</v>
      </c>
      <c r="S305" s="33"/>
    </row>
    <row r="306" spans="1:19" s="38" customFormat="1" ht="27" customHeight="1" x14ac:dyDescent="0.25">
      <c r="A306" s="22" t="s">
        <v>719</v>
      </c>
      <c r="B306" s="22" t="s">
        <v>793</v>
      </c>
      <c r="C306" s="22" t="s">
        <v>703</v>
      </c>
      <c r="D306" s="22">
        <v>38500</v>
      </c>
      <c r="E306" s="22">
        <v>3000</v>
      </c>
      <c r="F306" s="72">
        <v>0.92207792207792205</v>
      </c>
      <c r="G306" s="72" t="s">
        <v>817</v>
      </c>
      <c r="H306" s="72" t="s">
        <v>817</v>
      </c>
      <c r="I306" s="72" t="s">
        <v>817</v>
      </c>
      <c r="J306" s="72" t="s">
        <v>817</v>
      </c>
      <c r="K306" s="73">
        <v>5.4145354876904523</v>
      </c>
      <c r="L306" s="73">
        <v>0.16821857825834413</v>
      </c>
      <c r="M306" s="22" t="s">
        <v>808</v>
      </c>
      <c r="N306" s="74">
        <v>2010</v>
      </c>
      <c r="O306" s="22" t="s">
        <v>773</v>
      </c>
      <c r="P306" s="22" t="s">
        <v>802</v>
      </c>
      <c r="Q306" s="22" t="s">
        <v>803</v>
      </c>
      <c r="R306" s="22">
        <v>10</v>
      </c>
      <c r="S306" s="33"/>
    </row>
    <row r="307" spans="1:19" s="38" customFormat="1" ht="27" customHeight="1" x14ac:dyDescent="0.25">
      <c r="A307" s="22" t="s">
        <v>841</v>
      </c>
      <c r="B307" s="22" t="s">
        <v>793</v>
      </c>
      <c r="C307" s="22" t="s">
        <v>703</v>
      </c>
      <c r="D307" s="22">
        <v>38500</v>
      </c>
      <c r="E307" s="22">
        <v>8000</v>
      </c>
      <c r="F307" s="72">
        <v>0.79220779220779225</v>
      </c>
      <c r="G307" s="72" t="s">
        <v>817</v>
      </c>
      <c r="H307" s="72" t="s">
        <v>817</v>
      </c>
      <c r="I307" s="72" t="s">
        <v>817</v>
      </c>
      <c r="J307" s="72" t="s">
        <v>817</v>
      </c>
      <c r="K307" s="73">
        <v>5.5406994213842093</v>
      </c>
      <c r="L307" s="73">
        <v>0.1366775948349046</v>
      </c>
      <c r="M307" s="22" t="s">
        <v>808</v>
      </c>
      <c r="N307" s="80">
        <v>2010</v>
      </c>
      <c r="O307" s="22" t="s">
        <v>773</v>
      </c>
      <c r="P307" s="22" t="s">
        <v>802</v>
      </c>
      <c r="Q307" s="22" t="s">
        <v>803</v>
      </c>
      <c r="R307" s="22">
        <v>10</v>
      </c>
      <c r="S307" s="33"/>
    </row>
    <row r="308" spans="1:19" s="38" customFormat="1" ht="27" customHeight="1" x14ac:dyDescent="0.25">
      <c r="A308" s="22" t="s">
        <v>736</v>
      </c>
      <c r="B308" s="22" t="s">
        <v>793</v>
      </c>
      <c r="C308" s="22" t="s">
        <v>703</v>
      </c>
      <c r="D308" s="22">
        <v>38500</v>
      </c>
      <c r="E308" s="22">
        <v>8000</v>
      </c>
      <c r="F308" s="72">
        <v>0.79220779220779225</v>
      </c>
      <c r="G308" s="22" t="s">
        <v>706</v>
      </c>
      <c r="H308" s="22">
        <v>9100</v>
      </c>
      <c r="I308" s="22">
        <v>1000</v>
      </c>
      <c r="J308" s="72">
        <v>0.89010989010989006</v>
      </c>
      <c r="K308" s="73">
        <v>5.5512130825253569</v>
      </c>
      <c r="L308" s="73">
        <v>0.41003278450471387</v>
      </c>
      <c r="M308" s="22" t="s">
        <v>804</v>
      </c>
      <c r="N308" s="80">
        <v>2010</v>
      </c>
      <c r="O308" s="22" t="s">
        <v>773</v>
      </c>
      <c r="P308" s="22" t="s">
        <v>802</v>
      </c>
      <c r="Q308" s="22" t="s">
        <v>803</v>
      </c>
      <c r="R308" s="22">
        <v>10</v>
      </c>
      <c r="S308" s="33" t="s">
        <v>1287</v>
      </c>
    </row>
    <row r="309" spans="1:19" s="38" customFormat="1" ht="27" customHeight="1" x14ac:dyDescent="0.25">
      <c r="A309" s="22" t="s">
        <v>841</v>
      </c>
      <c r="B309" s="22" t="s">
        <v>793</v>
      </c>
      <c r="C309" s="22" t="s">
        <v>703</v>
      </c>
      <c r="D309" s="22">
        <v>38500</v>
      </c>
      <c r="E309" s="22">
        <v>8000</v>
      </c>
      <c r="F309" s="72">
        <v>0.79220779220779225</v>
      </c>
      <c r="G309" s="22" t="s">
        <v>706</v>
      </c>
      <c r="H309" s="22">
        <v>9100</v>
      </c>
      <c r="I309" s="22">
        <v>1000</v>
      </c>
      <c r="J309" s="72">
        <v>0.89010989010989006</v>
      </c>
      <c r="K309" s="73">
        <v>5.5827540659487953</v>
      </c>
      <c r="L309" s="73">
        <v>0.24181420624636971</v>
      </c>
      <c r="M309" s="22" t="s">
        <v>808</v>
      </c>
      <c r="N309" s="80">
        <v>2010</v>
      </c>
      <c r="O309" s="22" t="s">
        <v>773</v>
      </c>
      <c r="P309" s="22" t="s">
        <v>802</v>
      </c>
      <c r="Q309" s="22" t="s">
        <v>803</v>
      </c>
      <c r="R309" s="22">
        <v>10</v>
      </c>
      <c r="S309" s="33"/>
    </row>
    <row r="310" spans="1:19" s="38" customFormat="1" ht="27" customHeight="1" x14ac:dyDescent="0.25">
      <c r="A310" s="22" t="s">
        <v>736</v>
      </c>
      <c r="B310" s="22" t="s">
        <v>793</v>
      </c>
      <c r="C310" s="22" t="s">
        <v>703</v>
      </c>
      <c r="D310" s="22">
        <v>38500</v>
      </c>
      <c r="E310" s="22">
        <v>3000</v>
      </c>
      <c r="F310" s="72">
        <v>0.92207792207792205</v>
      </c>
      <c r="G310" s="72" t="s">
        <v>817</v>
      </c>
      <c r="H310" s="72" t="s">
        <v>817</v>
      </c>
      <c r="I310" s="72" t="s">
        <v>817</v>
      </c>
      <c r="J310" s="72" t="s">
        <v>817</v>
      </c>
      <c r="K310" s="73">
        <v>5.8561092556186054</v>
      </c>
      <c r="L310" s="73">
        <v>0.3574644787989813</v>
      </c>
      <c r="M310" s="22" t="s">
        <v>804</v>
      </c>
      <c r="N310" s="74">
        <v>2010</v>
      </c>
      <c r="O310" s="22" t="s">
        <v>773</v>
      </c>
      <c r="P310" s="22" t="s">
        <v>802</v>
      </c>
      <c r="Q310" s="22" t="s">
        <v>803</v>
      </c>
      <c r="R310" s="22">
        <v>10</v>
      </c>
      <c r="S310" s="33" t="s">
        <v>807</v>
      </c>
    </row>
    <row r="311" spans="1:19" s="38" customFormat="1" ht="27" customHeight="1" x14ac:dyDescent="0.25">
      <c r="A311" s="22" t="s">
        <v>765</v>
      </c>
      <c r="B311" s="22" t="s">
        <v>793</v>
      </c>
      <c r="C311" s="22" t="s">
        <v>703</v>
      </c>
      <c r="D311" s="22">
        <v>38500</v>
      </c>
      <c r="E311" s="22">
        <v>8000</v>
      </c>
      <c r="F311" s="72">
        <v>0.79220779220779225</v>
      </c>
      <c r="G311" s="72" t="s">
        <v>817</v>
      </c>
      <c r="H311" s="72" t="s">
        <v>817</v>
      </c>
      <c r="I311" s="72" t="s">
        <v>817</v>
      </c>
      <c r="J311" s="72" t="s">
        <v>817</v>
      </c>
      <c r="K311" s="73">
        <v>6.1294644452884146</v>
      </c>
      <c r="L311" s="73">
        <v>0.15770491711719761</v>
      </c>
      <c r="M311" s="22" t="s">
        <v>808</v>
      </c>
      <c r="N311" s="80">
        <v>2010</v>
      </c>
      <c r="O311" s="22" t="s">
        <v>773</v>
      </c>
      <c r="P311" s="22" t="s">
        <v>802</v>
      </c>
      <c r="Q311" s="22" t="s">
        <v>803</v>
      </c>
      <c r="R311" s="22">
        <v>10</v>
      </c>
      <c r="S311" s="33"/>
    </row>
    <row r="312" spans="1:19" s="37" customFormat="1" ht="27" customHeight="1" x14ac:dyDescent="0.25">
      <c r="A312" s="22" t="s">
        <v>755</v>
      </c>
      <c r="B312" s="22" t="s">
        <v>793</v>
      </c>
      <c r="C312" s="22" t="s">
        <v>703</v>
      </c>
      <c r="D312" s="22">
        <v>38500</v>
      </c>
      <c r="E312" s="22">
        <v>8000</v>
      </c>
      <c r="F312" s="72">
        <v>0.79220779220779225</v>
      </c>
      <c r="G312" s="72" t="s">
        <v>817</v>
      </c>
      <c r="H312" s="72" t="s">
        <v>817</v>
      </c>
      <c r="I312" s="72" t="s">
        <v>817</v>
      </c>
      <c r="J312" s="72" t="s">
        <v>817</v>
      </c>
      <c r="K312" s="73">
        <v>6.1504917675707071</v>
      </c>
      <c r="L312" s="73">
        <v>0.16821857825834413</v>
      </c>
      <c r="M312" s="22" t="s">
        <v>808</v>
      </c>
      <c r="N312" s="80">
        <v>2010</v>
      </c>
      <c r="O312" s="22" t="s">
        <v>773</v>
      </c>
      <c r="P312" s="22" t="s">
        <v>802</v>
      </c>
      <c r="Q312" s="22" t="s">
        <v>803</v>
      </c>
      <c r="R312" s="22">
        <v>10</v>
      </c>
      <c r="S312" s="33"/>
    </row>
    <row r="313" spans="1:19" s="37" customFormat="1" ht="27" customHeight="1" x14ac:dyDescent="0.25">
      <c r="A313" s="22" t="s">
        <v>765</v>
      </c>
      <c r="B313" s="22" t="s">
        <v>793</v>
      </c>
      <c r="C313" s="22" t="s">
        <v>703</v>
      </c>
      <c r="D313" s="22">
        <v>38500</v>
      </c>
      <c r="E313" s="22">
        <v>8000</v>
      </c>
      <c r="F313" s="72">
        <v>0.79220779220779225</v>
      </c>
      <c r="G313" s="22" t="s">
        <v>706</v>
      </c>
      <c r="H313" s="22">
        <v>9100</v>
      </c>
      <c r="I313" s="22">
        <v>1000</v>
      </c>
      <c r="J313" s="72">
        <v>0.89010989010989006</v>
      </c>
      <c r="K313" s="73">
        <v>6.1610054287118547</v>
      </c>
      <c r="L313" s="73">
        <v>0.28386885081095575</v>
      </c>
      <c r="M313" s="22" t="s">
        <v>808</v>
      </c>
      <c r="N313" s="80">
        <v>2010</v>
      </c>
      <c r="O313" s="22" t="s">
        <v>773</v>
      </c>
      <c r="P313" s="22" t="s">
        <v>802</v>
      </c>
      <c r="Q313" s="22" t="s">
        <v>803</v>
      </c>
      <c r="R313" s="22">
        <v>10</v>
      </c>
      <c r="S313" s="33"/>
    </row>
    <row r="314" spans="1:19" s="37" customFormat="1" ht="27" customHeight="1" x14ac:dyDescent="0.25">
      <c r="A314" s="22" t="s">
        <v>806</v>
      </c>
      <c r="B314" s="22" t="s">
        <v>793</v>
      </c>
      <c r="C314" s="22" t="s">
        <v>703</v>
      </c>
      <c r="D314" s="22">
        <v>38500</v>
      </c>
      <c r="E314" s="22">
        <v>3000</v>
      </c>
      <c r="F314" s="72">
        <v>0.92207792207792205</v>
      </c>
      <c r="G314" s="72" t="s">
        <v>817</v>
      </c>
      <c r="H314" s="72" t="s">
        <v>817</v>
      </c>
      <c r="I314" s="72" t="s">
        <v>817</v>
      </c>
      <c r="J314" s="72" t="s">
        <v>817</v>
      </c>
      <c r="K314" s="73">
        <v>6.1715190898530006</v>
      </c>
      <c r="L314" s="73">
        <v>0.16821857825834413</v>
      </c>
      <c r="M314" s="22" t="s">
        <v>808</v>
      </c>
      <c r="N314" s="74">
        <v>2010</v>
      </c>
      <c r="O314" s="22" t="s">
        <v>773</v>
      </c>
      <c r="P314" s="22" t="s">
        <v>802</v>
      </c>
      <c r="Q314" s="22" t="s">
        <v>803</v>
      </c>
      <c r="R314" s="22">
        <v>10</v>
      </c>
      <c r="S314" s="33"/>
    </row>
    <row r="315" spans="1:19" s="37" customFormat="1" ht="27" customHeight="1" x14ac:dyDescent="0.25">
      <c r="A315" s="22" t="s">
        <v>755</v>
      </c>
      <c r="B315" s="22" t="s">
        <v>793</v>
      </c>
      <c r="C315" s="22" t="s">
        <v>703</v>
      </c>
      <c r="D315" s="22">
        <v>38500</v>
      </c>
      <c r="E315" s="22">
        <v>8000</v>
      </c>
      <c r="F315" s="72">
        <v>0.79220779220779225</v>
      </c>
      <c r="G315" s="22" t="s">
        <v>706</v>
      </c>
      <c r="H315" s="22">
        <v>9100</v>
      </c>
      <c r="I315" s="22">
        <v>1000</v>
      </c>
      <c r="J315" s="72">
        <v>0.89010989010989006</v>
      </c>
      <c r="K315" s="73">
        <v>6.1925464121352931</v>
      </c>
      <c r="L315" s="73">
        <v>0.30489617309324873</v>
      </c>
      <c r="M315" s="22" t="s">
        <v>808</v>
      </c>
      <c r="N315" s="80">
        <v>2010</v>
      </c>
      <c r="O315" s="22" t="s">
        <v>773</v>
      </c>
      <c r="P315" s="22" t="s">
        <v>802</v>
      </c>
      <c r="Q315" s="22" t="s">
        <v>803</v>
      </c>
      <c r="R315" s="22">
        <v>10</v>
      </c>
      <c r="S315" s="33"/>
    </row>
    <row r="316" spans="1:19" s="37" customFormat="1" ht="27" customHeight="1" x14ac:dyDescent="0.25">
      <c r="A316" s="22" t="s">
        <v>104</v>
      </c>
      <c r="B316" s="22" t="s">
        <v>793</v>
      </c>
      <c r="C316" s="72" t="s">
        <v>817</v>
      </c>
      <c r="D316" s="72" t="s">
        <v>817</v>
      </c>
      <c r="E316" s="72" t="s">
        <v>817</v>
      </c>
      <c r="F316" s="72" t="s">
        <v>817</v>
      </c>
      <c r="G316" s="22" t="s">
        <v>706</v>
      </c>
      <c r="H316" s="22">
        <v>9100</v>
      </c>
      <c r="I316" s="22">
        <v>100</v>
      </c>
      <c r="J316" s="72">
        <v>0.98901098901098905</v>
      </c>
      <c r="K316" s="73">
        <v>6.6972021469103264</v>
      </c>
      <c r="L316" s="73">
        <v>0.26284152852866272</v>
      </c>
      <c r="M316" s="22" t="s">
        <v>804</v>
      </c>
      <c r="N316" s="80">
        <v>2010</v>
      </c>
      <c r="O316" s="22" t="s">
        <v>773</v>
      </c>
      <c r="P316" s="22" t="s">
        <v>802</v>
      </c>
      <c r="Q316" s="22" t="s">
        <v>803</v>
      </c>
      <c r="R316" s="22">
        <v>10</v>
      </c>
      <c r="S316" s="33"/>
    </row>
    <row r="317" spans="1:19" s="37" customFormat="1" ht="27" customHeight="1" x14ac:dyDescent="0.25">
      <c r="A317" s="22" t="s">
        <v>213</v>
      </c>
      <c r="B317" s="22" t="s">
        <v>793</v>
      </c>
      <c r="C317" s="72" t="s">
        <v>817</v>
      </c>
      <c r="D317" s="72" t="s">
        <v>817</v>
      </c>
      <c r="E317" s="72" t="s">
        <v>817</v>
      </c>
      <c r="F317" s="72" t="s">
        <v>817</v>
      </c>
      <c r="G317" s="22" t="s">
        <v>706</v>
      </c>
      <c r="H317" s="22">
        <v>9100</v>
      </c>
      <c r="I317" s="22">
        <v>100</v>
      </c>
      <c r="J317" s="72">
        <v>0.98901098901098905</v>
      </c>
      <c r="K317" s="73">
        <v>6.6972021469103264</v>
      </c>
      <c r="L317" s="73">
        <v>0.26284152852866272</v>
      </c>
      <c r="M317" s="22" t="s">
        <v>804</v>
      </c>
      <c r="N317" s="80">
        <v>2010</v>
      </c>
      <c r="O317" s="22" t="s">
        <v>773</v>
      </c>
      <c r="P317" s="22" t="s">
        <v>802</v>
      </c>
      <c r="Q317" s="22" t="s">
        <v>803</v>
      </c>
      <c r="R317" s="22">
        <v>10</v>
      </c>
      <c r="S317" s="33"/>
    </row>
    <row r="318" spans="1:19" s="37" customFormat="1" ht="27" customHeight="1" x14ac:dyDescent="0.25">
      <c r="A318" s="22" t="s">
        <v>765</v>
      </c>
      <c r="B318" s="22" t="s">
        <v>793</v>
      </c>
      <c r="C318" s="22" t="s">
        <v>703</v>
      </c>
      <c r="D318" s="22">
        <v>38500</v>
      </c>
      <c r="E318" s="22">
        <v>3000</v>
      </c>
      <c r="F318" s="72">
        <v>0.92207792207792205</v>
      </c>
      <c r="G318" s="72" t="s">
        <v>817</v>
      </c>
      <c r="H318" s="72" t="s">
        <v>817</v>
      </c>
      <c r="I318" s="72" t="s">
        <v>817</v>
      </c>
      <c r="J318" s="72" t="s">
        <v>817</v>
      </c>
      <c r="K318" s="73">
        <v>6.7602841137572049</v>
      </c>
      <c r="L318" s="73">
        <v>0.18924590054063714</v>
      </c>
      <c r="M318" s="22" t="s">
        <v>808</v>
      </c>
      <c r="N318" s="74">
        <v>2010</v>
      </c>
      <c r="O318" s="22" t="s">
        <v>773</v>
      </c>
      <c r="P318" s="22" t="s">
        <v>802</v>
      </c>
      <c r="Q318" s="22" t="s">
        <v>803</v>
      </c>
      <c r="R318" s="22">
        <v>10</v>
      </c>
      <c r="S318" s="33"/>
    </row>
    <row r="319" spans="1:19" s="37" customFormat="1" ht="27" customHeight="1" x14ac:dyDescent="0.25">
      <c r="A319" s="22" t="s">
        <v>719</v>
      </c>
      <c r="B319" s="22" t="s">
        <v>793</v>
      </c>
      <c r="C319" s="22" t="s">
        <v>703</v>
      </c>
      <c r="D319" s="22">
        <v>38500</v>
      </c>
      <c r="E319" s="22">
        <v>3000</v>
      </c>
      <c r="F319" s="72">
        <v>0.92207792207792205</v>
      </c>
      <c r="G319" s="22" t="s">
        <v>706</v>
      </c>
      <c r="H319" s="22">
        <v>9100</v>
      </c>
      <c r="I319" s="22">
        <v>100</v>
      </c>
      <c r="J319" s="72">
        <v>0.98901098901098905</v>
      </c>
      <c r="K319" s="73">
        <v>6.7813114360394984</v>
      </c>
      <c r="L319" s="73">
        <v>0.34695081765783481</v>
      </c>
      <c r="M319" s="22" t="s">
        <v>808</v>
      </c>
      <c r="N319" s="74">
        <v>2010</v>
      </c>
      <c r="O319" s="22" t="s">
        <v>773</v>
      </c>
      <c r="P319" s="22" t="s">
        <v>802</v>
      </c>
      <c r="Q319" s="22" t="s">
        <v>803</v>
      </c>
      <c r="R319" s="22">
        <v>10</v>
      </c>
      <c r="S319" s="33"/>
    </row>
    <row r="320" spans="1:19" s="37" customFormat="1" ht="27" customHeight="1" x14ac:dyDescent="0.25">
      <c r="A320" s="22" t="s">
        <v>755</v>
      </c>
      <c r="B320" s="22" t="s">
        <v>793</v>
      </c>
      <c r="C320" s="22" t="s">
        <v>703</v>
      </c>
      <c r="D320" s="22">
        <v>38500</v>
      </c>
      <c r="E320" s="22">
        <v>3000</v>
      </c>
      <c r="F320" s="72">
        <v>0.92207792207792205</v>
      </c>
      <c r="G320" s="72" t="s">
        <v>817</v>
      </c>
      <c r="H320" s="72" t="s">
        <v>817</v>
      </c>
      <c r="I320" s="72" t="s">
        <v>817</v>
      </c>
      <c r="J320" s="72" t="s">
        <v>817</v>
      </c>
      <c r="K320" s="73">
        <v>6.7918250971806442</v>
      </c>
      <c r="L320" s="73">
        <v>0.21027322282293018</v>
      </c>
      <c r="M320" s="22" t="s">
        <v>808</v>
      </c>
      <c r="N320" s="74">
        <v>2010</v>
      </c>
      <c r="O320" s="22" t="s">
        <v>773</v>
      </c>
      <c r="P320" s="22" t="s">
        <v>802</v>
      </c>
      <c r="Q320" s="22" t="s">
        <v>803</v>
      </c>
      <c r="R320" s="22">
        <v>10</v>
      </c>
      <c r="S320" s="33"/>
    </row>
    <row r="321" spans="1:19" s="37" customFormat="1" ht="27" customHeight="1" x14ac:dyDescent="0.25">
      <c r="A321" s="22" t="s">
        <v>213</v>
      </c>
      <c r="B321" s="22" t="s">
        <v>793</v>
      </c>
      <c r="C321" s="22" t="s">
        <v>703</v>
      </c>
      <c r="D321" s="22">
        <v>38500</v>
      </c>
      <c r="E321" s="22">
        <v>8000</v>
      </c>
      <c r="F321" s="72">
        <v>0.79220779220779225</v>
      </c>
      <c r="G321" s="72" t="s">
        <v>817</v>
      </c>
      <c r="H321" s="72" t="s">
        <v>817</v>
      </c>
      <c r="I321" s="72" t="s">
        <v>817</v>
      </c>
      <c r="J321" s="72" t="s">
        <v>817</v>
      </c>
      <c r="K321" s="73">
        <v>6.8654207251686703</v>
      </c>
      <c r="L321" s="73">
        <v>0.14719125597605112</v>
      </c>
      <c r="M321" s="22" t="s">
        <v>815</v>
      </c>
      <c r="N321" s="80">
        <v>2010</v>
      </c>
      <c r="O321" s="22" t="s">
        <v>773</v>
      </c>
      <c r="P321" s="22" t="s">
        <v>802</v>
      </c>
      <c r="Q321" s="22" t="s">
        <v>803</v>
      </c>
      <c r="R321" s="22">
        <v>10</v>
      </c>
      <c r="S321" s="33"/>
    </row>
    <row r="322" spans="1:19" s="37" customFormat="1" ht="27" customHeight="1" x14ac:dyDescent="0.25">
      <c r="A322" s="22" t="s">
        <v>104</v>
      </c>
      <c r="B322" s="22" t="s">
        <v>793</v>
      </c>
      <c r="C322" s="22" t="s">
        <v>703</v>
      </c>
      <c r="D322" s="22">
        <v>38500</v>
      </c>
      <c r="E322" s="22">
        <v>8000</v>
      </c>
      <c r="F322" s="72">
        <v>0.79220779220779225</v>
      </c>
      <c r="G322" s="72" t="s">
        <v>817</v>
      </c>
      <c r="H322" s="72" t="s">
        <v>817</v>
      </c>
      <c r="I322" s="72" t="s">
        <v>817</v>
      </c>
      <c r="J322" s="72" t="s">
        <v>817</v>
      </c>
      <c r="K322" s="73">
        <v>6.917989030874403</v>
      </c>
      <c r="L322" s="73">
        <v>0.11565027255261159</v>
      </c>
      <c r="M322" s="22" t="s">
        <v>815</v>
      </c>
      <c r="N322" s="80">
        <v>2010</v>
      </c>
      <c r="O322" s="22" t="s">
        <v>773</v>
      </c>
      <c r="P322" s="22" t="s">
        <v>802</v>
      </c>
      <c r="Q322" s="22" t="s">
        <v>803</v>
      </c>
      <c r="R322" s="22">
        <v>10</v>
      </c>
      <c r="S322" s="33"/>
    </row>
    <row r="323" spans="1:19" s="37" customFormat="1" ht="27" customHeight="1" x14ac:dyDescent="0.25">
      <c r="A323" s="22" t="s">
        <v>719</v>
      </c>
      <c r="B323" s="22" t="s">
        <v>793</v>
      </c>
      <c r="C323" s="22" t="s">
        <v>703</v>
      </c>
      <c r="D323" s="22">
        <v>38500</v>
      </c>
      <c r="E323" s="22">
        <v>8000</v>
      </c>
      <c r="F323" s="72">
        <v>0.79220779220779225</v>
      </c>
      <c r="G323" s="72" t="s">
        <v>817</v>
      </c>
      <c r="H323" s="72" t="s">
        <v>817</v>
      </c>
      <c r="I323" s="72" t="s">
        <v>817</v>
      </c>
      <c r="J323" s="72" t="s">
        <v>817</v>
      </c>
      <c r="K323" s="73">
        <v>6.9705573365801348</v>
      </c>
      <c r="L323" s="73">
        <v>0.24181420624636971</v>
      </c>
      <c r="M323" s="22" t="s">
        <v>804</v>
      </c>
      <c r="N323" s="80">
        <v>2010</v>
      </c>
      <c r="O323" s="22" t="s">
        <v>773</v>
      </c>
      <c r="P323" s="22" t="s">
        <v>802</v>
      </c>
      <c r="Q323" s="22" t="s">
        <v>803</v>
      </c>
      <c r="R323" s="22">
        <v>10</v>
      </c>
      <c r="S323" s="33"/>
    </row>
    <row r="324" spans="1:19" s="37" customFormat="1" ht="27" customHeight="1" x14ac:dyDescent="0.25">
      <c r="A324" s="22" t="s">
        <v>104</v>
      </c>
      <c r="B324" s="22" t="s">
        <v>793</v>
      </c>
      <c r="C324" s="72" t="s">
        <v>817</v>
      </c>
      <c r="D324" s="72" t="s">
        <v>817</v>
      </c>
      <c r="E324" s="72" t="s">
        <v>817</v>
      </c>
      <c r="F324" s="72" t="s">
        <v>817</v>
      </c>
      <c r="G324" s="22" t="s">
        <v>706</v>
      </c>
      <c r="H324" s="22">
        <v>9100</v>
      </c>
      <c r="I324" s="22">
        <v>100</v>
      </c>
      <c r="J324" s="72">
        <v>0.98901098901098905</v>
      </c>
      <c r="K324" s="73">
        <v>7.201857881685358</v>
      </c>
      <c r="L324" s="73">
        <v>0.41003278450471387</v>
      </c>
      <c r="M324" s="22" t="s">
        <v>801</v>
      </c>
      <c r="N324" s="80">
        <v>2010</v>
      </c>
      <c r="O324" s="22" t="s">
        <v>773</v>
      </c>
      <c r="P324" s="22" t="s">
        <v>802</v>
      </c>
      <c r="Q324" s="22" t="s">
        <v>803</v>
      </c>
      <c r="R324" s="22">
        <v>10</v>
      </c>
      <c r="S324" s="33"/>
    </row>
    <row r="325" spans="1:19" s="37" customFormat="1" ht="27" customHeight="1" x14ac:dyDescent="0.25">
      <c r="A325" s="22" t="s">
        <v>213</v>
      </c>
      <c r="B325" s="22" t="s">
        <v>793</v>
      </c>
      <c r="C325" s="72" t="s">
        <v>817</v>
      </c>
      <c r="D325" s="72" t="s">
        <v>817</v>
      </c>
      <c r="E325" s="72" t="s">
        <v>817</v>
      </c>
      <c r="F325" s="72" t="s">
        <v>817</v>
      </c>
      <c r="G325" s="22" t="s">
        <v>706</v>
      </c>
      <c r="H325" s="22">
        <v>9100</v>
      </c>
      <c r="I325" s="22">
        <v>100</v>
      </c>
      <c r="J325" s="72">
        <v>0.98901098901098905</v>
      </c>
      <c r="K325" s="73">
        <v>7.201857881685358</v>
      </c>
      <c r="L325" s="73">
        <v>0.41003278450471387</v>
      </c>
      <c r="M325" s="22" t="s">
        <v>801</v>
      </c>
      <c r="N325" s="80">
        <v>2010</v>
      </c>
      <c r="O325" s="22" t="s">
        <v>773</v>
      </c>
      <c r="P325" s="22" t="s">
        <v>802</v>
      </c>
      <c r="Q325" s="22" t="s">
        <v>803</v>
      </c>
      <c r="R325" s="22">
        <v>10</v>
      </c>
      <c r="S325" s="33"/>
    </row>
    <row r="326" spans="1:19" s="37" customFormat="1" ht="27" customHeight="1" x14ac:dyDescent="0.25">
      <c r="A326" s="22" t="s">
        <v>841</v>
      </c>
      <c r="B326" s="22" t="s">
        <v>793</v>
      </c>
      <c r="C326" s="22" t="s">
        <v>703</v>
      </c>
      <c r="D326" s="22">
        <v>38500</v>
      </c>
      <c r="E326" s="22">
        <v>8000</v>
      </c>
      <c r="F326" s="72">
        <v>0.79220779220779225</v>
      </c>
      <c r="G326" s="72" t="s">
        <v>817</v>
      </c>
      <c r="H326" s="72" t="s">
        <v>817</v>
      </c>
      <c r="I326" s="72" t="s">
        <v>817</v>
      </c>
      <c r="J326" s="72" t="s">
        <v>817</v>
      </c>
      <c r="K326" s="73">
        <v>7.2649398485322374</v>
      </c>
      <c r="L326" s="73">
        <v>0.18924590054063714</v>
      </c>
      <c r="M326" s="22" t="s">
        <v>804</v>
      </c>
      <c r="N326" s="80">
        <v>2010</v>
      </c>
      <c r="O326" s="22" t="s">
        <v>773</v>
      </c>
      <c r="P326" s="22" t="s">
        <v>802</v>
      </c>
      <c r="Q326" s="22" t="s">
        <v>803</v>
      </c>
      <c r="R326" s="22">
        <v>10</v>
      </c>
      <c r="S326" s="33"/>
    </row>
    <row r="327" spans="1:19" s="37" customFormat="1" ht="27" customHeight="1" x14ac:dyDescent="0.25">
      <c r="A327" s="22" t="s">
        <v>806</v>
      </c>
      <c r="B327" s="22" t="s">
        <v>793</v>
      </c>
      <c r="C327" s="22" t="s">
        <v>703</v>
      </c>
      <c r="D327" s="22">
        <v>38500</v>
      </c>
      <c r="E327" s="22">
        <v>3000</v>
      </c>
      <c r="F327" s="72">
        <v>0.92207792207792205</v>
      </c>
      <c r="G327" s="22" t="s">
        <v>706</v>
      </c>
      <c r="H327" s="22">
        <v>9100</v>
      </c>
      <c r="I327" s="22">
        <v>100</v>
      </c>
      <c r="J327" s="72">
        <v>0.98901098901098905</v>
      </c>
      <c r="K327" s="73">
        <v>7.4226447656494345</v>
      </c>
      <c r="L327" s="73">
        <v>0.32592349537554177</v>
      </c>
      <c r="M327" s="22" t="s">
        <v>808</v>
      </c>
      <c r="N327" s="74">
        <v>2010</v>
      </c>
      <c r="O327" s="22" t="s">
        <v>773</v>
      </c>
      <c r="P327" s="22" t="s">
        <v>802</v>
      </c>
      <c r="Q327" s="22" t="s">
        <v>803</v>
      </c>
      <c r="R327" s="22">
        <v>10</v>
      </c>
      <c r="S327" s="33"/>
    </row>
    <row r="328" spans="1:19" s="37" customFormat="1" ht="27" customHeight="1" x14ac:dyDescent="0.25">
      <c r="A328" s="22" t="s">
        <v>213</v>
      </c>
      <c r="B328" s="22" t="s">
        <v>793</v>
      </c>
      <c r="C328" s="22" t="s">
        <v>703</v>
      </c>
      <c r="D328" s="22">
        <v>38500</v>
      </c>
      <c r="E328" s="22">
        <v>8000</v>
      </c>
      <c r="F328" s="72">
        <v>0.79220779220779225</v>
      </c>
      <c r="G328" s="22" t="s">
        <v>706</v>
      </c>
      <c r="H328" s="22">
        <v>9100</v>
      </c>
      <c r="I328" s="22">
        <v>1000</v>
      </c>
      <c r="J328" s="72">
        <v>0.89010989010989006</v>
      </c>
      <c r="K328" s="73">
        <v>7.5908633439077793</v>
      </c>
      <c r="L328" s="73">
        <v>0.29438251195210224</v>
      </c>
      <c r="M328" s="22" t="s">
        <v>815</v>
      </c>
      <c r="N328" s="80">
        <v>2010</v>
      </c>
      <c r="O328" s="22" t="s">
        <v>773</v>
      </c>
      <c r="P328" s="22" t="s">
        <v>802</v>
      </c>
      <c r="Q328" s="22" t="s">
        <v>803</v>
      </c>
      <c r="R328" s="22">
        <v>10</v>
      </c>
      <c r="S328" s="33"/>
    </row>
    <row r="329" spans="1:19" s="37" customFormat="1" ht="27" customHeight="1" x14ac:dyDescent="0.25">
      <c r="A329" s="22" t="s">
        <v>104</v>
      </c>
      <c r="B329" s="22" t="s">
        <v>793</v>
      </c>
      <c r="C329" s="22" t="s">
        <v>703</v>
      </c>
      <c r="D329" s="22">
        <v>38500</v>
      </c>
      <c r="E329" s="22">
        <v>8000</v>
      </c>
      <c r="F329" s="72">
        <v>0.79220779220779225</v>
      </c>
      <c r="G329" s="22" t="s">
        <v>706</v>
      </c>
      <c r="H329" s="22">
        <v>9100</v>
      </c>
      <c r="I329" s="22">
        <v>1000</v>
      </c>
      <c r="J329" s="72">
        <v>0.89010989010989006</v>
      </c>
      <c r="K329" s="73">
        <v>7.6434316496135111</v>
      </c>
      <c r="L329" s="73">
        <v>0.25232786738751622</v>
      </c>
      <c r="M329" s="22" t="s">
        <v>815</v>
      </c>
      <c r="N329" s="80">
        <v>2010</v>
      </c>
      <c r="O329" s="22" t="s">
        <v>773</v>
      </c>
      <c r="P329" s="22" t="s">
        <v>802</v>
      </c>
      <c r="Q329" s="22" t="s">
        <v>803</v>
      </c>
      <c r="R329" s="22">
        <v>10</v>
      </c>
      <c r="S329" s="33"/>
    </row>
    <row r="330" spans="1:19" s="37" customFormat="1" ht="27" customHeight="1" x14ac:dyDescent="0.25">
      <c r="A330" s="22" t="s">
        <v>765</v>
      </c>
      <c r="B330" s="22" t="s">
        <v>793</v>
      </c>
      <c r="C330" s="22" t="s">
        <v>703</v>
      </c>
      <c r="D330" s="22">
        <v>38500</v>
      </c>
      <c r="E330" s="22">
        <v>3000</v>
      </c>
      <c r="F330" s="72">
        <v>0.92207792207792205</v>
      </c>
      <c r="G330" s="22" t="s">
        <v>706</v>
      </c>
      <c r="H330" s="22">
        <v>9100</v>
      </c>
      <c r="I330" s="22">
        <v>100</v>
      </c>
      <c r="J330" s="72">
        <v>0.98901098901098905</v>
      </c>
      <c r="K330" s="73">
        <v>8.0114097895536389</v>
      </c>
      <c r="L330" s="73">
        <v>0.37849180108127428</v>
      </c>
      <c r="M330" s="22" t="s">
        <v>808</v>
      </c>
      <c r="N330" s="74">
        <v>2010</v>
      </c>
      <c r="O330" s="22" t="s">
        <v>773</v>
      </c>
      <c r="P330" s="22" t="s">
        <v>802</v>
      </c>
      <c r="Q330" s="22" t="s">
        <v>803</v>
      </c>
      <c r="R330" s="22">
        <v>10</v>
      </c>
      <c r="S330" s="33"/>
    </row>
    <row r="331" spans="1:19" s="37" customFormat="1" ht="27" customHeight="1" x14ac:dyDescent="0.25">
      <c r="A331" s="22" t="s">
        <v>719</v>
      </c>
      <c r="B331" s="22" t="s">
        <v>793</v>
      </c>
      <c r="C331" s="22" t="s">
        <v>703</v>
      </c>
      <c r="D331" s="22">
        <v>38500</v>
      </c>
      <c r="E331" s="22">
        <v>3000</v>
      </c>
      <c r="F331" s="72">
        <v>0.92207792207792205</v>
      </c>
      <c r="G331" s="72" t="s">
        <v>817</v>
      </c>
      <c r="H331" s="72" t="s">
        <v>817</v>
      </c>
      <c r="I331" s="72" t="s">
        <v>817</v>
      </c>
      <c r="J331" s="72" t="s">
        <v>817</v>
      </c>
      <c r="K331" s="73">
        <v>8.0219234506947856</v>
      </c>
      <c r="L331" s="73">
        <v>0.33643715651668826</v>
      </c>
      <c r="M331" s="22" t="s">
        <v>804</v>
      </c>
      <c r="N331" s="74">
        <v>2010</v>
      </c>
      <c r="O331" s="22" t="s">
        <v>773</v>
      </c>
      <c r="P331" s="22" t="s">
        <v>802</v>
      </c>
      <c r="Q331" s="22" t="s">
        <v>803</v>
      </c>
      <c r="R331" s="22">
        <v>10</v>
      </c>
      <c r="S331" s="33"/>
    </row>
    <row r="332" spans="1:19" s="37" customFormat="1" ht="27" customHeight="1" x14ac:dyDescent="0.25">
      <c r="A332" s="22" t="s">
        <v>755</v>
      </c>
      <c r="B332" s="22" t="s">
        <v>793</v>
      </c>
      <c r="C332" s="22" t="s">
        <v>703</v>
      </c>
      <c r="D332" s="22">
        <v>38500</v>
      </c>
      <c r="E332" s="22">
        <v>3000</v>
      </c>
      <c r="F332" s="72">
        <v>0.92207792207792205</v>
      </c>
      <c r="G332" s="22" t="s">
        <v>706</v>
      </c>
      <c r="H332" s="22">
        <v>9100</v>
      </c>
      <c r="I332" s="22">
        <v>100</v>
      </c>
      <c r="J332" s="72">
        <v>0.98901098901098905</v>
      </c>
      <c r="K332" s="73">
        <v>8.0324371118359323</v>
      </c>
      <c r="L332" s="73">
        <v>0.38900546222242083</v>
      </c>
      <c r="M332" s="22" t="s">
        <v>808</v>
      </c>
      <c r="N332" s="74">
        <v>2010</v>
      </c>
      <c r="O332" s="22" t="s">
        <v>773</v>
      </c>
      <c r="P332" s="22" t="s">
        <v>802</v>
      </c>
      <c r="Q332" s="22" t="s">
        <v>803</v>
      </c>
      <c r="R332" s="22">
        <v>10</v>
      </c>
      <c r="S332" s="33"/>
    </row>
    <row r="333" spans="1:19" s="37" customFormat="1" ht="27" customHeight="1" x14ac:dyDescent="0.25">
      <c r="A333" s="22" t="s">
        <v>719</v>
      </c>
      <c r="B333" s="22" t="s">
        <v>793</v>
      </c>
      <c r="C333" s="22" t="s">
        <v>703</v>
      </c>
      <c r="D333" s="22">
        <v>38500</v>
      </c>
      <c r="E333" s="22">
        <v>8000</v>
      </c>
      <c r="F333" s="72">
        <v>0.79220779220779225</v>
      </c>
      <c r="G333" s="22" t="s">
        <v>706</v>
      </c>
      <c r="H333" s="22">
        <v>9100</v>
      </c>
      <c r="I333" s="22">
        <v>1000</v>
      </c>
      <c r="J333" s="72">
        <v>0.89010989010989006</v>
      </c>
      <c r="K333" s="73">
        <v>8.0850054175416659</v>
      </c>
      <c r="L333" s="73">
        <v>0.46260109021044638</v>
      </c>
      <c r="M333" s="22" t="s">
        <v>804</v>
      </c>
      <c r="N333" s="80">
        <v>2010</v>
      </c>
      <c r="O333" s="22" t="s">
        <v>773</v>
      </c>
      <c r="P333" s="22" t="s">
        <v>802</v>
      </c>
      <c r="Q333" s="22" t="s">
        <v>803</v>
      </c>
      <c r="R333" s="22">
        <v>10</v>
      </c>
      <c r="S333" s="33"/>
    </row>
    <row r="334" spans="1:19" s="37" customFormat="1" ht="27" customHeight="1" x14ac:dyDescent="0.25">
      <c r="A334" s="22" t="s">
        <v>213</v>
      </c>
      <c r="B334" s="22" t="s">
        <v>793</v>
      </c>
      <c r="C334" s="22" t="s">
        <v>703</v>
      </c>
      <c r="D334" s="22">
        <v>38500</v>
      </c>
      <c r="E334" s="22">
        <v>3000</v>
      </c>
      <c r="F334" s="72">
        <v>0.92207792207792205</v>
      </c>
      <c r="G334" s="72" t="s">
        <v>817</v>
      </c>
      <c r="H334" s="72" t="s">
        <v>817</v>
      </c>
      <c r="I334" s="72" t="s">
        <v>817</v>
      </c>
      <c r="J334" s="72" t="s">
        <v>817</v>
      </c>
      <c r="K334" s="73">
        <v>8.0955190786828126</v>
      </c>
      <c r="L334" s="73">
        <v>0.17873223939949065</v>
      </c>
      <c r="M334" s="22" t="s">
        <v>815</v>
      </c>
      <c r="N334" s="74">
        <v>2010</v>
      </c>
      <c r="O334" s="22" t="s">
        <v>773</v>
      </c>
      <c r="P334" s="22" t="s">
        <v>802</v>
      </c>
      <c r="Q334" s="22" t="s">
        <v>803</v>
      </c>
      <c r="R334" s="22">
        <v>10</v>
      </c>
      <c r="S334" s="33"/>
    </row>
    <row r="335" spans="1:19" s="37" customFormat="1" ht="27" customHeight="1" x14ac:dyDescent="0.25">
      <c r="A335" s="22" t="s">
        <v>104</v>
      </c>
      <c r="B335" s="22" t="s">
        <v>793</v>
      </c>
      <c r="C335" s="22" t="s">
        <v>703</v>
      </c>
      <c r="D335" s="22">
        <v>38500</v>
      </c>
      <c r="E335" s="22">
        <v>3000</v>
      </c>
      <c r="F335" s="72">
        <v>0.92207792207792205</v>
      </c>
      <c r="G335" s="72" t="s">
        <v>817</v>
      </c>
      <c r="H335" s="72" t="s">
        <v>817</v>
      </c>
      <c r="I335" s="72" t="s">
        <v>817</v>
      </c>
      <c r="J335" s="72" t="s">
        <v>817</v>
      </c>
      <c r="K335" s="73">
        <v>8.1480873843885444</v>
      </c>
      <c r="L335" s="73">
        <v>0.14719125597605112</v>
      </c>
      <c r="M335" s="22" t="s">
        <v>815</v>
      </c>
      <c r="N335" s="74">
        <v>2010</v>
      </c>
      <c r="O335" s="22" t="s">
        <v>773</v>
      </c>
      <c r="P335" s="22" t="s">
        <v>802</v>
      </c>
      <c r="Q335" s="22" t="s">
        <v>803</v>
      </c>
      <c r="R335" s="22">
        <v>10</v>
      </c>
      <c r="S335" s="33"/>
    </row>
    <row r="336" spans="1:19" s="37" customFormat="1" ht="27" customHeight="1" x14ac:dyDescent="0.25">
      <c r="A336" s="22" t="s">
        <v>841</v>
      </c>
      <c r="B336" s="22" t="s">
        <v>793</v>
      </c>
      <c r="C336" s="22" t="s">
        <v>703</v>
      </c>
      <c r="D336" s="22">
        <v>38500</v>
      </c>
      <c r="E336" s="22">
        <v>8000</v>
      </c>
      <c r="F336" s="72">
        <v>0.79220779220779225</v>
      </c>
      <c r="G336" s="22" t="s">
        <v>706</v>
      </c>
      <c r="H336" s="22">
        <v>9100</v>
      </c>
      <c r="I336" s="22">
        <v>1000</v>
      </c>
      <c r="J336" s="72">
        <v>0.89010989010989006</v>
      </c>
      <c r="K336" s="73">
        <v>8.2216830123765696</v>
      </c>
      <c r="L336" s="73">
        <v>0.38900546222242083</v>
      </c>
      <c r="M336" s="22" t="s">
        <v>804</v>
      </c>
      <c r="N336" s="80">
        <v>2010</v>
      </c>
      <c r="O336" s="22" t="s">
        <v>773</v>
      </c>
      <c r="P336" s="22" t="s">
        <v>802</v>
      </c>
      <c r="Q336" s="22" t="s">
        <v>803</v>
      </c>
      <c r="R336" s="22">
        <v>10</v>
      </c>
      <c r="S336" s="33"/>
    </row>
    <row r="337" spans="1:19" s="37" customFormat="1" ht="27" customHeight="1" x14ac:dyDescent="0.25">
      <c r="A337" s="22" t="s">
        <v>806</v>
      </c>
      <c r="B337" s="22" t="s">
        <v>793</v>
      </c>
      <c r="C337" s="22" t="s">
        <v>703</v>
      </c>
      <c r="D337" s="22">
        <v>38500</v>
      </c>
      <c r="E337" s="22">
        <v>3000</v>
      </c>
      <c r="F337" s="72">
        <v>0.92207792207792205</v>
      </c>
      <c r="G337" s="72" t="s">
        <v>817</v>
      </c>
      <c r="H337" s="72" t="s">
        <v>817</v>
      </c>
      <c r="I337" s="72" t="s">
        <v>817</v>
      </c>
      <c r="J337" s="72" t="s">
        <v>817</v>
      </c>
      <c r="K337" s="73">
        <v>8.3163059626468883</v>
      </c>
      <c r="L337" s="73">
        <v>0.28386885081095575</v>
      </c>
      <c r="M337" s="22" t="s">
        <v>804</v>
      </c>
      <c r="N337" s="74">
        <v>2010</v>
      </c>
      <c r="O337" s="22" t="s">
        <v>773</v>
      </c>
      <c r="P337" s="22" t="s">
        <v>802</v>
      </c>
      <c r="Q337" s="22" t="s">
        <v>803</v>
      </c>
      <c r="R337" s="22">
        <v>10</v>
      </c>
      <c r="S337" s="33"/>
    </row>
    <row r="338" spans="1:19" s="37" customFormat="1" ht="27" customHeight="1" x14ac:dyDescent="0.25">
      <c r="A338" s="22" t="s">
        <v>765</v>
      </c>
      <c r="B338" s="22" t="s">
        <v>793</v>
      </c>
      <c r="C338" s="22" t="s">
        <v>703</v>
      </c>
      <c r="D338" s="22">
        <v>38500</v>
      </c>
      <c r="E338" s="22">
        <v>8000</v>
      </c>
      <c r="F338" s="72">
        <v>0.79220779220779225</v>
      </c>
      <c r="G338" s="72" t="s">
        <v>817</v>
      </c>
      <c r="H338" s="72" t="s">
        <v>817</v>
      </c>
      <c r="I338" s="72" t="s">
        <v>817</v>
      </c>
      <c r="J338" s="72" t="s">
        <v>817</v>
      </c>
      <c r="K338" s="73">
        <v>8.6106884745989909</v>
      </c>
      <c r="L338" s="73">
        <v>0.30489617309324873</v>
      </c>
      <c r="M338" s="22" t="s">
        <v>804</v>
      </c>
      <c r="N338" s="80">
        <v>2010</v>
      </c>
      <c r="O338" s="22" t="s">
        <v>773</v>
      </c>
      <c r="P338" s="22" t="s">
        <v>802</v>
      </c>
      <c r="Q338" s="22" t="s">
        <v>803</v>
      </c>
      <c r="R338" s="22">
        <v>10</v>
      </c>
      <c r="S338" s="33"/>
    </row>
    <row r="339" spans="1:19" s="37" customFormat="1" ht="27" customHeight="1" x14ac:dyDescent="0.25">
      <c r="A339" s="22" t="s">
        <v>755</v>
      </c>
      <c r="B339" s="22" t="s">
        <v>793</v>
      </c>
      <c r="C339" s="22" t="s">
        <v>703</v>
      </c>
      <c r="D339" s="22">
        <v>38500</v>
      </c>
      <c r="E339" s="22">
        <v>8000</v>
      </c>
      <c r="F339" s="72">
        <v>0.79220779220779225</v>
      </c>
      <c r="G339" s="72" t="s">
        <v>817</v>
      </c>
      <c r="H339" s="72" t="s">
        <v>817</v>
      </c>
      <c r="I339" s="72" t="s">
        <v>817</v>
      </c>
      <c r="J339" s="72" t="s">
        <v>817</v>
      </c>
      <c r="K339" s="73">
        <v>8.6106884745989909</v>
      </c>
      <c r="L339" s="73">
        <v>0.36797813994012779</v>
      </c>
      <c r="M339" s="22" t="s">
        <v>804</v>
      </c>
      <c r="N339" s="80">
        <v>2010</v>
      </c>
      <c r="O339" s="22" t="s">
        <v>773</v>
      </c>
      <c r="P339" s="22" t="s">
        <v>802</v>
      </c>
      <c r="Q339" s="22" t="s">
        <v>803</v>
      </c>
      <c r="R339" s="22">
        <v>10</v>
      </c>
      <c r="S339" s="33"/>
    </row>
    <row r="340" spans="1:19" s="37" customFormat="1" ht="27" customHeight="1" x14ac:dyDescent="0.25">
      <c r="A340" s="22" t="s">
        <v>736</v>
      </c>
      <c r="B340" s="22" t="s">
        <v>793</v>
      </c>
      <c r="C340" s="22" t="s">
        <v>703</v>
      </c>
      <c r="D340" s="22">
        <v>38500</v>
      </c>
      <c r="E340" s="22">
        <v>3000</v>
      </c>
      <c r="F340" s="72">
        <v>0.92207792207792205</v>
      </c>
      <c r="G340" s="22" t="s">
        <v>706</v>
      </c>
      <c r="H340" s="22">
        <v>9100</v>
      </c>
      <c r="I340" s="22">
        <v>100</v>
      </c>
      <c r="J340" s="72">
        <v>0.98901098901098905</v>
      </c>
      <c r="K340" s="73">
        <v>8.8735300031276534</v>
      </c>
      <c r="L340" s="73">
        <v>0.64133332960993705</v>
      </c>
      <c r="M340" s="22" t="s">
        <v>804</v>
      </c>
      <c r="N340" s="74">
        <v>2010</v>
      </c>
      <c r="O340" s="22" t="s">
        <v>773</v>
      </c>
      <c r="P340" s="22" t="s">
        <v>802</v>
      </c>
      <c r="Q340" s="22" t="s">
        <v>803</v>
      </c>
      <c r="R340" s="22">
        <v>10</v>
      </c>
      <c r="S340" s="33" t="s">
        <v>1287</v>
      </c>
    </row>
    <row r="341" spans="1:19" s="37" customFormat="1" ht="27" customHeight="1" x14ac:dyDescent="0.25">
      <c r="A341" s="22" t="s">
        <v>765</v>
      </c>
      <c r="B341" s="22" t="s">
        <v>793</v>
      </c>
      <c r="C341" s="22" t="s">
        <v>703</v>
      </c>
      <c r="D341" s="22">
        <v>38500</v>
      </c>
      <c r="E341" s="22">
        <v>8000</v>
      </c>
      <c r="F341" s="72">
        <v>0.79220779220779225</v>
      </c>
      <c r="G341" s="22" t="s">
        <v>706</v>
      </c>
      <c r="H341" s="22">
        <v>9100</v>
      </c>
      <c r="I341" s="22">
        <v>1000</v>
      </c>
      <c r="J341" s="72">
        <v>0.89010989010989006</v>
      </c>
      <c r="K341" s="73">
        <v>9.5569179773021755</v>
      </c>
      <c r="L341" s="73">
        <v>0.52568305705732543</v>
      </c>
      <c r="M341" s="22" t="s">
        <v>804</v>
      </c>
      <c r="N341" s="80">
        <v>2010</v>
      </c>
      <c r="O341" s="22" t="s">
        <v>773</v>
      </c>
      <c r="P341" s="22" t="s">
        <v>802</v>
      </c>
      <c r="Q341" s="22" t="s">
        <v>803</v>
      </c>
      <c r="R341" s="22">
        <v>10</v>
      </c>
      <c r="S341" s="33"/>
    </row>
    <row r="342" spans="1:19" s="37" customFormat="1" ht="27" customHeight="1" x14ac:dyDescent="0.25">
      <c r="A342" s="22" t="s">
        <v>755</v>
      </c>
      <c r="B342" s="22" t="s">
        <v>793</v>
      </c>
      <c r="C342" s="22" t="s">
        <v>703</v>
      </c>
      <c r="D342" s="22">
        <v>38500</v>
      </c>
      <c r="E342" s="22">
        <v>8000</v>
      </c>
      <c r="F342" s="72">
        <v>0.79220779220779225</v>
      </c>
      <c r="G342" s="22" t="s">
        <v>706</v>
      </c>
      <c r="H342" s="22">
        <v>9100</v>
      </c>
      <c r="I342" s="22">
        <v>1000</v>
      </c>
      <c r="J342" s="72">
        <v>0.89010989010989006</v>
      </c>
      <c r="K342" s="73">
        <v>9.5674316384433222</v>
      </c>
      <c r="L342" s="73">
        <v>0.58876502390420449</v>
      </c>
      <c r="M342" s="22" t="s">
        <v>804</v>
      </c>
      <c r="N342" s="80">
        <v>2010</v>
      </c>
      <c r="O342" s="22" t="s">
        <v>773</v>
      </c>
      <c r="P342" s="22" t="s">
        <v>802</v>
      </c>
      <c r="Q342" s="22" t="s">
        <v>803</v>
      </c>
      <c r="R342" s="22">
        <v>10</v>
      </c>
      <c r="S342" s="33"/>
    </row>
    <row r="343" spans="1:19" s="37" customFormat="1" ht="27" customHeight="1" x14ac:dyDescent="0.25">
      <c r="A343" s="22" t="s">
        <v>765</v>
      </c>
      <c r="B343" s="22" t="s">
        <v>793</v>
      </c>
      <c r="C343" s="22" t="s">
        <v>703</v>
      </c>
      <c r="D343" s="22">
        <v>38500</v>
      </c>
      <c r="E343" s="22">
        <v>3000</v>
      </c>
      <c r="F343" s="72">
        <v>0.92207792207792205</v>
      </c>
      <c r="G343" s="72" t="s">
        <v>817</v>
      </c>
      <c r="H343" s="72" t="s">
        <v>817</v>
      </c>
      <c r="I343" s="72" t="s">
        <v>817</v>
      </c>
      <c r="J343" s="72" t="s">
        <v>817</v>
      </c>
      <c r="K343" s="73">
        <v>9.6515409275724942</v>
      </c>
      <c r="L343" s="73">
        <v>0.39951912336356732</v>
      </c>
      <c r="M343" s="22" t="s">
        <v>804</v>
      </c>
      <c r="N343" s="74">
        <v>2010</v>
      </c>
      <c r="O343" s="22" t="s">
        <v>773</v>
      </c>
      <c r="P343" s="22" t="s">
        <v>802</v>
      </c>
      <c r="Q343" s="22" t="s">
        <v>803</v>
      </c>
      <c r="R343" s="22">
        <v>10</v>
      </c>
      <c r="S343" s="33"/>
    </row>
    <row r="344" spans="1:19" s="37" customFormat="1" ht="27" customHeight="1" x14ac:dyDescent="0.25">
      <c r="A344" s="22" t="s">
        <v>755</v>
      </c>
      <c r="B344" s="22" t="s">
        <v>793</v>
      </c>
      <c r="C344" s="22" t="s">
        <v>703</v>
      </c>
      <c r="D344" s="22">
        <v>38500</v>
      </c>
      <c r="E344" s="22">
        <v>3000</v>
      </c>
      <c r="F344" s="72">
        <v>0.92207792207792205</v>
      </c>
      <c r="G344" s="72" t="s">
        <v>817</v>
      </c>
      <c r="H344" s="72" t="s">
        <v>817</v>
      </c>
      <c r="I344" s="72" t="s">
        <v>817</v>
      </c>
      <c r="J344" s="72" t="s">
        <v>817</v>
      </c>
      <c r="K344" s="73">
        <v>9.6620545887136409</v>
      </c>
      <c r="L344" s="73">
        <v>0.45208742906929988</v>
      </c>
      <c r="M344" s="22" t="s">
        <v>804</v>
      </c>
      <c r="N344" s="74">
        <v>2010</v>
      </c>
      <c r="O344" s="22" t="s">
        <v>773</v>
      </c>
      <c r="P344" s="22" t="s">
        <v>802</v>
      </c>
      <c r="Q344" s="22" t="s">
        <v>803</v>
      </c>
      <c r="R344" s="22">
        <v>10</v>
      </c>
      <c r="S344" s="33"/>
    </row>
    <row r="345" spans="1:19" x14ac:dyDescent="0.2">
      <c r="A345" s="113" t="s">
        <v>213</v>
      </c>
      <c r="B345" s="113" t="s">
        <v>793</v>
      </c>
      <c r="C345" s="114" t="s">
        <v>703</v>
      </c>
      <c r="D345" s="114">
        <v>38500</v>
      </c>
      <c r="E345" s="114">
        <v>3000</v>
      </c>
      <c r="F345" s="115">
        <v>0.92207792207792205</v>
      </c>
      <c r="G345" s="114" t="s">
        <v>706</v>
      </c>
      <c r="H345" s="114">
        <v>9100</v>
      </c>
      <c r="I345" s="114">
        <v>100</v>
      </c>
      <c r="J345" s="115">
        <v>0.98901098901098905</v>
      </c>
      <c r="K345" s="116">
        <v>10.030032728653769</v>
      </c>
      <c r="L345" s="116">
        <v>0.38900546222242083</v>
      </c>
      <c r="M345" s="114" t="s">
        <v>815</v>
      </c>
      <c r="N345" s="117">
        <v>2010</v>
      </c>
      <c r="O345" s="113" t="s">
        <v>773</v>
      </c>
      <c r="P345" s="113" t="s">
        <v>802</v>
      </c>
      <c r="Q345" s="114" t="s">
        <v>803</v>
      </c>
      <c r="R345" s="22">
        <v>10</v>
      </c>
      <c r="S345" s="118"/>
    </row>
    <row r="346" spans="1:19" x14ac:dyDescent="0.2">
      <c r="A346" s="22" t="s">
        <v>719</v>
      </c>
      <c r="B346" s="22" t="s">
        <v>793</v>
      </c>
      <c r="C346" s="22" t="s">
        <v>703</v>
      </c>
      <c r="D346" s="22">
        <v>38500</v>
      </c>
      <c r="E346" s="22">
        <v>3000</v>
      </c>
      <c r="F346" s="72">
        <v>0.92207792207792205</v>
      </c>
      <c r="G346" s="22" t="s">
        <v>706</v>
      </c>
      <c r="H346" s="22">
        <v>9100</v>
      </c>
      <c r="I346" s="22">
        <v>100</v>
      </c>
      <c r="J346" s="72">
        <v>0.98901098901098905</v>
      </c>
      <c r="K346" s="73">
        <v>11.56502725526116</v>
      </c>
      <c r="L346" s="73">
        <v>0.62030600732764396</v>
      </c>
      <c r="M346" s="22" t="s">
        <v>804</v>
      </c>
      <c r="N346" s="74">
        <v>2010</v>
      </c>
      <c r="O346" s="22" t="s">
        <v>773</v>
      </c>
      <c r="P346" s="22" t="s">
        <v>802</v>
      </c>
      <c r="Q346" s="22" t="s">
        <v>803</v>
      </c>
      <c r="R346" s="22">
        <v>10</v>
      </c>
      <c r="S346" s="33"/>
    </row>
    <row r="347" spans="1:19" ht="25.5" x14ac:dyDescent="0.2">
      <c r="A347" s="22" t="s">
        <v>213</v>
      </c>
      <c r="B347" s="22" t="s">
        <v>793</v>
      </c>
      <c r="C347" s="22" t="s">
        <v>703</v>
      </c>
      <c r="D347" s="22">
        <v>38500</v>
      </c>
      <c r="E347" s="22">
        <v>8000</v>
      </c>
      <c r="F347" s="72">
        <v>0.79220779220779225</v>
      </c>
      <c r="G347" s="72" t="s">
        <v>817</v>
      </c>
      <c r="H347" s="72" t="s">
        <v>817</v>
      </c>
      <c r="I347" s="72" t="s">
        <v>817</v>
      </c>
      <c r="J347" s="72" t="s">
        <v>817</v>
      </c>
      <c r="K347" s="73">
        <v>11.659650205531477</v>
      </c>
      <c r="L347" s="73">
        <v>0.42054644564586036</v>
      </c>
      <c r="M347" s="22" t="s">
        <v>814</v>
      </c>
      <c r="N347" s="80">
        <v>2010</v>
      </c>
      <c r="O347" s="22" t="s">
        <v>773</v>
      </c>
      <c r="P347" s="22" t="s">
        <v>802</v>
      </c>
      <c r="Q347" s="22" t="s">
        <v>803</v>
      </c>
      <c r="R347" s="22">
        <v>10</v>
      </c>
      <c r="S347" s="33"/>
    </row>
    <row r="348" spans="1:19" x14ac:dyDescent="0.2">
      <c r="A348" s="22" t="s">
        <v>841</v>
      </c>
      <c r="B348" s="22" t="s">
        <v>793</v>
      </c>
      <c r="C348" s="22" t="s">
        <v>703</v>
      </c>
      <c r="D348" s="22">
        <v>38500</v>
      </c>
      <c r="E348" s="22">
        <v>3000</v>
      </c>
      <c r="F348" s="72">
        <v>0.92207792207792205</v>
      </c>
      <c r="G348" s="22" t="s">
        <v>706</v>
      </c>
      <c r="H348" s="22">
        <v>9100</v>
      </c>
      <c r="I348" s="22">
        <v>100</v>
      </c>
      <c r="J348" s="72">
        <v>0.98901098901098905</v>
      </c>
      <c r="K348" s="73">
        <v>11.743759494660651</v>
      </c>
      <c r="L348" s="73">
        <v>0.54671037933961841</v>
      </c>
      <c r="M348" s="22" t="s">
        <v>804</v>
      </c>
      <c r="N348" s="74">
        <v>2010</v>
      </c>
      <c r="O348" s="22" t="s">
        <v>773</v>
      </c>
      <c r="P348" s="22" t="s">
        <v>802</v>
      </c>
      <c r="Q348" s="22" t="s">
        <v>803</v>
      </c>
      <c r="R348" s="22">
        <v>10</v>
      </c>
      <c r="S348" s="33"/>
    </row>
    <row r="349" spans="1:19" ht="25.5" x14ac:dyDescent="0.2">
      <c r="A349" s="22" t="s">
        <v>104</v>
      </c>
      <c r="B349" s="22" t="s">
        <v>793</v>
      </c>
      <c r="C349" s="22" t="s">
        <v>703</v>
      </c>
      <c r="D349" s="22">
        <v>38500</v>
      </c>
      <c r="E349" s="22">
        <v>8000</v>
      </c>
      <c r="F349" s="72">
        <v>0.79220779220779225</v>
      </c>
      <c r="G349" s="72" t="s">
        <v>817</v>
      </c>
      <c r="H349" s="72" t="s">
        <v>817</v>
      </c>
      <c r="I349" s="72" t="s">
        <v>817</v>
      </c>
      <c r="J349" s="72" t="s">
        <v>817</v>
      </c>
      <c r="K349" s="73">
        <v>11.754273155801796</v>
      </c>
      <c r="L349" s="73">
        <v>0.24181420624636971</v>
      </c>
      <c r="M349" s="22" t="s">
        <v>814</v>
      </c>
      <c r="N349" s="80">
        <v>2010</v>
      </c>
      <c r="O349" s="22" t="s">
        <v>773</v>
      </c>
      <c r="P349" s="22" t="s">
        <v>802</v>
      </c>
      <c r="Q349" s="22" t="s">
        <v>803</v>
      </c>
      <c r="R349" s="22">
        <v>10</v>
      </c>
      <c r="S349" s="33"/>
    </row>
    <row r="350" spans="1:19" x14ac:dyDescent="0.2">
      <c r="A350" s="22" t="s">
        <v>213</v>
      </c>
      <c r="B350" s="22" t="s">
        <v>793</v>
      </c>
      <c r="C350" s="22" t="s">
        <v>703</v>
      </c>
      <c r="D350" s="22">
        <v>38500</v>
      </c>
      <c r="E350" s="22">
        <v>8000</v>
      </c>
      <c r="F350" s="72">
        <v>0.79220779220779225</v>
      </c>
      <c r="G350" s="22" t="s">
        <v>706</v>
      </c>
      <c r="H350" s="22">
        <v>9100</v>
      </c>
      <c r="I350" s="22">
        <v>1000</v>
      </c>
      <c r="J350" s="72">
        <v>0.89010989010989006</v>
      </c>
      <c r="K350" s="73">
        <v>12.143278618024219</v>
      </c>
      <c r="L350" s="73">
        <v>0.56773770162191151</v>
      </c>
      <c r="M350" s="22" t="s">
        <v>814</v>
      </c>
      <c r="N350" s="80">
        <v>2010</v>
      </c>
      <c r="O350" s="22" t="s">
        <v>773</v>
      </c>
      <c r="P350" s="22" t="s">
        <v>802</v>
      </c>
      <c r="Q350" s="22" t="s">
        <v>803</v>
      </c>
      <c r="R350" s="22">
        <v>10</v>
      </c>
      <c r="S350" s="33"/>
    </row>
    <row r="351" spans="1:19" x14ac:dyDescent="0.2">
      <c r="A351" s="22" t="s">
        <v>104</v>
      </c>
      <c r="B351" s="22" t="s">
        <v>793</v>
      </c>
      <c r="C351" s="22" t="s">
        <v>703</v>
      </c>
      <c r="D351" s="22">
        <v>38500</v>
      </c>
      <c r="E351" s="22">
        <v>8000</v>
      </c>
      <c r="F351" s="72">
        <v>0.79220779220779225</v>
      </c>
      <c r="G351" s="22" t="s">
        <v>706</v>
      </c>
      <c r="H351" s="22">
        <v>9100</v>
      </c>
      <c r="I351" s="22">
        <v>1000</v>
      </c>
      <c r="J351" s="72">
        <v>0.89010989010989006</v>
      </c>
      <c r="K351" s="73">
        <v>12.237901568294536</v>
      </c>
      <c r="L351" s="73">
        <v>0.39951912336356732</v>
      </c>
      <c r="M351" s="22" t="s">
        <v>814</v>
      </c>
      <c r="N351" s="80">
        <v>2010</v>
      </c>
      <c r="O351" s="22" t="s">
        <v>773</v>
      </c>
      <c r="P351" s="22" t="s">
        <v>802</v>
      </c>
      <c r="Q351" s="22" t="s">
        <v>803</v>
      </c>
      <c r="R351" s="22">
        <v>10</v>
      </c>
      <c r="S351" s="33"/>
    </row>
    <row r="352" spans="1:19" ht="25.5" x14ac:dyDescent="0.2">
      <c r="A352" s="22" t="s">
        <v>213</v>
      </c>
      <c r="B352" s="22" t="s">
        <v>793</v>
      </c>
      <c r="C352" s="22" t="s">
        <v>703</v>
      </c>
      <c r="D352" s="22">
        <v>38500</v>
      </c>
      <c r="E352" s="22">
        <v>3000</v>
      </c>
      <c r="F352" s="72">
        <v>0.92207792207792205</v>
      </c>
      <c r="G352" s="72" t="s">
        <v>817</v>
      </c>
      <c r="H352" s="72" t="s">
        <v>817</v>
      </c>
      <c r="I352" s="72" t="s">
        <v>817</v>
      </c>
      <c r="J352" s="72" t="s">
        <v>817</v>
      </c>
      <c r="K352" s="73">
        <v>12.448174791117466</v>
      </c>
      <c r="L352" s="73">
        <v>0.48362841249273941</v>
      </c>
      <c r="M352" s="22" t="s">
        <v>814</v>
      </c>
      <c r="N352" s="74">
        <v>2010</v>
      </c>
      <c r="O352" s="22" t="s">
        <v>773</v>
      </c>
      <c r="P352" s="22" t="s">
        <v>802</v>
      </c>
      <c r="Q352" s="22" t="s">
        <v>803</v>
      </c>
      <c r="R352" s="22">
        <v>10</v>
      </c>
      <c r="S352" s="33"/>
    </row>
    <row r="353" spans="1:19" ht="25.5" x14ac:dyDescent="0.2">
      <c r="A353" s="22" t="s">
        <v>104</v>
      </c>
      <c r="B353" s="22" t="s">
        <v>793</v>
      </c>
      <c r="C353" s="22" t="s">
        <v>703</v>
      </c>
      <c r="D353" s="22">
        <v>38500</v>
      </c>
      <c r="E353" s="22">
        <v>3000</v>
      </c>
      <c r="F353" s="72">
        <v>0.92207792207792205</v>
      </c>
      <c r="G353" s="72" t="s">
        <v>817</v>
      </c>
      <c r="H353" s="72" t="s">
        <v>817</v>
      </c>
      <c r="I353" s="72" t="s">
        <v>817</v>
      </c>
      <c r="J353" s="72" t="s">
        <v>817</v>
      </c>
      <c r="K353" s="73">
        <v>12.542797741387785</v>
      </c>
      <c r="L353" s="73">
        <v>0.31540983423439523</v>
      </c>
      <c r="M353" s="22" t="s">
        <v>814</v>
      </c>
      <c r="N353" s="74">
        <v>2010</v>
      </c>
      <c r="O353" s="22" t="s">
        <v>773</v>
      </c>
      <c r="P353" s="22" t="s">
        <v>802</v>
      </c>
      <c r="Q353" s="22" t="s">
        <v>803</v>
      </c>
      <c r="R353" s="22">
        <v>10</v>
      </c>
      <c r="S353" s="33"/>
    </row>
    <row r="354" spans="1:19" x14ac:dyDescent="0.2">
      <c r="A354" s="22" t="s">
        <v>765</v>
      </c>
      <c r="B354" s="22" t="s">
        <v>793</v>
      </c>
      <c r="C354" s="22" t="s">
        <v>703</v>
      </c>
      <c r="D354" s="22">
        <v>38500</v>
      </c>
      <c r="E354" s="22">
        <v>3000</v>
      </c>
      <c r="F354" s="72">
        <v>0.92207792207792205</v>
      </c>
      <c r="G354" s="22" t="s">
        <v>706</v>
      </c>
      <c r="H354" s="22">
        <v>9100</v>
      </c>
      <c r="I354" s="22">
        <v>100</v>
      </c>
      <c r="J354" s="72">
        <v>0.98901098901098905</v>
      </c>
      <c r="K354" s="73">
        <v>13.078994459586257</v>
      </c>
      <c r="L354" s="73">
        <v>0.68338797417452313</v>
      </c>
      <c r="M354" s="22" t="s">
        <v>804</v>
      </c>
      <c r="N354" s="74">
        <v>2010</v>
      </c>
      <c r="O354" s="22" t="s">
        <v>773</v>
      </c>
      <c r="P354" s="22" t="s">
        <v>802</v>
      </c>
      <c r="Q354" s="22" t="s">
        <v>803</v>
      </c>
      <c r="R354" s="22">
        <v>10</v>
      </c>
      <c r="S354" s="33"/>
    </row>
    <row r="355" spans="1:19" x14ac:dyDescent="0.2">
      <c r="A355" s="22" t="s">
        <v>755</v>
      </c>
      <c r="B355" s="22" t="s">
        <v>793</v>
      </c>
      <c r="C355" s="22" t="s">
        <v>703</v>
      </c>
      <c r="D355" s="22">
        <v>38500</v>
      </c>
      <c r="E355" s="22">
        <v>3000</v>
      </c>
      <c r="F355" s="72">
        <v>0.92207792207792205</v>
      </c>
      <c r="G355" s="22" t="s">
        <v>706</v>
      </c>
      <c r="H355" s="22">
        <v>9100</v>
      </c>
      <c r="I355" s="22">
        <v>100</v>
      </c>
      <c r="J355" s="72">
        <v>0.98901098901098905</v>
      </c>
      <c r="K355" s="73">
        <v>13.078994459586257</v>
      </c>
      <c r="L355" s="73">
        <v>0.74646994102140207</v>
      </c>
      <c r="M355" s="22" t="s">
        <v>804</v>
      </c>
      <c r="N355" s="74">
        <v>2010</v>
      </c>
      <c r="O355" s="22" t="s">
        <v>773</v>
      </c>
      <c r="P355" s="22" t="s">
        <v>802</v>
      </c>
      <c r="Q355" s="22" t="s">
        <v>803</v>
      </c>
      <c r="R355" s="22">
        <v>10</v>
      </c>
      <c r="S355" s="33"/>
    </row>
    <row r="356" spans="1:19" x14ac:dyDescent="0.2">
      <c r="A356" s="22" t="s">
        <v>213</v>
      </c>
      <c r="B356" s="22" t="s">
        <v>793</v>
      </c>
      <c r="C356" s="22" t="s">
        <v>703</v>
      </c>
      <c r="D356" s="22">
        <v>38500</v>
      </c>
      <c r="E356" s="22">
        <v>3000</v>
      </c>
      <c r="F356" s="72">
        <v>0.92207792207792205</v>
      </c>
      <c r="G356" s="22" t="s">
        <v>706</v>
      </c>
      <c r="H356" s="22">
        <v>9100</v>
      </c>
      <c r="I356" s="22">
        <v>100</v>
      </c>
      <c r="J356" s="72">
        <v>0.98901098901098905</v>
      </c>
      <c r="K356" s="73">
        <v>14.498338713641035</v>
      </c>
      <c r="L356" s="73">
        <v>0.7149289575979626</v>
      </c>
      <c r="M356" s="22" t="s">
        <v>814</v>
      </c>
      <c r="N356" s="74">
        <v>2010</v>
      </c>
      <c r="O356" s="22" t="s">
        <v>773</v>
      </c>
      <c r="P356" s="22" t="s">
        <v>802</v>
      </c>
      <c r="Q356" s="22" t="s">
        <v>803</v>
      </c>
      <c r="R356" s="22">
        <v>10</v>
      </c>
      <c r="S356" s="33"/>
    </row>
    <row r="357" spans="1:19" x14ac:dyDescent="0.2">
      <c r="A357" s="22" t="s">
        <v>104</v>
      </c>
      <c r="B357" s="22" t="s">
        <v>793</v>
      </c>
      <c r="C357" s="22" t="s">
        <v>703</v>
      </c>
      <c r="D357" s="22">
        <v>38500</v>
      </c>
      <c r="E357" s="22">
        <v>3000</v>
      </c>
      <c r="F357" s="72">
        <v>0.92207792207792205</v>
      </c>
      <c r="G357" s="22" t="s">
        <v>706</v>
      </c>
      <c r="H357" s="22">
        <v>9100</v>
      </c>
      <c r="I357" s="22">
        <v>100</v>
      </c>
      <c r="J357" s="72">
        <v>0.98901098901098905</v>
      </c>
      <c r="K357" s="73">
        <v>14.592961663911355</v>
      </c>
      <c r="L357" s="73">
        <v>0.54671037933961841</v>
      </c>
      <c r="M357" s="22" t="s">
        <v>814</v>
      </c>
      <c r="N357" s="74">
        <v>2010</v>
      </c>
      <c r="O357" s="22" t="s">
        <v>773</v>
      </c>
      <c r="P357" s="22" t="s">
        <v>802</v>
      </c>
      <c r="Q357" s="22" t="s">
        <v>803</v>
      </c>
      <c r="R357" s="22">
        <v>10</v>
      </c>
      <c r="S357" s="33"/>
    </row>
    <row r="358" spans="1:19" ht="25.5" x14ac:dyDescent="0.2">
      <c r="A358" s="22" t="s">
        <v>213</v>
      </c>
      <c r="B358" s="22" t="s">
        <v>793</v>
      </c>
      <c r="C358" s="22" t="s">
        <v>703</v>
      </c>
      <c r="D358" s="22">
        <v>38500</v>
      </c>
      <c r="E358" s="22">
        <v>8000</v>
      </c>
      <c r="F358" s="72">
        <v>0.79220779220779225</v>
      </c>
      <c r="G358" s="72" t="s">
        <v>817</v>
      </c>
      <c r="H358" s="72" t="s">
        <v>817</v>
      </c>
      <c r="I358" s="72" t="s">
        <v>817</v>
      </c>
      <c r="J358" s="72" t="s">
        <v>817</v>
      </c>
      <c r="K358" s="73">
        <v>17.789114650819894</v>
      </c>
      <c r="L358" s="73">
        <v>0.80955190786828113</v>
      </c>
      <c r="M358" s="22" t="s">
        <v>804</v>
      </c>
      <c r="N358" s="80">
        <v>2010</v>
      </c>
      <c r="O358" s="22" t="s">
        <v>773</v>
      </c>
      <c r="P358" s="22" t="s">
        <v>802</v>
      </c>
      <c r="Q358" s="22" t="s">
        <v>803</v>
      </c>
      <c r="R358" s="22">
        <v>10</v>
      </c>
      <c r="S358" s="33"/>
    </row>
    <row r="359" spans="1:19" ht="25.5" x14ac:dyDescent="0.2">
      <c r="A359" s="22" t="s">
        <v>104</v>
      </c>
      <c r="B359" s="22" t="s">
        <v>793</v>
      </c>
      <c r="C359" s="22" t="s">
        <v>703</v>
      </c>
      <c r="D359" s="22">
        <v>38500</v>
      </c>
      <c r="E359" s="22">
        <v>8000</v>
      </c>
      <c r="F359" s="72">
        <v>0.79220779220779225</v>
      </c>
      <c r="G359" s="72" t="s">
        <v>817</v>
      </c>
      <c r="H359" s="72" t="s">
        <v>817</v>
      </c>
      <c r="I359" s="72" t="s">
        <v>817</v>
      </c>
      <c r="J359" s="72" t="s">
        <v>817</v>
      </c>
      <c r="K359" s="73">
        <v>17.915278584513651</v>
      </c>
      <c r="L359" s="73">
        <v>0.55722404048076501</v>
      </c>
      <c r="M359" s="22" t="s">
        <v>804</v>
      </c>
      <c r="N359" s="80">
        <v>2010</v>
      </c>
      <c r="O359" s="22" t="s">
        <v>773</v>
      </c>
      <c r="P359" s="22" t="s">
        <v>802</v>
      </c>
      <c r="Q359" s="22" t="s">
        <v>803</v>
      </c>
      <c r="R359" s="22">
        <v>10</v>
      </c>
      <c r="S359" s="33"/>
    </row>
    <row r="360" spans="1:19" ht="25.5" x14ac:dyDescent="0.2">
      <c r="A360" s="22" t="s">
        <v>213</v>
      </c>
      <c r="B360" s="22" t="s">
        <v>793</v>
      </c>
      <c r="C360" s="22" t="s">
        <v>703</v>
      </c>
      <c r="D360" s="22">
        <v>38500</v>
      </c>
      <c r="E360" s="22">
        <v>3000</v>
      </c>
      <c r="F360" s="72">
        <v>0.92207792207792205</v>
      </c>
      <c r="G360" s="72" t="s">
        <v>817</v>
      </c>
      <c r="H360" s="72" t="s">
        <v>817</v>
      </c>
      <c r="I360" s="72" t="s">
        <v>817</v>
      </c>
      <c r="J360" s="72" t="s">
        <v>817</v>
      </c>
      <c r="K360" s="73">
        <v>18.577639236405883</v>
      </c>
      <c r="L360" s="73">
        <v>0.94622950270318584</v>
      </c>
      <c r="M360" s="22" t="s">
        <v>804</v>
      </c>
      <c r="N360" s="74">
        <v>2010</v>
      </c>
      <c r="O360" s="22" t="s">
        <v>773</v>
      </c>
      <c r="P360" s="22" t="s">
        <v>802</v>
      </c>
      <c r="Q360" s="22" t="s">
        <v>803</v>
      </c>
      <c r="R360" s="22">
        <v>10</v>
      </c>
      <c r="S360" s="33"/>
    </row>
    <row r="361" spans="1:19" ht="25.5" x14ac:dyDescent="0.2">
      <c r="A361" s="22" t="s">
        <v>104</v>
      </c>
      <c r="B361" s="22" t="s">
        <v>793</v>
      </c>
      <c r="C361" s="22" t="s">
        <v>703</v>
      </c>
      <c r="D361" s="22">
        <v>38500</v>
      </c>
      <c r="E361" s="22">
        <v>3000</v>
      </c>
      <c r="F361" s="72">
        <v>0.92207792207792205</v>
      </c>
      <c r="G361" s="72" t="s">
        <v>817</v>
      </c>
      <c r="H361" s="72" t="s">
        <v>817</v>
      </c>
      <c r="I361" s="72" t="s">
        <v>817</v>
      </c>
      <c r="J361" s="72" t="s">
        <v>817</v>
      </c>
      <c r="K361" s="73">
        <v>18.693289508958493</v>
      </c>
      <c r="L361" s="73">
        <v>0.70441529645681611</v>
      </c>
      <c r="M361" s="22" t="s">
        <v>804</v>
      </c>
      <c r="N361" s="74">
        <v>2010</v>
      </c>
      <c r="O361" s="22" t="s">
        <v>773</v>
      </c>
      <c r="P361" s="22" t="s">
        <v>802</v>
      </c>
      <c r="Q361" s="22" t="s">
        <v>803</v>
      </c>
      <c r="R361" s="22">
        <v>10</v>
      </c>
      <c r="S361" s="33"/>
    </row>
    <row r="362" spans="1:19" x14ac:dyDescent="0.2">
      <c r="A362" s="22" t="s">
        <v>213</v>
      </c>
      <c r="B362" s="22" t="s">
        <v>793</v>
      </c>
      <c r="C362" s="22" t="s">
        <v>703</v>
      </c>
      <c r="D362" s="22">
        <v>38500</v>
      </c>
      <c r="E362" s="22">
        <v>8000</v>
      </c>
      <c r="F362" s="72">
        <v>0.79220779220779225</v>
      </c>
      <c r="G362" s="22" t="s">
        <v>706</v>
      </c>
      <c r="H362" s="22">
        <v>9100</v>
      </c>
      <c r="I362" s="22">
        <v>1000</v>
      </c>
      <c r="J362" s="72">
        <v>0.89010989010989006</v>
      </c>
      <c r="K362" s="73">
        <v>19.082294971180911</v>
      </c>
      <c r="L362" s="73">
        <v>1.0303387918323579</v>
      </c>
      <c r="M362" s="22" t="s">
        <v>804</v>
      </c>
      <c r="N362" s="80">
        <v>2010</v>
      </c>
      <c r="O362" s="22" t="s">
        <v>773</v>
      </c>
      <c r="P362" s="22" t="s">
        <v>802</v>
      </c>
      <c r="Q362" s="22" t="s">
        <v>803</v>
      </c>
      <c r="R362" s="22">
        <v>10</v>
      </c>
      <c r="S362" s="33"/>
    </row>
    <row r="363" spans="1:19" x14ac:dyDescent="0.2">
      <c r="A363" s="22" t="s">
        <v>104</v>
      </c>
      <c r="B363" s="22" t="s">
        <v>793</v>
      </c>
      <c r="C363" s="22" t="s">
        <v>703</v>
      </c>
      <c r="D363" s="22">
        <v>38500</v>
      </c>
      <c r="E363" s="22">
        <v>8000</v>
      </c>
      <c r="F363" s="72">
        <v>0.79220779220779225</v>
      </c>
      <c r="G363" s="22" t="s">
        <v>706</v>
      </c>
      <c r="H363" s="22">
        <v>9100</v>
      </c>
      <c r="I363" s="22">
        <v>1000</v>
      </c>
      <c r="J363" s="72">
        <v>0.89010989010989006</v>
      </c>
      <c r="K363" s="73">
        <v>19.208458904874671</v>
      </c>
      <c r="L363" s="73">
        <v>0.78852458558598815</v>
      </c>
      <c r="M363" s="22" t="s">
        <v>804</v>
      </c>
      <c r="N363" s="80">
        <v>2010</v>
      </c>
      <c r="O363" s="22" t="s">
        <v>773</v>
      </c>
      <c r="P363" s="22" t="s">
        <v>802</v>
      </c>
      <c r="Q363" s="22" t="s">
        <v>803</v>
      </c>
      <c r="R363" s="22">
        <v>10</v>
      </c>
      <c r="S363" s="33"/>
    </row>
    <row r="364" spans="1:19" x14ac:dyDescent="0.2">
      <c r="A364" s="22" t="s">
        <v>213</v>
      </c>
      <c r="B364" s="22" t="s">
        <v>793</v>
      </c>
      <c r="C364" s="22" t="s">
        <v>703</v>
      </c>
      <c r="D364" s="22">
        <v>38500</v>
      </c>
      <c r="E364" s="22">
        <v>3000</v>
      </c>
      <c r="F364" s="72">
        <v>0.92207792207792205</v>
      </c>
      <c r="G364" s="22" t="s">
        <v>706</v>
      </c>
      <c r="H364" s="22">
        <v>9100</v>
      </c>
      <c r="I364" s="22">
        <v>100</v>
      </c>
      <c r="J364" s="72">
        <v>0.98901098901098905</v>
      </c>
      <c r="K364" s="73">
        <v>22.625398775747286</v>
      </c>
      <c r="L364" s="73">
        <v>1.2616393369375809</v>
      </c>
      <c r="M364" s="22" t="s">
        <v>804</v>
      </c>
      <c r="N364" s="74">
        <v>2010</v>
      </c>
      <c r="O364" s="22" t="s">
        <v>773</v>
      </c>
      <c r="P364" s="22" t="s">
        <v>802</v>
      </c>
      <c r="Q364" s="22" t="s">
        <v>803</v>
      </c>
      <c r="R364" s="22">
        <v>10</v>
      </c>
      <c r="S364" s="33"/>
    </row>
    <row r="365" spans="1:19" x14ac:dyDescent="0.2">
      <c r="A365" s="22" t="s">
        <v>104</v>
      </c>
      <c r="B365" s="22" t="s">
        <v>793</v>
      </c>
      <c r="C365" s="22" t="s">
        <v>703</v>
      </c>
      <c r="D365" s="22">
        <v>38500</v>
      </c>
      <c r="E365" s="22">
        <v>3000</v>
      </c>
      <c r="F365" s="72">
        <v>0.92207792207792205</v>
      </c>
      <c r="G365" s="22" t="s">
        <v>706</v>
      </c>
      <c r="H365" s="22">
        <v>9100</v>
      </c>
      <c r="I365" s="22">
        <v>100</v>
      </c>
      <c r="J365" s="72">
        <v>0.98901098901098905</v>
      </c>
      <c r="K365" s="73">
        <v>22.741049048299896</v>
      </c>
      <c r="L365" s="73">
        <v>1.0198251306912114</v>
      </c>
      <c r="M365" s="22" t="s">
        <v>804</v>
      </c>
      <c r="N365" s="74">
        <v>2010</v>
      </c>
      <c r="O365" s="22" t="s">
        <v>773</v>
      </c>
      <c r="P365" s="22" t="s">
        <v>802</v>
      </c>
      <c r="Q365" s="22" t="s">
        <v>803</v>
      </c>
      <c r="R365" s="22">
        <v>10</v>
      </c>
      <c r="S365" s="33"/>
    </row>
    <row r="366" spans="1:19" ht="25.5" x14ac:dyDescent="0.2">
      <c r="A366" s="22" t="s">
        <v>213</v>
      </c>
      <c r="B366" s="22" t="s">
        <v>793</v>
      </c>
      <c r="C366" s="22" t="s">
        <v>703</v>
      </c>
      <c r="D366" s="22">
        <v>38500</v>
      </c>
      <c r="E366" s="22">
        <v>8000</v>
      </c>
      <c r="F366" s="72">
        <v>0.79220779220779225</v>
      </c>
      <c r="G366" s="72" t="s">
        <v>817</v>
      </c>
      <c r="H366" s="72" t="s">
        <v>817</v>
      </c>
      <c r="I366" s="72" t="s">
        <v>817</v>
      </c>
      <c r="J366" s="72" t="s">
        <v>817</v>
      </c>
      <c r="K366" s="73">
        <v>23.329814072204105</v>
      </c>
      <c r="L366" s="73">
        <v>1.2406120146552879</v>
      </c>
      <c r="M366" s="22" t="s">
        <v>801</v>
      </c>
      <c r="N366" s="80">
        <v>2010</v>
      </c>
      <c r="O366" s="22" t="s">
        <v>773</v>
      </c>
      <c r="P366" s="22" t="s">
        <v>802</v>
      </c>
      <c r="Q366" s="22" t="s">
        <v>803</v>
      </c>
      <c r="R366" s="22">
        <v>10</v>
      </c>
      <c r="S366" s="33"/>
    </row>
    <row r="367" spans="1:19" ht="25.5" x14ac:dyDescent="0.2">
      <c r="A367" s="22" t="s">
        <v>104</v>
      </c>
      <c r="B367" s="22" t="s">
        <v>793</v>
      </c>
      <c r="C367" s="22" t="s">
        <v>703</v>
      </c>
      <c r="D367" s="22">
        <v>38500</v>
      </c>
      <c r="E367" s="22">
        <v>8000</v>
      </c>
      <c r="F367" s="72">
        <v>0.79220779220779225</v>
      </c>
      <c r="G367" s="72" t="s">
        <v>817</v>
      </c>
      <c r="H367" s="72" t="s">
        <v>817</v>
      </c>
      <c r="I367" s="72" t="s">
        <v>817</v>
      </c>
      <c r="J367" s="72" t="s">
        <v>817</v>
      </c>
      <c r="K367" s="73">
        <v>23.477005328180152</v>
      </c>
      <c r="L367" s="73">
        <v>0.95674316384433233</v>
      </c>
      <c r="M367" s="22" t="s">
        <v>801</v>
      </c>
      <c r="N367" s="80">
        <v>2010</v>
      </c>
      <c r="O367" s="22" t="s">
        <v>773</v>
      </c>
      <c r="P367" s="22" t="s">
        <v>802</v>
      </c>
      <c r="Q367" s="22" t="s">
        <v>803</v>
      </c>
      <c r="R367" s="22">
        <v>10</v>
      </c>
      <c r="S367" s="33"/>
    </row>
    <row r="368" spans="1:19" ht="25.5" x14ac:dyDescent="0.2">
      <c r="A368" s="22" t="s">
        <v>213</v>
      </c>
      <c r="B368" s="22" t="s">
        <v>793</v>
      </c>
      <c r="C368" s="22" t="s">
        <v>703</v>
      </c>
      <c r="D368" s="22">
        <v>38500</v>
      </c>
      <c r="E368" s="22">
        <v>3000</v>
      </c>
      <c r="F368" s="72">
        <v>0.92207792207792205</v>
      </c>
      <c r="G368" s="72" t="s">
        <v>817</v>
      </c>
      <c r="H368" s="72" t="s">
        <v>817</v>
      </c>
      <c r="I368" s="72" t="s">
        <v>817</v>
      </c>
      <c r="J368" s="72" t="s">
        <v>817</v>
      </c>
      <c r="K368" s="73">
        <v>24.517857781153658</v>
      </c>
      <c r="L368" s="73">
        <v>1.4161901557124348</v>
      </c>
      <c r="M368" s="22" t="s">
        <v>801</v>
      </c>
      <c r="N368" s="74">
        <v>2010</v>
      </c>
      <c r="O368" s="22" t="s">
        <v>773</v>
      </c>
      <c r="P368" s="22" t="s">
        <v>802</v>
      </c>
      <c r="Q368" s="22" t="s">
        <v>803</v>
      </c>
      <c r="R368" s="22">
        <v>10</v>
      </c>
      <c r="S368" s="33"/>
    </row>
    <row r="369" spans="1:19" ht="25.5" x14ac:dyDescent="0.2">
      <c r="A369" s="22" t="s">
        <v>104</v>
      </c>
      <c r="B369" s="22" t="s">
        <v>793</v>
      </c>
      <c r="C369" s="22" t="s">
        <v>703</v>
      </c>
      <c r="D369" s="22">
        <v>38500</v>
      </c>
      <c r="E369" s="22">
        <v>3000</v>
      </c>
      <c r="F369" s="72">
        <v>0.92207792207792205</v>
      </c>
      <c r="G369" s="72" t="s">
        <v>817</v>
      </c>
      <c r="H369" s="72" t="s">
        <v>817</v>
      </c>
      <c r="I369" s="72" t="s">
        <v>817</v>
      </c>
      <c r="J369" s="72" t="s">
        <v>817</v>
      </c>
      <c r="K369" s="73">
        <v>24.665049037129709</v>
      </c>
      <c r="L369" s="73">
        <v>1.156502725526116</v>
      </c>
      <c r="M369" s="22" t="s">
        <v>801</v>
      </c>
      <c r="N369" s="74">
        <v>2010</v>
      </c>
      <c r="O369" s="22" t="s">
        <v>773</v>
      </c>
      <c r="P369" s="22" t="s">
        <v>802</v>
      </c>
      <c r="Q369" s="22" t="s">
        <v>803</v>
      </c>
      <c r="R369" s="22">
        <v>10</v>
      </c>
      <c r="S369" s="33"/>
    </row>
    <row r="370" spans="1:19" x14ac:dyDescent="0.2">
      <c r="A370" s="22" t="s">
        <v>213</v>
      </c>
      <c r="B370" s="22" t="s">
        <v>793</v>
      </c>
      <c r="C370" s="22" t="s">
        <v>703</v>
      </c>
      <c r="D370" s="22">
        <v>38500</v>
      </c>
      <c r="E370" s="22">
        <v>8000</v>
      </c>
      <c r="F370" s="72">
        <v>0.79220779220779225</v>
      </c>
      <c r="G370" s="22" t="s">
        <v>706</v>
      </c>
      <c r="H370" s="22">
        <v>9100</v>
      </c>
      <c r="I370" s="22">
        <v>1000</v>
      </c>
      <c r="J370" s="72">
        <v>0.89010989010989006</v>
      </c>
      <c r="K370" s="73">
        <v>25.821551762655822</v>
      </c>
      <c r="L370" s="73">
        <v>1.5665355100308298</v>
      </c>
      <c r="M370" s="22" t="s">
        <v>801</v>
      </c>
      <c r="N370" s="80">
        <v>2010</v>
      </c>
      <c r="O370" s="22" t="s">
        <v>773</v>
      </c>
      <c r="P370" s="22" t="s">
        <v>802</v>
      </c>
      <c r="Q370" s="22" t="s">
        <v>803</v>
      </c>
      <c r="R370" s="22">
        <v>10</v>
      </c>
      <c r="S370" s="33"/>
    </row>
    <row r="371" spans="1:19" x14ac:dyDescent="0.2">
      <c r="A371" s="22" t="s">
        <v>104</v>
      </c>
      <c r="B371" s="22" t="s">
        <v>793</v>
      </c>
      <c r="C371" s="22" t="s">
        <v>703</v>
      </c>
      <c r="D371" s="22">
        <v>38500</v>
      </c>
      <c r="E371" s="22">
        <v>8000</v>
      </c>
      <c r="F371" s="72">
        <v>0.79220779220779225</v>
      </c>
      <c r="G371" s="22" t="s">
        <v>706</v>
      </c>
      <c r="H371" s="22">
        <v>9100</v>
      </c>
      <c r="I371" s="22">
        <v>1000</v>
      </c>
      <c r="J371" s="72">
        <v>0.89010989010989006</v>
      </c>
      <c r="K371" s="73">
        <v>25.968743018631876</v>
      </c>
      <c r="L371" s="73">
        <v>1.2721529980787276</v>
      </c>
      <c r="M371" s="22" t="s">
        <v>801</v>
      </c>
      <c r="N371" s="80">
        <v>2010</v>
      </c>
      <c r="O371" s="22" t="s">
        <v>773</v>
      </c>
      <c r="P371" s="22" t="s">
        <v>802</v>
      </c>
      <c r="Q371" s="22" t="s">
        <v>803</v>
      </c>
      <c r="R371" s="22">
        <v>10</v>
      </c>
      <c r="S371" s="33"/>
    </row>
    <row r="372" spans="1:19" x14ac:dyDescent="0.2">
      <c r="A372" s="22" t="s">
        <v>213</v>
      </c>
      <c r="B372" s="22" t="s">
        <v>793</v>
      </c>
      <c r="C372" s="22" t="s">
        <v>703</v>
      </c>
      <c r="D372" s="22">
        <v>38500</v>
      </c>
      <c r="E372" s="22">
        <v>3000</v>
      </c>
      <c r="F372" s="72">
        <v>0.92207792207792205</v>
      </c>
      <c r="G372" s="22" t="s">
        <v>706</v>
      </c>
      <c r="H372" s="22">
        <v>9100</v>
      </c>
      <c r="I372" s="22">
        <v>100</v>
      </c>
      <c r="J372" s="72">
        <v>0.98901098901098905</v>
      </c>
      <c r="K372" s="73">
        <v>29.028218410705509</v>
      </c>
      <c r="L372" s="73">
        <v>1.8504043608417855</v>
      </c>
      <c r="M372" s="22" t="s">
        <v>801</v>
      </c>
      <c r="N372" s="74">
        <v>2010</v>
      </c>
      <c r="O372" s="22" t="s">
        <v>773</v>
      </c>
      <c r="P372" s="22" t="s">
        <v>802</v>
      </c>
      <c r="Q372" s="22" t="s">
        <v>803</v>
      </c>
      <c r="R372" s="22">
        <v>10</v>
      </c>
      <c r="S372" s="33"/>
    </row>
    <row r="373" spans="1:19" x14ac:dyDescent="0.2">
      <c r="A373" s="22" t="s">
        <v>104</v>
      </c>
      <c r="B373" s="22" t="s">
        <v>793</v>
      </c>
      <c r="C373" s="22" t="s">
        <v>703</v>
      </c>
      <c r="D373" s="22">
        <v>38500</v>
      </c>
      <c r="E373" s="22">
        <v>3000</v>
      </c>
      <c r="F373" s="72">
        <v>0.92207792207792205</v>
      </c>
      <c r="G373" s="22" t="s">
        <v>706</v>
      </c>
      <c r="H373" s="22">
        <v>9100</v>
      </c>
      <c r="I373" s="22">
        <v>100</v>
      </c>
      <c r="J373" s="72">
        <v>0.98901098901098905</v>
      </c>
      <c r="K373" s="73">
        <v>29.17540966668156</v>
      </c>
      <c r="L373" s="73">
        <v>1.5665355100308298</v>
      </c>
      <c r="M373" s="22" t="s">
        <v>801</v>
      </c>
      <c r="N373" s="74">
        <v>2010</v>
      </c>
      <c r="O373" s="22" t="s">
        <v>773</v>
      </c>
      <c r="P373" s="22" t="s">
        <v>802</v>
      </c>
      <c r="Q373" s="22" t="s">
        <v>803</v>
      </c>
      <c r="R373" s="22">
        <v>10</v>
      </c>
      <c r="S373" s="33"/>
    </row>
    <row r="374" spans="1:19" x14ac:dyDescent="0.2">
      <c r="A374" s="22" t="s">
        <v>104</v>
      </c>
      <c r="B374" s="22" t="s">
        <v>793</v>
      </c>
      <c r="C374" s="22" t="s">
        <v>703</v>
      </c>
      <c r="D374" s="22">
        <v>38500</v>
      </c>
      <c r="E374" s="22">
        <v>3000</v>
      </c>
      <c r="F374" s="72">
        <v>0.92207792207792205</v>
      </c>
      <c r="G374" s="22" t="s">
        <v>706</v>
      </c>
      <c r="H374" s="22">
        <v>9100</v>
      </c>
      <c r="I374" s="22">
        <v>100</v>
      </c>
      <c r="J374" s="72">
        <v>0.98901098901098905</v>
      </c>
      <c r="K374" s="73">
        <v>98.397354619990182</v>
      </c>
      <c r="L374" s="73">
        <v>0.3574644787989813</v>
      </c>
      <c r="M374" s="22" t="s">
        <v>815</v>
      </c>
      <c r="N374" s="74">
        <v>2010</v>
      </c>
      <c r="O374" s="22" t="s">
        <v>773</v>
      </c>
      <c r="P374" s="22" t="s">
        <v>802</v>
      </c>
      <c r="Q374" s="22" t="s">
        <v>803</v>
      </c>
      <c r="R374" s="22">
        <v>10</v>
      </c>
      <c r="S374" s="33"/>
    </row>
  </sheetData>
  <autoFilter ref="A4:S374">
    <sortState ref="A6:R372">
      <sortCondition ref="Q2:Q350"/>
    </sortState>
  </autoFilter>
  <mergeCells count="13">
    <mergeCell ref="S3:S4"/>
    <mergeCell ref="M3:M4"/>
    <mergeCell ref="N3:N4"/>
    <mergeCell ref="O3:O4"/>
    <mergeCell ref="P3:P4"/>
    <mergeCell ref="Q3:Q4"/>
    <mergeCell ref="R3:R4"/>
    <mergeCell ref="L3:L4"/>
    <mergeCell ref="A3:A4"/>
    <mergeCell ref="B3:B4"/>
    <mergeCell ref="C3:F3"/>
    <mergeCell ref="G3:J3"/>
    <mergeCell ref="K3:K4"/>
  </mergeCells>
  <pageMargins left="0.7" right="0.7" top="0.75" bottom="0.75" header="0.3" footer="0.3"/>
  <pageSetup paperSize="5" scale="69" fitToHeight="2"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W25"/>
  <sheetViews>
    <sheetView showGridLines="0" zoomScaleNormal="100" workbookViewId="0">
      <pane xSplit="1" ySplit="4" topLeftCell="P5" activePane="bottomRight" state="frozen"/>
      <selection activeCell="B5" sqref="B5:C7"/>
      <selection pane="topRight" activeCell="B5" sqref="B5:C7"/>
      <selection pane="bottomLeft" activeCell="B5" sqref="B5:C7"/>
      <selection pane="bottomRight"/>
    </sheetView>
  </sheetViews>
  <sheetFormatPr defaultColWidth="8.85546875" defaultRowHeight="12.75" x14ac:dyDescent="0.2"/>
  <cols>
    <col min="1" max="1" width="13.42578125" style="85" customWidth="1"/>
    <col min="2" max="2" width="23.140625" style="85" bestFit="1" customWidth="1"/>
    <col min="3" max="3" width="17.42578125" style="85" customWidth="1"/>
    <col min="4" max="4" width="12.7109375" style="85" customWidth="1"/>
    <col min="5" max="5" width="19.5703125" style="85" customWidth="1"/>
    <col min="6" max="6" width="12.7109375" style="85" customWidth="1"/>
    <col min="7" max="7" width="18.5703125" style="85" customWidth="1"/>
    <col min="8" max="8" width="12.7109375" style="85" customWidth="1"/>
    <col min="9" max="9" width="17.85546875" style="85" customWidth="1"/>
    <col min="10" max="10" width="12.7109375" style="85" customWidth="1"/>
    <col min="11" max="11" width="16.7109375" style="85" customWidth="1"/>
    <col min="12" max="12" width="11" style="85" customWidth="1"/>
    <col min="13" max="13" width="17.7109375" style="85" customWidth="1"/>
    <col min="14" max="14" width="10.7109375" style="85" customWidth="1"/>
    <col min="15" max="15" width="10" style="85" customWidth="1"/>
    <col min="16" max="16" width="10.5703125" style="85" customWidth="1"/>
    <col min="17" max="17" width="24.7109375" style="85" bestFit="1" customWidth="1"/>
    <col min="18" max="18" width="18.5703125" style="85" customWidth="1"/>
    <col min="19" max="20" width="15.140625" style="85" customWidth="1"/>
    <col min="21" max="21" width="88.42578125" style="88" customWidth="1"/>
    <col min="22" max="22" width="10.85546875" style="85" bestFit="1" customWidth="1"/>
    <col min="23" max="23" width="181.28515625" style="85" bestFit="1" customWidth="1"/>
    <col min="24" max="16384" width="8.85546875" style="85"/>
  </cols>
  <sheetData>
    <row r="1" spans="1:23" s="5" customFormat="1" ht="16.5" customHeight="1" x14ac:dyDescent="0.2">
      <c r="A1" s="158"/>
      <c r="B1" s="11"/>
      <c r="C1" s="11"/>
      <c r="D1" s="11"/>
      <c r="E1" s="11"/>
    </row>
    <row r="2" spans="1:23" s="5" customFormat="1" ht="16.5" customHeight="1" x14ac:dyDescent="0.2">
      <c r="A2" s="123"/>
      <c r="B2" s="123"/>
      <c r="C2" s="123"/>
      <c r="D2" s="123"/>
      <c r="E2" s="11"/>
    </row>
    <row r="3" spans="1:23" ht="14.45" customHeight="1" x14ac:dyDescent="0.2">
      <c r="A3" s="211" t="s">
        <v>778</v>
      </c>
      <c r="B3" s="211" t="s">
        <v>788</v>
      </c>
      <c r="C3" s="217" t="s">
        <v>1057</v>
      </c>
      <c r="D3" s="217"/>
      <c r="E3" s="217" t="s">
        <v>1290</v>
      </c>
      <c r="F3" s="217"/>
      <c r="G3" s="217" t="s">
        <v>704</v>
      </c>
      <c r="H3" s="217"/>
      <c r="I3" s="217" t="s">
        <v>707</v>
      </c>
      <c r="J3" s="217"/>
      <c r="K3" s="211" t="s">
        <v>782</v>
      </c>
      <c r="L3" s="211" t="s">
        <v>1010</v>
      </c>
      <c r="M3" s="211" t="s">
        <v>1011</v>
      </c>
      <c r="N3" s="211" t="s">
        <v>1010</v>
      </c>
      <c r="O3" s="211" t="s">
        <v>784</v>
      </c>
      <c r="P3" s="211" t="s">
        <v>785</v>
      </c>
      <c r="Q3" s="211" t="s">
        <v>786</v>
      </c>
      <c r="R3" s="211" t="s">
        <v>787</v>
      </c>
      <c r="S3" s="211" t="s">
        <v>1261</v>
      </c>
      <c r="T3" s="215" t="s">
        <v>1262</v>
      </c>
      <c r="U3" s="211" t="s">
        <v>789</v>
      </c>
    </row>
    <row r="4" spans="1:23" ht="58.9" customHeight="1" x14ac:dyDescent="0.25">
      <c r="A4" s="211"/>
      <c r="B4" s="211"/>
      <c r="C4" s="57" t="s">
        <v>780</v>
      </c>
      <c r="D4" s="57" t="s">
        <v>781</v>
      </c>
      <c r="E4" s="57" t="s">
        <v>780</v>
      </c>
      <c r="F4" s="57" t="s">
        <v>781</v>
      </c>
      <c r="G4" s="57" t="s">
        <v>780</v>
      </c>
      <c r="H4" s="57" t="s">
        <v>781</v>
      </c>
      <c r="I4" s="57" t="s">
        <v>780</v>
      </c>
      <c r="J4" s="57" t="s">
        <v>781</v>
      </c>
      <c r="K4" s="211"/>
      <c r="L4" s="211"/>
      <c r="M4" s="211"/>
      <c r="N4" s="211"/>
      <c r="O4" s="211"/>
      <c r="P4" s="211"/>
      <c r="Q4" s="211"/>
      <c r="R4" s="211"/>
      <c r="S4" s="211"/>
      <c r="T4" s="216"/>
      <c r="U4" s="211"/>
      <c r="V4"/>
      <c r="W4"/>
    </row>
    <row r="5" spans="1:23" s="86" customFormat="1" ht="38.25" x14ac:dyDescent="0.25">
      <c r="A5" s="8" t="s">
        <v>1016</v>
      </c>
      <c r="B5" s="8" t="s">
        <v>793</v>
      </c>
      <c r="C5" s="8">
        <v>13500</v>
      </c>
      <c r="D5" s="8" t="s">
        <v>817</v>
      </c>
      <c r="E5" s="8">
        <v>3200</v>
      </c>
      <c r="F5" s="8" t="s">
        <v>817</v>
      </c>
      <c r="G5" s="8">
        <v>10300</v>
      </c>
      <c r="H5" s="8" t="s">
        <v>817</v>
      </c>
      <c r="I5" s="8">
        <v>5100</v>
      </c>
      <c r="J5" s="8" t="s">
        <v>817</v>
      </c>
      <c r="K5" s="87">
        <v>5902128.4938398479</v>
      </c>
      <c r="L5" s="8" t="s">
        <v>1017</v>
      </c>
      <c r="M5" s="87">
        <v>2785163.5412807856</v>
      </c>
      <c r="N5" s="8" t="s">
        <v>1017</v>
      </c>
      <c r="O5" s="8" t="s">
        <v>817</v>
      </c>
      <c r="P5" s="8">
        <v>2003</v>
      </c>
      <c r="Q5" s="8" t="s">
        <v>775</v>
      </c>
      <c r="R5" s="8" t="s">
        <v>1018</v>
      </c>
      <c r="S5" s="8" t="s">
        <v>817</v>
      </c>
      <c r="T5" s="8" t="s">
        <v>817</v>
      </c>
      <c r="U5" s="16" t="s">
        <v>1020</v>
      </c>
      <c r="V5"/>
      <c r="W5"/>
    </row>
    <row r="6" spans="1:23" ht="38.25" x14ac:dyDescent="0.2">
      <c r="A6" s="8" t="s">
        <v>1016</v>
      </c>
      <c r="B6" s="8" t="s">
        <v>793</v>
      </c>
      <c r="C6" s="8">
        <v>1900</v>
      </c>
      <c r="D6" s="8" t="s">
        <v>817</v>
      </c>
      <c r="E6" s="8">
        <v>1340</v>
      </c>
      <c r="F6" s="8" t="s">
        <v>817</v>
      </c>
      <c r="G6" s="8">
        <v>520</v>
      </c>
      <c r="H6" s="8" t="s">
        <v>817</v>
      </c>
      <c r="I6" s="8">
        <v>2300</v>
      </c>
      <c r="J6" s="8" t="s">
        <v>817</v>
      </c>
      <c r="K6" s="87">
        <v>5360842.2932375753</v>
      </c>
      <c r="L6" s="8" t="s">
        <v>1017</v>
      </c>
      <c r="M6" s="87">
        <v>1764452.4201450711</v>
      </c>
      <c r="N6" s="8" t="s">
        <v>1017</v>
      </c>
      <c r="O6" s="8" t="s">
        <v>817</v>
      </c>
      <c r="P6" s="8">
        <v>2003</v>
      </c>
      <c r="Q6" s="8" t="s">
        <v>775</v>
      </c>
      <c r="R6" s="8" t="s">
        <v>1018</v>
      </c>
      <c r="S6" s="8" t="s">
        <v>817</v>
      </c>
      <c r="T6" s="8" t="s">
        <v>817</v>
      </c>
      <c r="U6" s="16" t="s">
        <v>1026</v>
      </c>
    </row>
    <row r="7" spans="1:23" ht="38.25" x14ac:dyDescent="0.2">
      <c r="A7" s="8" t="s">
        <v>1016</v>
      </c>
      <c r="B7" s="8" t="s">
        <v>793</v>
      </c>
      <c r="C7" s="8">
        <v>34000</v>
      </c>
      <c r="D7" s="8" t="s">
        <v>817</v>
      </c>
      <c r="E7" s="8">
        <v>3600</v>
      </c>
      <c r="F7" s="8" t="s">
        <v>817</v>
      </c>
      <c r="G7" s="8">
        <v>30600</v>
      </c>
      <c r="H7" s="8" t="s">
        <v>817</v>
      </c>
      <c r="I7" s="8">
        <v>8300</v>
      </c>
      <c r="J7" s="8" t="s">
        <v>817</v>
      </c>
      <c r="K7" s="87">
        <v>4735199.8016323503</v>
      </c>
      <c r="L7" s="8" t="s">
        <v>1017</v>
      </c>
      <c r="M7" s="87">
        <v>2298708.9298304315</v>
      </c>
      <c r="N7" s="8" t="s">
        <v>1017</v>
      </c>
      <c r="O7" s="8" t="s">
        <v>817</v>
      </c>
      <c r="P7" s="8">
        <v>2003</v>
      </c>
      <c r="Q7" s="8" t="s">
        <v>775</v>
      </c>
      <c r="R7" s="8" t="s">
        <v>1018</v>
      </c>
      <c r="S7" s="8" t="s">
        <v>817</v>
      </c>
      <c r="T7" s="8" t="s">
        <v>817</v>
      </c>
      <c r="U7" s="16" t="s">
        <v>1019</v>
      </c>
    </row>
    <row r="8" spans="1:23" ht="38.25" x14ac:dyDescent="0.2">
      <c r="A8" s="8" t="s">
        <v>751</v>
      </c>
      <c r="B8" s="8" t="s">
        <v>793</v>
      </c>
      <c r="C8" s="8">
        <v>34000</v>
      </c>
      <c r="D8" s="8" t="s">
        <v>817</v>
      </c>
      <c r="E8" s="8">
        <v>4970</v>
      </c>
      <c r="F8" s="8" t="s">
        <v>817</v>
      </c>
      <c r="G8" s="8">
        <v>29200</v>
      </c>
      <c r="H8" s="8" t="s">
        <v>817</v>
      </c>
      <c r="I8" s="8" t="s">
        <v>817</v>
      </c>
      <c r="J8" s="8" t="s">
        <v>817</v>
      </c>
      <c r="K8" s="87">
        <v>3693399.607745898</v>
      </c>
      <c r="L8" s="8" t="s">
        <v>1017</v>
      </c>
      <c r="M8" s="87">
        <v>153247.26198869542</v>
      </c>
      <c r="N8" s="8" t="s">
        <v>1017</v>
      </c>
      <c r="O8" s="8" t="s">
        <v>817</v>
      </c>
      <c r="P8" s="8">
        <v>2003</v>
      </c>
      <c r="Q8" s="8" t="s">
        <v>775</v>
      </c>
      <c r="R8" s="8" t="s">
        <v>1018</v>
      </c>
      <c r="S8" s="8" t="s">
        <v>817</v>
      </c>
      <c r="T8" s="8" t="s">
        <v>817</v>
      </c>
      <c r="U8" s="16" t="s">
        <v>1027</v>
      </c>
    </row>
    <row r="9" spans="1:23" ht="38.25" x14ac:dyDescent="0.2">
      <c r="A9" s="8" t="s">
        <v>751</v>
      </c>
      <c r="B9" s="8" t="s">
        <v>793</v>
      </c>
      <c r="C9" s="8">
        <v>34000</v>
      </c>
      <c r="D9" s="8" t="s">
        <v>817</v>
      </c>
      <c r="E9" s="8">
        <v>3600</v>
      </c>
      <c r="F9" s="8" t="s">
        <v>817</v>
      </c>
      <c r="G9" s="8">
        <v>30600</v>
      </c>
      <c r="H9" s="8" t="s">
        <v>817</v>
      </c>
      <c r="I9" s="8" t="s">
        <v>817</v>
      </c>
      <c r="J9" s="8" t="s">
        <v>817</v>
      </c>
      <c r="K9" s="87">
        <v>3638568.0185939795</v>
      </c>
      <c r="L9" s="8" t="s">
        <v>1017</v>
      </c>
      <c r="M9" s="87">
        <v>894176.68463128712</v>
      </c>
      <c r="N9" s="8" t="s">
        <v>1017</v>
      </c>
      <c r="O9" s="8" t="s">
        <v>817</v>
      </c>
      <c r="P9" s="8">
        <v>2003</v>
      </c>
      <c r="Q9" s="8" t="s">
        <v>775</v>
      </c>
      <c r="R9" s="8" t="s">
        <v>1018</v>
      </c>
      <c r="S9" s="8" t="s">
        <v>817</v>
      </c>
      <c r="T9" s="8" t="s">
        <v>817</v>
      </c>
      <c r="U9" s="16" t="s">
        <v>1019</v>
      </c>
    </row>
    <row r="10" spans="1:23" ht="38.25" x14ac:dyDescent="0.2">
      <c r="A10" s="8" t="s">
        <v>1016</v>
      </c>
      <c r="B10" s="8" t="s">
        <v>793</v>
      </c>
      <c r="C10" s="8">
        <v>34000</v>
      </c>
      <c r="D10" s="8" t="s">
        <v>817</v>
      </c>
      <c r="E10" s="8">
        <v>4970</v>
      </c>
      <c r="F10" s="8" t="s">
        <v>817</v>
      </c>
      <c r="G10" s="8">
        <v>29200</v>
      </c>
      <c r="H10" s="8" t="s">
        <v>817</v>
      </c>
      <c r="I10" s="8">
        <v>4200</v>
      </c>
      <c r="J10" s="8" t="s">
        <v>817</v>
      </c>
      <c r="K10" s="87">
        <v>2598173.7628909098</v>
      </c>
      <c r="L10" s="8" t="s">
        <v>1017</v>
      </c>
      <c r="M10" s="87">
        <v>1024928.9356858621</v>
      </c>
      <c r="N10" s="8" t="s">
        <v>1017</v>
      </c>
      <c r="O10" s="8" t="s">
        <v>817</v>
      </c>
      <c r="P10" s="8">
        <v>2003</v>
      </c>
      <c r="Q10" s="8" t="s">
        <v>775</v>
      </c>
      <c r="R10" s="8" t="s">
        <v>1018</v>
      </c>
      <c r="S10" s="8" t="s">
        <v>817</v>
      </c>
      <c r="T10" s="8" t="s">
        <v>817</v>
      </c>
      <c r="U10" s="16" t="s">
        <v>1025</v>
      </c>
    </row>
    <row r="11" spans="1:23" ht="38.25" x14ac:dyDescent="0.2">
      <c r="A11" s="8" t="s">
        <v>751</v>
      </c>
      <c r="B11" s="8" t="s">
        <v>793</v>
      </c>
      <c r="C11" s="8">
        <v>34000</v>
      </c>
      <c r="D11" s="8" t="s">
        <v>817</v>
      </c>
      <c r="E11" s="8">
        <v>4970</v>
      </c>
      <c r="F11" s="8" t="s">
        <v>817</v>
      </c>
      <c r="G11" s="8">
        <v>29200</v>
      </c>
      <c r="H11" s="8" t="s">
        <v>817</v>
      </c>
      <c r="I11" s="8" t="s">
        <v>817</v>
      </c>
      <c r="J11" s="8" t="s">
        <v>817</v>
      </c>
      <c r="K11" s="87">
        <v>2160926.9878589436</v>
      </c>
      <c r="L11" s="8" t="s">
        <v>1017</v>
      </c>
      <c r="M11" s="87">
        <v>514573.37511800486</v>
      </c>
      <c r="N11" s="8" t="s">
        <v>1017</v>
      </c>
      <c r="O11" s="8" t="s">
        <v>817</v>
      </c>
      <c r="P11" s="8">
        <v>2003</v>
      </c>
      <c r="Q11" s="8" t="s">
        <v>775</v>
      </c>
      <c r="R11" s="8" t="s">
        <v>1018</v>
      </c>
      <c r="S11" s="8" t="s">
        <v>817</v>
      </c>
      <c r="T11" s="8" t="s">
        <v>817</v>
      </c>
      <c r="U11" s="16" t="s">
        <v>1025</v>
      </c>
    </row>
    <row r="12" spans="1:23" ht="38.25" x14ac:dyDescent="0.2">
      <c r="A12" s="8" t="s">
        <v>736</v>
      </c>
      <c r="B12" s="8" t="s">
        <v>793</v>
      </c>
      <c r="C12" s="8" t="s">
        <v>817</v>
      </c>
      <c r="D12" s="8" t="s">
        <v>817</v>
      </c>
      <c r="E12" s="8">
        <v>3600</v>
      </c>
      <c r="F12" s="8" t="s">
        <v>817</v>
      </c>
      <c r="G12" s="8" t="s">
        <v>817</v>
      </c>
      <c r="H12" s="8" t="s">
        <v>817</v>
      </c>
      <c r="I12" s="8" t="s">
        <v>817</v>
      </c>
      <c r="J12" s="8" t="s">
        <v>817</v>
      </c>
      <c r="K12" s="87">
        <v>1317364.0778294276</v>
      </c>
      <c r="L12" s="8" t="s">
        <v>1017</v>
      </c>
      <c r="M12" s="87">
        <v>390850.81498034246</v>
      </c>
      <c r="N12" s="8" t="s">
        <v>1017</v>
      </c>
      <c r="O12" s="8" t="s">
        <v>817</v>
      </c>
      <c r="P12" s="8">
        <v>2003</v>
      </c>
      <c r="Q12" s="8" t="s">
        <v>775</v>
      </c>
      <c r="R12" s="8" t="s">
        <v>1018</v>
      </c>
      <c r="S12" s="8" t="s">
        <v>817</v>
      </c>
      <c r="T12" s="8" t="s">
        <v>817</v>
      </c>
      <c r="U12" s="16" t="s">
        <v>1030</v>
      </c>
    </row>
    <row r="13" spans="1:23" ht="38.25" x14ac:dyDescent="0.2">
      <c r="A13" s="8" t="s">
        <v>1016</v>
      </c>
      <c r="B13" s="8" t="s">
        <v>793</v>
      </c>
      <c r="C13" s="8">
        <v>1900</v>
      </c>
      <c r="D13" s="8" t="s">
        <v>817</v>
      </c>
      <c r="E13" s="8">
        <v>1340</v>
      </c>
      <c r="F13" s="8" t="s">
        <v>817</v>
      </c>
      <c r="G13" s="8">
        <v>520</v>
      </c>
      <c r="H13" s="8" t="s">
        <v>817</v>
      </c>
      <c r="I13" s="8">
        <v>2300</v>
      </c>
      <c r="J13" s="8" t="s">
        <v>817</v>
      </c>
      <c r="K13" s="87">
        <v>1214730.5904425031</v>
      </c>
      <c r="L13" s="8" t="s">
        <v>1017</v>
      </c>
      <c r="M13" s="87">
        <v>507543.68420109217</v>
      </c>
      <c r="N13" s="8" t="s">
        <v>1017</v>
      </c>
      <c r="O13" s="8" t="s">
        <v>817</v>
      </c>
      <c r="P13" s="8">
        <v>2003</v>
      </c>
      <c r="Q13" s="8" t="s">
        <v>775</v>
      </c>
      <c r="R13" s="8" t="s">
        <v>1018</v>
      </c>
      <c r="S13" s="8" t="s">
        <v>817</v>
      </c>
      <c r="T13" s="8" t="s">
        <v>817</v>
      </c>
      <c r="U13" s="16" t="s">
        <v>1028</v>
      </c>
    </row>
    <row r="14" spans="1:23" ht="25.5" x14ac:dyDescent="0.2">
      <c r="A14" s="8" t="s">
        <v>736</v>
      </c>
      <c r="B14" s="8" t="s">
        <v>793</v>
      </c>
      <c r="C14" s="8" t="s">
        <v>817</v>
      </c>
      <c r="D14" s="8" t="s">
        <v>817</v>
      </c>
      <c r="E14" s="8">
        <v>4970</v>
      </c>
      <c r="F14" s="8" t="s">
        <v>817</v>
      </c>
      <c r="G14" s="8" t="s">
        <v>817</v>
      </c>
      <c r="H14" s="8" t="s">
        <v>817</v>
      </c>
      <c r="I14" s="8" t="s">
        <v>817</v>
      </c>
      <c r="J14" s="8" t="s">
        <v>817</v>
      </c>
      <c r="K14" s="87">
        <v>1034770.5029695397</v>
      </c>
      <c r="L14" s="8" t="s">
        <v>1017</v>
      </c>
      <c r="M14" s="87">
        <v>286811.38941003545</v>
      </c>
      <c r="N14" s="8" t="s">
        <v>1017</v>
      </c>
      <c r="O14" s="8" t="s">
        <v>817</v>
      </c>
      <c r="P14" s="8">
        <v>2003</v>
      </c>
      <c r="Q14" s="8" t="s">
        <v>775</v>
      </c>
      <c r="R14" s="8" t="s">
        <v>1018</v>
      </c>
      <c r="S14" s="8" t="s">
        <v>817</v>
      </c>
      <c r="T14" s="8" t="s">
        <v>817</v>
      </c>
      <c r="U14" s="16" t="s">
        <v>1033</v>
      </c>
    </row>
    <row r="15" spans="1:23" ht="38.25" x14ac:dyDescent="0.2">
      <c r="A15" s="8" t="s">
        <v>1016</v>
      </c>
      <c r="B15" s="8" t="s">
        <v>793</v>
      </c>
      <c r="C15" s="8">
        <v>13500</v>
      </c>
      <c r="D15" s="8" t="s">
        <v>817</v>
      </c>
      <c r="E15" s="8">
        <v>3200</v>
      </c>
      <c r="F15" s="8" t="s">
        <v>817</v>
      </c>
      <c r="G15" s="8">
        <v>10300</v>
      </c>
      <c r="H15" s="8" t="s">
        <v>817</v>
      </c>
      <c r="I15" s="8" t="s">
        <v>817</v>
      </c>
      <c r="J15" s="8" t="s">
        <v>817</v>
      </c>
      <c r="K15" s="87">
        <v>949008.27378320566</v>
      </c>
      <c r="L15" s="8" t="s">
        <v>1017</v>
      </c>
      <c r="M15" s="87">
        <v>830909.46637907333</v>
      </c>
      <c r="N15" s="8" t="s">
        <v>1017</v>
      </c>
      <c r="O15" s="8" t="s">
        <v>817</v>
      </c>
      <c r="P15" s="8">
        <v>2003</v>
      </c>
      <c r="Q15" s="8" t="s">
        <v>775</v>
      </c>
      <c r="R15" s="8" t="s">
        <v>1018</v>
      </c>
      <c r="S15" s="8" t="s">
        <v>817</v>
      </c>
      <c r="T15" s="8" t="s">
        <v>817</v>
      </c>
      <c r="U15" s="16" t="s">
        <v>1029</v>
      </c>
    </row>
    <row r="16" spans="1:23" ht="38.25" x14ac:dyDescent="0.2">
      <c r="A16" s="8" t="s">
        <v>1016</v>
      </c>
      <c r="B16" s="8" t="s">
        <v>793</v>
      </c>
      <c r="C16" s="8">
        <v>13500</v>
      </c>
      <c r="D16" s="8" t="s">
        <v>817</v>
      </c>
      <c r="E16" s="8">
        <v>3200</v>
      </c>
      <c r="F16" s="8" t="s">
        <v>817</v>
      </c>
      <c r="G16" s="8">
        <v>10300</v>
      </c>
      <c r="H16" s="8" t="s">
        <v>817</v>
      </c>
      <c r="I16" s="8">
        <v>5100</v>
      </c>
      <c r="J16" s="8" t="s">
        <v>817</v>
      </c>
      <c r="K16" s="87">
        <v>826691.65182892582</v>
      </c>
      <c r="L16" s="8" t="s">
        <v>1017</v>
      </c>
      <c r="M16" s="87">
        <v>309306.4003441559</v>
      </c>
      <c r="N16" s="8" t="s">
        <v>1017</v>
      </c>
      <c r="O16" s="8" t="s">
        <v>817</v>
      </c>
      <c r="P16" s="8">
        <v>2003</v>
      </c>
      <c r="Q16" s="8" t="s">
        <v>775</v>
      </c>
      <c r="R16" s="8" t="s">
        <v>1018</v>
      </c>
      <c r="S16" s="8" t="s">
        <v>817</v>
      </c>
      <c r="T16" s="8" t="s">
        <v>817</v>
      </c>
      <c r="U16" s="16" t="s">
        <v>1022</v>
      </c>
    </row>
    <row r="17" spans="1:21" ht="38.25" x14ac:dyDescent="0.2">
      <c r="A17" s="8" t="s">
        <v>1016</v>
      </c>
      <c r="B17" s="8" t="s">
        <v>793</v>
      </c>
      <c r="C17" s="8">
        <v>34000</v>
      </c>
      <c r="D17" s="8" t="s">
        <v>817</v>
      </c>
      <c r="E17" s="8">
        <v>3600</v>
      </c>
      <c r="F17" s="8" t="s">
        <v>817</v>
      </c>
      <c r="G17" s="8">
        <v>30600</v>
      </c>
      <c r="H17" s="8" t="s">
        <v>817</v>
      </c>
      <c r="I17" s="8">
        <v>5100</v>
      </c>
      <c r="J17" s="8" t="s">
        <v>817</v>
      </c>
      <c r="K17" s="87">
        <v>738117.54627582664</v>
      </c>
      <c r="L17" s="8" t="s">
        <v>1017</v>
      </c>
      <c r="M17" s="87">
        <v>607365.29522125155</v>
      </c>
      <c r="N17" s="8" t="s">
        <v>1017</v>
      </c>
      <c r="O17" s="8" t="s">
        <v>817</v>
      </c>
      <c r="P17" s="8">
        <v>2003</v>
      </c>
      <c r="Q17" s="8" t="s">
        <v>775</v>
      </c>
      <c r="R17" s="8" t="s">
        <v>1018</v>
      </c>
      <c r="S17" s="8" t="s">
        <v>817</v>
      </c>
      <c r="T17" s="8" t="s">
        <v>817</v>
      </c>
      <c r="U17" s="16" t="s">
        <v>1024</v>
      </c>
    </row>
    <row r="18" spans="1:21" ht="38.25" x14ac:dyDescent="0.2">
      <c r="A18" s="8" t="s">
        <v>1016</v>
      </c>
      <c r="B18" s="8" t="s">
        <v>793</v>
      </c>
      <c r="C18" s="8">
        <v>34000</v>
      </c>
      <c r="D18" s="8" t="s">
        <v>817</v>
      </c>
      <c r="E18" s="8">
        <v>4970</v>
      </c>
      <c r="F18" s="8" t="s">
        <v>817</v>
      </c>
      <c r="G18" s="8">
        <v>29200</v>
      </c>
      <c r="H18" s="8" t="s">
        <v>817</v>
      </c>
      <c r="I18" s="8">
        <v>4200</v>
      </c>
      <c r="J18" s="8" t="s">
        <v>817</v>
      </c>
      <c r="K18" s="87">
        <v>591899.97520404379</v>
      </c>
      <c r="L18" s="8" t="s">
        <v>1017</v>
      </c>
      <c r="M18" s="87">
        <v>229167.92389135188</v>
      </c>
      <c r="N18" s="8" t="s">
        <v>1017</v>
      </c>
      <c r="O18" s="8" t="s">
        <v>817</v>
      </c>
      <c r="P18" s="8">
        <v>2003</v>
      </c>
      <c r="Q18" s="8" t="s">
        <v>775</v>
      </c>
      <c r="R18" s="8" t="s">
        <v>1018</v>
      </c>
      <c r="S18" s="8" t="s">
        <v>817</v>
      </c>
      <c r="T18" s="8" t="s">
        <v>817</v>
      </c>
      <c r="U18" s="16" t="s">
        <v>1027</v>
      </c>
    </row>
    <row r="19" spans="1:21" ht="38.25" x14ac:dyDescent="0.2">
      <c r="A19" s="8" t="s">
        <v>751</v>
      </c>
      <c r="B19" s="8" t="s">
        <v>793</v>
      </c>
      <c r="C19" s="8">
        <v>34000</v>
      </c>
      <c r="D19" s="8" t="s">
        <v>817</v>
      </c>
      <c r="E19" s="8">
        <v>3600</v>
      </c>
      <c r="F19" s="8" t="s">
        <v>817</v>
      </c>
      <c r="G19" s="8">
        <v>30600</v>
      </c>
      <c r="H19" s="8" t="s">
        <v>817</v>
      </c>
      <c r="I19" s="8">
        <v>8300</v>
      </c>
      <c r="J19" s="8" t="s">
        <v>817</v>
      </c>
      <c r="K19" s="87">
        <v>573622.7788200709</v>
      </c>
      <c r="L19" s="8" t="s">
        <v>1017</v>
      </c>
      <c r="M19" s="87">
        <v>230573.86207473441</v>
      </c>
      <c r="N19" s="8" t="s">
        <v>1017</v>
      </c>
      <c r="O19" s="8" t="s">
        <v>817</v>
      </c>
      <c r="P19" s="8">
        <v>2003</v>
      </c>
      <c r="Q19" s="8" t="s">
        <v>775</v>
      </c>
      <c r="R19" s="8" t="s">
        <v>1018</v>
      </c>
      <c r="S19" s="8" t="s">
        <v>817</v>
      </c>
      <c r="T19" s="8" t="s">
        <v>817</v>
      </c>
      <c r="U19" s="16" t="s">
        <v>1023</v>
      </c>
    </row>
    <row r="20" spans="1:21" ht="38.25" x14ac:dyDescent="0.2">
      <c r="A20" s="8" t="s">
        <v>1016</v>
      </c>
      <c r="B20" s="8" t="s">
        <v>793</v>
      </c>
      <c r="C20" s="8">
        <v>34000</v>
      </c>
      <c r="D20" s="8" t="s">
        <v>817</v>
      </c>
      <c r="E20" s="8">
        <v>3600</v>
      </c>
      <c r="F20" s="8" t="s">
        <v>817</v>
      </c>
      <c r="G20" s="8">
        <v>30600</v>
      </c>
      <c r="H20" s="8" t="s">
        <v>817</v>
      </c>
      <c r="I20" s="8">
        <v>8300</v>
      </c>
      <c r="J20" s="8" t="s">
        <v>817</v>
      </c>
      <c r="K20" s="87">
        <v>427405.20774828817</v>
      </c>
      <c r="L20" s="8" t="s">
        <v>1017</v>
      </c>
      <c r="M20" s="87">
        <v>139187.88015487016</v>
      </c>
      <c r="N20" s="8" t="s">
        <v>1017</v>
      </c>
      <c r="O20" s="8" t="s">
        <v>817</v>
      </c>
      <c r="P20" s="8">
        <v>2003</v>
      </c>
      <c r="Q20" s="8" t="s">
        <v>775</v>
      </c>
      <c r="R20" s="8" t="s">
        <v>1018</v>
      </c>
      <c r="S20" s="8" t="s">
        <v>817</v>
      </c>
      <c r="T20" s="8" t="s">
        <v>817</v>
      </c>
      <c r="U20" s="16" t="s">
        <v>1021</v>
      </c>
    </row>
    <row r="21" spans="1:21" ht="38.25" x14ac:dyDescent="0.2">
      <c r="A21" s="8" t="s">
        <v>751</v>
      </c>
      <c r="B21" s="8" t="s">
        <v>793</v>
      </c>
      <c r="C21" s="8">
        <v>34000</v>
      </c>
      <c r="D21" s="8" t="s">
        <v>817</v>
      </c>
      <c r="E21" s="8">
        <v>3600</v>
      </c>
      <c r="F21" s="8" t="s">
        <v>817</v>
      </c>
      <c r="G21" s="8">
        <v>30600</v>
      </c>
      <c r="H21" s="8" t="s">
        <v>817</v>
      </c>
      <c r="I21" s="8" t="s">
        <v>817</v>
      </c>
      <c r="J21" s="8" t="s">
        <v>817</v>
      </c>
      <c r="K21" s="87">
        <v>395068.62953049003</v>
      </c>
      <c r="L21" s="8" t="s">
        <v>1017</v>
      </c>
      <c r="M21" s="87">
        <v>127940.37468780995</v>
      </c>
      <c r="N21" s="8" t="s">
        <v>1017</v>
      </c>
      <c r="O21" s="8" t="s">
        <v>817</v>
      </c>
      <c r="P21" s="8">
        <v>2003</v>
      </c>
      <c r="Q21" s="8" t="s">
        <v>775</v>
      </c>
      <c r="R21" s="8" t="s">
        <v>1018</v>
      </c>
      <c r="S21" s="8" t="s">
        <v>817</v>
      </c>
      <c r="T21" s="8" t="s">
        <v>817</v>
      </c>
      <c r="U21" s="16" t="s">
        <v>1021</v>
      </c>
    </row>
    <row r="22" spans="1:21" ht="38.25" x14ac:dyDescent="0.2">
      <c r="A22" s="8" t="s">
        <v>736</v>
      </c>
      <c r="B22" s="8" t="s">
        <v>793</v>
      </c>
      <c r="C22" s="8">
        <v>3600</v>
      </c>
      <c r="D22" s="8" t="s">
        <v>817</v>
      </c>
      <c r="E22" s="8" t="s">
        <v>817</v>
      </c>
      <c r="F22" s="8" t="s">
        <v>817</v>
      </c>
      <c r="G22" s="8" t="s">
        <v>817</v>
      </c>
      <c r="H22" s="8" t="s">
        <v>817</v>
      </c>
      <c r="I22" s="8" t="s">
        <v>817</v>
      </c>
      <c r="J22" s="8" t="s">
        <v>817</v>
      </c>
      <c r="K22" s="87">
        <v>388038.9386135774</v>
      </c>
      <c r="L22" s="8" t="s">
        <v>1017</v>
      </c>
      <c r="M22" s="87">
        <v>102633.48738692446</v>
      </c>
      <c r="N22" s="8" t="s">
        <v>1017</v>
      </c>
      <c r="O22" s="8" t="s">
        <v>817</v>
      </c>
      <c r="P22" s="8">
        <v>2003</v>
      </c>
      <c r="Q22" s="8" t="s">
        <v>775</v>
      </c>
      <c r="R22" s="8" t="s">
        <v>1018</v>
      </c>
      <c r="S22" s="8" t="s">
        <v>817</v>
      </c>
      <c r="T22" s="8" t="s">
        <v>817</v>
      </c>
      <c r="U22" s="16" t="s">
        <v>1031</v>
      </c>
    </row>
    <row r="23" spans="1:21" ht="25.5" x14ac:dyDescent="0.2">
      <c r="A23" s="8" t="s">
        <v>736</v>
      </c>
      <c r="B23" s="8" t="s">
        <v>793</v>
      </c>
      <c r="C23" s="8">
        <v>4970</v>
      </c>
      <c r="D23" s="8" t="s">
        <v>817</v>
      </c>
      <c r="E23" s="8" t="s">
        <v>817</v>
      </c>
      <c r="F23" s="8" t="s">
        <v>817</v>
      </c>
      <c r="G23" s="8" t="s">
        <v>817</v>
      </c>
      <c r="H23" s="8" t="s">
        <v>817</v>
      </c>
      <c r="I23" s="8" t="s">
        <v>817</v>
      </c>
      <c r="J23" s="8" t="s">
        <v>817</v>
      </c>
      <c r="K23" s="87">
        <v>209484.78932399649</v>
      </c>
      <c r="L23" s="8" t="s">
        <v>1017</v>
      </c>
      <c r="M23" s="87">
        <v>87168.16736971667</v>
      </c>
      <c r="N23" s="8" t="s">
        <v>1017</v>
      </c>
      <c r="O23" s="8" t="s">
        <v>817</v>
      </c>
      <c r="P23" s="8">
        <v>2003</v>
      </c>
      <c r="Q23" s="8" t="s">
        <v>775</v>
      </c>
      <c r="R23" s="8" t="s">
        <v>1018</v>
      </c>
      <c r="S23" s="8" t="s">
        <v>817</v>
      </c>
      <c r="T23" s="8" t="s">
        <v>817</v>
      </c>
      <c r="U23" s="16" t="s">
        <v>1034</v>
      </c>
    </row>
    <row r="24" spans="1:21" ht="25.5" x14ac:dyDescent="0.2">
      <c r="A24" s="8" t="s">
        <v>736</v>
      </c>
      <c r="B24" s="8" t="s">
        <v>793</v>
      </c>
      <c r="C24" s="8">
        <v>3600</v>
      </c>
      <c r="D24" s="8" t="s">
        <v>817</v>
      </c>
      <c r="E24" s="8" t="s">
        <v>817</v>
      </c>
      <c r="F24" s="8" t="s">
        <v>817</v>
      </c>
      <c r="G24" s="8" t="s">
        <v>817</v>
      </c>
      <c r="H24" s="8" t="s">
        <v>817</v>
      </c>
      <c r="I24" s="8" t="s">
        <v>817</v>
      </c>
      <c r="J24" s="8" t="s">
        <v>817</v>
      </c>
      <c r="K24" s="87">
        <v>105445.36375368951</v>
      </c>
      <c r="L24" s="8" t="s">
        <v>1017</v>
      </c>
      <c r="M24" s="87">
        <v>52019.712785153497</v>
      </c>
      <c r="N24" s="8" t="s">
        <v>1017</v>
      </c>
      <c r="O24" s="8" t="s">
        <v>817</v>
      </c>
      <c r="P24" s="8">
        <v>2003</v>
      </c>
      <c r="Q24" s="8" t="s">
        <v>775</v>
      </c>
      <c r="R24" s="8" t="s">
        <v>1018</v>
      </c>
      <c r="S24" s="8" t="s">
        <v>817</v>
      </c>
      <c r="T24" s="8" t="s">
        <v>817</v>
      </c>
      <c r="U24" s="16" t="s">
        <v>1032</v>
      </c>
    </row>
    <row r="25" spans="1:21" ht="25.5" x14ac:dyDescent="0.2">
      <c r="A25" s="22" t="s">
        <v>1012</v>
      </c>
      <c r="B25" s="22" t="s">
        <v>793</v>
      </c>
      <c r="C25" s="22">
        <v>12000</v>
      </c>
      <c r="D25" s="77">
        <v>0.91240875912408759</v>
      </c>
      <c r="E25" s="8" t="s">
        <v>817</v>
      </c>
      <c r="F25" s="8" t="s">
        <v>817</v>
      </c>
      <c r="G25" s="8" t="s">
        <v>817</v>
      </c>
      <c r="H25" s="8" t="s">
        <v>817</v>
      </c>
      <c r="I25" s="8" t="s">
        <v>817</v>
      </c>
      <c r="J25" s="8" t="s">
        <v>817</v>
      </c>
      <c r="K25" s="73">
        <v>15.604939684016264</v>
      </c>
      <c r="L25" s="22" t="s">
        <v>1013</v>
      </c>
      <c r="M25" s="73" t="s">
        <v>817</v>
      </c>
      <c r="N25" s="73" t="s">
        <v>1006</v>
      </c>
      <c r="O25" s="22" t="s">
        <v>1014</v>
      </c>
      <c r="P25" s="22">
        <v>1999</v>
      </c>
      <c r="Q25" s="22" t="s">
        <v>773</v>
      </c>
      <c r="R25" s="22" t="s">
        <v>819</v>
      </c>
      <c r="S25" s="22" t="s">
        <v>800</v>
      </c>
      <c r="T25" s="22">
        <v>3</v>
      </c>
      <c r="U25" s="6" t="s">
        <v>1015</v>
      </c>
    </row>
  </sheetData>
  <autoFilter ref="A4:U25">
    <sortState ref="A6:Y62">
      <sortCondition descending="1" ref="K1:K62"/>
    </sortState>
  </autoFilter>
  <mergeCells count="17">
    <mergeCell ref="Q3:Q4"/>
    <mergeCell ref="R3:R4"/>
    <mergeCell ref="S3:S4"/>
    <mergeCell ref="T3:T4"/>
    <mergeCell ref="U3:U4"/>
    <mergeCell ref="P3:P4"/>
    <mergeCell ref="A3:A4"/>
    <mergeCell ref="B3:B4"/>
    <mergeCell ref="C3:D3"/>
    <mergeCell ref="E3:F3"/>
    <mergeCell ref="G3:H3"/>
    <mergeCell ref="I3:J3"/>
    <mergeCell ref="K3:K4"/>
    <mergeCell ref="L3:L4"/>
    <mergeCell ref="M3:M4"/>
    <mergeCell ref="N3:N4"/>
    <mergeCell ref="O3:O4"/>
  </mergeCells>
  <pageMargins left="0.7" right="0.7" top="0.75" bottom="0.75" header="0.3" footer="0.3"/>
  <pageSetup paperSize="5" scale="53" fitToHeight="8"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19"/>
  <sheetViews>
    <sheetView showGridLines="0" zoomScaleNormal="100" workbookViewId="0">
      <pane xSplit="1" ySplit="3" topLeftCell="B13" activePane="bottomRight" state="frozen"/>
      <selection activeCell="B5" sqref="B5:C7"/>
      <selection pane="topRight" activeCell="B5" sqref="B5:C7"/>
      <selection pane="bottomLeft" activeCell="B5" sqref="B5:C7"/>
      <selection pane="bottomRight" activeCell="D19" sqref="D19"/>
    </sheetView>
  </sheetViews>
  <sheetFormatPr defaultColWidth="8.85546875" defaultRowHeight="15" x14ac:dyDescent="0.25"/>
  <cols>
    <col min="1" max="1" width="13.140625" style="89" customWidth="1"/>
    <col min="2" max="2" width="45.7109375" style="89" bestFit="1" customWidth="1"/>
    <col min="3" max="3" width="18.85546875" style="89" customWidth="1"/>
    <col min="4" max="4" width="13" style="89" customWidth="1"/>
    <col min="5" max="5" width="14.28515625" style="89" customWidth="1"/>
    <col min="6" max="6" width="10.7109375" style="89" bestFit="1" customWidth="1"/>
    <col min="7" max="7" width="12.42578125" style="89" customWidth="1"/>
    <col min="8" max="8" width="11.42578125" style="89" customWidth="1"/>
    <col min="9" max="9" width="14" style="89" customWidth="1"/>
    <col min="10" max="10" width="12.42578125" style="93" customWidth="1"/>
    <col min="11" max="11" width="8.85546875" style="89"/>
    <col min="12" max="12" width="19.5703125" style="89" bestFit="1" customWidth="1"/>
    <col min="13" max="14" width="18.140625" style="89" customWidth="1"/>
    <col min="15" max="15" width="22.140625" style="89" customWidth="1"/>
    <col min="16" max="16384" width="8.85546875" style="89"/>
  </cols>
  <sheetData>
    <row r="1" spans="1:15" s="5" customFormat="1" ht="16.5" customHeight="1" x14ac:dyDescent="0.2">
      <c r="A1" s="158"/>
      <c r="B1" s="11"/>
      <c r="C1" s="11"/>
      <c r="D1" s="11"/>
      <c r="E1" s="11"/>
    </row>
    <row r="2" spans="1:15" s="5" customFormat="1" ht="16.5" customHeight="1" x14ac:dyDescent="0.2">
      <c r="A2" s="123"/>
      <c r="B2" s="123"/>
      <c r="C2" s="123"/>
      <c r="D2" s="123"/>
      <c r="E2" s="11"/>
    </row>
    <row r="3" spans="1:15" ht="38.25" x14ac:dyDescent="0.25">
      <c r="A3" s="58" t="s">
        <v>777</v>
      </c>
      <c r="B3" s="57" t="s">
        <v>778</v>
      </c>
      <c r="C3" s="57" t="s">
        <v>788</v>
      </c>
      <c r="D3" s="57" t="s">
        <v>779</v>
      </c>
      <c r="E3" s="57" t="s">
        <v>780</v>
      </c>
      <c r="F3" s="57" t="s">
        <v>781</v>
      </c>
      <c r="G3" s="57" t="s">
        <v>782</v>
      </c>
      <c r="H3" s="57" t="s">
        <v>783</v>
      </c>
      <c r="I3" s="57" t="s">
        <v>784</v>
      </c>
      <c r="J3" s="57" t="s">
        <v>785</v>
      </c>
      <c r="K3" s="57" t="s">
        <v>786</v>
      </c>
      <c r="L3" s="57" t="s">
        <v>787</v>
      </c>
      <c r="M3" s="57" t="s">
        <v>1261</v>
      </c>
      <c r="N3" s="57" t="s">
        <v>1262</v>
      </c>
      <c r="O3" s="57" t="s">
        <v>789</v>
      </c>
    </row>
    <row r="4" spans="1:15" s="90" customFormat="1" ht="25.5" x14ac:dyDescent="0.25">
      <c r="A4" s="22" t="s">
        <v>72</v>
      </c>
      <c r="B4" s="22" t="s">
        <v>1035</v>
      </c>
      <c r="C4" s="22" t="s">
        <v>793</v>
      </c>
      <c r="D4" s="22" t="s">
        <v>817</v>
      </c>
      <c r="E4" s="22">
        <v>8000</v>
      </c>
      <c r="F4" s="22" t="s">
        <v>817</v>
      </c>
      <c r="G4" s="73">
        <v>12.425235894082238</v>
      </c>
      <c r="H4" s="73">
        <v>0.66905116352750504</v>
      </c>
      <c r="I4" s="22" t="s">
        <v>1036</v>
      </c>
      <c r="J4" s="80">
        <v>2010</v>
      </c>
      <c r="K4" s="22" t="s">
        <v>773</v>
      </c>
      <c r="L4" s="22" t="s">
        <v>1037</v>
      </c>
      <c r="M4" s="22" t="s">
        <v>1038</v>
      </c>
      <c r="N4" s="22">
        <v>1</v>
      </c>
      <c r="O4" s="33"/>
    </row>
    <row r="5" spans="1:15" s="90" customFormat="1" ht="25.5" x14ac:dyDescent="0.25">
      <c r="A5" s="22" t="s">
        <v>72</v>
      </c>
      <c r="B5" s="22" t="s">
        <v>1039</v>
      </c>
      <c r="C5" s="22" t="s">
        <v>793</v>
      </c>
      <c r="D5" s="22" t="s">
        <v>817</v>
      </c>
      <c r="E5" s="22">
        <v>7000</v>
      </c>
      <c r="F5" s="22" t="s">
        <v>817</v>
      </c>
      <c r="G5" s="73">
        <v>1.1586054577543452</v>
      </c>
      <c r="H5" s="73">
        <v>3.5115628211429342E-2</v>
      </c>
      <c r="I5" s="22" t="s">
        <v>1040</v>
      </c>
      <c r="J5" s="80">
        <v>2010</v>
      </c>
      <c r="K5" s="22" t="s">
        <v>773</v>
      </c>
      <c r="L5" s="22" t="s">
        <v>1037</v>
      </c>
      <c r="M5" s="22" t="s">
        <v>1038</v>
      </c>
      <c r="N5" s="22">
        <v>1</v>
      </c>
      <c r="O5" s="33"/>
    </row>
    <row r="6" spans="1:15" s="90" customFormat="1" ht="25.5" x14ac:dyDescent="0.25">
      <c r="A6" s="22" t="s">
        <v>72</v>
      </c>
      <c r="B6" s="22" t="s">
        <v>1039</v>
      </c>
      <c r="C6" s="22" t="s">
        <v>793</v>
      </c>
      <c r="D6" s="22" t="s">
        <v>817</v>
      </c>
      <c r="E6" s="22">
        <v>7000</v>
      </c>
      <c r="F6" s="22" t="s">
        <v>817</v>
      </c>
      <c r="G6" s="73">
        <v>0.53935081654081585</v>
      </c>
      <c r="H6" s="73">
        <v>1.4298579151959253E-2</v>
      </c>
      <c r="I6" s="22" t="s">
        <v>826</v>
      </c>
      <c r="J6" s="80">
        <v>2010</v>
      </c>
      <c r="K6" s="22" t="s">
        <v>773</v>
      </c>
      <c r="L6" s="22" t="s">
        <v>1037</v>
      </c>
      <c r="M6" s="22" t="s">
        <v>1038</v>
      </c>
      <c r="N6" s="22">
        <v>1</v>
      </c>
      <c r="O6" s="33"/>
    </row>
    <row r="7" spans="1:15" s="90" customFormat="1" ht="25.5" x14ac:dyDescent="0.25">
      <c r="A7" s="22" t="s">
        <v>72</v>
      </c>
      <c r="B7" s="22" t="s">
        <v>1039</v>
      </c>
      <c r="C7" s="22" t="s">
        <v>793</v>
      </c>
      <c r="D7" s="22" t="s">
        <v>817</v>
      </c>
      <c r="E7" s="22">
        <v>7000</v>
      </c>
      <c r="F7" s="22" t="s">
        <v>817</v>
      </c>
      <c r="G7" s="73">
        <v>0.25075081821634421</v>
      </c>
      <c r="H7" s="73">
        <v>5.4145354876904512E-3</v>
      </c>
      <c r="I7" s="22" t="s">
        <v>1041</v>
      </c>
      <c r="J7" s="80">
        <v>2010</v>
      </c>
      <c r="K7" s="22" t="s">
        <v>773</v>
      </c>
      <c r="L7" s="22" t="s">
        <v>1037</v>
      </c>
      <c r="M7" s="22" t="s">
        <v>1038</v>
      </c>
      <c r="N7" s="22">
        <v>1</v>
      </c>
      <c r="O7" s="33"/>
    </row>
    <row r="8" spans="1:15" s="90" customFormat="1" ht="25.5" x14ac:dyDescent="0.25">
      <c r="A8" s="22" t="s">
        <v>72</v>
      </c>
      <c r="B8" s="22" t="s">
        <v>1039</v>
      </c>
      <c r="C8" s="22" t="s">
        <v>793</v>
      </c>
      <c r="D8" s="22" t="s">
        <v>817</v>
      </c>
      <c r="E8" s="22">
        <v>7000</v>
      </c>
      <c r="F8" s="22" t="s">
        <v>817</v>
      </c>
      <c r="G8" s="73">
        <v>0.1622608369450278</v>
      </c>
      <c r="H8" s="91">
        <v>3.0139161937953324E-3</v>
      </c>
      <c r="I8" s="22" t="s">
        <v>1042</v>
      </c>
      <c r="J8" s="80">
        <v>2010</v>
      </c>
      <c r="K8" s="22" t="s">
        <v>773</v>
      </c>
      <c r="L8" s="22" t="s">
        <v>1037</v>
      </c>
      <c r="M8" s="22" t="s">
        <v>1038</v>
      </c>
      <c r="N8" s="22">
        <v>1</v>
      </c>
      <c r="O8" s="33"/>
    </row>
    <row r="9" spans="1:15" ht="25.5" x14ac:dyDescent="0.25">
      <c r="A9" s="22" t="s">
        <v>72</v>
      </c>
      <c r="B9" s="22" t="s">
        <v>1043</v>
      </c>
      <c r="C9" s="22" t="s">
        <v>793</v>
      </c>
      <c r="D9" s="22" t="s">
        <v>817</v>
      </c>
      <c r="E9" s="22">
        <v>26000</v>
      </c>
      <c r="F9" s="22" t="s">
        <v>817</v>
      </c>
      <c r="G9" s="73">
        <v>78.101482762802632</v>
      </c>
      <c r="H9" s="73">
        <v>0.66085870030063765</v>
      </c>
      <c r="I9" s="22" t="s">
        <v>1044</v>
      </c>
      <c r="J9" s="80">
        <v>2010</v>
      </c>
      <c r="K9" s="22" t="s">
        <v>773</v>
      </c>
      <c r="L9" s="22" t="s">
        <v>1037</v>
      </c>
      <c r="M9" s="22" t="s">
        <v>1038</v>
      </c>
      <c r="N9" s="22">
        <v>1</v>
      </c>
      <c r="O9" s="33"/>
    </row>
    <row r="10" spans="1:15" ht="25.5" x14ac:dyDescent="0.25">
      <c r="A10" s="22" t="s">
        <v>72</v>
      </c>
      <c r="B10" s="22" t="s">
        <v>1045</v>
      </c>
      <c r="C10" s="22" t="s">
        <v>793</v>
      </c>
      <c r="D10" s="22" t="s">
        <v>817</v>
      </c>
      <c r="E10" s="22">
        <v>19000</v>
      </c>
      <c r="F10" s="22" t="s">
        <v>817</v>
      </c>
      <c r="G10" s="73">
        <v>144.18735279286639</v>
      </c>
      <c r="H10" s="73">
        <v>7.5097579579617921</v>
      </c>
      <c r="I10" s="22" t="s">
        <v>1044</v>
      </c>
      <c r="J10" s="80">
        <v>2010</v>
      </c>
      <c r="K10" s="22" t="s">
        <v>773</v>
      </c>
      <c r="L10" s="22" t="s">
        <v>1037</v>
      </c>
      <c r="M10" s="22" t="s">
        <v>1038</v>
      </c>
      <c r="N10" s="22">
        <v>1</v>
      </c>
      <c r="O10" s="33"/>
    </row>
    <row r="11" spans="1:15" ht="25.5" x14ac:dyDescent="0.25">
      <c r="A11" s="22" t="s">
        <v>72</v>
      </c>
      <c r="B11" s="22" t="s">
        <v>1045</v>
      </c>
      <c r="C11" s="22" t="s">
        <v>793</v>
      </c>
      <c r="D11" s="22" t="s">
        <v>817</v>
      </c>
      <c r="E11" s="22">
        <v>13000</v>
      </c>
      <c r="F11" s="22" t="s">
        <v>817</v>
      </c>
      <c r="G11" s="73">
        <v>156.20296552560526</v>
      </c>
      <c r="H11" s="73">
        <v>12.015612732738866</v>
      </c>
      <c r="I11" s="22" t="s">
        <v>1044</v>
      </c>
      <c r="J11" s="80">
        <v>2010</v>
      </c>
      <c r="K11" s="22" t="s">
        <v>773</v>
      </c>
      <c r="L11" s="22" t="s">
        <v>1037</v>
      </c>
      <c r="M11" s="22" t="s">
        <v>1038</v>
      </c>
      <c r="N11" s="22">
        <v>1</v>
      </c>
      <c r="O11" s="33"/>
    </row>
    <row r="12" spans="1:15" ht="25.5" x14ac:dyDescent="0.25">
      <c r="A12" s="22" t="s">
        <v>72</v>
      </c>
      <c r="B12" s="22" t="s">
        <v>1045</v>
      </c>
      <c r="C12" s="22" t="s">
        <v>793</v>
      </c>
      <c r="D12" s="22" t="s">
        <v>817</v>
      </c>
      <c r="E12" s="22">
        <v>13000</v>
      </c>
      <c r="F12" s="22" t="s">
        <v>817</v>
      </c>
      <c r="G12" s="73">
        <v>168.21857825834414</v>
      </c>
      <c r="H12" s="73">
        <v>19.224980372382188</v>
      </c>
      <c r="I12" s="22" t="s">
        <v>1044</v>
      </c>
      <c r="J12" s="80">
        <v>2010</v>
      </c>
      <c r="K12" s="22" t="s">
        <v>773</v>
      </c>
      <c r="L12" s="22" t="s">
        <v>1037</v>
      </c>
      <c r="M12" s="22" t="s">
        <v>1038</v>
      </c>
      <c r="N12" s="22">
        <v>1</v>
      </c>
      <c r="O12" s="33"/>
    </row>
    <row r="13" spans="1:15" ht="25.5" x14ac:dyDescent="0.25">
      <c r="A13" s="22" t="s">
        <v>72</v>
      </c>
      <c r="B13" s="22" t="s">
        <v>1046</v>
      </c>
      <c r="C13" s="22" t="s">
        <v>793</v>
      </c>
      <c r="D13" s="22" t="s">
        <v>817</v>
      </c>
      <c r="E13" s="22">
        <v>15000</v>
      </c>
      <c r="F13" s="22" t="s">
        <v>817</v>
      </c>
      <c r="G13" s="73">
        <v>11.541132570849463</v>
      </c>
      <c r="H13" s="73">
        <v>0.25089418632281441</v>
      </c>
      <c r="I13" s="22" t="s">
        <v>1036</v>
      </c>
      <c r="J13" s="80">
        <v>2010</v>
      </c>
      <c r="K13" s="22" t="s">
        <v>773</v>
      </c>
      <c r="L13" s="22" t="s">
        <v>1037</v>
      </c>
      <c r="M13" s="22" t="s">
        <v>1038</v>
      </c>
      <c r="N13" s="22">
        <v>1</v>
      </c>
      <c r="O13" s="33"/>
    </row>
    <row r="14" spans="1:15" x14ac:dyDescent="0.25">
      <c r="A14" s="22" t="s">
        <v>72</v>
      </c>
      <c r="B14" s="22" t="s">
        <v>1047</v>
      </c>
      <c r="C14" s="22" t="s">
        <v>793</v>
      </c>
      <c r="D14" s="22">
        <v>36000</v>
      </c>
      <c r="E14" s="22">
        <v>10000</v>
      </c>
      <c r="F14" s="72">
        <v>0.72222222222222221</v>
      </c>
      <c r="G14" s="92">
        <v>31.953140531421063</v>
      </c>
      <c r="H14" s="73">
        <v>1.3011451764074862</v>
      </c>
      <c r="I14" s="22" t="s">
        <v>1048</v>
      </c>
      <c r="J14" s="80">
        <v>2003</v>
      </c>
      <c r="K14" s="22" t="s">
        <v>775</v>
      </c>
      <c r="L14" s="22" t="s">
        <v>1049</v>
      </c>
      <c r="M14" s="22" t="s">
        <v>828</v>
      </c>
      <c r="N14" s="22">
        <v>3</v>
      </c>
      <c r="O14" s="33"/>
    </row>
    <row r="15" spans="1:15" x14ac:dyDescent="0.25">
      <c r="A15" s="22" t="s">
        <v>72</v>
      </c>
      <c r="B15" s="22" t="s">
        <v>745</v>
      </c>
      <c r="C15" s="22" t="s">
        <v>793</v>
      </c>
      <c r="D15" s="22">
        <v>36000</v>
      </c>
      <c r="E15" s="22">
        <v>10000</v>
      </c>
      <c r="F15" s="72">
        <v>0.72222222222222221</v>
      </c>
      <c r="G15" s="92">
        <v>13.633339960072986</v>
      </c>
      <c r="H15" s="73">
        <v>2.0251156976393436</v>
      </c>
      <c r="I15" s="22" t="s">
        <v>1048</v>
      </c>
      <c r="J15" s="80">
        <v>2003</v>
      </c>
      <c r="K15" s="22" t="s">
        <v>775</v>
      </c>
      <c r="L15" s="22" t="s">
        <v>1049</v>
      </c>
      <c r="M15" s="22" t="s">
        <v>828</v>
      </c>
      <c r="N15" s="22">
        <v>3</v>
      </c>
      <c r="O15" s="33"/>
    </row>
    <row r="16" spans="1:15" x14ac:dyDescent="0.25">
      <c r="A16" s="22" t="s">
        <v>706</v>
      </c>
      <c r="B16" s="22" t="s">
        <v>732</v>
      </c>
      <c r="C16" s="22" t="s">
        <v>793</v>
      </c>
      <c r="D16" s="22" t="s">
        <v>817</v>
      </c>
      <c r="E16" s="22">
        <v>2960</v>
      </c>
      <c r="F16" s="77">
        <v>0.74</v>
      </c>
      <c r="G16" s="73">
        <v>20.854749720174148</v>
      </c>
      <c r="H16" s="73">
        <v>0.35532744354687729</v>
      </c>
      <c r="I16" s="22" t="s">
        <v>1050</v>
      </c>
      <c r="J16" s="80">
        <v>2003</v>
      </c>
      <c r="K16" s="22" t="s">
        <v>775</v>
      </c>
      <c r="L16" s="22" t="s">
        <v>1008</v>
      </c>
      <c r="M16" s="22" t="s">
        <v>1009</v>
      </c>
      <c r="N16" s="22">
        <v>6</v>
      </c>
      <c r="O16" s="33"/>
    </row>
    <row r="17" spans="1:15" x14ac:dyDescent="0.25">
      <c r="A17" s="22" t="s">
        <v>706</v>
      </c>
      <c r="B17" s="22" t="s">
        <v>732</v>
      </c>
      <c r="C17" s="22" t="s">
        <v>793</v>
      </c>
      <c r="D17" s="22" t="s">
        <v>817</v>
      </c>
      <c r="E17" s="22">
        <v>3160</v>
      </c>
      <c r="F17" s="77">
        <v>0.76</v>
      </c>
      <c r="G17" s="73">
        <v>9.4549342832474927</v>
      </c>
      <c r="H17" s="73">
        <v>0.35431399643968903</v>
      </c>
      <c r="I17" s="22" t="s">
        <v>1051</v>
      </c>
      <c r="J17" s="80">
        <v>2003</v>
      </c>
      <c r="K17" s="22" t="s">
        <v>775</v>
      </c>
      <c r="L17" s="22" t="s">
        <v>1008</v>
      </c>
      <c r="M17" s="22" t="s">
        <v>1009</v>
      </c>
      <c r="N17" s="22">
        <v>6</v>
      </c>
      <c r="O17" s="33"/>
    </row>
    <row r="18" spans="1:15" x14ac:dyDescent="0.25">
      <c r="A18" s="22" t="s">
        <v>706</v>
      </c>
      <c r="B18" s="22" t="s">
        <v>732</v>
      </c>
      <c r="C18" s="22" t="s">
        <v>793</v>
      </c>
      <c r="D18" s="22" t="s">
        <v>817</v>
      </c>
      <c r="E18" s="22">
        <v>3530</v>
      </c>
      <c r="F18" s="77">
        <v>0.78</v>
      </c>
      <c r="G18" s="73">
        <v>7.2483924121054715</v>
      </c>
      <c r="H18" s="73">
        <v>0.1440149345844835</v>
      </c>
      <c r="I18" s="22" t="s">
        <v>1052</v>
      </c>
      <c r="J18" s="80">
        <v>2003</v>
      </c>
      <c r="K18" s="22" t="s">
        <v>775</v>
      </c>
      <c r="L18" s="22" t="s">
        <v>1008</v>
      </c>
      <c r="M18" s="22" t="s">
        <v>1009</v>
      </c>
      <c r="N18" s="22">
        <v>6</v>
      </c>
      <c r="O18" s="33"/>
    </row>
    <row r="19" spans="1:15" x14ac:dyDescent="0.25">
      <c r="A19"/>
    </row>
  </sheetData>
  <autoFilter ref="A3:O18"/>
  <pageMargins left="0.7" right="0.7" top="0.75" bottom="0.75" header="0.3" footer="0.3"/>
  <pageSetup paperSize="5" scale="73" fitToHeight="3"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76"/>
  <sheetViews>
    <sheetView showGridLines="0" zoomScaleNormal="100" zoomScaleSheetLayoutView="75" workbookViewId="0">
      <pane xSplit="1" ySplit="4" topLeftCell="B5" activePane="bottomRight" state="frozen"/>
      <selection pane="topRight" activeCell="B1" sqref="B1"/>
      <selection pane="bottomLeft" activeCell="A5" sqref="A5"/>
      <selection pane="bottomRight" activeCell="A16" sqref="A16"/>
    </sheetView>
  </sheetViews>
  <sheetFormatPr defaultRowHeight="12.75" x14ac:dyDescent="0.25"/>
  <cols>
    <col min="1" max="1" width="22.28515625" style="149" customWidth="1"/>
    <col min="2" max="2" width="11.42578125" style="149" customWidth="1"/>
    <col min="3" max="3" width="16.42578125" style="149" customWidth="1"/>
    <col min="4" max="4" width="12.85546875" style="149" customWidth="1"/>
    <col min="5" max="5" width="13.85546875" style="149" customWidth="1"/>
    <col min="6" max="7" width="8.140625" style="149" customWidth="1"/>
    <col min="8" max="12" width="14" style="149" customWidth="1"/>
    <col min="13" max="16" width="10.5703125" style="149" customWidth="1"/>
    <col min="17" max="256" width="9.140625" style="149"/>
    <col min="257" max="257" width="33.5703125" style="149" customWidth="1"/>
    <col min="258" max="258" width="11.42578125" style="149" customWidth="1"/>
    <col min="259" max="259" width="26.28515625" style="149" customWidth="1"/>
    <col min="260" max="260" width="15.42578125" style="149" customWidth="1"/>
    <col min="261" max="261" width="17.28515625" style="149" customWidth="1"/>
    <col min="262" max="262" width="12" style="149" customWidth="1"/>
    <col min="263" max="263" width="12.140625" style="149" customWidth="1"/>
    <col min="264" max="268" width="16.28515625" style="149" customWidth="1"/>
    <col min="269" max="272" width="12.85546875" style="149" customWidth="1"/>
    <col min="273" max="512" width="9.140625" style="149"/>
    <col min="513" max="513" width="33.5703125" style="149" customWidth="1"/>
    <col min="514" max="514" width="11.42578125" style="149" customWidth="1"/>
    <col min="515" max="515" width="26.28515625" style="149" customWidth="1"/>
    <col min="516" max="516" width="15.42578125" style="149" customWidth="1"/>
    <col min="517" max="517" width="17.28515625" style="149" customWidth="1"/>
    <col min="518" max="518" width="12" style="149" customWidth="1"/>
    <col min="519" max="519" width="12.140625" style="149" customWidth="1"/>
    <col min="520" max="524" width="16.28515625" style="149" customWidth="1"/>
    <col min="525" max="528" width="12.85546875" style="149" customWidth="1"/>
    <col min="529" max="768" width="9.140625" style="149"/>
    <col min="769" max="769" width="33.5703125" style="149" customWidth="1"/>
    <col min="770" max="770" width="11.42578125" style="149" customWidth="1"/>
    <col min="771" max="771" width="26.28515625" style="149" customWidth="1"/>
    <col min="772" max="772" width="15.42578125" style="149" customWidth="1"/>
    <col min="773" max="773" width="17.28515625" style="149" customWidth="1"/>
    <col min="774" max="774" width="12" style="149" customWidth="1"/>
    <col min="775" max="775" width="12.140625" style="149" customWidth="1"/>
    <col min="776" max="780" width="16.28515625" style="149" customWidth="1"/>
    <col min="781" max="784" width="12.85546875" style="149" customWidth="1"/>
    <col min="785" max="1024" width="9.140625" style="149"/>
    <col min="1025" max="1025" width="33.5703125" style="149" customWidth="1"/>
    <col min="1026" max="1026" width="11.42578125" style="149" customWidth="1"/>
    <col min="1027" max="1027" width="26.28515625" style="149" customWidth="1"/>
    <col min="1028" max="1028" width="15.42578125" style="149" customWidth="1"/>
    <col min="1029" max="1029" width="17.28515625" style="149" customWidth="1"/>
    <col min="1030" max="1030" width="12" style="149" customWidth="1"/>
    <col min="1031" max="1031" width="12.140625" style="149" customWidth="1"/>
    <col min="1032" max="1036" width="16.28515625" style="149" customWidth="1"/>
    <col min="1037" max="1040" width="12.85546875" style="149" customWidth="1"/>
    <col min="1041" max="1280" width="9.140625" style="149"/>
    <col min="1281" max="1281" width="33.5703125" style="149" customWidth="1"/>
    <col min="1282" max="1282" width="11.42578125" style="149" customWidth="1"/>
    <col min="1283" max="1283" width="26.28515625" style="149" customWidth="1"/>
    <col min="1284" max="1284" width="15.42578125" style="149" customWidth="1"/>
    <col min="1285" max="1285" width="17.28515625" style="149" customWidth="1"/>
    <col min="1286" max="1286" width="12" style="149" customWidth="1"/>
    <col min="1287" max="1287" width="12.140625" style="149" customWidth="1"/>
    <col min="1288" max="1292" width="16.28515625" style="149" customWidth="1"/>
    <col min="1293" max="1296" width="12.85546875" style="149" customWidth="1"/>
    <col min="1297" max="1536" width="9.140625" style="149"/>
    <col min="1537" max="1537" width="33.5703125" style="149" customWidth="1"/>
    <col min="1538" max="1538" width="11.42578125" style="149" customWidth="1"/>
    <col min="1539" max="1539" width="26.28515625" style="149" customWidth="1"/>
    <col min="1540" max="1540" width="15.42578125" style="149" customWidth="1"/>
    <col min="1541" max="1541" width="17.28515625" style="149" customWidth="1"/>
    <col min="1542" max="1542" width="12" style="149" customWidth="1"/>
    <col min="1543" max="1543" width="12.140625" style="149" customWidth="1"/>
    <col min="1544" max="1548" width="16.28515625" style="149" customWidth="1"/>
    <col min="1549" max="1552" width="12.85546875" style="149" customWidth="1"/>
    <col min="1553" max="1792" width="9.140625" style="149"/>
    <col min="1793" max="1793" width="33.5703125" style="149" customWidth="1"/>
    <col min="1794" max="1794" width="11.42578125" style="149" customWidth="1"/>
    <col min="1795" max="1795" width="26.28515625" style="149" customWidth="1"/>
    <col min="1796" max="1796" width="15.42578125" style="149" customWidth="1"/>
    <col min="1797" max="1797" width="17.28515625" style="149" customWidth="1"/>
    <col min="1798" max="1798" width="12" style="149" customWidth="1"/>
    <col min="1799" max="1799" width="12.140625" style="149" customWidth="1"/>
    <col min="1800" max="1804" width="16.28515625" style="149" customWidth="1"/>
    <col min="1805" max="1808" width="12.85546875" style="149" customWidth="1"/>
    <col min="1809" max="2048" width="9.140625" style="149"/>
    <col min="2049" max="2049" width="33.5703125" style="149" customWidth="1"/>
    <col min="2050" max="2050" width="11.42578125" style="149" customWidth="1"/>
    <col min="2051" max="2051" width="26.28515625" style="149" customWidth="1"/>
    <col min="2052" max="2052" width="15.42578125" style="149" customWidth="1"/>
    <col min="2053" max="2053" width="17.28515625" style="149" customWidth="1"/>
    <col min="2054" max="2054" width="12" style="149" customWidth="1"/>
    <col min="2055" max="2055" width="12.140625" style="149" customWidth="1"/>
    <col min="2056" max="2060" width="16.28515625" style="149" customWidth="1"/>
    <col min="2061" max="2064" width="12.85546875" style="149" customWidth="1"/>
    <col min="2065" max="2304" width="9.140625" style="149"/>
    <col min="2305" max="2305" width="33.5703125" style="149" customWidth="1"/>
    <col min="2306" max="2306" width="11.42578125" style="149" customWidth="1"/>
    <col min="2307" max="2307" width="26.28515625" style="149" customWidth="1"/>
    <col min="2308" max="2308" width="15.42578125" style="149" customWidth="1"/>
    <col min="2309" max="2309" width="17.28515625" style="149" customWidth="1"/>
    <col min="2310" max="2310" width="12" style="149" customWidth="1"/>
    <col min="2311" max="2311" width="12.140625" style="149" customWidth="1"/>
    <col min="2312" max="2316" width="16.28515625" style="149" customWidth="1"/>
    <col min="2317" max="2320" width="12.85546875" style="149" customWidth="1"/>
    <col min="2321" max="2560" width="9.140625" style="149"/>
    <col min="2561" max="2561" width="33.5703125" style="149" customWidth="1"/>
    <col min="2562" max="2562" width="11.42578125" style="149" customWidth="1"/>
    <col min="2563" max="2563" width="26.28515625" style="149" customWidth="1"/>
    <col min="2564" max="2564" width="15.42578125" style="149" customWidth="1"/>
    <col min="2565" max="2565" width="17.28515625" style="149" customWidth="1"/>
    <col min="2566" max="2566" width="12" style="149" customWidth="1"/>
    <col min="2567" max="2567" width="12.140625" style="149" customWidth="1"/>
    <col min="2568" max="2572" width="16.28515625" style="149" customWidth="1"/>
    <col min="2573" max="2576" width="12.85546875" style="149" customWidth="1"/>
    <col min="2577" max="2816" width="9.140625" style="149"/>
    <col min="2817" max="2817" width="33.5703125" style="149" customWidth="1"/>
    <col min="2818" max="2818" width="11.42578125" style="149" customWidth="1"/>
    <col min="2819" max="2819" width="26.28515625" style="149" customWidth="1"/>
    <col min="2820" max="2820" width="15.42578125" style="149" customWidth="1"/>
    <col min="2821" max="2821" width="17.28515625" style="149" customWidth="1"/>
    <col min="2822" max="2822" width="12" style="149" customWidth="1"/>
    <col min="2823" max="2823" width="12.140625" style="149" customWidth="1"/>
    <col min="2824" max="2828" width="16.28515625" style="149" customWidth="1"/>
    <col min="2829" max="2832" width="12.85546875" style="149" customWidth="1"/>
    <col min="2833" max="3072" width="9.140625" style="149"/>
    <col min="3073" max="3073" width="33.5703125" style="149" customWidth="1"/>
    <col min="3074" max="3074" width="11.42578125" style="149" customWidth="1"/>
    <col min="3075" max="3075" width="26.28515625" style="149" customWidth="1"/>
    <col min="3076" max="3076" width="15.42578125" style="149" customWidth="1"/>
    <col min="3077" max="3077" width="17.28515625" style="149" customWidth="1"/>
    <col min="3078" max="3078" width="12" style="149" customWidth="1"/>
    <col min="3079" max="3079" width="12.140625" style="149" customWidth="1"/>
    <col min="3080" max="3084" width="16.28515625" style="149" customWidth="1"/>
    <col min="3085" max="3088" width="12.85546875" style="149" customWidth="1"/>
    <col min="3089" max="3328" width="9.140625" style="149"/>
    <col min="3329" max="3329" width="33.5703125" style="149" customWidth="1"/>
    <col min="3330" max="3330" width="11.42578125" style="149" customWidth="1"/>
    <col min="3331" max="3331" width="26.28515625" style="149" customWidth="1"/>
    <col min="3332" max="3332" width="15.42578125" style="149" customWidth="1"/>
    <col min="3333" max="3333" width="17.28515625" style="149" customWidth="1"/>
    <col min="3334" max="3334" width="12" style="149" customWidth="1"/>
    <col min="3335" max="3335" width="12.140625" style="149" customWidth="1"/>
    <col min="3336" max="3340" width="16.28515625" style="149" customWidth="1"/>
    <col min="3341" max="3344" width="12.85546875" style="149" customWidth="1"/>
    <col min="3345" max="3584" width="9.140625" style="149"/>
    <col min="3585" max="3585" width="33.5703125" style="149" customWidth="1"/>
    <col min="3586" max="3586" width="11.42578125" style="149" customWidth="1"/>
    <col min="3587" max="3587" width="26.28515625" style="149" customWidth="1"/>
    <col min="3588" max="3588" width="15.42578125" style="149" customWidth="1"/>
    <col min="3589" max="3589" width="17.28515625" style="149" customWidth="1"/>
    <col min="3590" max="3590" width="12" style="149" customWidth="1"/>
    <col min="3591" max="3591" width="12.140625" style="149" customWidth="1"/>
    <col min="3592" max="3596" width="16.28515625" style="149" customWidth="1"/>
    <col min="3597" max="3600" width="12.85546875" style="149" customWidth="1"/>
    <col min="3601" max="3840" width="9.140625" style="149"/>
    <col min="3841" max="3841" width="33.5703125" style="149" customWidth="1"/>
    <col min="3842" max="3842" width="11.42578125" style="149" customWidth="1"/>
    <col min="3843" max="3843" width="26.28515625" style="149" customWidth="1"/>
    <col min="3844" max="3844" width="15.42578125" style="149" customWidth="1"/>
    <col min="3845" max="3845" width="17.28515625" style="149" customWidth="1"/>
    <col min="3846" max="3846" width="12" style="149" customWidth="1"/>
    <col min="3847" max="3847" width="12.140625" style="149" customWidth="1"/>
    <col min="3848" max="3852" width="16.28515625" style="149" customWidth="1"/>
    <col min="3853" max="3856" width="12.85546875" style="149" customWidth="1"/>
    <col min="3857" max="4096" width="9.140625" style="149"/>
    <col min="4097" max="4097" width="33.5703125" style="149" customWidth="1"/>
    <col min="4098" max="4098" width="11.42578125" style="149" customWidth="1"/>
    <col min="4099" max="4099" width="26.28515625" style="149" customWidth="1"/>
    <col min="4100" max="4100" width="15.42578125" style="149" customWidth="1"/>
    <col min="4101" max="4101" width="17.28515625" style="149" customWidth="1"/>
    <col min="4102" max="4102" width="12" style="149" customWidth="1"/>
    <col min="4103" max="4103" width="12.140625" style="149" customWidth="1"/>
    <col min="4104" max="4108" width="16.28515625" style="149" customWidth="1"/>
    <col min="4109" max="4112" width="12.85546875" style="149" customWidth="1"/>
    <col min="4113" max="4352" width="9.140625" style="149"/>
    <col min="4353" max="4353" width="33.5703125" style="149" customWidth="1"/>
    <col min="4354" max="4354" width="11.42578125" style="149" customWidth="1"/>
    <col min="4355" max="4355" width="26.28515625" style="149" customWidth="1"/>
    <col min="4356" max="4356" width="15.42578125" style="149" customWidth="1"/>
    <col min="4357" max="4357" width="17.28515625" style="149" customWidth="1"/>
    <col min="4358" max="4358" width="12" style="149" customWidth="1"/>
    <col min="4359" max="4359" width="12.140625" style="149" customWidth="1"/>
    <col min="4360" max="4364" width="16.28515625" style="149" customWidth="1"/>
    <col min="4365" max="4368" width="12.85546875" style="149" customWidth="1"/>
    <col min="4369" max="4608" width="9.140625" style="149"/>
    <col min="4609" max="4609" width="33.5703125" style="149" customWidth="1"/>
    <col min="4610" max="4610" width="11.42578125" style="149" customWidth="1"/>
    <col min="4611" max="4611" width="26.28515625" style="149" customWidth="1"/>
    <col min="4612" max="4612" width="15.42578125" style="149" customWidth="1"/>
    <col min="4613" max="4613" width="17.28515625" style="149" customWidth="1"/>
    <col min="4614" max="4614" width="12" style="149" customWidth="1"/>
    <col min="4615" max="4615" width="12.140625" style="149" customWidth="1"/>
    <col min="4616" max="4620" width="16.28515625" style="149" customWidth="1"/>
    <col min="4621" max="4624" width="12.85546875" style="149" customWidth="1"/>
    <col min="4625" max="4864" width="9.140625" style="149"/>
    <col min="4865" max="4865" width="33.5703125" style="149" customWidth="1"/>
    <col min="4866" max="4866" width="11.42578125" style="149" customWidth="1"/>
    <col min="4867" max="4867" width="26.28515625" style="149" customWidth="1"/>
    <col min="4868" max="4868" width="15.42578125" style="149" customWidth="1"/>
    <col min="4869" max="4869" width="17.28515625" style="149" customWidth="1"/>
    <col min="4870" max="4870" width="12" style="149" customWidth="1"/>
    <col min="4871" max="4871" width="12.140625" style="149" customWidth="1"/>
    <col min="4872" max="4876" width="16.28515625" style="149" customWidth="1"/>
    <col min="4877" max="4880" width="12.85546875" style="149" customWidth="1"/>
    <col min="4881" max="5120" width="9.140625" style="149"/>
    <col min="5121" max="5121" width="33.5703125" style="149" customWidth="1"/>
    <col min="5122" max="5122" width="11.42578125" style="149" customWidth="1"/>
    <col min="5123" max="5123" width="26.28515625" style="149" customWidth="1"/>
    <col min="5124" max="5124" width="15.42578125" style="149" customWidth="1"/>
    <col min="5125" max="5125" width="17.28515625" style="149" customWidth="1"/>
    <col min="5126" max="5126" width="12" style="149" customWidth="1"/>
    <col min="5127" max="5127" width="12.140625" style="149" customWidth="1"/>
    <col min="5128" max="5132" width="16.28515625" style="149" customWidth="1"/>
    <col min="5133" max="5136" width="12.85546875" style="149" customWidth="1"/>
    <col min="5137" max="5376" width="9.140625" style="149"/>
    <col min="5377" max="5377" width="33.5703125" style="149" customWidth="1"/>
    <col min="5378" max="5378" width="11.42578125" style="149" customWidth="1"/>
    <col min="5379" max="5379" width="26.28515625" style="149" customWidth="1"/>
    <col min="5380" max="5380" width="15.42578125" style="149" customWidth="1"/>
    <col min="5381" max="5381" width="17.28515625" style="149" customWidth="1"/>
    <col min="5382" max="5382" width="12" style="149" customWidth="1"/>
    <col min="5383" max="5383" width="12.140625" style="149" customWidth="1"/>
    <col min="5384" max="5388" width="16.28515625" style="149" customWidth="1"/>
    <col min="5389" max="5392" width="12.85546875" style="149" customWidth="1"/>
    <col min="5393" max="5632" width="9.140625" style="149"/>
    <col min="5633" max="5633" width="33.5703125" style="149" customWidth="1"/>
    <col min="5634" max="5634" width="11.42578125" style="149" customWidth="1"/>
    <col min="5635" max="5635" width="26.28515625" style="149" customWidth="1"/>
    <col min="5636" max="5636" width="15.42578125" style="149" customWidth="1"/>
    <col min="5637" max="5637" width="17.28515625" style="149" customWidth="1"/>
    <col min="5638" max="5638" width="12" style="149" customWidth="1"/>
    <col min="5639" max="5639" width="12.140625" style="149" customWidth="1"/>
    <col min="5640" max="5644" width="16.28515625" style="149" customWidth="1"/>
    <col min="5645" max="5648" width="12.85546875" style="149" customWidth="1"/>
    <col min="5649" max="5888" width="9.140625" style="149"/>
    <col min="5889" max="5889" width="33.5703125" style="149" customWidth="1"/>
    <col min="5890" max="5890" width="11.42578125" style="149" customWidth="1"/>
    <col min="5891" max="5891" width="26.28515625" style="149" customWidth="1"/>
    <col min="5892" max="5892" width="15.42578125" style="149" customWidth="1"/>
    <col min="5893" max="5893" width="17.28515625" style="149" customWidth="1"/>
    <col min="5894" max="5894" width="12" style="149" customWidth="1"/>
    <col min="5895" max="5895" width="12.140625" style="149" customWidth="1"/>
    <col min="5896" max="5900" width="16.28515625" style="149" customWidth="1"/>
    <col min="5901" max="5904" width="12.85546875" style="149" customWidth="1"/>
    <col min="5905" max="6144" width="9.140625" style="149"/>
    <col min="6145" max="6145" width="33.5703125" style="149" customWidth="1"/>
    <col min="6146" max="6146" width="11.42578125" style="149" customWidth="1"/>
    <col min="6147" max="6147" width="26.28515625" style="149" customWidth="1"/>
    <col min="6148" max="6148" width="15.42578125" style="149" customWidth="1"/>
    <col min="6149" max="6149" width="17.28515625" style="149" customWidth="1"/>
    <col min="6150" max="6150" width="12" style="149" customWidth="1"/>
    <col min="6151" max="6151" width="12.140625" style="149" customWidth="1"/>
    <col min="6152" max="6156" width="16.28515625" style="149" customWidth="1"/>
    <col min="6157" max="6160" width="12.85546875" style="149" customWidth="1"/>
    <col min="6161" max="6400" width="9.140625" style="149"/>
    <col min="6401" max="6401" width="33.5703125" style="149" customWidth="1"/>
    <col min="6402" max="6402" width="11.42578125" style="149" customWidth="1"/>
    <col min="6403" max="6403" width="26.28515625" style="149" customWidth="1"/>
    <col min="6404" max="6404" width="15.42578125" style="149" customWidth="1"/>
    <col min="6405" max="6405" width="17.28515625" style="149" customWidth="1"/>
    <col min="6406" max="6406" width="12" style="149" customWidth="1"/>
    <col min="6407" max="6407" width="12.140625" style="149" customWidth="1"/>
    <col min="6408" max="6412" width="16.28515625" style="149" customWidth="1"/>
    <col min="6413" max="6416" width="12.85546875" style="149" customWidth="1"/>
    <col min="6417" max="6656" width="9.140625" style="149"/>
    <col min="6657" max="6657" width="33.5703125" style="149" customWidth="1"/>
    <col min="6658" max="6658" width="11.42578125" style="149" customWidth="1"/>
    <col min="6659" max="6659" width="26.28515625" style="149" customWidth="1"/>
    <col min="6660" max="6660" width="15.42578125" style="149" customWidth="1"/>
    <col min="6661" max="6661" width="17.28515625" style="149" customWidth="1"/>
    <col min="6662" max="6662" width="12" style="149" customWidth="1"/>
    <col min="6663" max="6663" width="12.140625" style="149" customWidth="1"/>
    <col min="6664" max="6668" width="16.28515625" style="149" customWidth="1"/>
    <col min="6669" max="6672" width="12.85546875" style="149" customWidth="1"/>
    <col min="6673" max="6912" width="9.140625" style="149"/>
    <col min="6913" max="6913" width="33.5703125" style="149" customWidth="1"/>
    <col min="6914" max="6914" width="11.42578125" style="149" customWidth="1"/>
    <col min="6915" max="6915" width="26.28515625" style="149" customWidth="1"/>
    <col min="6916" max="6916" width="15.42578125" style="149" customWidth="1"/>
    <col min="6917" max="6917" width="17.28515625" style="149" customWidth="1"/>
    <col min="6918" max="6918" width="12" style="149" customWidth="1"/>
    <col min="6919" max="6919" width="12.140625" style="149" customWidth="1"/>
    <col min="6920" max="6924" width="16.28515625" style="149" customWidth="1"/>
    <col min="6925" max="6928" width="12.85546875" style="149" customWidth="1"/>
    <col min="6929" max="7168" width="9.140625" style="149"/>
    <col min="7169" max="7169" width="33.5703125" style="149" customWidth="1"/>
    <col min="7170" max="7170" width="11.42578125" style="149" customWidth="1"/>
    <col min="7171" max="7171" width="26.28515625" style="149" customWidth="1"/>
    <col min="7172" max="7172" width="15.42578125" style="149" customWidth="1"/>
    <col min="7173" max="7173" width="17.28515625" style="149" customWidth="1"/>
    <col min="7174" max="7174" width="12" style="149" customWidth="1"/>
    <col min="7175" max="7175" width="12.140625" style="149" customWidth="1"/>
    <col min="7176" max="7180" width="16.28515625" style="149" customWidth="1"/>
    <col min="7181" max="7184" width="12.85546875" style="149" customWidth="1"/>
    <col min="7185" max="7424" width="9.140625" style="149"/>
    <col min="7425" max="7425" width="33.5703125" style="149" customWidth="1"/>
    <col min="7426" max="7426" width="11.42578125" style="149" customWidth="1"/>
    <col min="7427" max="7427" width="26.28515625" style="149" customWidth="1"/>
    <col min="7428" max="7428" width="15.42578125" style="149" customWidth="1"/>
    <col min="7429" max="7429" width="17.28515625" style="149" customWidth="1"/>
    <col min="7430" max="7430" width="12" style="149" customWidth="1"/>
    <col min="7431" max="7431" width="12.140625" style="149" customWidth="1"/>
    <col min="7432" max="7436" width="16.28515625" style="149" customWidth="1"/>
    <col min="7437" max="7440" width="12.85546875" style="149" customWidth="1"/>
    <col min="7441" max="7680" width="9.140625" style="149"/>
    <col min="7681" max="7681" width="33.5703125" style="149" customWidth="1"/>
    <col min="7682" max="7682" width="11.42578125" style="149" customWidth="1"/>
    <col min="7683" max="7683" width="26.28515625" style="149" customWidth="1"/>
    <col min="7684" max="7684" width="15.42578125" style="149" customWidth="1"/>
    <col min="7685" max="7685" width="17.28515625" style="149" customWidth="1"/>
    <col min="7686" max="7686" width="12" style="149" customWidth="1"/>
    <col min="7687" max="7687" width="12.140625" style="149" customWidth="1"/>
    <col min="7688" max="7692" width="16.28515625" style="149" customWidth="1"/>
    <col min="7693" max="7696" width="12.85546875" style="149" customWidth="1"/>
    <col min="7697" max="7936" width="9.140625" style="149"/>
    <col min="7937" max="7937" width="33.5703125" style="149" customWidth="1"/>
    <col min="7938" max="7938" width="11.42578125" style="149" customWidth="1"/>
    <col min="7939" max="7939" width="26.28515625" style="149" customWidth="1"/>
    <col min="7940" max="7940" width="15.42578125" style="149" customWidth="1"/>
    <col min="7941" max="7941" width="17.28515625" style="149" customWidth="1"/>
    <col min="7942" max="7942" width="12" style="149" customWidth="1"/>
    <col min="7943" max="7943" width="12.140625" style="149" customWidth="1"/>
    <col min="7944" max="7948" width="16.28515625" style="149" customWidth="1"/>
    <col min="7949" max="7952" width="12.85546875" style="149" customWidth="1"/>
    <col min="7953" max="8192" width="9.140625" style="149"/>
    <col min="8193" max="8193" width="33.5703125" style="149" customWidth="1"/>
    <col min="8194" max="8194" width="11.42578125" style="149" customWidth="1"/>
    <col min="8195" max="8195" width="26.28515625" style="149" customWidth="1"/>
    <col min="8196" max="8196" width="15.42578125" style="149" customWidth="1"/>
    <col min="8197" max="8197" width="17.28515625" style="149" customWidth="1"/>
    <col min="8198" max="8198" width="12" style="149" customWidth="1"/>
    <col min="8199" max="8199" width="12.140625" style="149" customWidth="1"/>
    <col min="8200" max="8204" width="16.28515625" style="149" customWidth="1"/>
    <col min="8205" max="8208" width="12.85546875" style="149" customWidth="1"/>
    <col min="8209" max="8448" width="9.140625" style="149"/>
    <col min="8449" max="8449" width="33.5703125" style="149" customWidth="1"/>
    <col min="8450" max="8450" width="11.42578125" style="149" customWidth="1"/>
    <col min="8451" max="8451" width="26.28515625" style="149" customWidth="1"/>
    <col min="8452" max="8452" width="15.42578125" style="149" customWidth="1"/>
    <col min="8453" max="8453" width="17.28515625" style="149" customWidth="1"/>
    <col min="8454" max="8454" width="12" style="149" customWidth="1"/>
    <col min="8455" max="8455" width="12.140625" style="149" customWidth="1"/>
    <col min="8456" max="8460" width="16.28515625" style="149" customWidth="1"/>
    <col min="8461" max="8464" width="12.85546875" style="149" customWidth="1"/>
    <col min="8465" max="8704" width="9.140625" style="149"/>
    <col min="8705" max="8705" width="33.5703125" style="149" customWidth="1"/>
    <col min="8706" max="8706" width="11.42578125" style="149" customWidth="1"/>
    <col min="8707" max="8707" width="26.28515625" style="149" customWidth="1"/>
    <col min="8708" max="8708" width="15.42578125" style="149" customWidth="1"/>
    <col min="8709" max="8709" width="17.28515625" style="149" customWidth="1"/>
    <col min="8710" max="8710" width="12" style="149" customWidth="1"/>
    <col min="8711" max="8711" width="12.140625" style="149" customWidth="1"/>
    <col min="8712" max="8716" width="16.28515625" style="149" customWidth="1"/>
    <col min="8717" max="8720" width="12.85546875" style="149" customWidth="1"/>
    <col min="8721" max="8960" width="9.140625" style="149"/>
    <col min="8961" max="8961" width="33.5703125" style="149" customWidth="1"/>
    <col min="8962" max="8962" width="11.42578125" style="149" customWidth="1"/>
    <col min="8963" max="8963" width="26.28515625" style="149" customWidth="1"/>
    <col min="8964" max="8964" width="15.42578125" style="149" customWidth="1"/>
    <col min="8965" max="8965" width="17.28515625" style="149" customWidth="1"/>
    <col min="8966" max="8966" width="12" style="149" customWidth="1"/>
    <col min="8967" max="8967" width="12.140625" style="149" customWidth="1"/>
    <col min="8968" max="8972" width="16.28515625" style="149" customWidth="1"/>
    <col min="8973" max="8976" width="12.85546875" style="149" customWidth="1"/>
    <col min="8977" max="9216" width="9.140625" style="149"/>
    <col min="9217" max="9217" width="33.5703125" style="149" customWidth="1"/>
    <col min="9218" max="9218" width="11.42578125" style="149" customWidth="1"/>
    <col min="9219" max="9219" width="26.28515625" style="149" customWidth="1"/>
    <col min="9220" max="9220" width="15.42578125" style="149" customWidth="1"/>
    <col min="9221" max="9221" width="17.28515625" style="149" customWidth="1"/>
    <col min="9222" max="9222" width="12" style="149" customWidth="1"/>
    <col min="9223" max="9223" width="12.140625" style="149" customWidth="1"/>
    <col min="9224" max="9228" width="16.28515625" style="149" customWidth="1"/>
    <col min="9229" max="9232" width="12.85546875" style="149" customWidth="1"/>
    <col min="9233" max="9472" width="9.140625" style="149"/>
    <col min="9473" max="9473" width="33.5703125" style="149" customWidth="1"/>
    <col min="9474" max="9474" width="11.42578125" style="149" customWidth="1"/>
    <col min="9475" max="9475" width="26.28515625" style="149" customWidth="1"/>
    <col min="9476" max="9476" width="15.42578125" style="149" customWidth="1"/>
    <col min="9477" max="9477" width="17.28515625" style="149" customWidth="1"/>
    <col min="9478" max="9478" width="12" style="149" customWidth="1"/>
    <col min="9479" max="9479" width="12.140625" style="149" customWidth="1"/>
    <col min="9480" max="9484" width="16.28515625" style="149" customWidth="1"/>
    <col min="9485" max="9488" width="12.85546875" style="149" customWidth="1"/>
    <col min="9489" max="9728" width="9.140625" style="149"/>
    <col min="9729" max="9729" width="33.5703125" style="149" customWidth="1"/>
    <col min="9730" max="9730" width="11.42578125" style="149" customWidth="1"/>
    <col min="9731" max="9731" width="26.28515625" style="149" customWidth="1"/>
    <col min="9732" max="9732" width="15.42578125" style="149" customWidth="1"/>
    <col min="9733" max="9733" width="17.28515625" style="149" customWidth="1"/>
    <col min="9734" max="9734" width="12" style="149" customWidth="1"/>
    <col min="9735" max="9735" width="12.140625" style="149" customWidth="1"/>
    <col min="9736" max="9740" width="16.28515625" style="149" customWidth="1"/>
    <col min="9741" max="9744" width="12.85546875" style="149" customWidth="1"/>
    <col min="9745" max="9984" width="9.140625" style="149"/>
    <col min="9985" max="9985" width="33.5703125" style="149" customWidth="1"/>
    <col min="9986" max="9986" width="11.42578125" style="149" customWidth="1"/>
    <col min="9987" max="9987" width="26.28515625" style="149" customWidth="1"/>
    <col min="9988" max="9988" width="15.42578125" style="149" customWidth="1"/>
    <col min="9989" max="9989" width="17.28515625" style="149" customWidth="1"/>
    <col min="9990" max="9990" width="12" style="149" customWidth="1"/>
    <col min="9991" max="9991" width="12.140625" style="149" customWidth="1"/>
    <col min="9992" max="9996" width="16.28515625" style="149" customWidth="1"/>
    <col min="9997" max="10000" width="12.85546875" style="149" customWidth="1"/>
    <col min="10001" max="10240" width="9.140625" style="149"/>
    <col min="10241" max="10241" width="33.5703125" style="149" customWidth="1"/>
    <col min="10242" max="10242" width="11.42578125" style="149" customWidth="1"/>
    <col min="10243" max="10243" width="26.28515625" style="149" customWidth="1"/>
    <col min="10244" max="10244" width="15.42578125" style="149" customWidth="1"/>
    <col min="10245" max="10245" width="17.28515625" style="149" customWidth="1"/>
    <col min="10246" max="10246" width="12" style="149" customWidth="1"/>
    <col min="10247" max="10247" width="12.140625" style="149" customWidth="1"/>
    <col min="10248" max="10252" width="16.28515625" style="149" customWidth="1"/>
    <col min="10253" max="10256" width="12.85546875" style="149" customWidth="1"/>
    <col min="10257" max="10496" width="9.140625" style="149"/>
    <col min="10497" max="10497" width="33.5703125" style="149" customWidth="1"/>
    <col min="10498" max="10498" width="11.42578125" style="149" customWidth="1"/>
    <col min="10499" max="10499" width="26.28515625" style="149" customWidth="1"/>
    <col min="10500" max="10500" width="15.42578125" style="149" customWidth="1"/>
    <col min="10501" max="10501" width="17.28515625" style="149" customWidth="1"/>
    <col min="10502" max="10502" width="12" style="149" customWidth="1"/>
    <col min="10503" max="10503" width="12.140625" style="149" customWidth="1"/>
    <col min="10504" max="10508" width="16.28515625" style="149" customWidth="1"/>
    <col min="10509" max="10512" width="12.85546875" style="149" customWidth="1"/>
    <col min="10513" max="10752" width="9.140625" style="149"/>
    <col min="10753" max="10753" width="33.5703125" style="149" customWidth="1"/>
    <col min="10754" max="10754" width="11.42578125" style="149" customWidth="1"/>
    <col min="10755" max="10755" width="26.28515625" style="149" customWidth="1"/>
    <col min="10756" max="10756" width="15.42578125" style="149" customWidth="1"/>
    <col min="10757" max="10757" width="17.28515625" style="149" customWidth="1"/>
    <col min="10758" max="10758" width="12" style="149" customWidth="1"/>
    <col min="10759" max="10759" width="12.140625" style="149" customWidth="1"/>
    <col min="10760" max="10764" width="16.28515625" style="149" customWidth="1"/>
    <col min="10765" max="10768" width="12.85546875" style="149" customWidth="1"/>
    <col min="10769" max="11008" width="9.140625" style="149"/>
    <col min="11009" max="11009" width="33.5703125" style="149" customWidth="1"/>
    <col min="11010" max="11010" width="11.42578125" style="149" customWidth="1"/>
    <col min="11011" max="11011" width="26.28515625" style="149" customWidth="1"/>
    <col min="11012" max="11012" width="15.42578125" style="149" customWidth="1"/>
    <col min="11013" max="11013" width="17.28515625" style="149" customWidth="1"/>
    <col min="11014" max="11014" width="12" style="149" customWidth="1"/>
    <col min="11015" max="11015" width="12.140625" style="149" customWidth="1"/>
    <col min="11016" max="11020" width="16.28515625" style="149" customWidth="1"/>
    <col min="11021" max="11024" width="12.85546875" style="149" customWidth="1"/>
    <col min="11025" max="11264" width="9.140625" style="149"/>
    <col min="11265" max="11265" width="33.5703125" style="149" customWidth="1"/>
    <col min="11266" max="11266" width="11.42578125" style="149" customWidth="1"/>
    <col min="11267" max="11267" width="26.28515625" style="149" customWidth="1"/>
    <col min="11268" max="11268" width="15.42578125" style="149" customWidth="1"/>
    <col min="11269" max="11269" width="17.28515625" style="149" customWidth="1"/>
    <col min="11270" max="11270" width="12" style="149" customWidth="1"/>
    <col min="11271" max="11271" width="12.140625" style="149" customWidth="1"/>
    <col min="11272" max="11276" width="16.28515625" style="149" customWidth="1"/>
    <col min="11277" max="11280" width="12.85546875" style="149" customWidth="1"/>
    <col min="11281" max="11520" width="9.140625" style="149"/>
    <col min="11521" max="11521" width="33.5703125" style="149" customWidth="1"/>
    <col min="11522" max="11522" width="11.42578125" style="149" customWidth="1"/>
    <col min="11523" max="11523" width="26.28515625" style="149" customWidth="1"/>
    <col min="11524" max="11524" width="15.42578125" style="149" customWidth="1"/>
    <col min="11525" max="11525" width="17.28515625" style="149" customWidth="1"/>
    <col min="11526" max="11526" width="12" style="149" customWidth="1"/>
    <col min="11527" max="11527" width="12.140625" style="149" customWidth="1"/>
    <col min="11528" max="11532" width="16.28515625" style="149" customWidth="1"/>
    <col min="11533" max="11536" width="12.85546875" style="149" customWidth="1"/>
    <col min="11537" max="11776" width="9.140625" style="149"/>
    <col min="11777" max="11777" width="33.5703125" style="149" customWidth="1"/>
    <col min="11778" max="11778" width="11.42578125" style="149" customWidth="1"/>
    <col min="11779" max="11779" width="26.28515625" style="149" customWidth="1"/>
    <col min="11780" max="11780" width="15.42578125" style="149" customWidth="1"/>
    <col min="11781" max="11781" width="17.28515625" style="149" customWidth="1"/>
    <col min="11782" max="11782" width="12" style="149" customWidth="1"/>
    <col min="11783" max="11783" width="12.140625" style="149" customWidth="1"/>
    <col min="11784" max="11788" width="16.28515625" style="149" customWidth="1"/>
    <col min="11789" max="11792" width="12.85546875" style="149" customWidth="1"/>
    <col min="11793" max="12032" width="9.140625" style="149"/>
    <col min="12033" max="12033" width="33.5703125" style="149" customWidth="1"/>
    <col min="12034" max="12034" width="11.42578125" style="149" customWidth="1"/>
    <col min="12035" max="12035" width="26.28515625" style="149" customWidth="1"/>
    <col min="12036" max="12036" width="15.42578125" style="149" customWidth="1"/>
    <col min="12037" max="12037" width="17.28515625" style="149" customWidth="1"/>
    <col min="12038" max="12038" width="12" style="149" customWidth="1"/>
    <col min="12039" max="12039" width="12.140625" style="149" customWidth="1"/>
    <col min="12040" max="12044" width="16.28515625" style="149" customWidth="1"/>
    <col min="12045" max="12048" width="12.85546875" style="149" customWidth="1"/>
    <col min="12049" max="12288" width="9.140625" style="149"/>
    <col min="12289" max="12289" width="33.5703125" style="149" customWidth="1"/>
    <col min="12290" max="12290" width="11.42578125" style="149" customWidth="1"/>
    <col min="12291" max="12291" width="26.28515625" style="149" customWidth="1"/>
    <col min="12292" max="12292" width="15.42578125" style="149" customWidth="1"/>
    <col min="12293" max="12293" width="17.28515625" style="149" customWidth="1"/>
    <col min="12294" max="12294" width="12" style="149" customWidth="1"/>
    <col min="12295" max="12295" width="12.140625" style="149" customWidth="1"/>
    <col min="12296" max="12300" width="16.28515625" style="149" customWidth="1"/>
    <col min="12301" max="12304" width="12.85546875" style="149" customWidth="1"/>
    <col min="12305" max="12544" width="9.140625" style="149"/>
    <col min="12545" max="12545" width="33.5703125" style="149" customWidth="1"/>
    <col min="12546" max="12546" width="11.42578125" style="149" customWidth="1"/>
    <col min="12547" max="12547" width="26.28515625" style="149" customWidth="1"/>
    <col min="12548" max="12548" width="15.42578125" style="149" customWidth="1"/>
    <col min="12549" max="12549" width="17.28515625" style="149" customWidth="1"/>
    <col min="12550" max="12550" width="12" style="149" customWidth="1"/>
    <col min="12551" max="12551" width="12.140625" style="149" customWidth="1"/>
    <col min="12552" max="12556" width="16.28515625" style="149" customWidth="1"/>
    <col min="12557" max="12560" width="12.85546875" style="149" customWidth="1"/>
    <col min="12561" max="12800" width="9.140625" style="149"/>
    <col min="12801" max="12801" width="33.5703125" style="149" customWidth="1"/>
    <col min="12802" max="12802" width="11.42578125" style="149" customWidth="1"/>
    <col min="12803" max="12803" width="26.28515625" style="149" customWidth="1"/>
    <col min="12804" max="12804" width="15.42578125" style="149" customWidth="1"/>
    <col min="12805" max="12805" width="17.28515625" style="149" customWidth="1"/>
    <col min="12806" max="12806" width="12" style="149" customWidth="1"/>
    <col min="12807" max="12807" width="12.140625" style="149" customWidth="1"/>
    <col min="12808" max="12812" width="16.28515625" style="149" customWidth="1"/>
    <col min="12813" max="12816" width="12.85546875" style="149" customWidth="1"/>
    <col min="12817" max="13056" width="9.140625" style="149"/>
    <col min="13057" max="13057" width="33.5703125" style="149" customWidth="1"/>
    <col min="13058" max="13058" width="11.42578125" style="149" customWidth="1"/>
    <col min="13059" max="13059" width="26.28515625" style="149" customWidth="1"/>
    <col min="13060" max="13060" width="15.42578125" style="149" customWidth="1"/>
    <col min="13061" max="13061" width="17.28515625" style="149" customWidth="1"/>
    <col min="13062" max="13062" width="12" style="149" customWidth="1"/>
    <col min="13063" max="13063" width="12.140625" style="149" customWidth="1"/>
    <col min="13064" max="13068" width="16.28515625" style="149" customWidth="1"/>
    <col min="13069" max="13072" width="12.85546875" style="149" customWidth="1"/>
    <col min="13073" max="13312" width="9.140625" style="149"/>
    <col min="13313" max="13313" width="33.5703125" style="149" customWidth="1"/>
    <col min="13314" max="13314" width="11.42578125" style="149" customWidth="1"/>
    <col min="13315" max="13315" width="26.28515625" style="149" customWidth="1"/>
    <col min="13316" max="13316" width="15.42578125" style="149" customWidth="1"/>
    <col min="13317" max="13317" width="17.28515625" style="149" customWidth="1"/>
    <col min="13318" max="13318" width="12" style="149" customWidth="1"/>
    <col min="13319" max="13319" width="12.140625" style="149" customWidth="1"/>
    <col min="13320" max="13324" width="16.28515625" style="149" customWidth="1"/>
    <col min="13325" max="13328" width="12.85546875" style="149" customWidth="1"/>
    <col min="13329" max="13568" width="9.140625" style="149"/>
    <col min="13569" max="13569" width="33.5703125" style="149" customWidth="1"/>
    <col min="13570" max="13570" width="11.42578125" style="149" customWidth="1"/>
    <col min="13571" max="13571" width="26.28515625" style="149" customWidth="1"/>
    <col min="13572" max="13572" width="15.42578125" style="149" customWidth="1"/>
    <col min="13573" max="13573" width="17.28515625" style="149" customWidth="1"/>
    <col min="13574" max="13574" width="12" style="149" customWidth="1"/>
    <col min="13575" max="13575" width="12.140625" style="149" customWidth="1"/>
    <col min="13576" max="13580" width="16.28515625" style="149" customWidth="1"/>
    <col min="13581" max="13584" width="12.85546875" style="149" customWidth="1"/>
    <col min="13585" max="13824" width="9.140625" style="149"/>
    <col min="13825" max="13825" width="33.5703125" style="149" customWidth="1"/>
    <col min="13826" max="13826" width="11.42578125" style="149" customWidth="1"/>
    <col min="13827" max="13827" width="26.28515625" style="149" customWidth="1"/>
    <col min="13828" max="13828" width="15.42578125" style="149" customWidth="1"/>
    <col min="13829" max="13829" width="17.28515625" style="149" customWidth="1"/>
    <col min="13830" max="13830" width="12" style="149" customWidth="1"/>
    <col min="13831" max="13831" width="12.140625" style="149" customWidth="1"/>
    <col min="13832" max="13836" width="16.28515625" style="149" customWidth="1"/>
    <col min="13837" max="13840" width="12.85546875" style="149" customWidth="1"/>
    <col min="13841" max="14080" width="9.140625" style="149"/>
    <col min="14081" max="14081" width="33.5703125" style="149" customWidth="1"/>
    <col min="14082" max="14082" width="11.42578125" style="149" customWidth="1"/>
    <col min="14083" max="14083" width="26.28515625" style="149" customWidth="1"/>
    <col min="14084" max="14084" width="15.42578125" style="149" customWidth="1"/>
    <col min="14085" max="14085" width="17.28515625" style="149" customWidth="1"/>
    <col min="14086" max="14086" width="12" style="149" customWidth="1"/>
    <col min="14087" max="14087" width="12.140625" style="149" customWidth="1"/>
    <col min="14088" max="14092" width="16.28515625" style="149" customWidth="1"/>
    <col min="14093" max="14096" width="12.85546875" style="149" customWidth="1"/>
    <col min="14097" max="14336" width="9.140625" style="149"/>
    <col min="14337" max="14337" width="33.5703125" style="149" customWidth="1"/>
    <col min="14338" max="14338" width="11.42578125" style="149" customWidth="1"/>
    <col min="14339" max="14339" width="26.28515625" style="149" customWidth="1"/>
    <col min="14340" max="14340" width="15.42578125" style="149" customWidth="1"/>
    <col min="14341" max="14341" width="17.28515625" style="149" customWidth="1"/>
    <col min="14342" max="14342" width="12" style="149" customWidth="1"/>
    <col min="14343" max="14343" width="12.140625" style="149" customWidth="1"/>
    <col min="14344" max="14348" width="16.28515625" style="149" customWidth="1"/>
    <col min="14349" max="14352" width="12.85546875" style="149" customWidth="1"/>
    <col min="14353" max="14592" width="9.140625" style="149"/>
    <col min="14593" max="14593" width="33.5703125" style="149" customWidth="1"/>
    <col min="14594" max="14594" width="11.42578125" style="149" customWidth="1"/>
    <col min="14595" max="14595" width="26.28515625" style="149" customWidth="1"/>
    <col min="14596" max="14596" width="15.42578125" style="149" customWidth="1"/>
    <col min="14597" max="14597" width="17.28515625" style="149" customWidth="1"/>
    <col min="14598" max="14598" width="12" style="149" customWidth="1"/>
    <col min="14599" max="14599" width="12.140625" style="149" customWidth="1"/>
    <col min="14600" max="14604" width="16.28515625" style="149" customWidth="1"/>
    <col min="14605" max="14608" width="12.85546875" style="149" customWidth="1"/>
    <col min="14609" max="14848" width="9.140625" style="149"/>
    <col min="14849" max="14849" width="33.5703125" style="149" customWidth="1"/>
    <col min="14850" max="14850" width="11.42578125" style="149" customWidth="1"/>
    <col min="14851" max="14851" width="26.28515625" style="149" customWidth="1"/>
    <col min="14852" max="14852" width="15.42578125" style="149" customWidth="1"/>
    <col min="14853" max="14853" width="17.28515625" style="149" customWidth="1"/>
    <col min="14854" max="14854" width="12" style="149" customWidth="1"/>
    <col min="14855" max="14855" width="12.140625" style="149" customWidth="1"/>
    <col min="14856" max="14860" width="16.28515625" style="149" customWidth="1"/>
    <col min="14861" max="14864" width="12.85546875" style="149" customWidth="1"/>
    <col min="14865" max="15104" width="9.140625" style="149"/>
    <col min="15105" max="15105" width="33.5703125" style="149" customWidth="1"/>
    <col min="15106" max="15106" width="11.42578125" style="149" customWidth="1"/>
    <col min="15107" max="15107" width="26.28515625" style="149" customWidth="1"/>
    <col min="15108" max="15108" width="15.42578125" style="149" customWidth="1"/>
    <col min="15109" max="15109" width="17.28515625" style="149" customWidth="1"/>
    <col min="15110" max="15110" width="12" style="149" customWidth="1"/>
    <col min="15111" max="15111" width="12.140625" style="149" customWidth="1"/>
    <col min="15112" max="15116" width="16.28515625" style="149" customWidth="1"/>
    <col min="15117" max="15120" width="12.85546875" style="149" customWidth="1"/>
    <col min="15121" max="15360" width="9.140625" style="149"/>
    <col min="15361" max="15361" width="33.5703125" style="149" customWidth="1"/>
    <col min="15362" max="15362" width="11.42578125" style="149" customWidth="1"/>
    <col min="15363" max="15363" width="26.28515625" style="149" customWidth="1"/>
    <col min="15364" max="15364" width="15.42578125" style="149" customWidth="1"/>
    <col min="15365" max="15365" width="17.28515625" style="149" customWidth="1"/>
    <col min="15366" max="15366" width="12" style="149" customWidth="1"/>
    <col min="15367" max="15367" width="12.140625" style="149" customWidth="1"/>
    <col min="15368" max="15372" width="16.28515625" style="149" customWidth="1"/>
    <col min="15373" max="15376" width="12.85546875" style="149" customWidth="1"/>
    <col min="15377" max="15616" width="9.140625" style="149"/>
    <col min="15617" max="15617" width="33.5703125" style="149" customWidth="1"/>
    <col min="15618" max="15618" width="11.42578125" style="149" customWidth="1"/>
    <col min="15619" max="15619" width="26.28515625" style="149" customWidth="1"/>
    <col min="15620" max="15620" width="15.42578125" style="149" customWidth="1"/>
    <col min="15621" max="15621" width="17.28515625" style="149" customWidth="1"/>
    <col min="15622" max="15622" width="12" style="149" customWidth="1"/>
    <col min="15623" max="15623" width="12.140625" style="149" customWidth="1"/>
    <col min="15624" max="15628" width="16.28515625" style="149" customWidth="1"/>
    <col min="15629" max="15632" width="12.85546875" style="149" customWidth="1"/>
    <col min="15633" max="15872" width="9.140625" style="149"/>
    <col min="15873" max="15873" width="33.5703125" style="149" customWidth="1"/>
    <col min="15874" max="15874" width="11.42578125" style="149" customWidth="1"/>
    <col min="15875" max="15875" width="26.28515625" style="149" customWidth="1"/>
    <col min="15876" max="15876" width="15.42578125" style="149" customWidth="1"/>
    <col min="15877" max="15877" width="17.28515625" style="149" customWidth="1"/>
    <col min="15878" max="15878" width="12" style="149" customWidth="1"/>
    <col min="15879" max="15879" width="12.140625" style="149" customWidth="1"/>
    <col min="15880" max="15884" width="16.28515625" style="149" customWidth="1"/>
    <col min="15885" max="15888" width="12.85546875" style="149" customWidth="1"/>
    <col min="15889" max="16128" width="9.140625" style="149"/>
    <col min="16129" max="16129" width="33.5703125" style="149" customWidth="1"/>
    <col min="16130" max="16130" width="11.42578125" style="149" customWidth="1"/>
    <col min="16131" max="16131" width="26.28515625" style="149" customWidth="1"/>
    <col min="16132" max="16132" width="15.42578125" style="149" customWidth="1"/>
    <col min="16133" max="16133" width="17.28515625" style="149" customWidth="1"/>
    <col min="16134" max="16134" width="12" style="149" customWidth="1"/>
    <col min="16135" max="16135" width="12.140625" style="149" customWidth="1"/>
    <col min="16136" max="16140" width="16.28515625" style="149" customWidth="1"/>
    <col min="16141" max="16144" width="12.85546875" style="149" customWidth="1"/>
    <col min="16145" max="16384" width="9.140625" style="149"/>
  </cols>
  <sheetData>
    <row r="1" spans="1:16" s="5" customFormat="1" ht="16.5" customHeight="1" x14ac:dyDescent="0.2">
      <c r="A1" s="158"/>
      <c r="B1" s="11"/>
      <c r="C1" s="11"/>
      <c r="D1" s="11"/>
      <c r="E1" s="11"/>
    </row>
    <row r="2" spans="1:16" s="5" customFormat="1" ht="16.5" customHeight="1" x14ac:dyDescent="0.2">
      <c r="A2" s="123"/>
      <c r="B2" s="123"/>
      <c r="C2" s="123"/>
      <c r="D2" s="123"/>
      <c r="E2" s="11"/>
    </row>
    <row r="3" spans="1:16" x14ac:dyDescent="0.25">
      <c r="A3" s="218" t="s">
        <v>1725</v>
      </c>
      <c r="B3" s="218" t="s">
        <v>1726</v>
      </c>
      <c r="C3" s="218"/>
      <c r="D3" s="218"/>
      <c r="E3" s="218"/>
      <c r="F3" s="218" t="s">
        <v>1727</v>
      </c>
      <c r="G3" s="218"/>
      <c r="H3" s="218" t="s">
        <v>1516</v>
      </c>
      <c r="I3" s="218"/>
      <c r="J3" s="218"/>
      <c r="K3" s="218"/>
      <c r="L3" s="218"/>
      <c r="M3" s="218" t="s">
        <v>1517</v>
      </c>
      <c r="N3" s="218" t="s">
        <v>1518</v>
      </c>
      <c r="O3" s="218" t="s">
        <v>1519</v>
      </c>
      <c r="P3" s="218" t="s">
        <v>1520</v>
      </c>
    </row>
    <row r="4" spans="1:16" s="151" customFormat="1" ht="25.5" x14ac:dyDescent="0.2">
      <c r="A4" s="218"/>
      <c r="B4" s="150" t="s">
        <v>1521</v>
      </c>
      <c r="C4" s="150" t="s">
        <v>1730</v>
      </c>
      <c r="D4" s="150" t="s">
        <v>1729</v>
      </c>
      <c r="E4" s="150" t="s">
        <v>1728</v>
      </c>
      <c r="F4" s="150" t="s">
        <v>825</v>
      </c>
      <c r="G4" s="150" t="s">
        <v>1522</v>
      </c>
      <c r="H4" s="150" t="s">
        <v>1523</v>
      </c>
      <c r="I4" s="150" t="s">
        <v>1524</v>
      </c>
      <c r="J4" s="150" t="s">
        <v>1525</v>
      </c>
      <c r="K4" s="150" t="s">
        <v>1526</v>
      </c>
      <c r="L4" s="150" t="s">
        <v>1527</v>
      </c>
      <c r="M4" s="218"/>
      <c r="N4" s="218"/>
      <c r="O4" s="218"/>
      <c r="P4" s="218"/>
    </row>
    <row r="5" spans="1:16" ht="13.5" customHeight="1" x14ac:dyDescent="0.25">
      <c r="A5" s="152" t="s">
        <v>1528</v>
      </c>
      <c r="B5" s="152" t="s">
        <v>1529</v>
      </c>
      <c r="C5" s="152" t="s">
        <v>1530</v>
      </c>
      <c r="D5" s="152">
        <v>4</v>
      </c>
      <c r="E5" s="152"/>
      <c r="F5" s="152">
        <v>1998</v>
      </c>
      <c r="G5" s="152"/>
      <c r="H5" s="153">
        <v>29379234</v>
      </c>
      <c r="I5" s="153">
        <v>1317417</v>
      </c>
      <c r="J5" s="153">
        <f>I5*2</f>
        <v>2634834</v>
      </c>
      <c r="K5" s="153">
        <v>14982000</v>
      </c>
      <c r="L5" s="153">
        <v>13079817</v>
      </c>
      <c r="M5" s="154">
        <f>K5/(D5*1000000)</f>
        <v>3.7454999999999998</v>
      </c>
      <c r="N5" s="154">
        <f>(J5+K5)/(D5*1000000)</f>
        <v>4.4042085000000002</v>
      </c>
      <c r="O5" s="154">
        <f>J5/(D5*1000000)</f>
        <v>0.65870850000000003</v>
      </c>
      <c r="P5" s="154">
        <f>I5/(D5*1000000)</f>
        <v>0.32935425000000002</v>
      </c>
    </row>
    <row r="6" spans="1:16" x14ac:dyDescent="0.25">
      <c r="A6" s="152" t="s">
        <v>1531</v>
      </c>
      <c r="B6" s="152" t="s">
        <v>1532</v>
      </c>
      <c r="C6" s="152" t="s">
        <v>1533</v>
      </c>
      <c r="D6" s="152">
        <v>13</v>
      </c>
      <c r="E6" s="152"/>
      <c r="F6" s="152" t="s">
        <v>1534</v>
      </c>
      <c r="G6" s="152"/>
      <c r="H6" s="153">
        <v>40190091</v>
      </c>
      <c r="I6" s="153">
        <v>2994313</v>
      </c>
      <c r="J6" s="153">
        <f t="shared" ref="J6:J69" si="0">I6*2</f>
        <v>5988626</v>
      </c>
      <c r="K6" s="153">
        <v>13700000</v>
      </c>
      <c r="L6" s="153">
        <v>23495778</v>
      </c>
      <c r="M6" s="154">
        <f t="shared" ref="M6:M69" si="1">K6/(D6*1000000)</f>
        <v>1.0538461538461539</v>
      </c>
      <c r="N6" s="154">
        <f t="shared" ref="N6:N69" si="2">(J6+K6)/(D6*1000000)</f>
        <v>1.5145096923076924</v>
      </c>
      <c r="O6" s="154">
        <f t="shared" ref="O6:O69" si="3">J6/(D6*1000000)</f>
        <v>0.46066353846153846</v>
      </c>
      <c r="P6" s="154">
        <f t="shared" ref="P6:P69" si="4">I6/(D6*1000000)</f>
        <v>0.23033176923076923</v>
      </c>
    </row>
    <row r="7" spans="1:16" x14ac:dyDescent="0.25">
      <c r="A7" s="152" t="s">
        <v>1535</v>
      </c>
      <c r="B7" s="152" t="s">
        <v>1536</v>
      </c>
      <c r="C7" s="152" t="s">
        <v>1530</v>
      </c>
      <c r="D7" s="152">
        <v>2.8</v>
      </c>
      <c r="E7" s="152"/>
      <c r="F7" s="152" t="s">
        <v>1537</v>
      </c>
      <c r="G7" s="152">
        <v>2006</v>
      </c>
      <c r="H7" s="153" t="s">
        <v>1538</v>
      </c>
      <c r="I7" s="153">
        <v>0</v>
      </c>
      <c r="J7" s="153">
        <f t="shared" si="0"/>
        <v>0</v>
      </c>
      <c r="K7" s="153">
        <v>0</v>
      </c>
      <c r="L7" s="153" t="s">
        <v>1538</v>
      </c>
      <c r="M7" s="154">
        <f t="shared" si="1"/>
        <v>0</v>
      </c>
      <c r="N7" s="154">
        <f t="shared" si="2"/>
        <v>0</v>
      </c>
      <c r="O7" s="154">
        <f t="shared" si="3"/>
        <v>0</v>
      </c>
      <c r="P7" s="154"/>
    </row>
    <row r="8" spans="1:16" ht="25.5" x14ac:dyDescent="0.25">
      <c r="A8" s="152" t="s">
        <v>1539</v>
      </c>
      <c r="B8" s="152" t="s">
        <v>1540</v>
      </c>
      <c r="C8" s="152" t="s">
        <v>1541</v>
      </c>
      <c r="D8" s="152">
        <v>180</v>
      </c>
      <c r="E8" s="152"/>
      <c r="F8" s="152" t="s">
        <v>1542</v>
      </c>
      <c r="G8" s="152"/>
      <c r="H8" s="153">
        <v>558728187</v>
      </c>
      <c r="I8" s="153">
        <v>73135745</v>
      </c>
      <c r="J8" s="153">
        <f t="shared" si="0"/>
        <v>146271490</v>
      </c>
      <c r="K8" s="153">
        <v>267000000</v>
      </c>
      <c r="L8" s="153">
        <v>218592442</v>
      </c>
      <c r="M8" s="154">
        <f t="shared" si="1"/>
        <v>1.4833333333333334</v>
      </c>
      <c r="N8" s="154">
        <f t="shared" si="2"/>
        <v>2.2959527222222222</v>
      </c>
      <c r="O8" s="154">
        <f t="shared" si="3"/>
        <v>0.81261938888888885</v>
      </c>
      <c r="P8" s="154">
        <f t="shared" si="4"/>
        <v>0.40630969444444442</v>
      </c>
    </row>
    <row r="9" spans="1:16" x14ac:dyDescent="0.25">
      <c r="A9" s="152" t="s">
        <v>1543</v>
      </c>
      <c r="B9" s="152" t="s">
        <v>1544</v>
      </c>
      <c r="C9" s="152" t="s">
        <v>1545</v>
      </c>
      <c r="D9" s="152">
        <v>6</v>
      </c>
      <c r="E9" s="152">
        <v>15</v>
      </c>
      <c r="F9" s="152" t="s">
        <v>1546</v>
      </c>
      <c r="G9" s="152"/>
      <c r="H9" s="153">
        <v>143033621</v>
      </c>
      <c r="I9" s="153">
        <v>1000000</v>
      </c>
      <c r="J9" s="153">
        <f t="shared" si="0"/>
        <v>2000000</v>
      </c>
      <c r="K9" s="153">
        <v>31000000</v>
      </c>
      <c r="L9" s="153">
        <v>111033621</v>
      </c>
      <c r="M9" s="154">
        <f t="shared" si="1"/>
        <v>5.166666666666667</v>
      </c>
      <c r="N9" s="154">
        <f t="shared" si="2"/>
        <v>5.5</v>
      </c>
      <c r="O9" s="154">
        <f t="shared" si="3"/>
        <v>0.33333333333333331</v>
      </c>
      <c r="P9" s="154">
        <f t="shared" si="4"/>
        <v>0.16666666666666666</v>
      </c>
    </row>
    <row r="10" spans="1:16" ht="25.5" x14ac:dyDescent="0.25">
      <c r="A10" s="152" t="s">
        <v>1547</v>
      </c>
      <c r="B10" s="152" t="s">
        <v>1548</v>
      </c>
      <c r="C10" s="152" t="s">
        <v>1549</v>
      </c>
      <c r="D10" s="152">
        <v>169.6</v>
      </c>
      <c r="E10" s="152"/>
      <c r="F10" s="152"/>
      <c r="G10" s="152"/>
      <c r="H10" s="153">
        <v>1080000000</v>
      </c>
      <c r="I10" s="153">
        <v>38831231</v>
      </c>
      <c r="J10" s="153">
        <f t="shared" si="0"/>
        <v>77662462</v>
      </c>
      <c r="K10" s="153">
        <v>203298000</v>
      </c>
      <c r="L10" s="153">
        <v>837870769</v>
      </c>
      <c r="M10" s="154">
        <f t="shared" si="1"/>
        <v>1.1986910377358491</v>
      </c>
      <c r="N10" s="154">
        <f t="shared" si="2"/>
        <v>1.6566064976415094</v>
      </c>
      <c r="O10" s="154">
        <f t="shared" si="3"/>
        <v>0.4579154599056604</v>
      </c>
      <c r="P10" s="154">
        <f t="shared" si="4"/>
        <v>0.2289577299528302</v>
      </c>
    </row>
    <row r="11" spans="1:16" ht="25.5" x14ac:dyDescent="0.25">
      <c r="A11" s="152" t="s">
        <v>1550</v>
      </c>
      <c r="B11" s="152" t="s">
        <v>1551</v>
      </c>
      <c r="C11" s="152" t="s">
        <v>1552</v>
      </c>
      <c r="D11" s="152">
        <v>0.53</v>
      </c>
      <c r="E11" s="152"/>
      <c r="F11" s="152" t="s">
        <v>1553</v>
      </c>
      <c r="G11" s="152">
        <v>2010</v>
      </c>
      <c r="H11" s="153">
        <v>12556394</v>
      </c>
      <c r="I11" s="153">
        <v>2601676</v>
      </c>
      <c r="J11" s="153">
        <f t="shared" si="0"/>
        <v>5203352</v>
      </c>
      <c r="K11" s="153">
        <v>0</v>
      </c>
      <c r="L11" s="153">
        <v>9954718</v>
      </c>
      <c r="M11" s="154">
        <f t="shared" si="1"/>
        <v>0</v>
      </c>
      <c r="N11" s="154">
        <f t="shared" si="2"/>
        <v>9.8176452830188676</v>
      </c>
      <c r="O11" s="154">
        <f t="shared" si="3"/>
        <v>9.8176452830188676</v>
      </c>
      <c r="P11" s="154">
        <f t="shared" si="4"/>
        <v>4.9088226415094338</v>
      </c>
    </row>
    <row r="12" spans="1:16" x14ac:dyDescent="0.25">
      <c r="A12" s="152" t="s">
        <v>1554</v>
      </c>
      <c r="B12" s="152" t="s">
        <v>1555</v>
      </c>
      <c r="C12" s="152" t="s">
        <v>1556</v>
      </c>
      <c r="D12" s="152">
        <v>3.3</v>
      </c>
      <c r="E12" s="152"/>
      <c r="F12" s="152" t="s">
        <v>1557</v>
      </c>
      <c r="G12" s="152">
        <v>2011</v>
      </c>
      <c r="H12" s="153">
        <v>10953759</v>
      </c>
      <c r="I12" s="153">
        <v>96960</v>
      </c>
      <c r="J12" s="153">
        <f t="shared" si="0"/>
        <v>193920</v>
      </c>
      <c r="K12" s="153">
        <v>8870000</v>
      </c>
      <c r="L12" s="153">
        <v>1986799</v>
      </c>
      <c r="M12" s="154">
        <f t="shared" si="1"/>
        <v>2.687878787878788</v>
      </c>
      <c r="N12" s="154">
        <f t="shared" si="2"/>
        <v>2.7466424242424243</v>
      </c>
      <c r="O12" s="154">
        <f t="shared" si="3"/>
        <v>5.8763636363636365E-2</v>
      </c>
      <c r="P12" s="154">
        <f t="shared" si="4"/>
        <v>2.9381818181818183E-2</v>
      </c>
    </row>
    <row r="13" spans="1:16" x14ac:dyDescent="0.25">
      <c r="A13" s="152" t="s">
        <v>1558</v>
      </c>
      <c r="B13" s="152" t="s">
        <v>1559</v>
      </c>
      <c r="C13" s="152" t="s">
        <v>1533</v>
      </c>
      <c r="D13" s="152">
        <v>6</v>
      </c>
      <c r="E13" s="152">
        <v>8</v>
      </c>
      <c r="F13" s="152" t="s">
        <v>1560</v>
      </c>
      <c r="G13" s="152"/>
      <c r="H13" s="153">
        <v>29219490</v>
      </c>
      <c r="I13" s="153">
        <v>206897</v>
      </c>
      <c r="J13" s="153">
        <f t="shared" si="0"/>
        <v>413794</v>
      </c>
      <c r="K13" s="153">
        <v>7851000</v>
      </c>
      <c r="L13" s="153">
        <v>21161593</v>
      </c>
      <c r="M13" s="154">
        <f t="shared" si="1"/>
        <v>1.3085</v>
      </c>
      <c r="N13" s="154">
        <f t="shared" si="2"/>
        <v>1.3774656666666667</v>
      </c>
      <c r="O13" s="154">
        <f t="shared" si="3"/>
        <v>6.8965666666666661E-2</v>
      </c>
      <c r="P13" s="154">
        <f t="shared" si="4"/>
        <v>3.4482833333333331E-2</v>
      </c>
    </row>
    <row r="14" spans="1:16" x14ac:dyDescent="0.25">
      <c r="A14" s="152" t="s">
        <v>1561</v>
      </c>
      <c r="B14" s="152" t="s">
        <v>1562</v>
      </c>
      <c r="C14" s="152" t="s">
        <v>1533</v>
      </c>
      <c r="D14" s="152">
        <v>2</v>
      </c>
      <c r="E14" s="152"/>
      <c r="F14" s="152" t="s">
        <v>1534</v>
      </c>
      <c r="G14" s="152"/>
      <c r="H14" s="153">
        <v>18284342</v>
      </c>
      <c r="I14" s="153">
        <v>2589960</v>
      </c>
      <c r="J14" s="153">
        <f t="shared" si="0"/>
        <v>5179920</v>
      </c>
      <c r="K14" s="153">
        <v>6000000</v>
      </c>
      <c r="L14" s="153">
        <v>9694382</v>
      </c>
      <c r="M14" s="154">
        <f t="shared" si="1"/>
        <v>3</v>
      </c>
      <c r="N14" s="154">
        <f t="shared" si="2"/>
        <v>5.5899599999999996</v>
      </c>
      <c r="O14" s="154">
        <f t="shared" si="3"/>
        <v>2.58996</v>
      </c>
      <c r="P14" s="154">
        <f t="shared" si="4"/>
        <v>1.29498</v>
      </c>
    </row>
    <row r="15" spans="1:16" x14ac:dyDescent="0.25">
      <c r="A15" s="152" t="s">
        <v>1563</v>
      </c>
      <c r="B15" s="152" t="s">
        <v>1564</v>
      </c>
      <c r="C15" s="152" t="s">
        <v>1545</v>
      </c>
      <c r="D15" s="152">
        <v>1.4</v>
      </c>
      <c r="E15" s="152"/>
      <c r="F15" s="152" t="s">
        <v>1565</v>
      </c>
      <c r="G15" s="152">
        <v>2008</v>
      </c>
      <c r="H15" s="153">
        <v>14626149</v>
      </c>
      <c r="I15" s="153">
        <v>2333661.0099999998</v>
      </c>
      <c r="J15" s="153">
        <f t="shared" si="0"/>
        <v>4667322.0199999996</v>
      </c>
      <c r="K15" s="153">
        <v>8263000</v>
      </c>
      <c r="L15" s="153">
        <v>4029487.99</v>
      </c>
      <c r="M15" s="154">
        <f t="shared" si="1"/>
        <v>5.9021428571428576</v>
      </c>
      <c r="N15" s="154">
        <f t="shared" si="2"/>
        <v>9.2359442999999999</v>
      </c>
      <c r="O15" s="154">
        <f t="shared" si="3"/>
        <v>3.3338014428571427</v>
      </c>
      <c r="P15" s="154">
        <f t="shared" si="4"/>
        <v>1.6669007214285714</v>
      </c>
    </row>
    <row r="16" spans="1:16" x14ac:dyDescent="0.25">
      <c r="A16" s="152" t="s">
        <v>1566</v>
      </c>
      <c r="B16" s="152" t="s">
        <v>1567</v>
      </c>
      <c r="C16" s="152" t="s">
        <v>1568</v>
      </c>
      <c r="D16" s="152">
        <v>8.1</v>
      </c>
      <c r="E16" s="152"/>
      <c r="F16" s="152" t="s">
        <v>1569</v>
      </c>
      <c r="G16" s="152"/>
      <c r="H16" s="153">
        <v>24711388</v>
      </c>
      <c r="I16" s="153">
        <v>4728221</v>
      </c>
      <c r="J16" s="153">
        <f t="shared" si="0"/>
        <v>9456442</v>
      </c>
      <c r="K16" s="153">
        <v>8944000</v>
      </c>
      <c r="L16" s="153">
        <v>11039167</v>
      </c>
      <c r="M16" s="154">
        <f t="shared" si="1"/>
        <v>1.1041975308641976</v>
      </c>
      <c r="N16" s="154">
        <f t="shared" si="2"/>
        <v>2.2716595061728393</v>
      </c>
      <c r="O16" s="154">
        <f t="shared" si="3"/>
        <v>1.1674619753086419</v>
      </c>
      <c r="P16" s="154">
        <f t="shared" si="4"/>
        <v>0.58373098765432097</v>
      </c>
    </row>
    <row r="17" spans="1:16" x14ac:dyDescent="0.25">
      <c r="A17" s="152" t="s">
        <v>1570</v>
      </c>
      <c r="B17" s="152" t="s">
        <v>1571</v>
      </c>
      <c r="C17" s="152" t="s">
        <v>1572</v>
      </c>
      <c r="D17" s="152">
        <v>1.66</v>
      </c>
      <c r="E17" s="152"/>
      <c r="F17" s="152" t="s">
        <v>1537</v>
      </c>
      <c r="G17" s="152">
        <v>2006</v>
      </c>
      <c r="H17" s="153">
        <v>16094251</v>
      </c>
      <c r="I17" s="153">
        <v>3606579</v>
      </c>
      <c r="J17" s="153">
        <f t="shared" si="0"/>
        <v>7213158</v>
      </c>
      <c r="K17" s="153">
        <v>2333382</v>
      </c>
      <c r="L17" s="153">
        <v>10154290</v>
      </c>
      <c r="M17" s="154">
        <f t="shared" si="1"/>
        <v>1.4056518072289157</v>
      </c>
      <c r="N17" s="154">
        <f t="shared" si="2"/>
        <v>5.7509277108433734</v>
      </c>
      <c r="O17" s="154">
        <f t="shared" si="3"/>
        <v>4.3452759036144579</v>
      </c>
      <c r="P17" s="154">
        <f t="shared" si="4"/>
        <v>2.172637951807229</v>
      </c>
    </row>
    <row r="18" spans="1:16" x14ac:dyDescent="0.25">
      <c r="A18" s="152" t="s">
        <v>1573</v>
      </c>
      <c r="B18" s="152" t="s">
        <v>1574</v>
      </c>
      <c r="C18" s="152" t="s">
        <v>1575</v>
      </c>
      <c r="D18" s="152">
        <v>0.5</v>
      </c>
      <c r="E18" s="152"/>
      <c r="F18" s="152" t="s">
        <v>1576</v>
      </c>
      <c r="G18" s="152"/>
      <c r="H18" s="153">
        <v>10661900</v>
      </c>
      <c r="I18" s="153">
        <v>3279858</v>
      </c>
      <c r="J18" s="153">
        <f t="shared" si="0"/>
        <v>6559716</v>
      </c>
      <c r="K18" s="153">
        <v>1000000</v>
      </c>
      <c r="L18" s="153">
        <v>6382042</v>
      </c>
      <c r="M18" s="154">
        <f t="shared" si="1"/>
        <v>2</v>
      </c>
      <c r="N18" s="154">
        <f t="shared" si="2"/>
        <v>15.119432</v>
      </c>
      <c r="O18" s="154">
        <f t="shared" si="3"/>
        <v>13.119432</v>
      </c>
      <c r="P18" s="154">
        <f t="shared" si="4"/>
        <v>6.5597159999999999</v>
      </c>
    </row>
    <row r="19" spans="1:16" x14ac:dyDescent="0.25">
      <c r="A19" s="152" t="s">
        <v>1577</v>
      </c>
      <c r="B19" s="152" t="s">
        <v>1578</v>
      </c>
      <c r="C19" s="152" t="s">
        <v>1579</v>
      </c>
      <c r="D19" s="152">
        <v>1.18</v>
      </c>
      <c r="E19" s="152"/>
      <c r="F19" s="152" t="s">
        <v>1580</v>
      </c>
      <c r="G19" s="152"/>
      <c r="H19" s="153">
        <v>29845400</v>
      </c>
      <c r="I19" s="153">
        <v>0</v>
      </c>
      <c r="J19" s="153">
        <f t="shared" si="0"/>
        <v>0</v>
      </c>
      <c r="K19" s="153">
        <v>9157000</v>
      </c>
      <c r="L19" s="153">
        <v>20688400</v>
      </c>
      <c r="M19" s="154">
        <f t="shared" si="1"/>
        <v>7.7601694915254233</v>
      </c>
      <c r="N19" s="154">
        <f t="shared" si="2"/>
        <v>7.7601694915254233</v>
      </c>
      <c r="O19" s="154"/>
      <c r="P19" s="154"/>
    </row>
    <row r="20" spans="1:16" x14ac:dyDescent="0.25">
      <c r="A20" s="152" t="s">
        <v>1581</v>
      </c>
      <c r="B20" s="152" t="s">
        <v>1582</v>
      </c>
      <c r="C20" s="152" t="s">
        <v>1583</v>
      </c>
      <c r="D20" s="152">
        <v>0.9</v>
      </c>
      <c r="E20" s="152"/>
      <c r="F20" s="152" t="s">
        <v>1565</v>
      </c>
      <c r="G20" s="152">
        <v>2008</v>
      </c>
      <c r="H20" s="153">
        <v>9801614</v>
      </c>
      <c r="I20" s="153">
        <v>2858405</v>
      </c>
      <c r="J20" s="153">
        <f t="shared" si="0"/>
        <v>5716810</v>
      </c>
      <c r="K20" s="153">
        <v>1490854</v>
      </c>
      <c r="L20" s="153">
        <v>5452355</v>
      </c>
      <c r="M20" s="154">
        <f t="shared" si="1"/>
        <v>1.6565044444444443</v>
      </c>
      <c r="N20" s="154">
        <f t="shared" si="2"/>
        <v>8.0085155555555563</v>
      </c>
      <c r="O20" s="154">
        <f t="shared" si="3"/>
        <v>6.3520111111111115</v>
      </c>
      <c r="P20" s="154">
        <f t="shared" si="4"/>
        <v>3.1760055555555557</v>
      </c>
    </row>
    <row r="21" spans="1:16" x14ac:dyDescent="0.25">
      <c r="A21" s="152" t="s">
        <v>1584</v>
      </c>
      <c r="B21" s="152" t="s">
        <v>1585</v>
      </c>
      <c r="C21" s="152" t="s">
        <v>1552</v>
      </c>
      <c r="D21" s="152">
        <v>4.0999999999999996</v>
      </c>
      <c r="E21" s="152">
        <v>4.5</v>
      </c>
      <c r="F21" s="152" t="s">
        <v>1586</v>
      </c>
      <c r="G21" s="152"/>
      <c r="H21" s="153">
        <v>42756287</v>
      </c>
      <c r="I21" s="153">
        <v>2612390</v>
      </c>
      <c r="J21" s="153">
        <f t="shared" si="0"/>
        <v>5224780</v>
      </c>
      <c r="K21" s="153">
        <v>27537000</v>
      </c>
      <c r="L21" s="153">
        <v>12606897</v>
      </c>
      <c r="M21" s="154">
        <f t="shared" si="1"/>
        <v>6.7163414634146346</v>
      </c>
      <c r="N21" s="154">
        <f t="shared" si="2"/>
        <v>7.9906780487804889</v>
      </c>
      <c r="O21" s="154">
        <f t="shared" si="3"/>
        <v>1.2743365853658537</v>
      </c>
      <c r="P21" s="154">
        <f t="shared" si="4"/>
        <v>0.63716829268292685</v>
      </c>
    </row>
    <row r="22" spans="1:16" x14ac:dyDescent="0.25">
      <c r="A22" s="152" t="s">
        <v>1587</v>
      </c>
      <c r="B22" s="152" t="s">
        <v>1588</v>
      </c>
      <c r="C22" s="152" t="s">
        <v>1533</v>
      </c>
      <c r="D22" s="152">
        <v>15</v>
      </c>
      <c r="E22" s="152"/>
      <c r="F22" s="152" t="s">
        <v>1589</v>
      </c>
      <c r="G22" s="152"/>
      <c r="H22" s="153">
        <v>172121580</v>
      </c>
      <c r="I22" s="153">
        <v>4265000</v>
      </c>
      <c r="J22" s="153">
        <f t="shared" si="0"/>
        <v>8530000</v>
      </c>
      <c r="K22" s="153">
        <v>140485000</v>
      </c>
      <c r="L22" s="153">
        <v>27371580</v>
      </c>
      <c r="M22" s="154">
        <f t="shared" si="1"/>
        <v>9.3656666666666659</v>
      </c>
      <c r="N22" s="154">
        <f t="shared" si="2"/>
        <v>9.934333333333333</v>
      </c>
      <c r="O22" s="154">
        <f t="shared" si="3"/>
        <v>0.56866666666666665</v>
      </c>
      <c r="P22" s="154">
        <f t="shared" si="4"/>
        <v>0.28433333333333333</v>
      </c>
    </row>
    <row r="23" spans="1:16" x14ac:dyDescent="0.25">
      <c r="A23" s="152" t="s">
        <v>1590</v>
      </c>
      <c r="B23" s="152" t="s">
        <v>1591</v>
      </c>
      <c r="C23" s="152" t="s">
        <v>1592</v>
      </c>
      <c r="D23" s="152">
        <v>1</v>
      </c>
      <c r="E23" s="152"/>
      <c r="F23" s="152" t="s">
        <v>1553</v>
      </c>
      <c r="G23" s="152">
        <v>2010</v>
      </c>
      <c r="H23" s="153">
        <v>10270523</v>
      </c>
      <c r="I23" s="153">
        <v>1986639</v>
      </c>
      <c r="J23" s="153">
        <f t="shared" si="0"/>
        <v>3973278</v>
      </c>
      <c r="K23" s="153">
        <v>4231000</v>
      </c>
      <c r="L23" s="153">
        <v>4052884</v>
      </c>
      <c r="M23" s="154">
        <f t="shared" si="1"/>
        <v>4.2309999999999999</v>
      </c>
      <c r="N23" s="154">
        <f t="shared" si="2"/>
        <v>8.2042780000000004</v>
      </c>
      <c r="O23" s="154">
        <f t="shared" si="3"/>
        <v>3.9732780000000001</v>
      </c>
      <c r="P23" s="154">
        <f t="shared" si="4"/>
        <v>1.986639</v>
      </c>
    </row>
    <row r="24" spans="1:16" x14ac:dyDescent="0.25">
      <c r="A24" s="152" t="s">
        <v>1593</v>
      </c>
      <c r="B24" s="152" t="s">
        <v>1594</v>
      </c>
      <c r="C24" s="152" t="s">
        <v>1572</v>
      </c>
      <c r="D24" s="152">
        <v>15</v>
      </c>
      <c r="E24" s="152"/>
      <c r="F24" s="152" t="s">
        <v>1586</v>
      </c>
      <c r="G24" s="152">
        <v>2011</v>
      </c>
      <c r="H24" s="153">
        <v>47136060</v>
      </c>
      <c r="I24" s="153">
        <v>5091862.5</v>
      </c>
      <c r="J24" s="153">
        <f t="shared" si="0"/>
        <v>10183725</v>
      </c>
      <c r="K24" s="153">
        <v>26780000</v>
      </c>
      <c r="L24" s="153">
        <v>15264197.5</v>
      </c>
      <c r="M24" s="154">
        <f t="shared" si="1"/>
        <v>1.7853333333333334</v>
      </c>
      <c r="N24" s="154">
        <f t="shared" si="2"/>
        <v>2.4642483333333334</v>
      </c>
      <c r="O24" s="154">
        <f t="shared" si="3"/>
        <v>0.67891500000000005</v>
      </c>
      <c r="P24" s="154">
        <f t="shared" si="4"/>
        <v>0.33945750000000002</v>
      </c>
    </row>
    <row r="25" spans="1:16" x14ac:dyDescent="0.25">
      <c r="A25" s="152" t="s">
        <v>1595</v>
      </c>
      <c r="B25" s="152" t="s">
        <v>1596</v>
      </c>
      <c r="C25" s="152" t="s">
        <v>1597</v>
      </c>
      <c r="D25" s="152">
        <v>1.5</v>
      </c>
      <c r="E25" s="152"/>
      <c r="F25" s="152" t="s">
        <v>1542</v>
      </c>
      <c r="G25" s="152"/>
      <c r="H25" s="153">
        <v>32251880</v>
      </c>
      <c r="I25" s="153">
        <v>830600</v>
      </c>
      <c r="J25" s="153">
        <f t="shared" si="0"/>
        <v>1661200</v>
      </c>
      <c r="K25" s="153">
        <v>5235000</v>
      </c>
      <c r="L25" s="153">
        <v>26186280</v>
      </c>
      <c r="M25" s="154">
        <f t="shared" si="1"/>
        <v>3.49</v>
      </c>
      <c r="N25" s="154">
        <f t="shared" si="2"/>
        <v>4.5974666666666666</v>
      </c>
      <c r="O25" s="154">
        <f t="shared" si="3"/>
        <v>1.1074666666666666</v>
      </c>
      <c r="P25" s="154">
        <f t="shared" si="4"/>
        <v>0.5537333333333333</v>
      </c>
    </row>
    <row r="26" spans="1:16" x14ac:dyDescent="0.25">
      <c r="A26" s="152" t="s">
        <v>1598</v>
      </c>
      <c r="B26" s="152" t="s">
        <v>1599</v>
      </c>
      <c r="C26" s="152" t="s">
        <v>1600</v>
      </c>
      <c r="D26" s="152">
        <v>0.65</v>
      </c>
      <c r="E26" s="152"/>
      <c r="F26" s="152"/>
      <c r="G26" s="152"/>
      <c r="H26" s="153">
        <v>7810793</v>
      </c>
      <c r="I26" s="153">
        <v>515000</v>
      </c>
      <c r="J26" s="153">
        <f t="shared" si="0"/>
        <v>1030000</v>
      </c>
      <c r="K26" s="153">
        <v>2540000</v>
      </c>
      <c r="L26" s="153">
        <v>4755793</v>
      </c>
      <c r="M26" s="154">
        <f t="shared" si="1"/>
        <v>3.9076923076923076</v>
      </c>
      <c r="N26" s="154">
        <f t="shared" si="2"/>
        <v>5.4923076923076923</v>
      </c>
      <c r="O26" s="154">
        <f t="shared" si="3"/>
        <v>1.5846153846153845</v>
      </c>
      <c r="P26" s="154">
        <f t="shared" si="4"/>
        <v>0.79230769230769227</v>
      </c>
    </row>
    <row r="27" spans="1:16" x14ac:dyDescent="0.25">
      <c r="A27" s="152" t="s">
        <v>1601</v>
      </c>
      <c r="B27" s="152" t="s">
        <v>1602</v>
      </c>
      <c r="C27" s="152" t="s">
        <v>1603</v>
      </c>
      <c r="D27" s="152">
        <v>0.8</v>
      </c>
      <c r="E27" s="152"/>
      <c r="F27" s="152" t="s">
        <v>1534</v>
      </c>
      <c r="G27" s="152"/>
      <c r="H27" s="153">
        <v>11237261</v>
      </c>
      <c r="I27" s="153">
        <v>1879935</v>
      </c>
      <c r="J27" s="153">
        <f t="shared" si="0"/>
        <v>3759870</v>
      </c>
      <c r="K27" s="153">
        <v>4609000</v>
      </c>
      <c r="L27" s="153">
        <v>4748326</v>
      </c>
      <c r="M27" s="154">
        <f t="shared" si="1"/>
        <v>5.7612500000000004</v>
      </c>
      <c r="N27" s="154">
        <f t="shared" si="2"/>
        <v>10.4610875</v>
      </c>
      <c r="O27" s="154">
        <f t="shared" si="3"/>
        <v>4.6998375000000001</v>
      </c>
      <c r="P27" s="154">
        <f t="shared" si="4"/>
        <v>2.3499187500000001</v>
      </c>
    </row>
    <row r="28" spans="1:16" x14ac:dyDescent="0.25">
      <c r="A28" s="152" t="s">
        <v>1604</v>
      </c>
      <c r="B28" s="152" t="s">
        <v>1605</v>
      </c>
      <c r="C28" s="152" t="s">
        <v>1533</v>
      </c>
      <c r="D28" s="152">
        <v>2</v>
      </c>
      <c r="E28" s="152"/>
      <c r="F28" s="152" t="s">
        <v>1580</v>
      </c>
      <c r="G28" s="152"/>
      <c r="H28" s="153">
        <v>3900000</v>
      </c>
      <c r="I28" s="153">
        <v>0</v>
      </c>
      <c r="J28" s="153">
        <f t="shared" si="0"/>
        <v>0</v>
      </c>
      <c r="K28" s="153">
        <v>3900000</v>
      </c>
      <c r="L28" s="153">
        <v>0</v>
      </c>
      <c r="M28" s="154">
        <f t="shared" si="1"/>
        <v>1.95</v>
      </c>
      <c r="N28" s="154">
        <f t="shared" si="2"/>
        <v>1.95</v>
      </c>
      <c r="O28" s="154"/>
      <c r="P28" s="154"/>
    </row>
    <row r="29" spans="1:16" x14ac:dyDescent="0.25">
      <c r="A29" s="152" t="s">
        <v>1606</v>
      </c>
      <c r="B29" s="152" t="s">
        <v>1607</v>
      </c>
      <c r="C29" s="152" t="s">
        <v>1608</v>
      </c>
      <c r="D29" s="152">
        <v>2.35</v>
      </c>
      <c r="E29" s="152"/>
      <c r="F29" s="152" t="s">
        <v>1609</v>
      </c>
      <c r="G29" s="152">
        <v>2007</v>
      </c>
      <c r="H29" s="153">
        <v>39153791</v>
      </c>
      <c r="I29" s="153">
        <v>8930000</v>
      </c>
      <c r="J29" s="153">
        <f t="shared" si="0"/>
        <v>17860000</v>
      </c>
      <c r="K29" s="153">
        <v>8660000</v>
      </c>
      <c r="L29" s="153">
        <v>21563791</v>
      </c>
      <c r="M29" s="154">
        <f t="shared" si="1"/>
        <v>3.6851063829787236</v>
      </c>
      <c r="N29" s="154">
        <f t="shared" si="2"/>
        <v>11.285106382978723</v>
      </c>
      <c r="O29" s="154">
        <f t="shared" si="3"/>
        <v>7.6</v>
      </c>
      <c r="P29" s="154">
        <f t="shared" si="4"/>
        <v>3.8</v>
      </c>
    </row>
    <row r="30" spans="1:16" x14ac:dyDescent="0.25">
      <c r="A30" s="152" t="s">
        <v>1610</v>
      </c>
      <c r="B30" s="152" t="s">
        <v>1611</v>
      </c>
      <c r="C30" s="152" t="s">
        <v>1612</v>
      </c>
      <c r="D30" s="152">
        <v>2.7</v>
      </c>
      <c r="E30" s="152">
        <v>3.2</v>
      </c>
      <c r="F30" s="152" t="s">
        <v>1613</v>
      </c>
      <c r="G30" s="152">
        <v>2009</v>
      </c>
      <c r="H30" s="153">
        <v>40710912</v>
      </c>
      <c r="I30" s="153">
        <v>8842410</v>
      </c>
      <c r="J30" s="153">
        <f t="shared" si="0"/>
        <v>17684820</v>
      </c>
      <c r="K30" s="153">
        <v>7960000</v>
      </c>
      <c r="L30" s="153">
        <v>23908502</v>
      </c>
      <c r="M30" s="154">
        <f t="shared" si="1"/>
        <v>2.9481481481481482</v>
      </c>
      <c r="N30" s="154">
        <f t="shared" si="2"/>
        <v>9.4980814814814813</v>
      </c>
      <c r="O30" s="154">
        <f t="shared" si="3"/>
        <v>6.5499333333333336</v>
      </c>
      <c r="P30" s="154">
        <f t="shared" si="4"/>
        <v>3.2749666666666668</v>
      </c>
    </row>
    <row r="31" spans="1:16" x14ac:dyDescent="0.25">
      <c r="A31" s="152" t="s">
        <v>1614</v>
      </c>
      <c r="B31" s="152" t="s">
        <v>1615</v>
      </c>
      <c r="C31" s="152" t="s">
        <v>1545</v>
      </c>
      <c r="D31" s="152">
        <v>0.75</v>
      </c>
      <c r="E31" s="152"/>
      <c r="F31" s="152"/>
      <c r="G31" s="152"/>
      <c r="H31" s="153">
        <v>23860000</v>
      </c>
      <c r="I31" s="153">
        <v>5346000</v>
      </c>
      <c r="J31" s="153">
        <f t="shared" si="0"/>
        <v>10692000</v>
      </c>
      <c r="K31" s="153">
        <v>8153000</v>
      </c>
      <c r="L31" s="153">
        <v>10361000</v>
      </c>
      <c r="M31" s="154">
        <f t="shared" si="1"/>
        <v>10.870666666666667</v>
      </c>
      <c r="N31" s="154">
        <f t="shared" si="2"/>
        <v>25.126666666666665</v>
      </c>
      <c r="O31" s="154">
        <f t="shared" si="3"/>
        <v>14.256</v>
      </c>
      <c r="P31" s="154">
        <f t="shared" si="4"/>
        <v>7.1280000000000001</v>
      </c>
    </row>
    <row r="32" spans="1:16" x14ac:dyDescent="0.25">
      <c r="A32" s="152" t="s">
        <v>1616</v>
      </c>
      <c r="B32" s="152" t="s">
        <v>1617</v>
      </c>
      <c r="C32" s="152" t="s">
        <v>1603</v>
      </c>
      <c r="D32" s="152">
        <v>0.75</v>
      </c>
      <c r="E32" s="152"/>
      <c r="F32" s="152" t="s">
        <v>1553</v>
      </c>
      <c r="G32" s="152">
        <v>2010</v>
      </c>
      <c r="H32" s="153">
        <v>9487713</v>
      </c>
      <c r="I32" s="153">
        <v>2360000</v>
      </c>
      <c r="J32" s="153">
        <f t="shared" si="0"/>
        <v>4720000</v>
      </c>
      <c r="K32" s="153">
        <v>3360000</v>
      </c>
      <c r="L32" s="153">
        <v>3767713</v>
      </c>
      <c r="M32" s="154">
        <f t="shared" si="1"/>
        <v>4.4800000000000004</v>
      </c>
      <c r="N32" s="154">
        <f t="shared" si="2"/>
        <v>10.773333333333333</v>
      </c>
      <c r="O32" s="154">
        <f t="shared" si="3"/>
        <v>6.293333333333333</v>
      </c>
      <c r="P32" s="154">
        <f t="shared" si="4"/>
        <v>3.1466666666666665</v>
      </c>
    </row>
    <row r="33" spans="1:16" ht="25.5" x14ac:dyDescent="0.25">
      <c r="A33" s="152" t="s">
        <v>1618</v>
      </c>
      <c r="B33" s="152" t="s">
        <v>1619</v>
      </c>
      <c r="C33" s="152" t="s">
        <v>1545</v>
      </c>
      <c r="D33" s="152">
        <v>8</v>
      </c>
      <c r="E33" s="152">
        <v>10.49</v>
      </c>
      <c r="F33" s="152" t="s">
        <v>1589</v>
      </c>
      <c r="G33" s="152"/>
      <c r="H33" s="153">
        <v>73601196</v>
      </c>
      <c r="I33" s="153">
        <v>8450281</v>
      </c>
      <c r="J33" s="153">
        <f t="shared" si="0"/>
        <v>16900562</v>
      </c>
      <c r="K33" s="153">
        <v>27411000</v>
      </c>
      <c r="L33" s="153">
        <v>37739915</v>
      </c>
      <c r="M33" s="154">
        <f t="shared" si="1"/>
        <v>3.4263750000000002</v>
      </c>
      <c r="N33" s="154">
        <f t="shared" si="2"/>
        <v>5.5389452500000003</v>
      </c>
      <c r="O33" s="154">
        <f t="shared" si="3"/>
        <v>2.1125702500000001</v>
      </c>
      <c r="P33" s="154">
        <f t="shared" si="4"/>
        <v>1.056285125</v>
      </c>
    </row>
    <row r="34" spans="1:16" ht="25.5" x14ac:dyDescent="0.25">
      <c r="A34" s="152" t="s">
        <v>1620</v>
      </c>
      <c r="B34" s="152" t="s">
        <v>1621</v>
      </c>
      <c r="C34" s="152" t="s">
        <v>1622</v>
      </c>
      <c r="D34" s="152">
        <v>3.5</v>
      </c>
      <c r="E34" s="152"/>
      <c r="F34" s="152" t="s">
        <v>1560</v>
      </c>
      <c r="G34" s="152"/>
      <c r="H34" s="153">
        <v>33169118</v>
      </c>
      <c r="I34" s="153">
        <v>4834000</v>
      </c>
      <c r="J34" s="153">
        <f t="shared" si="0"/>
        <v>9668000</v>
      </c>
      <c r="K34" s="153">
        <v>7891000</v>
      </c>
      <c r="L34" s="153">
        <v>20444118</v>
      </c>
      <c r="M34" s="154">
        <f t="shared" si="1"/>
        <v>2.2545714285714284</v>
      </c>
      <c r="N34" s="154">
        <f t="shared" si="2"/>
        <v>5.0168571428571429</v>
      </c>
      <c r="O34" s="154">
        <f t="shared" si="3"/>
        <v>2.7622857142857145</v>
      </c>
      <c r="P34" s="154">
        <f t="shared" si="4"/>
        <v>1.3811428571428572</v>
      </c>
    </row>
    <row r="35" spans="1:16" x14ac:dyDescent="0.25">
      <c r="A35" s="152" t="s">
        <v>1623</v>
      </c>
      <c r="B35" s="152" t="s">
        <v>1624</v>
      </c>
      <c r="C35" s="152" t="s">
        <v>1600</v>
      </c>
      <c r="D35" s="152">
        <v>0.8</v>
      </c>
      <c r="E35" s="152">
        <v>1.06</v>
      </c>
      <c r="F35" s="152" t="s">
        <v>1569</v>
      </c>
      <c r="G35" s="152"/>
      <c r="H35" s="153">
        <v>15301975</v>
      </c>
      <c r="I35" s="153">
        <v>3192975</v>
      </c>
      <c r="J35" s="153">
        <f t="shared" si="0"/>
        <v>6385950</v>
      </c>
      <c r="K35" s="153">
        <v>3100000</v>
      </c>
      <c r="L35" s="153">
        <v>9009000</v>
      </c>
      <c r="M35" s="154">
        <f t="shared" si="1"/>
        <v>3.875</v>
      </c>
      <c r="N35" s="154">
        <f t="shared" si="2"/>
        <v>11.8574375</v>
      </c>
      <c r="O35" s="154">
        <f t="shared" si="3"/>
        <v>7.9824374999999996</v>
      </c>
      <c r="P35" s="154">
        <f t="shared" si="4"/>
        <v>3.9912187499999998</v>
      </c>
    </row>
    <row r="36" spans="1:16" x14ac:dyDescent="0.25">
      <c r="A36" s="152" t="s">
        <v>1625</v>
      </c>
      <c r="B36" s="152" t="s">
        <v>1626</v>
      </c>
      <c r="C36" s="152" t="s">
        <v>1572</v>
      </c>
      <c r="D36" s="152">
        <v>0.6</v>
      </c>
      <c r="E36" s="152"/>
      <c r="F36" s="152" t="s">
        <v>1553</v>
      </c>
      <c r="G36" s="152">
        <v>2010</v>
      </c>
      <c r="H36" s="153">
        <v>28664919</v>
      </c>
      <c r="I36" s="153">
        <v>5984613</v>
      </c>
      <c r="J36" s="153">
        <f t="shared" si="0"/>
        <v>11969226</v>
      </c>
      <c r="K36" s="153">
        <v>10588000</v>
      </c>
      <c r="L36" s="153">
        <v>12092306</v>
      </c>
      <c r="M36" s="154">
        <f t="shared" si="1"/>
        <v>17.646666666666668</v>
      </c>
      <c r="N36" s="154">
        <f t="shared" si="2"/>
        <v>37.595376666666667</v>
      </c>
      <c r="O36" s="154">
        <f t="shared" si="3"/>
        <v>19.948709999999998</v>
      </c>
      <c r="P36" s="154">
        <f t="shared" si="4"/>
        <v>9.9743549999999992</v>
      </c>
    </row>
    <row r="37" spans="1:16" x14ac:dyDescent="0.25">
      <c r="A37" s="152" t="s">
        <v>1627</v>
      </c>
      <c r="B37" s="152" t="s">
        <v>1628</v>
      </c>
      <c r="C37" s="152" t="s">
        <v>1552</v>
      </c>
      <c r="D37" s="152">
        <v>8</v>
      </c>
      <c r="E37" s="152">
        <v>10.5</v>
      </c>
      <c r="F37" s="152" t="s">
        <v>1534</v>
      </c>
      <c r="G37" s="152">
        <v>2010</v>
      </c>
      <c r="H37" s="153">
        <v>27071068</v>
      </c>
      <c r="I37" s="153">
        <v>4359643</v>
      </c>
      <c r="J37" s="153">
        <f t="shared" si="0"/>
        <v>8719286</v>
      </c>
      <c r="K37" s="153">
        <v>10860000</v>
      </c>
      <c r="L37" s="153">
        <v>11851425</v>
      </c>
      <c r="M37" s="154">
        <f t="shared" si="1"/>
        <v>1.3574999999999999</v>
      </c>
      <c r="N37" s="154">
        <f t="shared" si="2"/>
        <v>2.44741075</v>
      </c>
      <c r="O37" s="154">
        <f t="shared" si="3"/>
        <v>1.08991075</v>
      </c>
      <c r="P37" s="154">
        <f t="shared" si="4"/>
        <v>0.54495537500000002</v>
      </c>
    </row>
    <row r="38" spans="1:16" x14ac:dyDescent="0.25">
      <c r="A38" s="152" t="s">
        <v>1629</v>
      </c>
      <c r="B38" s="152"/>
      <c r="C38" s="152"/>
      <c r="D38" s="152">
        <v>0.9</v>
      </c>
      <c r="E38" s="152"/>
      <c r="F38" s="152"/>
      <c r="G38" s="152"/>
      <c r="H38" s="153">
        <v>22000000</v>
      </c>
      <c r="I38" s="153">
        <v>10000000</v>
      </c>
      <c r="J38" s="153">
        <f t="shared" si="0"/>
        <v>20000000</v>
      </c>
      <c r="K38" s="153">
        <v>2000000</v>
      </c>
      <c r="L38" s="153">
        <v>10000000</v>
      </c>
      <c r="M38" s="154">
        <f t="shared" si="1"/>
        <v>2.2222222222222223</v>
      </c>
      <c r="N38" s="154">
        <f t="shared" si="2"/>
        <v>24.444444444444443</v>
      </c>
      <c r="O38" s="154">
        <f t="shared" si="3"/>
        <v>22.222222222222221</v>
      </c>
      <c r="P38" s="154">
        <f t="shared" si="4"/>
        <v>11.111111111111111</v>
      </c>
    </row>
    <row r="39" spans="1:16" ht="25.5" x14ac:dyDescent="0.25">
      <c r="A39" s="152" t="s">
        <v>1630</v>
      </c>
      <c r="B39" s="152" t="s">
        <v>1631</v>
      </c>
      <c r="C39" s="152" t="s">
        <v>1530</v>
      </c>
      <c r="D39" s="152">
        <v>1.89</v>
      </c>
      <c r="E39" s="152">
        <v>3.3</v>
      </c>
      <c r="F39" s="152" t="s">
        <v>1589</v>
      </c>
      <c r="G39" s="152"/>
      <c r="H39" s="153">
        <v>53897974</v>
      </c>
      <c r="I39" s="153">
        <v>8722976.3599999994</v>
      </c>
      <c r="J39" s="153">
        <f t="shared" si="0"/>
        <v>17445952.719999999</v>
      </c>
      <c r="K39" s="153">
        <v>11289000</v>
      </c>
      <c r="L39" s="153">
        <v>33885997.640000001</v>
      </c>
      <c r="M39" s="154">
        <f t="shared" si="1"/>
        <v>5.9730158730158731</v>
      </c>
      <c r="N39" s="154">
        <f t="shared" si="2"/>
        <v>15.203678687830687</v>
      </c>
      <c r="O39" s="154">
        <f t="shared" si="3"/>
        <v>9.2306628148148135</v>
      </c>
      <c r="P39" s="154">
        <f t="shared" si="4"/>
        <v>4.6153314074074068</v>
      </c>
    </row>
    <row r="40" spans="1:16" x14ac:dyDescent="0.25">
      <c r="A40" s="152" t="s">
        <v>1632</v>
      </c>
      <c r="B40" s="152" t="s">
        <v>1633</v>
      </c>
      <c r="C40" s="152" t="s">
        <v>1568</v>
      </c>
      <c r="D40" s="152">
        <v>1.65</v>
      </c>
      <c r="E40" s="152"/>
      <c r="F40" s="152" t="s">
        <v>1537</v>
      </c>
      <c r="G40" s="152">
        <v>2006</v>
      </c>
      <c r="H40" s="153">
        <v>7585362</v>
      </c>
      <c r="I40" s="153">
        <v>2507170.91</v>
      </c>
      <c r="J40" s="153">
        <f t="shared" si="0"/>
        <v>5014341.82</v>
      </c>
      <c r="K40" s="153">
        <v>941148</v>
      </c>
      <c r="L40" s="153">
        <v>4137043.09</v>
      </c>
      <c r="M40" s="154">
        <f t="shared" si="1"/>
        <v>0.57039272727272727</v>
      </c>
      <c r="N40" s="154">
        <f t="shared" si="2"/>
        <v>3.6093877696969701</v>
      </c>
      <c r="O40" s="154">
        <f t="shared" si="3"/>
        <v>3.0389950424242427</v>
      </c>
      <c r="P40" s="154">
        <f t="shared" si="4"/>
        <v>1.5194975212121213</v>
      </c>
    </row>
    <row r="41" spans="1:16" x14ac:dyDescent="0.25">
      <c r="A41" s="152" t="s">
        <v>1634</v>
      </c>
      <c r="B41" s="152" t="s">
        <v>1635</v>
      </c>
      <c r="C41" s="152" t="s">
        <v>1636</v>
      </c>
      <c r="D41" s="152">
        <v>0.5</v>
      </c>
      <c r="E41" s="152"/>
      <c r="F41" s="152" t="s">
        <v>1565</v>
      </c>
      <c r="G41" s="152">
        <v>2008</v>
      </c>
      <c r="H41" s="153">
        <v>14941637</v>
      </c>
      <c r="I41" s="153">
        <v>2560860</v>
      </c>
      <c r="J41" s="153">
        <f t="shared" si="0"/>
        <v>5121720</v>
      </c>
      <c r="K41" s="153">
        <v>6484000</v>
      </c>
      <c r="L41" s="153">
        <v>5896777</v>
      </c>
      <c r="M41" s="154">
        <f t="shared" si="1"/>
        <v>12.968</v>
      </c>
      <c r="N41" s="154">
        <f t="shared" si="2"/>
        <v>23.21144</v>
      </c>
      <c r="O41" s="154">
        <f t="shared" si="3"/>
        <v>10.24344</v>
      </c>
      <c r="P41" s="154">
        <f t="shared" si="4"/>
        <v>5.1217199999999998</v>
      </c>
    </row>
    <row r="42" spans="1:16" x14ac:dyDescent="0.25">
      <c r="A42" s="152" t="s">
        <v>1637</v>
      </c>
      <c r="B42" s="152" t="s">
        <v>1638</v>
      </c>
      <c r="C42" s="152" t="s">
        <v>1530</v>
      </c>
      <c r="D42" s="152">
        <v>0.95</v>
      </c>
      <c r="E42" s="152"/>
      <c r="F42" s="152" t="s">
        <v>1639</v>
      </c>
      <c r="G42" s="152"/>
      <c r="H42" s="153">
        <v>7781846</v>
      </c>
      <c r="I42" s="153">
        <v>464299</v>
      </c>
      <c r="J42" s="153">
        <f t="shared" si="0"/>
        <v>928598</v>
      </c>
      <c r="K42" s="153">
        <v>2999732</v>
      </c>
      <c r="L42" s="153">
        <v>4317815</v>
      </c>
      <c r="M42" s="154">
        <f t="shared" si="1"/>
        <v>3.1576126315789472</v>
      </c>
      <c r="N42" s="154">
        <f t="shared" si="2"/>
        <v>4.1350842105263155</v>
      </c>
      <c r="O42" s="154">
        <f t="shared" si="3"/>
        <v>0.97747157894736847</v>
      </c>
      <c r="P42" s="154">
        <f t="shared" si="4"/>
        <v>0.48873578947368423</v>
      </c>
    </row>
    <row r="43" spans="1:16" x14ac:dyDescent="0.25">
      <c r="A43" s="152" t="s">
        <v>1640</v>
      </c>
      <c r="B43" s="152" t="s">
        <v>1641</v>
      </c>
      <c r="C43" s="152" t="s">
        <v>1575</v>
      </c>
      <c r="D43" s="152">
        <v>3</v>
      </c>
      <c r="E43" s="152"/>
      <c r="F43" s="152" t="s">
        <v>1609</v>
      </c>
      <c r="G43" s="152">
        <v>2007</v>
      </c>
      <c r="H43" s="153">
        <v>33992808</v>
      </c>
      <c r="I43" s="153">
        <v>7838605.8200000003</v>
      </c>
      <c r="J43" s="153">
        <f t="shared" si="0"/>
        <v>15677211.640000001</v>
      </c>
      <c r="K43" s="153">
        <v>6380645</v>
      </c>
      <c r="L43" s="153">
        <v>19773557.18</v>
      </c>
      <c r="M43" s="154">
        <f t="shared" si="1"/>
        <v>2.1268816666666668</v>
      </c>
      <c r="N43" s="154">
        <f t="shared" si="2"/>
        <v>7.3526188800000005</v>
      </c>
      <c r="O43" s="154">
        <f t="shared" si="3"/>
        <v>5.2257372133333337</v>
      </c>
      <c r="P43" s="154">
        <f t="shared" si="4"/>
        <v>2.6128686066666669</v>
      </c>
    </row>
    <row r="44" spans="1:16" x14ac:dyDescent="0.25">
      <c r="A44" s="152" t="s">
        <v>1642</v>
      </c>
      <c r="B44" s="152" t="s">
        <v>1643</v>
      </c>
      <c r="C44" s="152" t="s">
        <v>1636</v>
      </c>
      <c r="D44" s="152">
        <v>1.5</v>
      </c>
      <c r="E44" s="152"/>
      <c r="F44" s="152" t="s">
        <v>1569</v>
      </c>
      <c r="G44" s="152"/>
      <c r="H44" s="153">
        <v>20506000</v>
      </c>
      <c r="I44" s="153">
        <v>2046387</v>
      </c>
      <c r="J44" s="153">
        <f t="shared" si="0"/>
        <v>4092774</v>
      </c>
      <c r="K44" s="153">
        <v>9378000</v>
      </c>
      <c r="L44" s="153">
        <v>9081613</v>
      </c>
      <c r="M44" s="154">
        <f t="shared" si="1"/>
        <v>6.2519999999999998</v>
      </c>
      <c r="N44" s="154">
        <f t="shared" si="2"/>
        <v>8.9805159999999997</v>
      </c>
      <c r="O44" s="154">
        <f t="shared" si="3"/>
        <v>2.7285159999999999</v>
      </c>
      <c r="P44" s="154">
        <f t="shared" si="4"/>
        <v>1.364258</v>
      </c>
    </row>
    <row r="45" spans="1:16" x14ac:dyDescent="0.25">
      <c r="A45" s="152" t="s">
        <v>1644</v>
      </c>
      <c r="B45" s="152" t="s">
        <v>1645</v>
      </c>
      <c r="C45" s="152" t="s">
        <v>1646</v>
      </c>
      <c r="D45" s="152">
        <v>0.68</v>
      </c>
      <c r="E45" s="152">
        <v>1.2</v>
      </c>
      <c r="F45" s="152" t="s">
        <v>1569</v>
      </c>
      <c r="G45" s="152"/>
      <c r="H45" s="153">
        <v>21143647</v>
      </c>
      <c r="I45" s="153">
        <v>1189501</v>
      </c>
      <c r="J45" s="153">
        <f t="shared" si="0"/>
        <v>2379002</v>
      </c>
      <c r="K45" s="153">
        <v>6951000</v>
      </c>
      <c r="L45" s="153">
        <v>13003146</v>
      </c>
      <c r="M45" s="154">
        <f t="shared" si="1"/>
        <v>10.222058823529412</v>
      </c>
      <c r="N45" s="154">
        <f t="shared" si="2"/>
        <v>13.720591176470588</v>
      </c>
      <c r="O45" s="154">
        <f t="shared" si="3"/>
        <v>3.4985323529411763</v>
      </c>
      <c r="P45" s="154">
        <f t="shared" si="4"/>
        <v>1.7492661764705881</v>
      </c>
    </row>
    <row r="46" spans="1:16" x14ac:dyDescent="0.25">
      <c r="A46" s="152" t="s">
        <v>1647</v>
      </c>
      <c r="B46" s="152" t="s">
        <v>1648</v>
      </c>
      <c r="C46" s="152" t="s">
        <v>1649</v>
      </c>
      <c r="D46" s="152">
        <v>25</v>
      </c>
      <c r="E46" s="152">
        <v>29</v>
      </c>
      <c r="F46" s="152" t="s">
        <v>1560</v>
      </c>
      <c r="G46" s="152"/>
      <c r="H46" s="153">
        <v>131712500</v>
      </c>
      <c r="I46" s="153">
        <v>2000000</v>
      </c>
      <c r="J46" s="153">
        <f t="shared" si="0"/>
        <v>4000000</v>
      </c>
      <c r="K46" s="153">
        <v>35494000</v>
      </c>
      <c r="L46" s="153">
        <v>94218500</v>
      </c>
      <c r="M46" s="154">
        <f t="shared" si="1"/>
        <v>1.4197599999999999</v>
      </c>
      <c r="N46" s="154">
        <f t="shared" si="2"/>
        <v>1.5797600000000001</v>
      </c>
      <c r="O46" s="154">
        <f t="shared" si="3"/>
        <v>0.16</v>
      </c>
      <c r="P46" s="154">
        <f t="shared" si="4"/>
        <v>0.08</v>
      </c>
    </row>
    <row r="47" spans="1:16" ht="25.5" x14ac:dyDescent="0.25">
      <c r="A47" s="152" t="s">
        <v>1650</v>
      </c>
      <c r="B47" s="152" t="s">
        <v>1651</v>
      </c>
      <c r="C47" s="152" t="s">
        <v>1646</v>
      </c>
      <c r="D47" s="152">
        <v>6</v>
      </c>
      <c r="E47" s="152"/>
      <c r="F47" s="152" t="s">
        <v>1542</v>
      </c>
      <c r="G47" s="152"/>
      <c r="H47" s="153">
        <v>40925837</v>
      </c>
      <c r="I47" s="153">
        <v>1865859</v>
      </c>
      <c r="J47" s="153">
        <f t="shared" si="0"/>
        <v>3731718</v>
      </c>
      <c r="K47" s="153">
        <v>11000000</v>
      </c>
      <c r="L47" s="153">
        <v>28059978</v>
      </c>
      <c r="M47" s="154">
        <f t="shared" si="1"/>
        <v>1.8333333333333333</v>
      </c>
      <c r="N47" s="154">
        <f t="shared" si="2"/>
        <v>2.4552863333333335</v>
      </c>
      <c r="O47" s="154">
        <f t="shared" si="3"/>
        <v>0.62195299999999998</v>
      </c>
      <c r="P47" s="154">
        <f t="shared" si="4"/>
        <v>0.31097649999999999</v>
      </c>
    </row>
    <row r="48" spans="1:16" x14ac:dyDescent="0.25">
      <c r="A48" s="152" t="s">
        <v>1652</v>
      </c>
      <c r="B48" s="152" t="s">
        <v>1653</v>
      </c>
      <c r="C48" s="152" t="s">
        <v>1533</v>
      </c>
      <c r="D48" s="152">
        <v>2.5</v>
      </c>
      <c r="E48" s="152"/>
      <c r="F48" s="152" t="s">
        <v>1654</v>
      </c>
      <c r="G48" s="152"/>
      <c r="H48" s="153">
        <v>8400000</v>
      </c>
      <c r="I48" s="153">
        <v>0</v>
      </c>
      <c r="J48" s="153">
        <f t="shared" si="0"/>
        <v>0</v>
      </c>
      <c r="K48" s="153">
        <v>3400000</v>
      </c>
      <c r="L48" s="153">
        <v>5000000</v>
      </c>
      <c r="M48" s="154">
        <f t="shared" si="1"/>
        <v>1.36</v>
      </c>
      <c r="N48" s="154">
        <f t="shared" si="2"/>
        <v>1.36</v>
      </c>
      <c r="O48" s="154"/>
      <c r="P48" s="154"/>
    </row>
    <row r="49" spans="1:16" ht="25.5" x14ac:dyDescent="0.25">
      <c r="A49" s="152" t="s">
        <v>1655</v>
      </c>
      <c r="B49" s="152" t="s">
        <v>1656</v>
      </c>
      <c r="C49" s="152" t="s">
        <v>1552</v>
      </c>
      <c r="D49" s="152">
        <v>1.6</v>
      </c>
      <c r="E49" s="152"/>
      <c r="F49" s="152" t="s">
        <v>1546</v>
      </c>
      <c r="G49" s="152"/>
      <c r="H49" s="153">
        <v>3000000</v>
      </c>
      <c r="I49" s="153">
        <v>0</v>
      </c>
      <c r="J49" s="153">
        <f t="shared" si="0"/>
        <v>0</v>
      </c>
      <c r="K49" s="153">
        <v>3000000</v>
      </c>
      <c r="L49" s="153">
        <v>0</v>
      </c>
      <c r="M49" s="154">
        <f t="shared" si="1"/>
        <v>1.875</v>
      </c>
      <c r="N49" s="154">
        <f t="shared" si="2"/>
        <v>1.875</v>
      </c>
      <c r="O49" s="154"/>
      <c r="P49" s="154"/>
    </row>
    <row r="50" spans="1:16" x14ac:dyDescent="0.25">
      <c r="A50" s="152" t="s">
        <v>1657</v>
      </c>
      <c r="B50" s="152" t="s">
        <v>1658</v>
      </c>
      <c r="C50" s="152" t="s">
        <v>1636</v>
      </c>
      <c r="D50" s="152">
        <v>15</v>
      </c>
      <c r="E50" s="152"/>
      <c r="F50" s="152" t="s">
        <v>1609</v>
      </c>
      <c r="G50" s="152"/>
      <c r="H50" s="153">
        <v>29491191</v>
      </c>
      <c r="I50" s="153">
        <v>10000000.1</v>
      </c>
      <c r="J50" s="153">
        <f t="shared" si="0"/>
        <v>20000000.199999999</v>
      </c>
      <c r="K50" s="153">
        <v>0</v>
      </c>
      <c r="L50" s="153">
        <v>19491190.899999999</v>
      </c>
      <c r="M50" s="154">
        <f t="shared" si="1"/>
        <v>0</v>
      </c>
      <c r="N50" s="154">
        <f t="shared" si="2"/>
        <v>1.3333333466666666</v>
      </c>
      <c r="O50" s="154">
        <f t="shared" si="3"/>
        <v>1.3333333466666666</v>
      </c>
      <c r="P50" s="154">
        <f t="shared" si="4"/>
        <v>0.66666667333333329</v>
      </c>
    </row>
    <row r="51" spans="1:16" x14ac:dyDescent="0.25">
      <c r="A51" s="152" t="s">
        <v>1659</v>
      </c>
      <c r="B51" s="152" t="s">
        <v>1660</v>
      </c>
      <c r="C51" s="152" t="s">
        <v>1533</v>
      </c>
      <c r="D51" s="152">
        <v>0.61499999999999999</v>
      </c>
      <c r="E51" s="152">
        <v>1.1399999999999999</v>
      </c>
      <c r="F51" s="152"/>
      <c r="G51" s="152"/>
      <c r="H51" s="153">
        <v>39760000</v>
      </c>
      <c r="I51" s="153">
        <v>5456000</v>
      </c>
      <c r="J51" s="153">
        <f t="shared" si="0"/>
        <v>10912000</v>
      </c>
      <c r="K51" s="153">
        <v>3000000</v>
      </c>
      <c r="L51" s="153">
        <v>31304000</v>
      </c>
      <c r="M51" s="154">
        <f t="shared" si="1"/>
        <v>4.8780487804878048</v>
      </c>
      <c r="N51" s="154">
        <f t="shared" si="2"/>
        <v>22.621138211382114</v>
      </c>
      <c r="O51" s="154">
        <f t="shared" si="3"/>
        <v>17.743089430894308</v>
      </c>
      <c r="P51" s="154">
        <f t="shared" si="4"/>
        <v>8.8715447154471541</v>
      </c>
    </row>
    <row r="52" spans="1:16" x14ac:dyDescent="0.25">
      <c r="A52" s="152" t="s">
        <v>1661</v>
      </c>
      <c r="B52" s="152" t="s">
        <v>1662</v>
      </c>
      <c r="C52" s="152" t="s">
        <v>1622</v>
      </c>
      <c r="D52" s="152">
        <v>1.2</v>
      </c>
      <c r="E52" s="152"/>
      <c r="F52" s="152" t="s">
        <v>1663</v>
      </c>
      <c r="G52" s="152">
        <v>2010</v>
      </c>
      <c r="H52" s="153">
        <v>9143869</v>
      </c>
      <c r="I52" s="153">
        <v>2005000</v>
      </c>
      <c r="J52" s="153">
        <f t="shared" si="0"/>
        <v>4010000</v>
      </c>
      <c r="K52" s="153">
        <v>3500000</v>
      </c>
      <c r="L52" s="153">
        <v>3638869</v>
      </c>
      <c r="M52" s="154">
        <f t="shared" si="1"/>
        <v>2.9166666666666665</v>
      </c>
      <c r="N52" s="154">
        <f t="shared" si="2"/>
        <v>6.2583333333333337</v>
      </c>
      <c r="O52" s="154">
        <f t="shared" si="3"/>
        <v>3.3416666666666668</v>
      </c>
      <c r="P52" s="154">
        <f t="shared" si="4"/>
        <v>1.6708333333333334</v>
      </c>
    </row>
    <row r="53" spans="1:16" x14ac:dyDescent="0.25">
      <c r="A53" s="152" t="s">
        <v>1664</v>
      </c>
      <c r="B53" s="152" t="s">
        <v>1665</v>
      </c>
      <c r="C53" s="152" t="s">
        <v>1612</v>
      </c>
      <c r="D53" s="152">
        <v>2</v>
      </c>
      <c r="E53" s="152"/>
      <c r="F53" s="152" t="s">
        <v>1576</v>
      </c>
      <c r="G53" s="152"/>
      <c r="H53" s="153">
        <v>35385722</v>
      </c>
      <c r="I53" s="153">
        <v>1675927</v>
      </c>
      <c r="J53" s="153">
        <f t="shared" si="0"/>
        <v>3351854</v>
      </c>
      <c r="K53" s="153">
        <v>9000000</v>
      </c>
      <c r="L53" s="153">
        <v>24709795</v>
      </c>
      <c r="M53" s="154">
        <f t="shared" si="1"/>
        <v>4.5</v>
      </c>
      <c r="N53" s="154">
        <f t="shared" si="2"/>
        <v>6.1759269999999997</v>
      </c>
      <c r="O53" s="154">
        <f t="shared" si="3"/>
        <v>1.6759269999999999</v>
      </c>
      <c r="P53" s="154">
        <f t="shared" si="4"/>
        <v>0.83796349999999997</v>
      </c>
    </row>
    <row r="54" spans="1:16" x14ac:dyDescent="0.25">
      <c r="A54" s="152" t="s">
        <v>1666</v>
      </c>
      <c r="B54" s="152" t="s">
        <v>1667</v>
      </c>
      <c r="C54" s="152" t="s">
        <v>1668</v>
      </c>
      <c r="D54" s="152">
        <v>7.5</v>
      </c>
      <c r="E54" s="152"/>
      <c r="F54" s="152" t="s">
        <v>1580</v>
      </c>
      <c r="G54" s="152"/>
      <c r="H54" s="153">
        <v>34050114</v>
      </c>
      <c r="I54" s="153">
        <v>5000000</v>
      </c>
      <c r="J54" s="153">
        <f t="shared" si="0"/>
        <v>10000000</v>
      </c>
      <c r="K54" s="153">
        <v>16052000</v>
      </c>
      <c r="L54" s="153">
        <v>12998114</v>
      </c>
      <c r="M54" s="154">
        <f t="shared" si="1"/>
        <v>2.1402666666666668</v>
      </c>
      <c r="N54" s="154">
        <f t="shared" si="2"/>
        <v>3.4735999999999998</v>
      </c>
      <c r="O54" s="154">
        <f t="shared" si="3"/>
        <v>1.3333333333333333</v>
      </c>
      <c r="P54" s="154">
        <f t="shared" si="4"/>
        <v>0.66666666666666663</v>
      </c>
    </row>
    <row r="55" spans="1:16" ht="12.75" customHeight="1" x14ac:dyDescent="0.25">
      <c r="A55" s="152" t="s">
        <v>1669</v>
      </c>
      <c r="B55" s="152" t="s">
        <v>1670</v>
      </c>
      <c r="C55" s="152" t="s">
        <v>1671</v>
      </c>
      <c r="D55" s="152">
        <v>73</v>
      </c>
      <c r="E55" s="152">
        <v>81</v>
      </c>
      <c r="F55" s="152"/>
      <c r="G55" s="152"/>
      <c r="H55" s="153">
        <v>391196400</v>
      </c>
      <c r="I55" s="153">
        <v>75150000</v>
      </c>
      <c r="J55" s="153">
        <f t="shared" si="0"/>
        <v>150300000</v>
      </c>
      <c r="K55" s="153">
        <v>218500000</v>
      </c>
      <c r="L55" s="153">
        <v>97546400</v>
      </c>
      <c r="M55" s="154">
        <f t="shared" si="1"/>
        <v>2.993150684931507</v>
      </c>
      <c r="N55" s="154">
        <f t="shared" si="2"/>
        <v>5.0520547945205481</v>
      </c>
      <c r="O55" s="154">
        <f t="shared" si="3"/>
        <v>2.058904109589041</v>
      </c>
      <c r="P55" s="154">
        <f t="shared" si="4"/>
        <v>1.0294520547945205</v>
      </c>
    </row>
    <row r="56" spans="1:16" x14ac:dyDescent="0.25">
      <c r="A56" s="152" t="s">
        <v>1672</v>
      </c>
      <c r="B56" s="152" t="s">
        <v>1673</v>
      </c>
      <c r="C56" s="152" t="s">
        <v>1533</v>
      </c>
      <c r="D56" s="152">
        <v>7.5</v>
      </c>
      <c r="E56" s="152"/>
      <c r="F56" s="152" t="s">
        <v>1663</v>
      </c>
      <c r="G56" s="152"/>
      <c r="H56" s="153">
        <v>21684690</v>
      </c>
      <c r="I56" s="153">
        <v>500000</v>
      </c>
      <c r="J56" s="153">
        <f t="shared" si="0"/>
        <v>1000000</v>
      </c>
      <c r="K56" s="153">
        <v>13800000</v>
      </c>
      <c r="L56" s="153">
        <v>7384690</v>
      </c>
      <c r="M56" s="154">
        <f t="shared" si="1"/>
        <v>1.84</v>
      </c>
      <c r="N56" s="154">
        <f t="shared" si="2"/>
        <v>1.9733333333333334</v>
      </c>
      <c r="O56" s="154">
        <f t="shared" si="3"/>
        <v>0.13333333333333333</v>
      </c>
      <c r="P56" s="154">
        <f t="shared" si="4"/>
        <v>6.6666666666666666E-2</v>
      </c>
    </row>
    <row r="57" spans="1:16" x14ac:dyDescent="0.25">
      <c r="A57" s="152" t="s">
        <v>1674</v>
      </c>
      <c r="B57" s="152" t="s">
        <v>1675</v>
      </c>
      <c r="C57" s="152" t="s">
        <v>1612</v>
      </c>
      <c r="D57" s="152">
        <v>1.65</v>
      </c>
      <c r="E57" s="152"/>
      <c r="F57" s="152" t="s">
        <v>1553</v>
      </c>
      <c r="G57" s="152">
        <v>2010</v>
      </c>
      <c r="H57" s="153">
        <v>13760078</v>
      </c>
      <c r="I57" s="153">
        <v>3243974</v>
      </c>
      <c r="J57" s="153">
        <f t="shared" si="0"/>
        <v>6487948</v>
      </c>
      <c r="K57" s="153">
        <v>4000000</v>
      </c>
      <c r="L57" s="153">
        <v>6516104</v>
      </c>
      <c r="M57" s="154">
        <f t="shared" si="1"/>
        <v>2.4242424242424243</v>
      </c>
      <c r="N57" s="154">
        <f t="shared" si="2"/>
        <v>6.3563321212121213</v>
      </c>
      <c r="O57" s="154">
        <f t="shared" si="3"/>
        <v>3.932089696969697</v>
      </c>
      <c r="P57" s="154">
        <f t="shared" si="4"/>
        <v>1.9660448484848485</v>
      </c>
    </row>
    <row r="58" spans="1:16" x14ac:dyDescent="0.25">
      <c r="A58" s="152" t="s">
        <v>1676</v>
      </c>
      <c r="B58" s="152" t="s">
        <v>1677</v>
      </c>
      <c r="C58" s="152" t="s">
        <v>1668</v>
      </c>
      <c r="D58" s="152">
        <v>30</v>
      </c>
      <c r="E58" s="152"/>
      <c r="F58" s="152" t="s">
        <v>1534</v>
      </c>
      <c r="G58" s="152"/>
      <c r="H58" s="153">
        <v>27001942</v>
      </c>
      <c r="I58" s="153">
        <v>9642175</v>
      </c>
      <c r="J58" s="153">
        <f t="shared" si="0"/>
        <v>19284350</v>
      </c>
      <c r="K58" s="153">
        <v>6324000</v>
      </c>
      <c r="L58" s="153">
        <v>11035767</v>
      </c>
      <c r="M58" s="154">
        <f t="shared" si="1"/>
        <v>0.21079999999999999</v>
      </c>
      <c r="N58" s="154">
        <f t="shared" si="2"/>
        <v>0.85361166666666666</v>
      </c>
      <c r="O58" s="154">
        <f t="shared" si="3"/>
        <v>0.64281166666666667</v>
      </c>
      <c r="P58" s="154">
        <f t="shared" si="4"/>
        <v>0.32140583333333334</v>
      </c>
    </row>
    <row r="59" spans="1:16" x14ac:dyDescent="0.25">
      <c r="A59" s="152" t="s">
        <v>1678</v>
      </c>
      <c r="B59" s="152" t="s">
        <v>1679</v>
      </c>
      <c r="C59" s="152" t="s">
        <v>1680</v>
      </c>
      <c r="D59" s="152">
        <v>1.47</v>
      </c>
      <c r="E59" s="152"/>
      <c r="F59" s="152" t="s">
        <v>1681</v>
      </c>
      <c r="G59" s="152"/>
      <c r="H59" s="153">
        <v>8228788</v>
      </c>
      <c r="I59" s="153">
        <v>1578539</v>
      </c>
      <c r="J59" s="153">
        <f t="shared" si="0"/>
        <v>3157078</v>
      </c>
      <c r="K59" s="153">
        <v>3224000</v>
      </c>
      <c r="L59" s="153">
        <v>3426249</v>
      </c>
      <c r="M59" s="154">
        <f t="shared" si="1"/>
        <v>2.1931972789115646</v>
      </c>
      <c r="N59" s="154">
        <f t="shared" si="2"/>
        <v>4.3408693877551023</v>
      </c>
      <c r="O59" s="154">
        <f t="shared" si="3"/>
        <v>2.1476721088435373</v>
      </c>
      <c r="P59" s="154">
        <f t="shared" si="4"/>
        <v>1.0738360544217687</v>
      </c>
    </row>
    <row r="60" spans="1:16" x14ac:dyDescent="0.25">
      <c r="A60" s="152" t="s">
        <v>1682</v>
      </c>
      <c r="B60" s="152" t="s">
        <v>1683</v>
      </c>
      <c r="C60" s="152" t="s">
        <v>1597</v>
      </c>
      <c r="D60" s="152">
        <v>0.75</v>
      </c>
      <c r="E60" s="152"/>
      <c r="F60" s="152" t="s">
        <v>1546</v>
      </c>
      <c r="G60" s="152">
        <v>2010</v>
      </c>
      <c r="H60" s="153">
        <v>3247900</v>
      </c>
      <c r="I60" s="153">
        <v>692381</v>
      </c>
      <c r="J60" s="153">
        <f t="shared" si="0"/>
        <v>1384762</v>
      </c>
      <c r="K60" s="153">
        <v>235000</v>
      </c>
      <c r="L60" s="153">
        <v>2320519</v>
      </c>
      <c r="M60" s="154">
        <f t="shared" si="1"/>
        <v>0.31333333333333335</v>
      </c>
      <c r="N60" s="154">
        <f t="shared" si="2"/>
        <v>2.1596826666666669</v>
      </c>
      <c r="O60" s="154">
        <f t="shared" si="3"/>
        <v>1.8463493333333334</v>
      </c>
      <c r="P60" s="154">
        <f t="shared" si="4"/>
        <v>0.9231746666666667</v>
      </c>
    </row>
    <row r="61" spans="1:16" x14ac:dyDescent="0.25">
      <c r="A61" s="152" t="s">
        <v>1684</v>
      </c>
      <c r="B61" s="152" t="s">
        <v>1685</v>
      </c>
      <c r="C61" s="152" t="s">
        <v>1592</v>
      </c>
      <c r="D61" s="152">
        <v>1.26</v>
      </c>
      <c r="E61" s="152"/>
      <c r="F61" s="152" t="s">
        <v>1681</v>
      </c>
      <c r="G61" s="152"/>
      <c r="H61" s="153">
        <v>8180180</v>
      </c>
      <c r="I61" s="153">
        <v>1701116.33</v>
      </c>
      <c r="J61" s="153">
        <f t="shared" si="0"/>
        <v>3402232.66</v>
      </c>
      <c r="K61" s="153">
        <v>4000000</v>
      </c>
      <c r="L61" s="153">
        <v>2479063.67</v>
      </c>
      <c r="M61" s="154">
        <f t="shared" si="1"/>
        <v>3.1746031746031744</v>
      </c>
      <c r="N61" s="154">
        <f t="shared" si="2"/>
        <v>5.8747878253968251</v>
      </c>
      <c r="O61" s="154">
        <f t="shared" si="3"/>
        <v>2.7001846507936511</v>
      </c>
      <c r="P61" s="154">
        <f t="shared" si="4"/>
        <v>1.3500923253968256</v>
      </c>
    </row>
    <row r="62" spans="1:16" x14ac:dyDescent="0.25">
      <c r="A62" s="152" t="s">
        <v>1686</v>
      </c>
      <c r="B62" s="152" t="s">
        <v>1687</v>
      </c>
      <c r="C62" s="152" t="s">
        <v>1600</v>
      </c>
      <c r="D62" s="152">
        <v>8.5</v>
      </c>
      <c r="E62" s="152"/>
      <c r="F62" s="152" t="s">
        <v>1553</v>
      </c>
      <c r="G62" s="152">
        <v>2010</v>
      </c>
      <c r="H62" s="153">
        <v>78020887</v>
      </c>
      <c r="I62" s="153">
        <v>22817000</v>
      </c>
      <c r="J62" s="153">
        <f t="shared" si="0"/>
        <v>45634000</v>
      </c>
      <c r="K62" s="153">
        <v>3000000</v>
      </c>
      <c r="L62" s="153">
        <v>52203887</v>
      </c>
      <c r="M62" s="154">
        <f t="shared" si="1"/>
        <v>0.35294117647058826</v>
      </c>
      <c r="N62" s="154">
        <f t="shared" si="2"/>
        <v>5.7216470588235291</v>
      </c>
      <c r="O62" s="154">
        <f t="shared" si="3"/>
        <v>5.3687058823529412</v>
      </c>
      <c r="P62" s="154">
        <f t="shared" si="4"/>
        <v>2.6843529411764706</v>
      </c>
    </row>
    <row r="63" spans="1:16" ht="25.5" x14ac:dyDescent="0.25">
      <c r="A63" s="152" t="s">
        <v>1688</v>
      </c>
      <c r="B63" s="152"/>
      <c r="C63" s="152"/>
      <c r="D63" s="152"/>
      <c r="E63" s="152"/>
      <c r="F63" s="152"/>
      <c r="G63" s="152"/>
      <c r="H63" s="153">
        <v>54270000</v>
      </c>
      <c r="I63" s="153">
        <v>11000000</v>
      </c>
      <c r="J63" s="153">
        <f t="shared" si="0"/>
        <v>22000000</v>
      </c>
      <c r="K63" s="153">
        <v>12000000</v>
      </c>
      <c r="L63" s="153">
        <v>31270000</v>
      </c>
      <c r="M63" s="154"/>
      <c r="N63" s="154"/>
      <c r="O63" s="154"/>
      <c r="P63" s="154"/>
    </row>
    <row r="64" spans="1:16" x14ac:dyDescent="0.25">
      <c r="A64" s="152" t="s">
        <v>1689</v>
      </c>
      <c r="B64" s="152" t="s">
        <v>1690</v>
      </c>
      <c r="C64" s="152" t="s">
        <v>1597</v>
      </c>
      <c r="D64" s="152">
        <v>20</v>
      </c>
      <c r="E64" s="152">
        <v>26</v>
      </c>
      <c r="F64" s="152" t="s">
        <v>1569</v>
      </c>
      <c r="G64" s="152"/>
      <c r="H64" s="153">
        <v>112099941</v>
      </c>
      <c r="I64" s="153">
        <v>12011129</v>
      </c>
      <c r="J64" s="153">
        <f t="shared" si="0"/>
        <v>24022258</v>
      </c>
      <c r="K64" s="153">
        <v>6900000</v>
      </c>
      <c r="L64" s="153">
        <v>93188812</v>
      </c>
      <c r="M64" s="154">
        <f t="shared" si="1"/>
        <v>0.34499999999999997</v>
      </c>
      <c r="N64" s="154">
        <f t="shared" si="2"/>
        <v>1.5461129</v>
      </c>
      <c r="O64" s="154">
        <f t="shared" si="3"/>
        <v>1.2011129</v>
      </c>
      <c r="P64" s="154">
        <f t="shared" si="4"/>
        <v>0.60055645000000002</v>
      </c>
    </row>
    <row r="65" spans="1:16" x14ac:dyDescent="0.25">
      <c r="A65" s="152" t="s">
        <v>1691</v>
      </c>
      <c r="B65" s="152" t="s">
        <v>1692</v>
      </c>
      <c r="C65" s="152" t="s">
        <v>1680</v>
      </c>
      <c r="D65" s="152">
        <v>0.5</v>
      </c>
      <c r="E65" s="152">
        <v>0.66700000000000004</v>
      </c>
      <c r="F65" s="152"/>
      <c r="G65" s="152"/>
      <c r="H65" s="153">
        <v>14364870</v>
      </c>
      <c r="I65" s="153">
        <v>3765000</v>
      </c>
      <c r="J65" s="153">
        <f t="shared" si="0"/>
        <v>7530000</v>
      </c>
      <c r="K65" s="153">
        <v>3527000</v>
      </c>
      <c r="L65" s="153">
        <v>7072870</v>
      </c>
      <c r="M65" s="154">
        <f t="shared" si="1"/>
        <v>7.0540000000000003</v>
      </c>
      <c r="N65" s="154">
        <f t="shared" si="2"/>
        <v>22.114000000000001</v>
      </c>
      <c r="O65" s="154">
        <f t="shared" si="3"/>
        <v>15.06</v>
      </c>
      <c r="P65" s="154">
        <f t="shared" si="4"/>
        <v>7.53</v>
      </c>
    </row>
    <row r="66" spans="1:16" x14ac:dyDescent="0.25">
      <c r="A66" s="152" t="s">
        <v>1693</v>
      </c>
      <c r="B66" s="152" t="s">
        <v>1694</v>
      </c>
      <c r="C66" s="152" t="s">
        <v>1530</v>
      </c>
      <c r="D66" s="152">
        <v>20</v>
      </c>
      <c r="E66" s="152"/>
      <c r="F66" s="152" t="s">
        <v>1534</v>
      </c>
      <c r="G66" s="152"/>
      <c r="H66" s="153">
        <v>97726278</v>
      </c>
      <c r="I66" s="153">
        <v>8249178</v>
      </c>
      <c r="J66" s="153">
        <f t="shared" si="0"/>
        <v>16498356</v>
      </c>
      <c r="K66" s="153">
        <v>42633450</v>
      </c>
      <c r="L66" s="153">
        <v>46843650</v>
      </c>
      <c r="M66" s="154">
        <f t="shared" si="1"/>
        <v>2.1316725000000001</v>
      </c>
      <c r="N66" s="154">
        <f t="shared" si="2"/>
        <v>2.9565902999999998</v>
      </c>
      <c r="O66" s="154">
        <f t="shared" si="3"/>
        <v>0.82491780000000003</v>
      </c>
      <c r="P66" s="154">
        <f t="shared" si="4"/>
        <v>0.41245890000000002</v>
      </c>
    </row>
    <row r="67" spans="1:16" x14ac:dyDescent="0.25">
      <c r="A67" s="152" t="s">
        <v>1695</v>
      </c>
      <c r="B67" s="152" t="s">
        <v>1696</v>
      </c>
      <c r="C67" s="152" t="s">
        <v>1636</v>
      </c>
      <c r="D67" s="152">
        <v>0.6</v>
      </c>
      <c r="E67" s="152"/>
      <c r="F67" s="152" t="s">
        <v>1609</v>
      </c>
      <c r="G67" s="152">
        <v>2007</v>
      </c>
      <c r="H67" s="153" t="s">
        <v>1538</v>
      </c>
      <c r="I67" s="153">
        <v>0</v>
      </c>
      <c r="J67" s="153">
        <f t="shared" si="0"/>
        <v>0</v>
      </c>
      <c r="K67" s="153">
        <v>0</v>
      </c>
      <c r="L67" s="153" t="s">
        <v>1538</v>
      </c>
      <c r="M67" s="154">
        <f t="shared" si="1"/>
        <v>0</v>
      </c>
      <c r="N67" s="154">
        <f t="shared" si="2"/>
        <v>0</v>
      </c>
      <c r="O67" s="154"/>
      <c r="P67" s="154"/>
    </row>
    <row r="68" spans="1:16" ht="25.5" x14ac:dyDescent="0.25">
      <c r="A68" s="152" t="s">
        <v>1697</v>
      </c>
      <c r="B68" s="152" t="s">
        <v>1698</v>
      </c>
      <c r="C68" s="152" t="s">
        <v>1608</v>
      </c>
      <c r="D68" s="152">
        <v>0.66</v>
      </c>
      <c r="E68" s="152"/>
      <c r="F68" s="152" t="s">
        <v>1565</v>
      </c>
      <c r="G68" s="152">
        <v>2008</v>
      </c>
      <c r="H68" s="153">
        <v>13036277</v>
      </c>
      <c r="I68" s="153">
        <v>2729349</v>
      </c>
      <c r="J68" s="153">
        <f t="shared" si="0"/>
        <v>5458698</v>
      </c>
      <c r="K68" s="153">
        <v>2000000</v>
      </c>
      <c r="L68" s="153">
        <v>8306928</v>
      </c>
      <c r="M68" s="154">
        <f t="shared" si="1"/>
        <v>3.0303030303030303</v>
      </c>
      <c r="N68" s="154">
        <f t="shared" si="2"/>
        <v>11.301057575757575</v>
      </c>
      <c r="O68" s="154">
        <f t="shared" si="3"/>
        <v>8.2707545454545457</v>
      </c>
      <c r="P68" s="154">
        <f t="shared" si="4"/>
        <v>4.1353772727272728</v>
      </c>
    </row>
    <row r="69" spans="1:16" x14ac:dyDescent="0.25">
      <c r="A69" s="152" t="s">
        <v>1699</v>
      </c>
      <c r="B69" s="152" t="s">
        <v>1700</v>
      </c>
      <c r="C69" s="152" t="s">
        <v>1622</v>
      </c>
      <c r="D69" s="152">
        <v>1.1000000000000001</v>
      </c>
      <c r="E69" s="152"/>
      <c r="F69" s="152" t="s">
        <v>1534</v>
      </c>
      <c r="G69" s="152"/>
      <c r="H69" s="153">
        <v>11253995</v>
      </c>
      <c r="I69" s="153">
        <v>1497408</v>
      </c>
      <c r="J69" s="153">
        <f t="shared" si="0"/>
        <v>2994816</v>
      </c>
      <c r="K69" s="153">
        <v>2870000</v>
      </c>
      <c r="L69" s="153">
        <v>6886587</v>
      </c>
      <c r="M69" s="154">
        <f t="shared" si="1"/>
        <v>2.6090909090909089</v>
      </c>
      <c r="N69" s="154">
        <f t="shared" si="2"/>
        <v>5.331650909090909</v>
      </c>
      <c r="O69" s="154">
        <f t="shared" si="3"/>
        <v>2.7225600000000001</v>
      </c>
      <c r="P69" s="154">
        <f t="shared" si="4"/>
        <v>1.36128</v>
      </c>
    </row>
    <row r="70" spans="1:16" x14ac:dyDescent="0.25">
      <c r="A70" s="152" t="s">
        <v>1701</v>
      </c>
      <c r="B70" s="152" t="s">
        <v>1702</v>
      </c>
      <c r="C70" s="152" t="s">
        <v>1545</v>
      </c>
      <c r="D70" s="152">
        <v>1</v>
      </c>
      <c r="E70" s="152"/>
      <c r="F70" s="152" t="s">
        <v>1639</v>
      </c>
      <c r="G70" s="152"/>
      <c r="H70" s="153">
        <v>13241775</v>
      </c>
      <c r="I70" s="153">
        <v>926660</v>
      </c>
      <c r="J70" s="153">
        <f>I70*2</f>
        <v>1853320</v>
      </c>
      <c r="K70" s="153">
        <v>6889000</v>
      </c>
      <c r="L70" s="153">
        <v>5426115</v>
      </c>
      <c r="M70" s="154">
        <f>K70/(D70*1000000)</f>
        <v>6.8890000000000002</v>
      </c>
      <c r="N70" s="154">
        <f>(J70+K70)/(D70*1000000)</f>
        <v>8.7423199999999994</v>
      </c>
      <c r="O70" s="154">
        <f>J70/(D70*1000000)</f>
        <v>1.8533200000000001</v>
      </c>
      <c r="P70" s="154">
        <f>I70/(D70*1000000)</f>
        <v>0.92666000000000004</v>
      </c>
    </row>
    <row r="71" spans="1:16" x14ac:dyDescent="0.25">
      <c r="A71" s="152" t="s">
        <v>1703</v>
      </c>
      <c r="B71" s="152" t="s">
        <v>1704</v>
      </c>
      <c r="C71" s="152" t="s">
        <v>1668</v>
      </c>
      <c r="D71" s="152">
        <v>30</v>
      </c>
      <c r="E71" s="152"/>
      <c r="F71" s="152" t="s">
        <v>1546</v>
      </c>
      <c r="G71" s="152"/>
      <c r="H71" s="153">
        <v>111134060</v>
      </c>
      <c r="I71" s="153">
        <v>15739370</v>
      </c>
      <c r="J71" s="153">
        <f>I71*2</f>
        <v>31478740</v>
      </c>
      <c r="K71" s="153">
        <v>29000000</v>
      </c>
      <c r="L71" s="153">
        <v>66394690</v>
      </c>
      <c r="M71" s="154">
        <f>K71/(D71*1000000)</f>
        <v>0.96666666666666667</v>
      </c>
      <c r="N71" s="154">
        <f>(J71+K71)/(D71*1000000)</f>
        <v>2.0159579999999999</v>
      </c>
      <c r="O71" s="154">
        <f>J71/(D71*1000000)</f>
        <v>1.0492913333333334</v>
      </c>
      <c r="P71" s="154">
        <f>I71/(D71*1000000)</f>
        <v>0.52464566666666668</v>
      </c>
    </row>
    <row r="72" spans="1:16" x14ac:dyDescent="0.25">
      <c r="A72" s="152" t="s">
        <v>1705</v>
      </c>
      <c r="B72" s="152" t="s">
        <v>1706</v>
      </c>
      <c r="C72" s="152" t="s">
        <v>1622</v>
      </c>
      <c r="D72" s="152">
        <v>5</v>
      </c>
      <c r="E72" s="152"/>
      <c r="F72" s="152" t="s">
        <v>1586</v>
      </c>
      <c r="G72" s="152"/>
      <c r="H72" s="153">
        <v>32215847</v>
      </c>
      <c r="I72" s="153">
        <v>2036263</v>
      </c>
      <c r="J72" s="153">
        <f>I72*2</f>
        <v>4072526</v>
      </c>
      <c r="K72" s="153">
        <v>16940000</v>
      </c>
      <c r="L72" s="153">
        <v>13239584</v>
      </c>
      <c r="M72" s="154">
        <f>K72/(D72*1000000)</f>
        <v>3.3879999999999999</v>
      </c>
      <c r="N72" s="154">
        <f>(J72+K72)/(D72*1000000)</f>
        <v>4.2025052000000001</v>
      </c>
      <c r="O72" s="154">
        <f>J72/(D72*1000000)</f>
        <v>0.81450520000000004</v>
      </c>
      <c r="P72" s="154">
        <f>I72/(D72*1000000)</f>
        <v>0.40725260000000002</v>
      </c>
    </row>
    <row r="73" spans="1:16" x14ac:dyDescent="0.25">
      <c r="A73" s="152" t="s">
        <v>1707</v>
      </c>
      <c r="B73" s="152" t="s">
        <v>1708</v>
      </c>
      <c r="C73" s="152" t="s">
        <v>1552</v>
      </c>
      <c r="D73" s="152">
        <v>1</v>
      </c>
      <c r="E73" s="152"/>
      <c r="F73" s="152"/>
      <c r="G73" s="152"/>
      <c r="H73" s="153">
        <v>17665200</v>
      </c>
      <c r="I73" s="153">
        <v>2100000</v>
      </c>
      <c r="J73" s="153">
        <f>I73*2</f>
        <v>4200000</v>
      </c>
      <c r="K73" s="153">
        <v>7000000</v>
      </c>
      <c r="L73" s="153">
        <v>8565200</v>
      </c>
      <c r="M73" s="154">
        <f>K73/(D73*1000000)</f>
        <v>7</v>
      </c>
      <c r="N73" s="154">
        <f>(J73+K73)/(D73*1000000)</f>
        <v>11.2</v>
      </c>
      <c r="O73" s="154">
        <f>J73/(D73*1000000)</f>
        <v>4.2</v>
      </c>
      <c r="P73" s="154">
        <f>I73/(D73*1000000)</f>
        <v>2.1</v>
      </c>
    </row>
    <row r="74" spans="1:16" x14ac:dyDescent="0.25">
      <c r="A74" s="155" t="s">
        <v>1709</v>
      </c>
      <c r="B74" s="155"/>
      <c r="C74" s="155"/>
      <c r="D74" s="155"/>
      <c r="E74" s="155"/>
      <c r="F74" s="155"/>
      <c r="G74" s="155"/>
      <c r="M74" s="156"/>
      <c r="N74" s="156"/>
      <c r="O74" s="156"/>
      <c r="P74" s="156"/>
    </row>
    <row r="75" spans="1:16" x14ac:dyDescent="0.25">
      <c r="A75" s="157" t="s">
        <v>1710</v>
      </c>
      <c r="B75" s="157"/>
      <c r="C75" s="157"/>
      <c r="D75" s="157"/>
      <c r="E75" s="157"/>
      <c r="F75" s="157"/>
      <c r="G75" s="157"/>
    </row>
    <row r="76" spans="1:16" x14ac:dyDescent="0.25">
      <c r="A76" s="149" t="s">
        <v>1711</v>
      </c>
    </row>
  </sheetData>
  <autoFilter ref="A4:O73"/>
  <mergeCells count="8">
    <mergeCell ref="O3:O4"/>
    <mergeCell ref="P3:P4"/>
    <mergeCell ref="A3:A4"/>
    <mergeCell ref="B3:E3"/>
    <mergeCell ref="F3:G3"/>
    <mergeCell ref="H3:L3"/>
    <mergeCell ref="M3:M4"/>
    <mergeCell ref="N3:N4"/>
  </mergeCells>
  <printOptions horizontalCentered="1" gridLines="1"/>
  <pageMargins left="0" right="0" top="0.5" bottom="0.5" header="0.5" footer="0.5"/>
  <pageSetup paperSize="5" scale="83" fitToHeight="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58FF1499CCF7942AB84C29C27CDC9C7" ma:contentTypeVersion="0" ma:contentTypeDescription="Create a new document." ma:contentTypeScope="" ma:versionID="2eb0203bd8da062fda7123529cbbe565">
  <xsd:schema xmlns:xsd="http://www.w3.org/2001/XMLSchema" xmlns:xs="http://www.w3.org/2001/XMLSchema" xmlns:p="http://schemas.microsoft.com/office/2006/metadata/properties" targetNamespace="http://schemas.microsoft.com/office/2006/metadata/properties" ma:root="true" ma:fieldsID="c86db998ce7f336caca3c286429a12c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914128-7D09-41C7-9204-875249C9F8B3}">
  <ds:schemaRef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07EB07F0-5AD1-4CDD-8EC0-B555699663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1889794-BF15-4B76-8D79-6F82E109B7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55</vt:i4>
      </vt:variant>
    </vt:vector>
  </HeadingPairs>
  <TitlesOfParts>
    <vt:vector size="84" baseType="lpstr">
      <vt:lpstr>Instructions</vt:lpstr>
      <vt:lpstr>File Info</vt:lpstr>
      <vt:lpstr>Lakes and Flowing Waters</vt:lpstr>
      <vt:lpstr>Estuaries and Coasts</vt:lpstr>
      <vt:lpstr>Point Sources --&gt;</vt:lpstr>
      <vt:lpstr>Municipal</vt:lpstr>
      <vt:lpstr>Industrial</vt:lpstr>
      <vt:lpstr>Decentralized</vt:lpstr>
      <vt:lpstr>Point Source Anecdotal</vt:lpstr>
      <vt:lpstr>Nonpoint Sources --&gt;</vt:lpstr>
      <vt:lpstr>Urban Runoff</vt:lpstr>
      <vt:lpstr>Restoration and Mitigation --&gt;</vt:lpstr>
      <vt:lpstr>Restoration</vt:lpstr>
      <vt:lpstr>Mitigation</vt:lpstr>
      <vt:lpstr>Mitigation Anecdotal</vt:lpstr>
      <vt:lpstr>Economic Impacts --&gt;</vt:lpstr>
      <vt:lpstr>Index</vt:lpstr>
      <vt:lpstr>Tourism</vt:lpstr>
      <vt:lpstr>Fisheries</vt:lpstr>
      <vt:lpstr>Property Value</vt:lpstr>
      <vt:lpstr>Health Effects</vt:lpstr>
      <vt:lpstr>Drinking Water Treatment</vt:lpstr>
      <vt:lpstr>Anecdotal Impacts</vt:lpstr>
      <vt:lpstr>Additional Studies</vt:lpstr>
      <vt:lpstr>CBAs</vt:lpstr>
      <vt:lpstr>Benefits Studies</vt:lpstr>
      <vt:lpstr>References</vt:lpstr>
      <vt:lpstr>Regions</vt:lpstr>
      <vt:lpstr>Dollar Adjustments</vt:lpstr>
      <vt:lpstr>Adamsetal2002</vt:lpstr>
      <vt:lpstr>Andersonetal2000</vt:lpstr>
      <vt:lpstr>Araetal2006</vt:lpstr>
      <vt:lpstr>athearn2008</vt:lpstr>
      <vt:lpstr>average_annual_adj</vt:lpstr>
      <vt:lpstr>Boyleetal1998</vt:lpstr>
      <vt:lpstr>CareyLeftwich2000</vt:lpstr>
      <vt:lpstr>Caronetal2010</vt:lpstr>
      <vt:lpstr>CCI_2011</vt:lpstr>
      <vt:lpstr>Cesaretal2002</vt:lpstr>
      <vt:lpstr>CityNews2011</vt:lpstr>
      <vt:lpstr>CPI</vt:lpstr>
      <vt:lpstr>DavenportDrake2011</vt:lpstr>
      <vt:lpstr>DavenportDrake2011b</vt:lpstr>
      <vt:lpstr>Davenportetal2010</vt:lpstr>
      <vt:lpstr>DesMoines2013</vt:lpstr>
      <vt:lpstr>Doddsetal2009</vt:lpstr>
      <vt:lpstr>DysonHuppert2010</vt:lpstr>
      <vt:lpstr>ENR_CCI</vt:lpstr>
      <vt:lpstr>EvansJones2001</vt:lpstr>
      <vt:lpstr>EvansJones2001b</vt:lpstr>
      <vt:lpstr>Gibbsetal2002</vt:lpstr>
      <vt:lpstr>Glass2003</vt:lpstr>
      <vt:lpstr>Gorte1994</vt:lpstr>
      <vt:lpstr>Henry2013</vt:lpstr>
      <vt:lpstr>Hoaglandetal2009</vt:lpstr>
      <vt:lpstr>Hunt2013</vt:lpstr>
      <vt:lpstr>Jinetal2008</vt:lpstr>
      <vt:lpstr>KashianKasper2011</vt:lpstr>
      <vt:lpstr>KDHE2011</vt:lpstr>
      <vt:lpstr>Kryseletal2003</vt:lpstr>
      <vt:lpstr>LakeErie2012</vt:lpstr>
      <vt:lpstr>LarkinAdams2007</vt:lpstr>
      <vt:lpstr>Lollar2008</vt:lpstr>
      <vt:lpstr>Michaeletal2000</vt:lpstr>
      <vt:lpstr>Mistiaenetal2003</vt:lpstr>
      <vt:lpstr>Morganetal2008</vt:lpstr>
      <vt:lpstr>MorganLarkin2006</vt:lpstr>
      <vt:lpstr>OhDitton2005</vt:lpstr>
      <vt:lpstr>Pooretal2002</vt:lpstr>
      <vt:lpstr>Pooretal2007</vt:lpstr>
      <vt:lpstr>Decentralized!Print_Area</vt:lpstr>
      <vt:lpstr>Industrial!Print_Area</vt:lpstr>
      <vt:lpstr>Mitigation!Print_Area</vt:lpstr>
      <vt:lpstr>'Mitigation Anecdotal'!Print_Area</vt:lpstr>
      <vt:lpstr>'Point Source Anecdotal'!Print_Area</vt:lpstr>
      <vt:lpstr>'Urban Runoff'!Print_Area</vt:lpstr>
      <vt:lpstr>'Point Source Anecdotal'!Print_Titles</vt:lpstr>
      <vt:lpstr>Ralonde2001</vt:lpstr>
      <vt:lpstr>Ribaudoetal2011</vt:lpstr>
      <vt:lpstr>Steinnes1992</vt:lpstr>
      <vt:lpstr>vanBeukeringCesar2004</vt:lpstr>
      <vt:lpstr>Walshetal2011</vt:lpstr>
      <vt:lpstr>Wheeler2013</vt:lpstr>
      <vt:lpstr>Young1984</vt:lpstr>
    </vt:vector>
  </TitlesOfParts>
  <Company>Abt Associates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Giovanni</dc:creator>
  <cp:lastModifiedBy>Sengco, Mario</cp:lastModifiedBy>
  <dcterms:created xsi:type="dcterms:W3CDTF">2012-12-04T20:09:05Z</dcterms:created>
  <dcterms:modified xsi:type="dcterms:W3CDTF">2015-04-30T22:17:26Z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0x010100A58FF1499CCF7942AB84C29C27CDC9C7</vt:lpwstr>
  </property>
</Properties>
</file>