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MSengco\Desktop\Nutrient Cost Study - New OP Review\FINAL DOCUMENTS_April 30 2015\"/>
    </mc:Choice>
  </mc:AlternateContent>
  <bookViews>
    <workbookView xWindow="0" yWindow="0" windowWidth="14370" windowHeight="7335" tabRatio="802"/>
  </bookViews>
  <sheets>
    <sheet name="Instructions" sheetId="76" r:id="rId1"/>
    <sheet name="File Info" sheetId="15" r:id="rId2"/>
    <sheet name="Lakes and Flowing Waters" sheetId="14" r:id="rId3"/>
    <sheet name="Estuaries and Coasts" sheetId="11" r:id="rId4"/>
    <sheet name="Point Sources --&gt;" sheetId="60" r:id="rId5"/>
    <sheet name="Municipal" sheetId="61" r:id="rId6"/>
    <sheet name="Industrial" sheetId="62" r:id="rId7"/>
    <sheet name="Decentralized" sheetId="63" r:id="rId8"/>
    <sheet name="Point Source Anecdotal" sheetId="72" r:id="rId9"/>
    <sheet name="Nonpoint Sources --&gt;" sheetId="64" r:id="rId10"/>
    <sheet name="Urban Runoff" sheetId="67" r:id="rId11"/>
    <sheet name="Restoration and Mitigation --&gt;" sheetId="68" r:id="rId12"/>
    <sheet name="Restoration" sheetId="59" r:id="rId13"/>
    <sheet name="Mitigation" sheetId="70" r:id="rId14"/>
    <sheet name="Mitigation Anecdotal" sheetId="75" r:id="rId15"/>
    <sheet name="Economic Impacts --&gt;" sheetId="50" r:id="rId16"/>
    <sheet name="Index" sheetId="31" r:id="rId17"/>
    <sheet name="Tourism" sheetId="21" r:id="rId18"/>
    <sheet name="Fisheries" sheetId="18" r:id="rId19"/>
    <sheet name="Property Value" sheetId="17" r:id="rId20"/>
    <sheet name="Health Effects" sheetId="20" r:id="rId21"/>
    <sheet name="Drinking Water Treatment" sheetId="19" r:id="rId22"/>
    <sheet name="Anecdotal Impacts" sheetId="30" r:id="rId23"/>
    <sheet name="Additional Studies" sheetId="33" r:id="rId24"/>
    <sheet name="CBAs" sheetId="37" r:id="rId25"/>
    <sheet name="Benefits Studies" sheetId="38" r:id="rId26"/>
    <sheet name="References" sheetId="36" r:id="rId27"/>
    <sheet name="Regions" sheetId="32" r:id="rId28"/>
    <sheet name="Dollar Adjustments" sheetId="71" r:id="rId29"/>
  </sheets>
  <externalReferences>
    <externalReference r:id="rId30"/>
  </externalReferences>
  <definedNames>
    <definedName name="_xlnm._FilterDatabase" localSheetId="7" hidden="1">Decentralized!$A$3:$O$18</definedName>
    <definedName name="_xlnm._FilterDatabase" localSheetId="16" hidden="1">Index!$A$3:$H$56</definedName>
    <definedName name="_xlnm._FilterDatabase" localSheetId="6" hidden="1">Industrial!$A$4:$U$25</definedName>
    <definedName name="_xlnm._FilterDatabase" localSheetId="13" hidden="1">Mitigation!$A$3:$S$34</definedName>
    <definedName name="_xlnm._FilterDatabase" localSheetId="14" hidden="1">'Mitigation Anecdotal'!$A$3:$S$34</definedName>
    <definedName name="_xlnm._FilterDatabase" localSheetId="5" hidden="1">Municipal!$A$4:$S$374</definedName>
    <definedName name="_xlnm._FilterDatabase" localSheetId="8" hidden="1">'Point Source Anecdotal'!$A$4:$O$73</definedName>
    <definedName name="_xlnm._FilterDatabase" localSheetId="12" hidden="1">Restoration!$A$3:$L$17</definedName>
    <definedName name="_xlnm._FilterDatabase" localSheetId="10" hidden="1">'Urban Runoff'!$A$3:$M$140</definedName>
    <definedName name="Adamsetal2002">'Additional Studies'!$A$8</definedName>
    <definedName name="Andersonetal2000">'Additional Studies'!$A$16</definedName>
    <definedName name="Araetal2006">'Property Value'!$A$10</definedName>
    <definedName name="athearn2008">'Additional Studies'!$A$5</definedName>
    <definedName name="average_annual_adj">'Dollar Adjustments'!$E$17</definedName>
    <definedName name="Boyleetal1998">'Property Value'!$A$14</definedName>
    <definedName name="CareyLeftwich2000">'Additional Studies'!$A$9</definedName>
    <definedName name="Caronetal2010">'Additional Studies'!$A$13</definedName>
    <definedName name="CCI_2011">'Dollar Adjustments'!$B$29</definedName>
    <definedName name="CCIDataPull">[1]DataPull!$1:$1048576</definedName>
    <definedName name="Cesaretal2002">'Additional Studies'!$A$15</definedName>
    <definedName name="CityNews2011">'Anecdotal Impacts'!$A$11</definedName>
    <definedName name="CPI">'Dollar Adjustments'!$A$4:$C$37</definedName>
    <definedName name="DavenportDrake2011">Tourism!$A$5</definedName>
    <definedName name="DavenportDrake2011b">'Drinking Water Treatment'!$A$5</definedName>
    <definedName name="Davenportetal2010">Tourism!$A$6</definedName>
    <definedName name="DesMoines2013">'Anecdotal Impacts'!$A$8</definedName>
    <definedName name="Doddsetal2009">'Additional Studies'!$A$17</definedName>
    <definedName name="DysonHuppert2010">Tourism!$A$10</definedName>
    <definedName name="ENR_CCI">'Dollar Adjustments'!$A$14:$C$37</definedName>
    <definedName name="EvansJones2001">Tourism!$A$7</definedName>
    <definedName name="EvansJones2001b">Fisheries!$A$7</definedName>
    <definedName name="Gibbsetal2002">'Property Value'!$A$8</definedName>
    <definedName name="Glass2003">'Anecdotal Impacts'!$A$13</definedName>
    <definedName name="Gorte1994">'Additional Studies'!$A$10</definedName>
    <definedName name="Henry2013">'Anecdotal Impacts'!$A$9</definedName>
    <definedName name="Hoaglandetal2009">'Health Effects'!$A$5</definedName>
    <definedName name="Hunt2013">'Anecdotal Impacts'!$A$5</definedName>
    <definedName name="Jinetal2008">Fisheries!$A$6</definedName>
    <definedName name="KashianKasper2011">'Property Value'!$A$12</definedName>
    <definedName name="KDHE2011">'Anecdotal Impacts'!$A$12</definedName>
    <definedName name="Kryseletal2003">'Property Value'!$A$11</definedName>
    <definedName name="LakeErie2012">'Anecdotal Impacts'!$A$10</definedName>
    <definedName name="LarkinAdams2007">Tourism!$A$8</definedName>
    <definedName name="Lollar2008">'Anecdotal Impacts'!$A$7</definedName>
    <definedName name="Michaeletal2000">'Property Value'!$A$6</definedName>
    <definedName name="Mistiaenetal2003">Fisheries!$A$5</definedName>
    <definedName name="Morganetal2008">Tourism!$A$9</definedName>
    <definedName name="MorganLarkin2006">'Additional Studies'!$A$7</definedName>
    <definedName name="OhDitton2005">Tourism!$A$11</definedName>
    <definedName name="Pooretal2002">'Property Value'!$A$7</definedName>
    <definedName name="Pooretal2007">'Property Value'!$A$5</definedName>
    <definedName name="_xlnm.Print_Area" localSheetId="7">Decentralized!$A$3:$O$18</definedName>
    <definedName name="_xlnm.Print_Area" localSheetId="6">Industrial!$A$4:$U$25</definedName>
    <definedName name="_xlnm.Print_Area" localSheetId="13">Mitigation!$A$3:$S$29</definedName>
    <definedName name="_xlnm.Print_Area" localSheetId="14">'Mitigation Anecdotal'!$A$3:$S$29</definedName>
    <definedName name="_xlnm.Print_Area" localSheetId="8">'Point Source Anecdotal'!$A$3:$L$76</definedName>
    <definedName name="_xlnm.Print_Area" localSheetId="10">'Urban Runoff'!$A$3:$M$56</definedName>
    <definedName name="_xlnm.Print_Titles" localSheetId="8">'Point Source Anecdotal'!$4:$4</definedName>
    <definedName name="Ralonde2001">Fisheries!$A$9</definedName>
    <definedName name="Ribaudoetal2011">'Additional Studies'!$A$6</definedName>
    <definedName name="Steinnes1992">'Additional Studies'!$A$11</definedName>
    <definedName name="vanBeukeringCesar2004">'Additional Studies'!$A$14</definedName>
    <definedName name="Walshetal2011">'Property Value'!$A$9</definedName>
    <definedName name="Wheeler2013">'Anecdotal Impacts'!$A$6</definedName>
    <definedName name="Young1984">'Additional Studies'!$A$12</definedName>
  </definedNames>
  <calcPr calcId="152511"/>
</workbook>
</file>

<file path=xl/calcChain.xml><?xml version="1.0" encoding="utf-8"?>
<calcChain xmlns="http://schemas.openxmlformats.org/spreadsheetml/2006/main">
  <c r="K19" i="70" l="1"/>
  <c r="L33" i="70" l="1"/>
  <c r="O31" i="70"/>
  <c r="O30" i="70"/>
  <c r="O28" i="70"/>
  <c r="O27" i="70"/>
  <c r="O26" i="70"/>
  <c r="O25" i="70"/>
  <c r="O24" i="70"/>
  <c r="O22" i="70"/>
  <c r="O20" i="70"/>
  <c r="O19" i="70"/>
  <c r="O18" i="70"/>
  <c r="O17" i="70"/>
  <c r="O16" i="70"/>
  <c r="O15" i="70"/>
  <c r="O14" i="70"/>
  <c r="O10" i="70"/>
  <c r="L32" i="70"/>
  <c r="L31" i="70"/>
  <c r="L30" i="70"/>
  <c r="L28" i="70"/>
  <c r="L27" i="70"/>
  <c r="L26" i="70"/>
  <c r="L24" i="70"/>
  <c r="L22" i="70"/>
  <c r="L20" i="70"/>
  <c r="L19" i="70"/>
  <c r="L17" i="70"/>
  <c r="L14" i="70"/>
  <c r="L13" i="70"/>
  <c r="L12" i="70"/>
  <c r="L11" i="70"/>
  <c r="L9" i="70"/>
  <c r="L6" i="70"/>
  <c r="L4" i="70"/>
  <c r="P73" i="72" l="1"/>
  <c r="M73" i="72"/>
  <c r="J73" i="72"/>
  <c r="N73" i="72" s="1"/>
  <c r="P72" i="72"/>
  <c r="M72" i="72"/>
  <c r="J72" i="72"/>
  <c r="O72" i="72" s="1"/>
  <c r="P71" i="72"/>
  <c r="M71" i="72"/>
  <c r="J71" i="72"/>
  <c r="N71" i="72" s="1"/>
  <c r="P70" i="72"/>
  <c r="M70" i="72"/>
  <c r="J70" i="72"/>
  <c r="O70" i="72" s="1"/>
  <c r="P69" i="72"/>
  <c r="M69" i="72"/>
  <c r="J69" i="72"/>
  <c r="N69" i="72" s="1"/>
  <c r="P68" i="72"/>
  <c r="M68" i="72"/>
  <c r="J68" i="72"/>
  <c r="O68" i="72" s="1"/>
  <c r="M67" i="72"/>
  <c r="J67" i="72"/>
  <c r="N67" i="72" s="1"/>
  <c r="P66" i="72"/>
  <c r="M66" i="72"/>
  <c r="J66" i="72"/>
  <c r="O66" i="72" s="1"/>
  <c r="P65" i="72"/>
  <c r="M65" i="72"/>
  <c r="J65" i="72"/>
  <c r="O65" i="72" s="1"/>
  <c r="P64" i="72"/>
  <c r="M64" i="72"/>
  <c r="J64" i="72"/>
  <c r="O64" i="72" s="1"/>
  <c r="J63" i="72"/>
  <c r="P62" i="72"/>
  <c r="M62" i="72"/>
  <c r="J62" i="72"/>
  <c r="O62" i="72" s="1"/>
  <c r="P61" i="72"/>
  <c r="O61" i="72"/>
  <c r="M61" i="72"/>
  <c r="J61" i="72"/>
  <c r="N61" i="72" s="1"/>
  <c r="P60" i="72"/>
  <c r="M60" i="72"/>
  <c r="J60" i="72"/>
  <c r="O60" i="72" s="1"/>
  <c r="P59" i="72"/>
  <c r="M59" i="72"/>
  <c r="J59" i="72"/>
  <c r="N59" i="72" s="1"/>
  <c r="P58" i="72"/>
  <c r="M58" i="72"/>
  <c r="J58" i="72"/>
  <c r="O58" i="72" s="1"/>
  <c r="P57" i="72"/>
  <c r="O57" i="72"/>
  <c r="M57" i="72"/>
  <c r="J57" i="72"/>
  <c r="N57" i="72" s="1"/>
  <c r="P56" i="72"/>
  <c r="M56" i="72"/>
  <c r="J56" i="72"/>
  <c r="O56" i="72" s="1"/>
  <c r="P55" i="72"/>
  <c r="M55" i="72"/>
  <c r="J55" i="72"/>
  <c r="N55" i="72" s="1"/>
  <c r="P54" i="72"/>
  <c r="M54" i="72"/>
  <c r="J54" i="72"/>
  <c r="O54" i="72" s="1"/>
  <c r="P53" i="72"/>
  <c r="O53" i="72"/>
  <c r="M53" i="72"/>
  <c r="J53" i="72"/>
  <c r="N53" i="72" s="1"/>
  <c r="P52" i="72"/>
  <c r="M52" i="72"/>
  <c r="J52" i="72"/>
  <c r="O52" i="72" s="1"/>
  <c r="P51" i="72"/>
  <c r="M51" i="72"/>
  <c r="J51" i="72"/>
  <c r="N51" i="72" s="1"/>
  <c r="P50" i="72"/>
  <c r="M50" i="72"/>
  <c r="J50" i="72"/>
  <c r="O50" i="72" s="1"/>
  <c r="M49" i="72"/>
  <c r="J49" i="72"/>
  <c r="N49" i="72" s="1"/>
  <c r="M48" i="72"/>
  <c r="J48" i="72"/>
  <c r="N48" i="72" s="1"/>
  <c r="P47" i="72"/>
  <c r="M47" i="72"/>
  <c r="J47" i="72"/>
  <c r="N47" i="72" s="1"/>
  <c r="P46" i="72"/>
  <c r="M46" i="72"/>
  <c r="J46" i="72"/>
  <c r="O46" i="72" s="1"/>
  <c r="P45" i="72"/>
  <c r="O45" i="72"/>
  <c r="M45" i="72"/>
  <c r="J45" i="72"/>
  <c r="N45" i="72" s="1"/>
  <c r="P44" i="72"/>
  <c r="M44" i="72"/>
  <c r="J44" i="72"/>
  <c r="O44" i="72" s="1"/>
  <c r="P43" i="72"/>
  <c r="M43" i="72"/>
  <c r="J43" i="72"/>
  <c r="N43" i="72" s="1"/>
  <c r="P42" i="72"/>
  <c r="M42" i="72"/>
  <c r="J42" i="72"/>
  <c r="O42" i="72" s="1"/>
  <c r="P41" i="72"/>
  <c r="O41" i="72"/>
  <c r="M41" i="72"/>
  <c r="J41" i="72"/>
  <c r="N41" i="72" s="1"/>
  <c r="P40" i="72"/>
  <c r="M40" i="72"/>
  <c r="J40" i="72"/>
  <c r="O40" i="72" s="1"/>
  <c r="P39" i="72"/>
  <c r="M39" i="72"/>
  <c r="J39" i="72"/>
  <c r="N39" i="72" s="1"/>
  <c r="P38" i="72"/>
  <c r="M38" i="72"/>
  <c r="J38" i="72"/>
  <c r="O38" i="72" s="1"/>
  <c r="P37" i="72"/>
  <c r="O37" i="72"/>
  <c r="M37" i="72"/>
  <c r="J37" i="72"/>
  <c r="N37" i="72" s="1"/>
  <c r="P36" i="72"/>
  <c r="M36" i="72"/>
  <c r="J36" i="72"/>
  <c r="O36" i="72" s="1"/>
  <c r="P35" i="72"/>
  <c r="M35" i="72"/>
  <c r="J35" i="72"/>
  <c r="N35" i="72" s="1"/>
  <c r="P34" i="72"/>
  <c r="M34" i="72"/>
  <c r="J34" i="72"/>
  <c r="O34" i="72" s="1"/>
  <c r="P33" i="72"/>
  <c r="O33" i="72"/>
  <c r="M33" i="72"/>
  <c r="J33" i="72"/>
  <c r="N33" i="72" s="1"/>
  <c r="P32" i="72"/>
  <c r="M32" i="72"/>
  <c r="J32" i="72"/>
  <c r="O32" i="72" s="1"/>
  <c r="P31" i="72"/>
  <c r="M31" i="72"/>
  <c r="J31" i="72"/>
  <c r="N31" i="72" s="1"/>
  <c r="P30" i="72"/>
  <c r="M30" i="72"/>
  <c r="J30" i="72"/>
  <c r="O30" i="72" s="1"/>
  <c r="P29" i="72"/>
  <c r="O29" i="72"/>
  <c r="M29" i="72"/>
  <c r="J29" i="72"/>
  <c r="N29" i="72" s="1"/>
  <c r="M28" i="72"/>
  <c r="J28" i="72"/>
  <c r="N28" i="72" s="1"/>
  <c r="P27" i="72"/>
  <c r="M27" i="72"/>
  <c r="J27" i="72"/>
  <c r="O27" i="72" s="1"/>
  <c r="P26" i="72"/>
  <c r="M26" i="72"/>
  <c r="J26" i="72"/>
  <c r="O26" i="72" s="1"/>
  <c r="P25" i="72"/>
  <c r="M25" i="72"/>
  <c r="J25" i="72"/>
  <c r="N25" i="72" s="1"/>
  <c r="P24" i="72"/>
  <c r="M24" i="72"/>
  <c r="J24" i="72"/>
  <c r="O24" i="72" s="1"/>
  <c r="P23" i="72"/>
  <c r="M23" i="72"/>
  <c r="J23" i="72"/>
  <c r="O23" i="72" s="1"/>
  <c r="P22" i="72"/>
  <c r="M22" i="72"/>
  <c r="J22" i="72"/>
  <c r="O22" i="72" s="1"/>
  <c r="P21" i="72"/>
  <c r="M21" i="72"/>
  <c r="J21" i="72"/>
  <c r="N21" i="72" s="1"/>
  <c r="P20" i="72"/>
  <c r="M20" i="72"/>
  <c r="J20" i="72"/>
  <c r="O20" i="72" s="1"/>
  <c r="M19" i="72"/>
  <c r="J19" i="72"/>
  <c r="N19" i="72" s="1"/>
  <c r="P18" i="72"/>
  <c r="M18" i="72"/>
  <c r="J18" i="72"/>
  <c r="O18" i="72" s="1"/>
  <c r="P17" i="72"/>
  <c r="O17" i="72"/>
  <c r="M17" i="72"/>
  <c r="J17" i="72"/>
  <c r="N17" i="72" s="1"/>
  <c r="P16" i="72"/>
  <c r="M16" i="72"/>
  <c r="J16" i="72"/>
  <c r="O16" i="72" s="1"/>
  <c r="P15" i="72"/>
  <c r="M15" i="72"/>
  <c r="J15" i="72"/>
  <c r="N15" i="72" s="1"/>
  <c r="P14" i="72"/>
  <c r="M14" i="72"/>
  <c r="J14" i="72"/>
  <c r="O14" i="72" s="1"/>
  <c r="P13" i="72"/>
  <c r="O13" i="72"/>
  <c r="M13" i="72"/>
  <c r="J13" i="72"/>
  <c r="N13" i="72" s="1"/>
  <c r="P12" i="72"/>
  <c r="M12" i="72"/>
  <c r="J12" i="72"/>
  <c r="O12" i="72" s="1"/>
  <c r="P11" i="72"/>
  <c r="M11" i="72"/>
  <c r="J11" i="72"/>
  <c r="N11" i="72" s="1"/>
  <c r="P10" i="72"/>
  <c r="M10" i="72"/>
  <c r="J10" i="72"/>
  <c r="O10" i="72" s="1"/>
  <c r="P9" i="72"/>
  <c r="O9" i="72"/>
  <c r="M9" i="72"/>
  <c r="J9" i="72"/>
  <c r="N9" i="72" s="1"/>
  <c r="P8" i="72"/>
  <c r="M8" i="72"/>
  <c r="J8" i="72"/>
  <c r="O8" i="72" s="1"/>
  <c r="M7" i="72"/>
  <c r="J7" i="72"/>
  <c r="O7" i="72" s="1"/>
  <c r="P6" i="72"/>
  <c r="M6" i="72"/>
  <c r="J6" i="72"/>
  <c r="N6" i="72" s="1"/>
  <c r="P5" i="72"/>
  <c r="M5" i="72"/>
  <c r="J5" i="72"/>
  <c r="O5" i="72" s="1"/>
  <c r="N8" i="72" l="1"/>
  <c r="O11" i="72"/>
  <c r="N12" i="72"/>
  <c r="O15" i="72"/>
  <c r="N16" i="72"/>
  <c r="O31" i="72"/>
  <c r="N32" i="72"/>
  <c r="O35" i="72"/>
  <c r="N36" i="72"/>
  <c r="O39" i="72"/>
  <c r="N40" i="72"/>
  <c r="O43" i="72"/>
  <c r="N44" i="72"/>
  <c r="O47" i="72"/>
  <c r="O51" i="72"/>
  <c r="N52" i="72"/>
  <c r="O55" i="72"/>
  <c r="N56" i="72"/>
  <c r="O59" i="72"/>
  <c r="N60" i="72"/>
  <c r="O71" i="72"/>
  <c r="N7" i="72"/>
  <c r="O21" i="72"/>
  <c r="N22" i="72"/>
  <c r="N23" i="72"/>
  <c r="O25" i="72"/>
  <c r="N26" i="72"/>
  <c r="N27" i="72"/>
  <c r="N64" i="72"/>
  <c r="N65" i="72"/>
  <c r="O6" i="72"/>
  <c r="O69" i="72"/>
  <c r="N70" i="72"/>
  <c r="O73" i="72"/>
  <c r="N5" i="72"/>
  <c r="N10" i="72"/>
  <c r="N14" i="72"/>
  <c r="N18" i="72"/>
  <c r="N20" i="72"/>
  <c r="N24" i="72"/>
  <c r="N30" i="72"/>
  <c r="N34" i="72"/>
  <c r="N38" i="72"/>
  <c r="N42" i="72"/>
  <c r="N46" i="72"/>
  <c r="N50" i="72"/>
  <c r="N54" i="72"/>
  <c r="N58" i="72"/>
  <c r="N62" i="72"/>
  <c r="N66" i="72"/>
  <c r="N68" i="72"/>
  <c r="N72" i="72"/>
  <c r="C22" i="70" l="1"/>
  <c r="K18" i="70"/>
  <c r="L18" i="70" s="1"/>
  <c r="K16" i="70"/>
  <c r="L16" i="70" s="1"/>
  <c r="K15" i="70"/>
  <c r="L15" i="70" s="1"/>
  <c r="P9" i="70" l="1"/>
  <c r="P31" i="70"/>
  <c r="P4" i="70"/>
  <c r="P6" i="70"/>
  <c r="C8" i="70"/>
  <c r="P11" i="70"/>
  <c r="P12" i="70"/>
  <c r="P14" i="70"/>
  <c r="P15" i="70"/>
  <c r="P16" i="70"/>
  <c r="C23" i="70"/>
  <c r="C24" i="70"/>
  <c r="C26" i="70"/>
  <c r="P28" i="70"/>
  <c r="Q28" i="70"/>
  <c r="P30" i="70"/>
  <c r="Q30" i="70"/>
  <c r="Q25" i="70" l="1"/>
  <c r="Q22" i="70"/>
  <c r="P22" i="70"/>
  <c r="Q15" i="70"/>
  <c r="Q20" i="70"/>
  <c r="Q14" i="70"/>
  <c r="Q17" i="70"/>
  <c r="Q16" i="70"/>
  <c r="P20" i="70"/>
  <c r="P26" i="70"/>
  <c r="Q18" i="70"/>
  <c r="Q27" i="70"/>
  <c r="P27" i="70"/>
  <c r="P18" i="70"/>
  <c r="Q10" i="70"/>
  <c r="P33" i="70"/>
  <c r="P32" i="70"/>
  <c r="Q31" i="70"/>
  <c r="Q24" i="70"/>
  <c r="P17" i="70"/>
  <c r="N23" i="70"/>
  <c r="K23" i="70"/>
  <c r="Q19" i="70"/>
  <c r="P19" i="70"/>
  <c r="P24" i="70"/>
  <c r="L23" i="70" l="1"/>
  <c r="P23" i="70" s="1"/>
  <c r="O23" i="70"/>
  <c r="Q23" i="70" s="1"/>
  <c r="L100" i="61"/>
  <c r="J100" i="61"/>
  <c r="F100" i="61"/>
  <c r="L99" i="61"/>
  <c r="J99" i="61"/>
  <c r="F99" i="61"/>
  <c r="L98" i="61"/>
  <c r="J98" i="61"/>
  <c r="F98" i="61"/>
  <c r="L97" i="61"/>
  <c r="J97" i="61"/>
  <c r="F97" i="61"/>
  <c r="L96" i="61"/>
  <c r="J96" i="61"/>
  <c r="F96" i="61"/>
  <c r="L95" i="61"/>
  <c r="J95" i="61"/>
  <c r="F95" i="61"/>
  <c r="L94" i="61"/>
  <c r="J94" i="61"/>
  <c r="F94" i="61"/>
  <c r="L93" i="61"/>
  <c r="J93" i="61"/>
  <c r="F93" i="61"/>
  <c r="L92" i="61"/>
  <c r="J92" i="61"/>
  <c r="F92" i="61"/>
  <c r="L91" i="61"/>
  <c r="J91" i="61"/>
  <c r="L90" i="61"/>
  <c r="J90" i="61"/>
  <c r="L89" i="61"/>
  <c r="J89" i="61"/>
  <c r="L88" i="61"/>
  <c r="J88" i="61"/>
  <c r="L87" i="61"/>
  <c r="J87" i="61"/>
  <c r="L86" i="61"/>
  <c r="J86" i="61"/>
  <c r="L85" i="61"/>
  <c r="F85" i="61"/>
  <c r="L84" i="61"/>
  <c r="F84" i="61"/>
  <c r="L83" i="61"/>
  <c r="F83" i="61"/>
  <c r="L82" i="61"/>
  <c r="F82" i="61"/>
  <c r="L81" i="61"/>
  <c r="F81" i="61"/>
  <c r="L80" i="61"/>
  <c r="F80" i="61"/>
  <c r="L79" i="61"/>
  <c r="F79" i="61"/>
  <c r="L78" i="61"/>
  <c r="J78" i="61"/>
  <c r="L77" i="61"/>
  <c r="J77" i="61"/>
  <c r="L76" i="61"/>
  <c r="J76" i="61"/>
  <c r="L75" i="61"/>
  <c r="J75" i="61"/>
  <c r="L74" i="61"/>
  <c r="J74" i="61"/>
  <c r="L73" i="61"/>
  <c r="J73" i="61"/>
  <c r="F73" i="61"/>
  <c r="L72" i="61"/>
  <c r="J72" i="61"/>
  <c r="F72" i="61"/>
  <c r="L71" i="61"/>
  <c r="J71" i="61"/>
  <c r="F71" i="61"/>
  <c r="F5" i="32" l="1"/>
  <c r="B21" i="31" s="1"/>
  <c r="F6" i="32"/>
  <c r="F7" i="32"/>
  <c r="F8" i="32"/>
  <c r="B38" i="31" s="1"/>
  <c r="F9" i="32"/>
  <c r="F10" i="32"/>
  <c r="F11" i="32"/>
  <c r="F12" i="32"/>
  <c r="F13" i="32"/>
  <c r="F14" i="32"/>
  <c r="B39" i="31" s="1"/>
  <c r="F15" i="32"/>
  <c r="F16" i="32"/>
  <c r="F17" i="32"/>
  <c r="F18" i="32"/>
  <c r="B24" i="31" s="1"/>
  <c r="F19" i="32"/>
  <c r="F20" i="32"/>
  <c r="F21" i="32"/>
  <c r="F22" i="32"/>
  <c r="F23" i="32"/>
  <c r="F24" i="32"/>
  <c r="F25" i="32"/>
  <c r="F26" i="32"/>
  <c r="F27" i="32"/>
  <c r="F28" i="32"/>
  <c r="F29" i="32"/>
  <c r="F30" i="32"/>
  <c r="F31" i="32"/>
  <c r="F32" i="32"/>
  <c r="B16" i="31" s="1"/>
  <c r="F33" i="32"/>
  <c r="F34" i="32"/>
  <c r="F35" i="32"/>
  <c r="F36" i="32"/>
  <c r="F37" i="32"/>
  <c r="F38" i="32"/>
  <c r="F39" i="32"/>
  <c r="F40" i="32"/>
  <c r="F41" i="32"/>
  <c r="F42" i="32"/>
  <c r="F43" i="32"/>
  <c r="B37" i="31" s="1"/>
  <c r="F44" i="32"/>
  <c r="F45" i="32"/>
  <c r="F46" i="32"/>
  <c r="B23" i="31" s="1"/>
  <c r="F47" i="32"/>
  <c r="F48" i="32"/>
  <c r="B49" i="31" s="1"/>
  <c r="F49" i="32"/>
  <c r="F50" i="32"/>
  <c r="B51" i="31" s="1"/>
  <c r="F51" i="32"/>
  <c r="F52" i="32"/>
  <c r="B11" i="31" s="1"/>
  <c r="F53" i="32"/>
  <c r="F4" i="32"/>
  <c r="B50" i="31" l="1"/>
  <c r="B28" i="31"/>
  <c r="B52" i="31"/>
  <c r="B53" i="31"/>
  <c r="B29" i="31"/>
  <c r="B44" i="31"/>
  <c r="B46" i="31"/>
  <c r="B32" i="31"/>
  <c r="B45" i="31"/>
  <c r="B43" i="31"/>
  <c r="B22" i="31"/>
  <c r="B12" i="31"/>
  <c r="B31" i="31"/>
  <c r="B30" i="31"/>
  <c r="B4" i="31"/>
  <c r="B17" i="31"/>
  <c r="B10" i="31"/>
  <c r="B9" i="31"/>
  <c r="B18" i="31"/>
  <c r="B25" i="31"/>
  <c r="B27" i="31"/>
  <c r="B5" i="31"/>
  <c r="B6" i="31"/>
  <c r="B8" i="31"/>
  <c r="B7" i="31"/>
  <c r="B26" i="31"/>
  <c r="B48" i="31"/>
  <c r="B14" i="31"/>
  <c r="B36" i="31"/>
  <c r="B19" i="31"/>
  <c r="B20" i="31"/>
  <c r="B13" i="31"/>
  <c r="B15" i="31"/>
</calcChain>
</file>

<file path=xl/sharedStrings.xml><?xml version="1.0" encoding="utf-8"?>
<sst xmlns="http://schemas.openxmlformats.org/spreadsheetml/2006/main" count="8555" uniqueCount="1898">
  <si>
    <t>Description</t>
  </si>
  <si>
    <t>Economic Sector</t>
  </si>
  <si>
    <t>File Name</t>
  </si>
  <si>
    <t>Created By</t>
  </si>
  <si>
    <t>Date Modified</t>
  </si>
  <si>
    <t>Abt Associates</t>
  </si>
  <si>
    <t>Worksheet</t>
  </si>
  <si>
    <t>Estuaries and Coasts</t>
  </si>
  <si>
    <t>Lakes and Flowing Waters</t>
  </si>
  <si>
    <t>Notes</t>
  </si>
  <si>
    <t>Relationship of Dischargers of Nutrients to Economic Impacts Related to Water Quality Standards</t>
  </si>
  <si>
    <t>Location</t>
  </si>
  <si>
    <t>Water Quality</t>
  </si>
  <si>
    <t>Lakes suffer from severe and often toxic Blue Green Algae blooms driven by high watershed loading of nutrients.</t>
  </si>
  <si>
    <t>Water Body Type</t>
  </si>
  <si>
    <t>Lake</t>
  </si>
  <si>
    <t>Resource Description</t>
  </si>
  <si>
    <t>Study</t>
  </si>
  <si>
    <t>Summary of Literature on Property Values</t>
  </si>
  <si>
    <t>Summary of Literature on Fishery Impacts</t>
  </si>
  <si>
    <t>Mistiaen, et al. (2003)</t>
  </si>
  <si>
    <t>Estuary/ Tributaries</t>
  </si>
  <si>
    <t>Davenport and Drake (2011)</t>
  </si>
  <si>
    <t>Grand Lake St. Marys (OH)</t>
  </si>
  <si>
    <t>Coastal</t>
  </si>
  <si>
    <t>Sarasota, FL</t>
  </si>
  <si>
    <t>Hoagland, et al. (2009)</t>
  </si>
  <si>
    <t>Jin, et al. (2008)</t>
  </si>
  <si>
    <t>Maine Coast</t>
  </si>
  <si>
    <t>Evans and Jones (2001)</t>
  </si>
  <si>
    <t>Year (event or study period)</t>
  </si>
  <si>
    <t>Red tide impacted shellfish harvesting from April to August.</t>
  </si>
  <si>
    <t>Chesapeake Bay/ Patuxent River</t>
  </si>
  <si>
    <t>Estuary/ Coastal</t>
  </si>
  <si>
    <t>Red tide event in Galveston, TX resulted in 85 shellfish closure days.</t>
  </si>
  <si>
    <t>Through 2010</t>
  </si>
  <si>
    <t>For treatment installation, toxic algae testing set-up, and total O&amp;M  (excludes alum, lime, and sludge costs).</t>
  </si>
  <si>
    <t>Red tide (varying levels of HABs)</t>
  </si>
  <si>
    <t>2001 - 2006</t>
  </si>
  <si>
    <t>Galveston Bay (TX)</t>
  </si>
  <si>
    <t>Method</t>
  </si>
  <si>
    <t>Shellfish beds in MA, ME, NH, and 15,000 sq mi of federal waters closed for &gt; a month at the peak of the seafood harvesting season.  MA and ME received federal emergency assistance. In addition, authors estimated direct impacts on the commercial shellfish industry in MA to be as high as $18 million but state that due to serious data limitations, these results should be viewed with caution.</t>
  </si>
  <si>
    <t>NA</t>
  </si>
  <si>
    <t>DO reduction from 5.6 mg/L to 4.0 mg/L in the Patuxent River.</t>
  </si>
  <si>
    <t>Year</t>
  </si>
  <si>
    <t>49% reduction in crab harvest and lost revenues of $228,000/yr associated with change in DO (2000 dollars).</t>
  </si>
  <si>
    <t>$168,000 in oyster harvesting losses for the closure days from Sept. to Dec. (1997 dollars).</t>
  </si>
  <si>
    <t>Oh and Ditton (2005)</t>
  </si>
  <si>
    <t>Summary of Literature on Tourism Impacts</t>
  </si>
  <si>
    <t>Summary of Literature on Health Effects</t>
  </si>
  <si>
    <t>Summary of Literature on Drinking Water Treatment Costs</t>
  </si>
  <si>
    <t>2001 and 2003</t>
  </si>
  <si>
    <t>2001 (Jan - July) and 2003 (Jan-April) golden alga outbreaks</t>
  </si>
  <si>
    <t>State/Federal Agency</t>
  </si>
  <si>
    <t>University</t>
  </si>
  <si>
    <t>Peer-Reviewed</t>
  </si>
  <si>
    <t>Walsh, et al. (2011)</t>
  </si>
  <si>
    <t>1996 to 2004</t>
  </si>
  <si>
    <t>Poor, et al. (2007)</t>
  </si>
  <si>
    <t>River</t>
  </si>
  <si>
    <t>1999 to 2003</t>
  </si>
  <si>
    <t>Michael, et al. (2000)</t>
  </si>
  <si>
    <t>1990 to 1994</t>
  </si>
  <si>
    <t>73 square mile river watershed (St. Mary's River) forming a penninsula surrounded by the Potomac and Patuxent Rivers and the Chesapeake Bay.</t>
  </si>
  <si>
    <t>Gibbs, et al. (2002)</t>
  </si>
  <si>
    <t>1990 to 1995</t>
  </si>
  <si>
    <t>69 public access lakes with more than 10 acres of surface area in 59 towns, grouped into 4 markets: Conway/Milton, Winnipesaukee, Derry/Amherst, and Spofford/Greenfield.</t>
  </si>
  <si>
    <t>Water quality data from 22 monitoring stations throughout the watershed; 
Data from a real estate information collection company for sale price and characteristics for approximately 1,400 sales.</t>
  </si>
  <si>
    <t>Northern Maine, Lewiston/Auburn, and Augusta/Waterville areas comprising 22 lakes.</t>
  </si>
  <si>
    <t>Historical water clarity, as measured by Secchi disk depth (for the 10 years prior to the sale), current water quality (for the year of the sale or the prior year for sales very early in the year), and/or seasonal changes in water clarity.</t>
  </si>
  <si>
    <t>Water clarity, as measured by Secchi disk depth; uses secchi disk depth and lake size as an interaction variable.
Average Secchi depth:
Conway/Milton = 1.53 meters
Winnepesaukee = 1.70 meters
Derry/Amherst = 1.41 meters
Spofford/Greenfield = 1.22 meters</t>
  </si>
  <si>
    <t>Decrease in sale price of a 1 meter change in secchi depth at average lake size and secchi reading (1995 dollars):
Conway/Milton (average home price of $138,763, average lake size of 1,236 acres): $1,268.24 (0.91%);
Winnepesaukee (average home price of $175,158, average lake size of 1,879 acres): $6,122.33 (3.5%);
Derry/Amherst (average home price of $132,162, average lake size of 213.58): $4,411.39 (3.39%);
Spofford/Greenfield (average home price of $167,105, average lake size of 284 acres): $11,094.09 (6.64%).</t>
  </si>
  <si>
    <t>TN</t>
  </si>
  <si>
    <t>Data</t>
  </si>
  <si>
    <t>Ara et al. (2006)</t>
  </si>
  <si>
    <t>Lake Erie, OH</t>
  </si>
  <si>
    <t>1991 to 1996</t>
  </si>
  <si>
    <t>At the mean distance to the beach, a one centimeter increase in water clarity increasing housing value by $21.54; a 1 meter change causes a 1.93% change in house value (mean price $111,503).</t>
  </si>
  <si>
    <t>Lakes</t>
  </si>
  <si>
    <t>Missisisppi River Headwater area of MN</t>
  </si>
  <si>
    <t>1996 to 2001</t>
  </si>
  <si>
    <t>Water clarity data from state agency; used the mean secchi disk reading for the year of the sale.</t>
  </si>
  <si>
    <t>Krysel et al. (2003)</t>
  </si>
  <si>
    <t>Property Value</t>
  </si>
  <si>
    <t>Fisheries</t>
  </si>
  <si>
    <t>Drinking Water Treatment</t>
  </si>
  <si>
    <t>Health Effects</t>
  </si>
  <si>
    <t>Tourism</t>
  </si>
  <si>
    <t>Lakes and ponds</t>
  </si>
  <si>
    <t>Implicit price decreases for a 1-meter change in water clarity (for 2 markets with significant results):
Lewiston (avg sale price $103,853) - $8,985 for subjective measure; $6,279 for objective measure
Augusta (avg sale price $86,880) - $2,756 for subjective measure; $2,600 for objective measure.</t>
  </si>
  <si>
    <t>Galveston, TX</t>
  </si>
  <si>
    <t>Galveston Bay</t>
  </si>
  <si>
    <t>In May 2009, Mycrocystin concentration was 4 times the WHO’s threshold for recreation. The 2010 algae were worse than 2009, forming a blue-green scum with a foul odor (fish kills and 23 cases of human illnesses and dog deaths were reported).</t>
  </si>
  <si>
    <t>MD Department of Natural Resources monthly reports on average catch per area data; DO measurements from mid-channel depth of relevant tributaries.</t>
  </si>
  <si>
    <t>Used catch and DO data and statistics on gear used in fishing to develop statistical models of the relationships.</t>
  </si>
  <si>
    <t>Estimated difference in landings between baseline (average of 2000 - 2004) and 2005 event; regression analysis to measure indirect effects of reductions in fisheries.</t>
  </si>
  <si>
    <t>Calculated number of oyster landings per day; multiplied per day estimates by the number of lost days and average real prices per barrel from 1990-1999.</t>
  </si>
  <si>
    <t>Unspecified.</t>
  </si>
  <si>
    <t>1999 to 2010</t>
  </si>
  <si>
    <t xml:space="preserve">3,186 real estate transactions on Tainter and Menomin Lakes as well as Red Cedar Lake, Beaver Dam Lake, Chetek Lake, and Prairie Lake, and some non-lake homes. </t>
  </si>
  <si>
    <t>Personal communication with the Superintendent of Water and Distribution at the Celina Utilities Water Department.</t>
  </si>
  <si>
    <t>Health Effect</t>
  </si>
  <si>
    <t>Respiratory Illness</t>
  </si>
  <si>
    <t>Emergency department visits for respiratory illnesses, cell densities for algal blooms, and measures of other environmental factors.</t>
  </si>
  <si>
    <t>AL</t>
  </si>
  <si>
    <t>CA</t>
  </si>
  <si>
    <t>Davenport, et al. (2010)</t>
  </si>
  <si>
    <t xml:space="preserve">Presents a conceptual diagram specific to estuaries and coastal waters of external nutrient sources, ecological responses to nutrient loadings, designated uses that may be impacted by nutrient pollution, and economic sectors affected by nutrient loading; includes links to detailed descriptions of sources, controls, designated uses, and economic impacts. </t>
  </si>
  <si>
    <t xml:space="preserve">Presents a conceptual diagram specific to lakes and flowing waters of external nutrient sources, ecological responses to nutrient loadings, designated uses that may be impacted by nutrient pollution, and economic sectors affected by nutrient loading; includes links to detailed descriptions of sources, controls, designated uses, and economic impacts. </t>
  </si>
  <si>
    <t>Cooke (2005)</t>
  </si>
  <si>
    <t>AR</t>
  </si>
  <si>
    <t>SC</t>
  </si>
  <si>
    <t>Largest inland lake in OH (21 sq mi); averaging 5-7 feet deep; watershed is 84 square miles; City of Celina uses lake as drinking water source.</t>
  </si>
  <si>
    <t>The study does not provide pre-event revenues for the park or definition/estimate for "decimated."</t>
  </si>
  <si>
    <t>County-level gross sales and state tax from TCPA for 5 tourism-related SIC codes from the 1st qtr 1986 to the 2nd qtr 2004; # of visitors to PKL State Park from TX Park and Wildlife Division from Sep 1996 to Jan 2005; and monthly gross sales of recreational fishing related items from a local store concession operating within the State Park for 1998-2004.</t>
  </si>
  <si>
    <t>Following the golden alga blooms in 2001 and 2003, there was a decrease of 5% and 1.9%, respectively, in total economic output from 5 tourism-related SIC codes compared to the average total economic output computed from the pre-intervention periods. The number of visitors to the State Park declined by 57% and 19.6% in 2001 and 2003, respectively.</t>
  </si>
  <si>
    <t>It takes considerable time for a lake to develop a good reputation for its fishing quality but it can be lost quickly with a golden alga event or anything else that diminishes (or is perceived by anglers as diminishing) fishing quality there. The study indicates that because of continuing publicity about golden alga events at PKL including the ongoing research program, the lake continues to be viewed in a negative light.</t>
  </si>
  <si>
    <t>Survey of business owners.</t>
  </si>
  <si>
    <t>IMPLAN to extrapolate survey results to all entities in county.</t>
  </si>
  <si>
    <t>AutoRegressive Integrate Moving-Average (ARIMA) model to determine pre- and post-event interventions.</t>
  </si>
  <si>
    <t>Study also estimates tourism impacts based on extrapolating results from a survey using an IMPLAN model to all potential entities in the county; however, there was a low response rate for the survey. Galveston Parks departments also reported no increase in beach clean-up costs due to the event.</t>
  </si>
  <si>
    <t>Marginal cost assumed to be 23% of average costs.</t>
  </si>
  <si>
    <t>Assuming no adjustments to crabbing activities and crabs trading at $1/lb.</t>
  </si>
  <si>
    <t>National Marine Fisheries Service monthly data on monthly shellfish landings in ME from 2000 to 2005</t>
  </si>
  <si>
    <t>ME coastline in which shellfish harvesting occurs.</t>
  </si>
  <si>
    <t>Galveston bay oyster beds in TX.</t>
  </si>
  <si>
    <t>Ranges of dissolved inorganic nitrogen is 0.082 mg/L to 0.956 mg/L, with an average of 0.626 mg/L;
No point sources dischargers in watershed; pollution attributable to nonpoint sources.</t>
  </si>
  <si>
    <t>Hedonic study of residential property sales (2% lakefront properties) in southern MD; independent variables include house characteristics (such as garage, square footage, etc.), dummy variable for waterfront, and parameter concentrations; models estimated separately for dissolved inorganic nitrogen and total suspended solids.</t>
  </si>
  <si>
    <t>1 mg/L change in dissolved inorganic nitrogen corresponds to a $17,642 change in home value (8.8% change relative to the average home price in the sample of $200,936; 2003 dollars).</t>
  </si>
  <si>
    <t>Localized study area is in a county adjacent to the Chesapeake Bay, where public opinion polls have shown that homeowners tend to be knowledgable about water quality issues and willing to pay for improvements; as such, the results may not be transferrable to other areas; also used total suspended solids as a water quality measure.</t>
  </si>
  <si>
    <t>Water clarity, as eutrophication from nonpoint source nutrient runoff is a problem in many lakes.</t>
  </si>
  <si>
    <t>Hedonic study of lakefront property sales in 4 distinct markets throughout ME; comparison of results using objective water clarity measures (secchi disk readings) to results using subjective measures by property purchasers.</t>
  </si>
  <si>
    <t>Objective water clarity data from ME Department of Environmental Protection (secchi disk); subjective water clarity data from a mail survey sent to 1,191 lakefront property purchasers (649 responses; 348 usable); house sales price and corresponding property characteristics from town offices for relevant jurisdictions.</t>
  </si>
  <si>
    <t>Water quality data from ME Department of Environmental Protection; 
Sales data for 531 sales from transfer tax records.</t>
  </si>
  <si>
    <t>Hedonic study of residential property sales (full-year residential and vacation homes, all lakefront) in three areas of lakes in ME; compares results using different variables for water quality, including historical, current, and seasonal variability.</t>
  </si>
  <si>
    <t>Implicit price decreases for a 1-meter change in water clarity (secchi depth; 1995 dollars):
Northern ME (avg sale price $35,160) - $5,246 (14.9%; current and historical water clarity) to $10,430 (29.7%; historical water clarity)
Lewiston/Auburn (avg sale price $96,304) - $860 (0.9%; difference in max clarity the year of the sale and min clarity the prior year) to $7,837 (8.1%; percent change in clarity over the season)
Augusta/Waterville (avg sale price $80,591) - $1,479 (1.8%; current and historical water clarity) to $2,641 (3.3%; historical water clarity).</t>
  </si>
  <si>
    <t>Water clarity data derived from University of NH and NH Department of Environmental Sciences, which have different methods for data collection;
Sales data for 447 sales and characteristics from town records, which may have missing or incomplete data.</t>
  </si>
  <si>
    <t>Hedonic study of lakefront property sales in 4 markets in NH; independent variables include house characteristics (age, square footage, etc.), locational variables (miles to nearest town, housing density, etc.), water clarity and lake size.</t>
  </si>
  <si>
    <t>4 market groups of lakes in ME, each with between 4 and 13 lakes.</t>
  </si>
  <si>
    <t>146 Orange County lakes ranging from 1 acre to 1,800 acres.</t>
  </si>
  <si>
    <t>Water quality data from EPA STORET, supplemented with data from municipalities; 
Assessor data for sale prices and property details; based on 54,715 sales over 9 years.</t>
  </si>
  <si>
    <t>TN, TP, chlorophyll, and trophic state index (TSI) in lakes affected by urban stormwater runoff.</t>
  </si>
  <si>
    <t>Hedonic study of all single family home sales within 1,000 meters of one of the lakes from 1996 to 2004; independent variables include a continuous measure of quality in the nearest lake at time of sale, distance to the lake, surface area of the lake (interacted with WQ), dummy variable for waterfront; estimated separately for TN, TP, chlorophyll, and TSI.</t>
  </si>
  <si>
    <t>Implicit price decrease for a 17% increase in the pollutant, waterfront properties, using ordinary least squares (average waterfront home price of  $452,646, 2002 dollars): 
TSI = $9,673.93
TN = $8,076.10, 
TP = $5,812.44
CH = $3,217.50;
Implicit price decrease for a 17% increase in the pollutant, non-waterfront properties, using ordinary least squares (average home price of $206,891): 
TN = $378.64
CH = $28.12</t>
  </si>
  <si>
    <t>Three separate models for each parameter: ordinary least squares, a spatial regression with the nearest neighbor spatial weights matrix, and a spatial regression with an inverse-distance spatial weights matrix; spatial model results not significantly different from ordinary least squares results.
Also evaluates impact of a voluntary program where residents pay a tax to address nutrient control programs at specific lakes; neighborhoods enrolled in the program realize price effects from water quality improvements above those of non-participants.</t>
  </si>
  <si>
    <t>Fecal coliform counts and water clarity (secchi depth).</t>
  </si>
  <si>
    <t>Fecal coliform data from OH Department of Health and Erie County Health Department; water clarity data from OH Department of Natural Resources and Stone Laboratory of the Ohio State University; sales price and details from Center for Urban and Regional analysis at Ohio State University (10,665 transactions between 1991 and 1996).</t>
  </si>
  <si>
    <t>Hedonic study of property sales in 4 OH counties on Lake Erie; includes 10,665 sales; independent variables include lot size, building size, number of bathrooms, garage size, presence of a deck, air conditioning, and fireplace, neighborhood crime rate, school district rank, distance to the city, distance to the beach, fecal coliform counts, water clarity (secchi depth), and interaction terms with distance to the beach and water quality measures.</t>
  </si>
  <si>
    <t>37 lakes in MN with varying sizes and spatial and political representation.</t>
  </si>
  <si>
    <t>Water clarity (secchi depth).</t>
  </si>
  <si>
    <t>Hedonic study of property sales of lakeshore properties on 37 lakes in MN, grouped into 6 real estate markets; independent variables include feet of frontage on the lake, lot size, tax rate, size of living area, if dwelling has more than one story, a fireplace, central heat, a bathroom, septic or sewer, a garage, number of houses within 1000 feet of frontage, whether property access road is publicly maintained, secchi depth and "site quality" rating.</t>
  </si>
  <si>
    <t>Tainter Lake (1,752 acres) and Lake Menomin (1,405 acres, downstream of Tainter Lake), both impoundments in the lower portion of the Red Cedar River.</t>
  </si>
  <si>
    <t>Hedonic study of lake-front (and nonlake-front) home sales on two lakes with algal bloom compared with homes sales on lakes without algal bloom problems.</t>
  </si>
  <si>
    <t>Unclear whether the $35 million to $45 million decrease in revenues is annual or for the three-year period (contacted author; response pending). The study does not provide pre-event revenues for the park.</t>
  </si>
  <si>
    <t>MT</t>
  </si>
  <si>
    <t>ME</t>
  </si>
  <si>
    <t>NH</t>
  </si>
  <si>
    <t>Orange County, FL</t>
  </si>
  <si>
    <t>Tainter Lake and Lake Menomin, WI</t>
  </si>
  <si>
    <t>18 OH beaches on Lake Erie, one of the largest freshwater lakes in North America.</t>
  </si>
  <si>
    <t>Southern MD, Chesapeake Bay watershed</t>
  </si>
  <si>
    <t>Source Type</t>
  </si>
  <si>
    <t>Minimum water clarity measure of the year of the sale, as measured by secchi depth by the state agency.</t>
  </si>
  <si>
    <t>Water quality data from ME Department of Environmental Protection; 
Sales data for 862 sales from transfer tax records.</t>
  </si>
  <si>
    <t>University paper</t>
  </si>
  <si>
    <t>AK</t>
  </si>
  <si>
    <t>Coastal fisheries in AK</t>
  </si>
  <si>
    <t>Harvest revenue data and estimated sales price per pound of live vs. processed clams and crabs.</t>
  </si>
  <si>
    <t>Comparison of revenues to what revenues would have been in the absence of PSP.</t>
  </si>
  <si>
    <t>Patuxent River, a major tributary feeding the Chesapeake Bay.</t>
  </si>
  <si>
    <t>Study is valuing water clarity not nutrient levels directly, however water clarity is tied to nutrient pollution in the resource of interest
As the distance to the beach increases, the influence of water clarity on house price decreases.</t>
  </si>
  <si>
    <t>36 lakes in 7 markets in ME.</t>
  </si>
  <si>
    <t>Hedonic study of residential property sales (full-year residential and vacation homes, all lakefront) in 7 markets in ME.</t>
  </si>
  <si>
    <t>Historical oyster landings data from Texas Park and Wildlife Division; closure data from the Texas Department of Health.</t>
  </si>
  <si>
    <t>HABs cause paralytic shellfish poisoning (PSP), requiring testing and processing.</t>
  </si>
  <si>
    <t>Article</t>
  </si>
  <si>
    <t>In May 2009, Mycrocystin concentration was 4 times the WHO’s threshold for recreation. The 2010 algae were worse than 2009, forming a blue-green scum with a foul odor.</t>
  </si>
  <si>
    <t>Estimates that PSP costs AK commercial fisheries, recreational harvests, and aquaculture over $10 million annually, but it is unclear how that total number is estimated.</t>
  </si>
  <si>
    <t>Study is valuing water clarity not nutrient levels directly, however water clarity is tied to nonpoint source nutrient loading to surface waters.
Water clarity was a significant variable in 4 out of 7 markets evaluated; not significant in Augusta, Newport, and Northern ME.</t>
  </si>
  <si>
    <t>Boyle et al. (1998)</t>
  </si>
  <si>
    <t>Lake-specific implicit prices (per lot) for a one-meter change in water clarity range between $1,678 to $522,018.</t>
  </si>
  <si>
    <t>Three years of algal blooms and health advisories caused several marinas and boat dealers to close; reduction in revenues from area businesses estimated at $37 million to $47 million, with park revenues decreased by $260,000.</t>
  </si>
  <si>
    <t>$158 million tourism industry decimated; Regatta canceled resulting in $632,000 loss; Park revenues down more than $263,000 annually; 5 lakeside businesses closed.</t>
  </si>
  <si>
    <t>$240,000 in oyster harvesting losses for the closure days from Sept. to Dec.</t>
  </si>
  <si>
    <t>Implicit price decrease for a 17% increase in the pollutant, waterfront properties, using ordinary least squares (average waterfront home price $577,681): 
TSI = $12,346
TN = $10,307, 
TP = $7,418
CH = $4,106;
Implicit price decrease for a 17% increase in the pollutant, non-waterfront properties, using ordinary least squares (average home price $264,041): 
TN = $483
CH = $36</t>
  </si>
  <si>
    <t xml:space="preserve">$2.08m lost revenues for softshell clam from April-Aug (2005 dollars)
$0.39m lost revenues for mussels from April-Aug (2005 dollars)
Imports likely ameliorating indirect and induced effects in these sectors. </t>
  </si>
  <si>
    <t>Direct economic impact of $13.2 million to $15.3 million; total impact $21.31 million to $24.60 million.</t>
  </si>
  <si>
    <t xml:space="preserve">$2.45m lost revenues for softshell clam from April-Aug
$0.46m lost revenues for mussels from April-Aug
Imports likely ameliorating indirect and induced effects in these sectors. </t>
  </si>
  <si>
    <t>PSP contamination of geoduck clams requires processing (rather than selling live) which reduces the revenue; in 1998 necessary processing reduced revenues by $1,097,509. Processing of crabs due to PSP contamination caused a $292,889 loss to the Kodiak/Aleutian crab fishery in 1997.</t>
  </si>
  <si>
    <t>1 mg/L change in dissolved inorganic nitrogen corresponds to a $22,014 change in home value (8.8% change relative to the average home price in the sample of $250,727).</t>
  </si>
  <si>
    <t>Implicit price decreases for a 1-meter change in water clarity (secchi depth):
Northern ME  - (avg sale price $52,969) - $7,903 (14.9%; current and historical water clarity) to $15,713 (29.7%; historical water clarity)
Lewiston/Auburn - (avg sale price $145,084) - $1,296 (0.9%; difference in max clarity the year of the sale and min clarity the prior year) to $11,807 (8.1%; percent change in clarity over the season)
Augusta/Waterville  - (avg sale price $121,412) - $2,228 (1.8%; current and historical water clarity) to $3,979 (3.3%; historical water clarity).</t>
  </si>
  <si>
    <t>Implicit price decreases for a 1-meter change in water clarity (for 2 markets with significant results):
Lewiston (avg sale price $156,457) - $13,536 for subjective measure; $9,459 for objective measure
Augusta (avg sale price $130,887)- $4,152 for subjective measure; $3,917 for objective measure.</t>
  </si>
  <si>
    <t>Decrease in sale price of a 1 meter change in secchi depth at average lake size and secchi reading:
Conway/Milton (average home price $209,050): $1,911 (0.91%);
Winnepesaukee(average home price $263,879): $9,223 (3.5%);
Derry/Amherst (average home price $199,105): $6,646 (3.39%);
Spofford/Greenfield (average home price $251,747): $16,713 (6.64%).</t>
  </si>
  <si>
    <t>At the mean distance to the beach, a one centimeter increase in water clarity increasing housing value by $24.53; a 1 meter change causes a 1.93% change in house value (mean price $126,986).</t>
  </si>
  <si>
    <t>$128.22/shoreline ft (Tainter Lake) to $402.05/shoreline ft (Lake Menomin) decrease in property value in relation to next comparable lake due to eutrophication.</t>
  </si>
  <si>
    <t xml:space="preserve">The estimated total costs = $13,080,012 ($3,560,877 total O&amp;M as of October 2010) </t>
  </si>
  <si>
    <t>Three years of algal blooms and health advisories caused several marinas and boat dealers to close; reduction in revenues from area businesses estimated at $35 million to $45 million, with park revenues decreased by $250,000. (2010 dollars)</t>
  </si>
  <si>
    <t>Direct economic impact of $9.9 million to $11.5 million; total impact $15.98 million to $18.45 million. (2000 dollars)</t>
  </si>
  <si>
    <t>$150 million tourism industry decimated; Regatta canceled resulting in $600,000 loss; Park revenues down more than $250,000 annually; 5 lakeside businesses closed. (2010 dollars)</t>
  </si>
  <si>
    <t>Results (Original Year Dollars)</t>
  </si>
  <si>
    <t>Results (2012 Dollars)</t>
  </si>
  <si>
    <t>PSP contamination of geoduck clams requires processing (rather than selling live) which reduces the revenue; in 1998 necessary processing reduced revenues by $779,175 (1998 dollars). Processing of crabs due to PSP contamination caused a $204,747 loss to the Kodiak/Aleutian crab fishery in 1997 (1997 dollars).</t>
  </si>
  <si>
    <t>Lake-specific implicit prices (per lot) for a one-meter change in water clarity range between $1,294 to $402,665. (2001 dollars)</t>
  </si>
  <si>
    <t>$121.78/shoreline ft (Tainter Lake) to $381.85/shoreline ft (Lake Menomin) decrease in property value in relation to next comparable lake due to eutrophication. (2010 dollars)</t>
  </si>
  <si>
    <t>The estimated total costs = $12,388,700 ($3,381,200 total O&amp;M as of October 2010)  (2010 dollars)</t>
  </si>
  <si>
    <t>State</t>
  </si>
  <si>
    <t>TX</t>
  </si>
  <si>
    <t>Red tide</t>
  </si>
  <si>
    <t>Coast</t>
  </si>
  <si>
    <t>MD</t>
  </si>
  <si>
    <t>Low DO</t>
  </si>
  <si>
    <t>WI</t>
  </si>
  <si>
    <t>Algal blooms</t>
  </si>
  <si>
    <t>FL</t>
  </si>
  <si>
    <t>Rivers</t>
  </si>
  <si>
    <t>MN</t>
  </si>
  <si>
    <t>Reduced clarity</t>
  </si>
  <si>
    <t>OH</t>
  </si>
  <si>
    <t>Year(s)</t>
  </si>
  <si>
    <t>Economic Sector(s) Impacted</t>
  </si>
  <si>
    <t>Property Values</t>
  </si>
  <si>
    <t>Waterbody Type</t>
  </si>
  <si>
    <t>Nutrient concentrations</t>
  </si>
  <si>
    <t>Region</t>
  </si>
  <si>
    <t>Krysel, et al. (2003)</t>
  </si>
  <si>
    <t>Ara, et al. (2006)</t>
  </si>
  <si>
    <t>Boyle, et al. (1998)</t>
  </si>
  <si>
    <t>Water Quality or Resource Impact</t>
  </si>
  <si>
    <t>Bay</t>
  </si>
  <si>
    <t>Health</t>
  </si>
  <si>
    <t>Lake Erie</t>
  </si>
  <si>
    <t>Pacific Northwest</t>
  </si>
  <si>
    <t>AZ</t>
  </si>
  <si>
    <t>CO</t>
  </si>
  <si>
    <t>CT</t>
  </si>
  <si>
    <t>DE</t>
  </si>
  <si>
    <t>GA</t>
  </si>
  <si>
    <t>HI</t>
  </si>
  <si>
    <t>ID</t>
  </si>
  <si>
    <t>IL</t>
  </si>
  <si>
    <t>IN</t>
  </si>
  <si>
    <t>IA</t>
  </si>
  <si>
    <t>KS</t>
  </si>
  <si>
    <t>KY</t>
  </si>
  <si>
    <t>LA</t>
  </si>
  <si>
    <t>MA</t>
  </si>
  <si>
    <t>MI</t>
  </si>
  <si>
    <t>MS</t>
  </si>
  <si>
    <t>MO</t>
  </si>
  <si>
    <t>NE</t>
  </si>
  <si>
    <t>NV</t>
  </si>
  <si>
    <t>NJ</t>
  </si>
  <si>
    <t>NM</t>
  </si>
  <si>
    <t>NY</t>
  </si>
  <si>
    <t>NC</t>
  </si>
  <si>
    <t>ND</t>
  </si>
  <si>
    <t>OK</t>
  </si>
  <si>
    <t>OR</t>
  </si>
  <si>
    <t>PA</t>
  </si>
  <si>
    <t>RI</t>
  </si>
  <si>
    <t>SD</t>
  </si>
  <si>
    <t>UT</t>
  </si>
  <si>
    <t>VT</t>
  </si>
  <si>
    <t>VA</t>
  </si>
  <si>
    <t>WA</t>
  </si>
  <si>
    <t>WV</t>
  </si>
  <si>
    <t>WY</t>
  </si>
  <si>
    <t>New England</t>
  </si>
  <si>
    <t>Mid-Atlantic</t>
  </si>
  <si>
    <t>Southeast</t>
  </si>
  <si>
    <t>Midwest</t>
  </si>
  <si>
    <t>South Central</t>
  </si>
  <si>
    <t>Mountains and Plains</t>
  </si>
  <si>
    <t>Pacific Southwest</t>
  </si>
  <si>
    <t>Region #</t>
  </si>
  <si>
    <t>Region Name</t>
  </si>
  <si>
    <t>*Region 2 grouped in with Mid-Atlantic and Region 5 grouped in with Midwest</t>
  </si>
  <si>
    <t>Annual</t>
  </si>
  <si>
    <t>Caron et al. (2010)</t>
  </si>
  <si>
    <t>Pacific Ocean</t>
  </si>
  <si>
    <t>Hunt (2013)</t>
  </si>
  <si>
    <t>2011 - 2013</t>
  </si>
  <si>
    <t>Wheeler (2013)</t>
  </si>
  <si>
    <t>anecdotal</t>
  </si>
  <si>
    <t>Northwest Creek</t>
  </si>
  <si>
    <t>Tourism; property values</t>
  </si>
  <si>
    <t>Anderson, et al. (2000)</t>
  </si>
  <si>
    <t>Athearn (2008)</t>
  </si>
  <si>
    <t>Dodd, et al. (2009)</t>
  </si>
  <si>
    <t>Larkin and Adams (2007)</t>
  </si>
  <si>
    <t>Ribaudo, et al. (2011)</t>
  </si>
  <si>
    <t>Parsons, et al. (2006)</t>
  </si>
  <si>
    <t>Morgan and Larkin (2006)</t>
  </si>
  <si>
    <t>Lake Erie Improvement Association (2012)</t>
  </si>
  <si>
    <t>Cesar, et al. (2002)</t>
  </si>
  <si>
    <t>Adams, et al. (2002)</t>
  </si>
  <si>
    <t>Carey and Leftwich (2000)</t>
  </si>
  <si>
    <t>Gorte (1994)</t>
  </si>
  <si>
    <t>Steinnes (1992)</t>
  </si>
  <si>
    <t>Young (1984)</t>
  </si>
  <si>
    <t>Drinking water treatment</t>
  </si>
  <si>
    <t>Commercial Fishing</t>
  </si>
  <si>
    <t>Hedonic analysis of the impact of perceived water quality on seasonal homes in VT; comparison between St. Albans Bay (polluted by phosphorus) to the main body of Lake Champaign.</t>
  </si>
  <si>
    <t>Methods</t>
  </si>
  <si>
    <t>1995 - 1999</t>
  </si>
  <si>
    <t>Analysis of temperature, wind speed, rainfall, red tides, and storm conditions in relation to daily restaurant sales.</t>
  </si>
  <si>
    <t>U.S. drinking water supplies</t>
  </si>
  <si>
    <t>Freshwater</t>
  </si>
  <si>
    <t>National</t>
  </si>
  <si>
    <t>1996 - 2005</t>
  </si>
  <si>
    <t>Comparison of room rates, occupancy rates, and property values in algae and non-algae zones.</t>
  </si>
  <si>
    <t>1995 - 2000</t>
  </si>
  <si>
    <t>Greenwood County shore of Lake Greenwood</t>
  </si>
  <si>
    <t>Lake Champaign</t>
  </si>
  <si>
    <t>Documents declines in commercial fishing catch and revenues that occurred at the same time as algal blooms.</t>
  </si>
  <si>
    <t>Hedonic analysis of impact of secchi depth.</t>
  </si>
  <si>
    <t>1986 - 1994</t>
  </si>
  <si>
    <t>1976 - 1981</t>
  </si>
  <si>
    <t>Recreation/Tourism</t>
  </si>
  <si>
    <t>van Beukering and Cesar (2004)</t>
  </si>
  <si>
    <t>Lollar (2008)</t>
  </si>
  <si>
    <t>Caloosahatchee River</t>
  </si>
  <si>
    <t>Harmful algal blooms caused the closure of a water treatment facility.</t>
  </si>
  <si>
    <t>Citation</t>
  </si>
  <si>
    <t>Full Reference</t>
  </si>
  <si>
    <t xml:space="preserve">Adams, C.M., S.L. Larkin, D. Mulkey, A. Hodges, and Ballyram. 2002. Measuring the Economic Consequences and Public Awareness of Red Tide Events in Florida. Report submitted to the Harmful Algal Task Force, Florida Marine Research Institute. </t>
  </si>
  <si>
    <t>Anderson et al. (2000)</t>
  </si>
  <si>
    <t xml:space="preserve">Anderson, D.M., P. Hoagland, Y. Kaoru, and A.W. White. 2000. Estimated Annual Economic Impacts from Harmful Algal Blooms (HABs) in the United States. Woods Hole Oceanographic Institute, document no. WHOI-2000-11. </t>
  </si>
  <si>
    <t>Ara, S., E. Irwin, and T. Haab. 2006. Measuring the Effects of Lake Erie Water Quality in Spatial Hedonic Price Models. Environmental and Resource Economists, Third World Conference, Kyoto, Japan.</t>
  </si>
  <si>
    <t xml:space="preserve">Athearn, Kevin. 2008. Economic Losses from Closure of Shellfish Harvesting Areas in Maine. University of Maine at Machias. </t>
  </si>
  <si>
    <t>Bauer, et al. (2009)</t>
  </si>
  <si>
    <t>Bauer, M., P. Hoagland, T.M. Leschine, B.G. Blount, C.M. Pomeroy, L.L. Lampl, C.W. Scherer, D.L. Ayres, P.A. Tester, M.R. Sengco, K.G. Sellner, and J. Schumacker. 2010. The importance of human dimensions research in managing harmful algal blooms. Frontiers in Ecology and the Environment 8(2): 75-83.</t>
  </si>
  <si>
    <t>Boyle, K. J., S. R. Lawson, H. J. Michael, and R. Bouchard. (1998). “Lakefront Property Owners’ Economic Demand for Water Clarity in Maine Lakes.” Misc. Report No. 410, Maine Agricultural and Forest Experiment Station, University of Maine, Orono.</t>
  </si>
  <si>
    <t>Cary, R.T. and R.W. Leftwich. 2007. Water Quality and Housing Value on Lake Greenwood: A Hedonic Study on Chlorophyll-a Levels and the 1999 Algal Bloom. The Strom Thurmond Institute, Clemson University.</t>
  </si>
  <si>
    <t xml:space="preserve">Cesar, H., P. Beukering, S. Pintz, and J. Dierking. 2002. Economic Valuation of the Coral Reefs of Hawaii: Final Report. </t>
  </si>
  <si>
    <t>Compton, et al. (2011)</t>
  </si>
  <si>
    <t>Compton, Jana E., J.A. Harrison, R.L. Dennis, T.L. Greaver, B.H Hill, S.J. Jordan, H. Walker, and H.V.Campbell. 2011. Ecosystem services altered by human changed in the nitrogen cycle: a new perspective for US decision making. Ecology Letters 14: 804-815.</t>
  </si>
  <si>
    <t>Cropper and Issac (2011)</t>
  </si>
  <si>
    <t>Cropper, M.L. and W. Isaac. 2011. The Benefits of Achieving the Chesapeake Bay TMDLs (Total Maximum Daily Loads), A Scoping Study. Resources for the Future, document no. RFF DP 11-31</t>
  </si>
  <si>
    <t>Davenport, T., R. Gibson, and T. Mount. 2010. Implementing Grand Lake St. Marys Nutrient TMDL.</t>
  </si>
  <si>
    <t>Davenport, T. and W. Drake. 2011. EPA Commentary: Grand Lake St. Marys, Ohio – The Case for Source Water Protection: Nutrients and Algae Blooms.</t>
  </si>
  <si>
    <t>Dodd, W. K., W.W. Bouska, J. L. Eitzmann, T.J. Pilger, K.L. Pitts, A.J. Riley, J.T. Schloesser, and D.J. Thornbrugh. 2009. Eutrophication of U.S. Freshwaters: Analysis of Potential Economic Damages. American Chemical Society: Environmental Science and Technology, Policy Analysis, Vol. 43, No. 1.</t>
  </si>
  <si>
    <t>Dyson and Huppert (2010)</t>
  </si>
  <si>
    <t xml:space="preserve">Dyson, K., and D.D. Huppert. 2010. Regional economic impacts of razor clam beach closures due to harmful algal blooms (HABs) on the Pacific coast of Washington. Harmful Algae (9): 264 -271. </t>
  </si>
  <si>
    <t xml:space="preserve">Evans, G. and L. Jones. 2001. Economic Impact of the 2000 Red Tide on Galveston County, Texas: A Case Study. Texas Parks and Wildlife. </t>
  </si>
  <si>
    <t>Gibbs, J.P., J.M. Halstead, K.J. Boyle, and J. Huang.2002. An Hedonic Analysis of the Effects of Lake Water Clarity on New Hampshire Lakefront Properties. Agricultural and Resource Economics Review 31:39–46.</t>
  </si>
  <si>
    <t>Gorte, Ross W. 1994. The Florida bay economy and changing environmental conditions. 94-435 ENR, CRS Report for Congress, Congressional Research Service, The Library of Congress.</t>
  </si>
  <si>
    <t>Hoagland, P., D. Jin, L.Y. Polansky, B. Kirkpatrick, G. Kirkpatrick, L.E. Fleming, A. Reich, S.M. Watkins, S.G. Ullmann, and L.C. Backer. 2009. The Costs of Respiratory Illnesses Arising from Florida Gulf Coast Karenia brevis Blooms. Environmental Health Perspectives 117(8): 1239-1243.</t>
  </si>
  <si>
    <t xml:space="preserve">Jin, D., E. Thurnberg, and P. Hoagland. 2008. Economic impact of the 2005 red tide event on commercial shellfish fisheries in New England. Ocean &amp; Coastal Management 51: 420-429. </t>
  </si>
  <si>
    <t>Kashian and Kasper (2010)</t>
  </si>
  <si>
    <t>Kashian, R. and J. Kasper. 2010. Tainter Lake and Lake Menomin- The Impact of Diminishing Water Quality on Value. Department of Economics- University of Wisconsin.</t>
  </si>
  <si>
    <t>Keplinger, et al. (2003)</t>
  </si>
  <si>
    <t>Keplinger, K., A. Tanter, and J. Houser. 2003. Economic and Environmental Implications of Phosphorus Control at North Bosque River Wastewater Treatment Plants. Texas Institute for Applied Environmental Research.</t>
  </si>
  <si>
    <t>Krysel, C., E.M. Boyer, C. Parson, and P. Welle. 2003. Lakeshore Property Values and Water Quality: Evidence from Property Sales in the Mississippi Headwaters Region. Mississippi Headwaters Board and Bemidji State University.</t>
  </si>
  <si>
    <t xml:space="preserve">Lake Erie Improvement Assocation. 2012. Strategic Plan for Lake Erie Partners: Sustaining Healthy Waters for Lake Erie’s Economy. December. </t>
  </si>
  <si>
    <t xml:space="preserve">Larkin, S.L. and C.M. Adams. 2007. Harmful Algal Blooms and Coastal Business: Economic Consequences in Florida. Department of Food and Resource Economics, University of Florida. </t>
  </si>
  <si>
    <t>Michael, H.J., K.J. Boyle, and R. Bouchard. 2000. Does the Measurement of Environmental Quality Affect Implicit Prices Estimated from Hedonic Models? Land Economics 76: 283-298.</t>
  </si>
  <si>
    <t xml:space="preserve">Morgan,K.L., and S.L. Larkin. 2006. Economic Impacts of Red Tide Events on Restaurant Sales. </t>
  </si>
  <si>
    <t>Oh, C.O., and R.B. Ditton. 2005. Estimating the Economic Impacts of Golden Alga (Prymnesium parvum) on Recreational Fishing at Possum Kingdom Lake, Texas. Texas Parks and Wildlife.</t>
  </si>
  <si>
    <t>Parsons, G. R., A. Morgan, J. C. Whitehead, and T. C. Haab. 2006. The Welfare Effects of Pfiesteria-Related Fish Kills: A Contingent Behavior Analysis of Seafood Consumers. Agricultural and Resource Economics Review 35/2 (October 2006) 348–356</t>
  </si>
  <si>
    <t>Poor, P.J., K.L. Pessagno, and R.W. Paul. 2007. Exploring the Hedonic Value of Ambient Water Quality: A Local Watershed-Based Study. Ecological Economics 60: 797-806</t>
  </si>
  <si>
    <t>Poor, et al. (2001)</t>
  </si>
  <si>
    <t>Poor, P.J., K.J. Boyle, L.O. Taylor, and R. Bouchard. 2001. Objective versus Subjective Measures of Water Clarity in Hedonic Property Value Models. Land Economics 77: 482-492.</t>
  </si>
  <si>
    <t>RaLonde (1998)</t>
  </si>
  <si>
    <t>Ralonde, R. 1998. Harmful algal blooms: the economic consequences for Alaska. Mimeo.Fairbanks: University of Alaska Marine Advisory Program. In: R. RaLonde (ed.). 2001. Harmful Algal Blooms on the North American West Coast. University of Alaska Sea Grant, AK-SG-01-05, Fairbanks.</t>
  </si>
  <si>
    <t>Steinnes, D. N. 1992. “Measuring the Economics Value of Water Quality.” Annals of Regional Science. 26:171-76</t>
  </si>
  <si>
    <t>Walsh, P., J.W. Milon, and D. Scrogin. 2011. The Property-Price Effects of Abating Nutrient Pollutants in Urban Housing Markets. Economic Incentives for Stormwater Control, Chapter 6. Ed. Hale W. Thurston</t>
  </si>
  <si>
    <t>Wisconsin Department of Natural Resources. 2012. Phosphorus Reduction in Wisconsin Water Bodies: an Economic Impact Analysis.</t>
  </si>
  <si>
    <t>Young, C.E. 1984. Perceived Water Quality and the Value of Seasonal Homes. Water Resources Bulletin 20.</t>
  </si>
  <si>
    <t>Lollar, K. 2008. Algae Bloom Closes Water Treatment Facility. News-Press.com.</t>
  </si>
  <si>
    <t>Des Moines Register (2013)</t>
  </si>
  <si>
    <t>Des Moines River and Raccoon River</t>
  </si>
  <si>
    <t>Nitrate concentrations</t>
  </si>
  <si>
    <t>Henry, T. 2013. Toxins Overwhelm Carroll Township Water Plant: Ottawa Co. Treatment Facility Offline While Remedy Made. The Blade.</t>
  </si>
  <si>
    <t>Henry (2013)</t>
  </si>
  <si>
    <t>Caron, D.A., M.E. Garneau, E. Seubert, M.D.A. Howard, L. Darjany, A. Schnetzer, I. Cetinic, G. Filteau, P. Lauri, B. Jones, and S. Trussell. 2010. Harmful Algae and Their Potential Impacts on Desalination Operations Off Southern California. Water Research 44: 385-416.</t>
  </si>
  <si>
    <t>Discussion of harmful algae and the present state of knowledge about them, with particular reference to Southern California.</t>
  </si>
  <si>
    <t>Hedonic price model measuring effects of 1999 algal bloom and chl-a concentrations on property sales in 1980 to 2006.</t>
  </si>
  <si>
    <t>CDPHE (2011)</t>
  </si>
  <si>
    <t>UDWQ (2013)</t>
  </si>
  <si>
    <t>UDWQ (2010)</t>
  </si>
  <si>
    <t>U.S. EPA (2010)</t>
  </si>
  <si>
    <t>WDNR (2012)</t>
  </si>
  <si>
    <t>1987-1992</t>
  </si>
  <si>
    <t>Coastal waters throughout the U.S.</t>
  </si>
  <si>
    <t>Inland freshwaters</t>
  </si>
  <si>
    <t>Freshwaters throughout the U.S.</t>
  </si>
  <si>
    <t>Eutrophication</t>
  </si>
  <si>
    <t>Dodd et al. (2009)</t>
  </si>
  <si>
    <t>Water Quality Issue</t>
  </si>
  <si>
    <t>Rivers and Lakes</t>
  </si>
  <si>
    <t>Drinking water in eastern Los Angeles County, and parts of Orange County, western San Bernardino County and southwest Riverside County</t>
  </si>
  <si>
    <t>City News Service (2011)</t>
  </si>
  <si>
    <t>Reducing nutrients results in a $30 million (approximate) increase in property values of houses, hotels, and condominiums that are associated with coral reefs.</t>
  </si>
  <si>
    <t>Glass (2003)</t>
  </si>
  <si>
    <t>Fishing</t>
  </si>
  <si>
    <t>1981-2003</t>
  </si>
  <si>
    <t>Freshwaters in Texas impacted by golden algae (Prymnesium parvum).</t>
  </si>
  <si>
    <t xml:space="preserve">Glass, J. 2003. Historical Review of Golden Alga (Prymnesium parvum) Problems in Texas. Golden Alga Workshop Oct. 24-25, 2003. Texas Parks and Wildlife Department.
</t>
  </si>
  <si>
    <t>Utah Division of Water Quality (UDWQ). 2010. Final Report: Statewide Nutrient Removal Cost Impact Study. CH2MHill.</t>
  </si>
  <si>
    <t>Losses of 500 jobs and $32 million in annual personal income due to decline in pink shrimp harvest between 1986 and 1994.; unable to attribute commercial fishing revenue changes to nutrient enrichment since revenues went down statewide during the same period during a weak economy.</t>
  </si>
  <si>
    <t>The value of properties are depressed by 20% ($4,500 on average) when they are located on an area of the lake that has degraded water quality (St. Albans Bay); water quality variable was a one-time ranking of water quality by 30 individuals at 10 locations throughout the study area, while property data covered 6 years of sales.</t>
  </si>
  <si>
    <t>meets criteria</t>
  </si>
  <si>
    <t>Year [2]</t>
  </si>
  <si>
    <t>Screening Category [1]</t>
  </si>
  <si>
    <t>Description of Rulemaking</t>
  </si>
  <si>
    <t>Description of Study</t>
  </si>
  <si>
    <t>Numeric nutrient criteria for lakes and flowing waters.</t>
  </si>
  <si>
    <t>Source</t>
  </si>
  <si>
    <t>Newspaper article</t>
  </si>
  <si>
    <t>Workshop presentation</t>
  </si>
  <si>
    <t>Association plan documentation</t>
  </si>
  <si>
    <t>Regression analysis, market channel analysis, and regional I-O modeling system to estimate impact of closure of shellfish harvesting areas.</t>
  </si>
  <si>
    <t>Time series models of effects of HABs on busineses along ten miles of shoreline.</t>
  </si>
  <si>
    <t>Variable cost function using 1996 survey of drinking water treatment costs; estimate of impacts from agricultural sources.</t>
  </si>
  <si>
    <t>Regression model to estimate impacts of red tide to individual restaurants based on daily sales, environmental characteristics, restaurant characteristics, time, and location of the restaurant.</t>
  </si>
  <si>
    <t>Multiple regression model to measure the impact of red tide along 10 miles of shore on economic activity.</t>
  </si>
  <si>
    <t>Index</t>
  </si>
  <si>
    <t>Regions</t>
  </si>
  <si>
    <t>References</t>
  </si>
  <si>
    <t>Provides information about studies that did not meet all screening criteria, but have relevant information and results documenting impacts from nutrient pollution.</t>
  </si>
  <si>
    <t>Provides full references for all sources used in conceptual model.</t>
  </si>
  <si>
    <t>additional</t>
  </si>
  <si>
    <t>Chl-a concentrations and the presence of algal blooms (as indicated by a dummy variable for year of bloom and immediately after) are both insigificantly related to the house price; primary model only uses a dummy variable for whether the sale occurred between July 1999 and July 2001 (the period of the bloom and immediately after); however, it is unclear whether there were nutrient or algal bloom problems in any other years besides 1999 through 2001.</t>
  </si>
  <si>
    <t>An additional foot of clarity raises the value of a lakefront lot by between $206 and $240; however, clarity problems are not explicitly tied to nutrient pollution.</t>
  </si>
  <si>
    <t>Harmful algal blooms (red tide in this case) can cause operational issues at desalination plants, including increased chemical consumption, increased membrane fouling rates, and in some cases plant shut-downs; however, these events are not necessarily attributable to anthropogenic nutrient pollution.</t>
  </si>
  <si>
    <t>Annual economic impacts $33.9m - $81.6m (2000$): Public Health (shellfish and ciguatera poisoning): $18.5m - $24.9 m; Commercial Fishery (wild harvest and aquaculture losses associated with shellfish poisoning, ciguatera, and brown tides): $13.4m - $25.3m; Recreation/Tourism (impacts documented in NC, OR, and WA in various years): $0m - $29.3m; Monitoring/Management (cost of routine shellfish toxin monitoring programs, plankton monitoring, and other activities in 12 states): $2.0m - $2.1m</t>
  </si>
  <si>
    <t>Compared TN and TP concentrations (summer months) for the EPA nutrient ecoregions with estimated reference conditions to determine potential areas impacted by nutrient pollution. Then, used the results to calculate potential annual value losses in recreational water usage (based on lake area closures and loss of trip-related expenses), waterfront real estate (based on percent change in value per 1 m change in secchi depth), spending on recovery of threatened and endangered species (based on recovery plans), and drinking water (based on bottled water expenditures).</t>
  </si>
  <si>
    <t>Coral reefs off the coast (Kihei area)</t>
  </si>
  <si>
    <t>Coastal waters</t>
  </si>
  <si>
    <t>Florida Bay in Monroe County</t>
  </si>
  <si>
    <t>53 lakes</t>
  </si>
  <si>
    <t>Ft Walton Beach and Destin areas</t>
  </si>
  <si>
    <t>Coastal fisheries</t>
  </si>
  <si>
    <t>Provides a summary of all documented nutrient impacts in the model; can be filtered by state, region, year, source categorization, economic sector, or waterbody type.</t>
  </si>
  <si>
    <t>Provides a summary of cost-benefit and economic analyses of state-level nutrient rulemaking.</t>
  </si>
  <si>
    <t>Provides information about anecdotal evidence of the economic impacts of nutrient pollution.</t>
  </si>
  <si>
    <t>Establishment of technology-based controls on facilities that discharge nutrients to Colorado waters, specifically domestic and nondomestic wastewater treatment facilities.</t>
  </si>
  <si>
    <t>Assessment of the expected costs, environmental benefits, and drinking water treatment cost reductions. Benefits that were assessed only qualitatively include potable water supplies (substantial), property values (potentially substantial), recreational activities (moderate), intrinsic values (unknown), and agriculture (minimal).</t>
  </si>
  <si>
    <t>Potential costs for point and nonpoint source controls that may be needed to attain the criteria. Benefits transfer of WTP function for incremental water quality improvements at the waterbody level expected to result from compliance with proposed numeric nutrient criteria, aggregated across all waters expected to improve as a result of numeric nutrient criteria.</t>
  </si>
  <si>
    <t>Potential nutrient removal requirements for publicly owned treatment works statewide.</t>
  </si>
  <si>
    <t>Contingent valuation survey to estimate statewide willingness-to-pay to either maintain current water quality or improve water quality (improving means reclassifying 78% of "poor" water bodies to "fair," and 20% of "fair" to "good." Costs are quantified in a separate report, UDWQ (2010), by analyzing four potential discharge levels or tiers for model POTWs.</t>
  </si>
  <si>
    <t>Regulations to decrease phosphorus discharges from industrial and municipal dischargers, adopted June 2010.</t>
  </si>
  <si>
    <t>Provides information about studies valuing nutrient impacts to fisheries (including, for each study, the waterbody type, location, year, resource description, water quality impacts, data, methodology, and results); all results updated to 2012$ using the consumer price index.</t>
  </si>
  <si>
    <t>Provides information about studies valuing nutrient impacts to property values (including, for each study, the waterbody type, location, year, resource description, water quality impacts, data, methodology, and results); all results updated to 2012$ using the consumer price index.</t>
  </si>
  <si>
    <t>Provides information about studies valuing nutrient impacts to human health (including, for each study, the waterbody type, location, year, the health effect/measure being evaluated, water quality impacts, data, methodology, and results); all results updated to 2012$ using the consumer price index.</t>
  </si>
  <si>
    <t>Evaluation Criteria</t>
  </si>
  <si>
    <t>*Evaluated data source quality based on the following: 1. Whether the study relied on state-of-art methods accepted in economic literature; 2. Whether the results correspond to economic theory; 3. Evaluate the quality of data sources (e.g., relies on well-known data sources or that the best practices were used for primary data collection); 4. Whether the results are supported by economic literature.</t>
  </si>
  <si>
    <t>Human Health; Commercial Fishing; Recreation/Tourism</t>
  </si>
  <si>
    <t>Property Values; Recreation/Tourism; Drinking Water Treatment</t>
  </si>
  <si>
    <t>SCREEM (Simple Coral Reef Ecological Economic Model) model used for two scenarios: a) no reduction in nutrient levels b) reduction in nutrient levels.</t>
  </si>
  <si>
    <t>Compiled reported economic effects of HABs associated with public health, commercial fisheries, recreation and tourism, and monitoring and management from actual HAB events throughout the U.S. from 1987 to 1992 to estimate potential annual impacts; authors acknowledge that estimates are underestimated because they do not account for effects that were not quantified.</t>
  </si>
  <si>
    <t>Benefits transfer for property values (based on Dodds et al. 2009) and recreational benefits (from Kaval and Loomis 2003); avoided cost methods to estimate reductions in need for managing algal blooms.</t>
  </si>
  <si>
    <t>1991 - 2003</t>
  </si>
  <si>
    <t>Recreational razor clam fishery closed due to domoic acid (from harmful algae) contamination</t>
  </si>
  <si>
    <t>Personal communication (cited in strategy document)</t>
  </si>
  <si>
    <t>Mistiaen, J. A., I. E. Strand, and D. Lipton. 2003. Effects of environmental stress on blue crab ( Callinectes sapidus ) harvests in Chesapeake Bay tributaries. Estuaries and Coasts (impact factor: 2.11). 01/2003; 26(2):316-322. DOI:10.1007/BF02695970</t>
  </si>
  <si>
    <t>Times Standard (2013)</t>
  </si>
  <si>
    <t>Reaches of the Klamath River including the Copco and Iron Gate Reservoirs</t>
  </si>
  <si>
    <t>Egan, et al. (2008)</t>
  </si>
  <si>
    <t>Herriges, et al. (2010)</t>
  </si>
  <si>
    <t>Egan, K.J., J.A. Herriges, C.L. Kling, and J.A. Downing. 2008. Valuing Water Quality as a Function of Water Quality Measures.</t>
  </si>
  <si>
    <t>Studies that Evaluate Benefits of Nutrient Reductions</t>
  </si>
  <si>
    <t>Studies that Evaluate Benefits of Water Quality Improvements</t>
  </si>
  <si>
    <t>Herriges, J., C. Kling, C.C. Liu, and J. Tobias. 2010. What are the Consequences of Consequentiality? Journal of Environmental Economics and Management 59: 67-81.</t>
  </si>
  <si>
    <t>Strumberg, B.E., K.A. Baerenklau, and R.C. Bishop. 2001. Nonpoint Source Pollution and Present Values: A Contingent Valuation Study of Lake Mendota. Review of Agricultural Economics 23: 120-132.</t>
  </si>
  <si>
    <t>Massey, et al. (2006)</t>
  </si>
  <si>
    <t>increased value of recreational fishing due to DO improvements</t>
  </si>
  <si>
    <t>Lipton and Hicks (2003)</t>
  </si>
  <si>
    <t>Strumberg, et al. (2001)</t>
  </si>
  <si>
    <t>Bockstael, et al. (1989)</t>
  </si>
  <si>
    <t>average per-trip benefits (for recreational swimming) for a reduction in nutrients</t>
  </si>
  <si>
    <t>average per-trip benefits (for recreational swimming) for a reduction in fecal coliform</t>
  </si>
  <si>
    <t>Krupnick (1988)</t>
  </si>
  <si>
    <t>Lipton (2004)</t>
  </si>
  <si>
    <t>average per-trip benefits (for recreational swimming and boating, separately) for a reduction in nutrients</t>
  </si>
  <si>
    <t>Anderson (1989)</t>
  </si>
  <si>
    <t>increased producer and consumer surplus corresponding to restoration of submerged aquatic vegetation</t>
  </si>
  <si>
    <t>Kahn and Kemp (1985)</t>
  </si>
  <si>
    <t>WTP to make the Chesapeake Bay swimmable</t>
  </si>
  <si>
    <t>boaters' WTP for general water quality improvements; area residents' WTP to restore oyster beds</t>
  </si>
  <si>
    <t>Anderson, E. 1989. Economic Benefits of Habitat Restoration: Seagrass and the Virginia Hardshell Blue Crab Fishery. North American Journal of Fisheries Management 9: 140-149.</t>
  </si>
  <si>
    <t>Bockstael, N.E., K.E. McConnell, and I.E. Strand. 1989. Measuring the Benefits of Improvements in Water Quality: The Chesapeake Bay. Marine Resource Economics 6: 1-18.</t>
  </si>
  <si>
    <t>Hicks, R. and I. Strand. 2000. The Extent of Information: Its Relevance for Random Utility Models. Land Economics 76: 374-385.</t>
  </si>
  <si>
    <t>Hicks and Strand (2000)</t>
  </si>
  <si>
    <t>Kahn, J.R., and W.M. Kemp. 1985. Economic Losses Associated with the Degradation of an Ecosystem: The Case of Submerged Aquatic Vegetation in Chesapeake Bay. Journal of Environmental Economics and Management 12: 246–263.</t>
  </si>
  <si>
    <t>Krupnick, A. 1988.Reducing Bay Nutrients: An Economic Perspective. Maryland Law Review 47:453–480.</t>
  </si>
  <si>
    <t>Lipton, D. 2004. The Value of Improved Water Quality to Chesapeake Bay Boaters. Marine Resource Economics 19:265–270.</t>
  </si>
  <si>
    <t>Lipton, D.W., and R.W. Hicks. 1999. Linking Water Quality Improvements to Recreational Fishing Values: The Case of Chesapeake Bay Striped Bass. In Evaluating the Benefits of Recreational Fisheries, edited by T.J. Pitcher. Fisheries Centre Research Reports, vol.7(2). Vancouver, BC: University of British Columbia, 105–110.</t>
  </si>
  <si>
    <t>Lipton and Hicks (1999)</t>
  </si>
  <si>
    <t>Lipton, D.W., and R.W. Hicks. 2003. The Cost of Stress: Low Dissolved Oxygen and the Economic Benefits of Recreational Striped Bass Fishing in the Patuxent River. Estuaries 26: 310–315.</t>
  </si>
  <si>
    <t>Massey, D.M., S.C. Newbold, and B. Genter. 2006. Valuing Water Quality Changes Using a Bioeconomic Model of a Coastal Recreational Fishery. Journal of Environmental Economics and Management 52:482–500.</t>
  </si>
  <si>
    <t>Morgan, C., and N. Owens. 2001. Benefits of Water Quality Policies: The Chesapeake Bay. Ecological Economics 39:271–284.</t>
  </si>
  <si>
    <t>consumer surplus loss from fish kills</t>
  </si>
  <si>
    <t>welfare gains from improvements in water quality parameters, including clarity, chlorophyll, nutrients, suspended solids, and bacteria</t>
  </si>
  <si>
    <t>WTP for water quality improvements (on a scale from 1 to 5)</t>
  </si>
  <si>
    <t>WTP to improve the quality of a lake polluted by P</t>
  </si>
  <si>
    <t>Morgan and Owens (2001)</t>
  </si>
  <si>
    <t>Azevedo, et al. (2001)</t>
  </si>
  <si>
    <t>WTP for improvements in water quality (including clarity, algae, bacteria, fish presence, etc.)</t>
  </si>
  <si>
    <t>WTP for reduction in algal blooms (caused be sediment and nutrients)</t>
  </si>
  <si>
    <t>Larson, et al. (2001)</t>
  </si>
  <si>
    <t>WTP to improve water quality statewide (CA)</t>
  </si>
  <si>
    <t>Viscusi, et al. (2008)</t>
  </si>
  <si>
    <t>nationwide WTP to avoid regional reduction in water quality)</t>
  </si>
  <si>
    <t>Helm, et al. (2004)</t>
  </si>
  <si>
    <t>TCM estimating benefits of water quality (BOD, TSS, DO, fecal coliform) on recreational activities</t>
  </si>
  <si>
    <t>Phaneuf (2002)</t>
  </si>
  <si>
    <t>Von Haefen (2003)</t>
  </si>
  <si>
    <t>Welfare gains of cleaning up eutrophic sites</t>
  </si>
  <si>
    <t>Benefits associated with water quality, using an index of watershed indicators</t>
  </si>
  <si>
    <t>Azevedo, C., J. Herriges, and C. Kling. 2001. Valuing Preservation and Improvements of Water Quality in Clear Lake. Staff Report 01‐SR‐94. Center for Agricultural and Rural Development, Iowa State University, Ames, Iowa.</t>
  </si>
  <si>
    <t>de Zoysa, A. Damitha. 1995. “A Benefit Evaluation of Programs to Enhance Groundwater Quality, Surface Water Quality and Wetland Habitats in Northwest Ohio.” Ph.D. dissertation. Department of Agricultural and Rural Sociology, Ohio State University. Columbus, Ohio.</t>
  </si>
  <si>
    <t>Helm, E.C., G.R. Parsons, and T. Bondelid. 2004. “Measuring the Economic Benefits of Water quality Improvements to Recreational Users in Six Northeastern States: Sn Application of the Random Utility Maximization Model.” http://works.bepress.com/george_parsons/25</t>
  </si>
  <si>
    <t>Larson, D., D. Lew, and Y. Onozaka. 2001. The Public’s Willingness to Pay for Improving California’s Water Quality. Western Regional Research Publication of the W‐133, 14th Interim Report. Compiled by J. Fletcher. Department of Agricultural and Resource Economics, West Virginia University. Morgantown, WV.</t>
  </si>
  <si>
    <t>Phaneuf, D.J. 2002. “A Randon Utility Model for Total Maximum Daily Loads: Estimating the Benefits of Watershed‐Based Ambient Water Quality Improvements.” Water Resources Research, 38(11). Doi:10.1029/2001WR000959</t>
  </si>
  <si>
    <t>Viscusi, K., J. Huber, and J. Bell. 2008. “The Economic Value of Water Quality.” Environmental and Resource Economics. 41(2): 169‐187.</t>
  </si>
  <si>
    <t>Von Haefen, R.H. 2003. “Incorporating Observed choice into the Construction of Welfare Measures from Random Utility Models.” Journal of Environmental Economics and Management 45:145‐165.</t>
  </si>
  <si>
    <t>de Zoysa (1995)</t>
  </si>
  <si>
    <t>Matthews, et al. (1999)</t>
  </si>
  <si>
    <t>Matthews, L.G., F.R. Homans,  and K.W. Easter. 1999. Reducing Phosphorus Pollution in the Minnesota River: How Much is it Worth? University of Minnesota Staff Paper.</t>
  </si>
  <si>
    <t>WTP to reduce P</t>
  </si>
  <si>
    <t>Whitehead and Groothius (1992)</t>
  </si>
  <si>
    <t>Whitehead, J.C. and P.A. Groothius. 1992. Economic Benefits of Improved Water Quality: A Case Study of North Carolina's Tar-Pamlico River. Rivers 29: 170-178.</t>
  </si>
  <si>
    <t xml:space="preserve">WTP to reduce P </t>
  </si>
  <si>
    <t>Whittington, et al. (1994)</t>
  </si>
  <si>
    <t>Whittington,D.,G. Cassidy,D. Amaral, E.McClelland, H.Wang and C. Poulos. 1994. The economic value of improving the environmental quality of Galveston Bay. Department of Environmental Sciences and Engineering, University of North Carolina at Chapel Hill, GBNEP-38, 6/94.</t>
  </si>
  <si>
    <t>WTP to improve  general water quality</t>
  </si>
  <si>
    <t>Hayes, et al. (1992)</t>
  </si>
  <si>
    <t>Hayes, K.M., T.J. Tyrrell, and G. Anderson. 1992. Estimating the Benefits of Water Quality Improvements in the Upper Narragansett Bay. Marine Resource Economics 7: 75-85.</t>
  </si>
  <si>
    <t>WTP for water quality improvements (attainment of swimmable and shellfishable)</t>
  </si>
  <si>
    <t>Johnston, et al. (2006)</t>
  </si>
  <si>
    <t>Johnston, R.J., E.Y. Besedin, R. Iovanna, C.J. Miller, R.F. Wardwell, and M.H. Ranson. 2006. Systematic Variation in Willingness to Pay for Aquatic Resource Improvements and Implications for Benefits Transfer: A Meta-Analysis. Canadian Journal of Agricultural Economics 53: 221-248.</t>
  </si>
  <si>
    <t>meta-analysis of WTP studies for aquatic resource improvements</t>
  </si>
  <si>
    <t>Czajkowski and Bin (2010)</t>
  </si>
  <si>
    <t>Martin County, FL</t>
  </si>
  <si>
    <t>Estuary, lagoon, and river</t>
  </si>
  <si>
    <t>2000 to 2004</t>
  </si>
  <si>
    <t>Czajkowski, J. and O. Bin. 2010. Do Homebuyers Differentiate Between Technical and Non-Technical Measures of Water Quality? Evidence from a Hedonic Analysis in South Florida.</t>
  </si>
  <si>
    <t>hedonic study of specific water quality parameters and a general water quality score</t>
  </si>
  <si>
    <t>Anderson and Edwards (1986)</t>
  </si>
  <si>
    <t>hedonic price and contingent valuation to estimate value of "swimmable" water</t>
  </si>
  <si>
    <t>Carson and Mitchell (1993)</t>
  </si>
  <si>
    <t>Desvousges, et al. (1987)</t>
  </si>
  <si>
    <t>Hite, et al. (2002)</t>
  </si>
  <si>
    <t>Hite, D., D. Hudson, and W. Intarapapong. 2002. Willingness to Pay for Water Quality Improvements: The Case of Precision Application Technology. Department of Agricultural Economics and Rural Sociology, Auburn University, Auburn, AL; 8 August 2002.</t>
  </si>
  <si>
    <t>WTP to reduce P runoff</t>
  </si>
  <si>
    <t>Loomis, et al. (2000)</t>
  </si>
  <si>
    <t>Demand for protection of rivers</t>
  </si>
  <si>
    <t>Sanders, et al. (1990)</t>
  </si>
  <si>
    <t>Whitehead, J.C., T. Hoban and W. Clifford. 2002. Landowners’ Willingness to Pay for Water Quality Improvements: Jointly Estimating Contingent Valuation and Behavior with Limited Information. White paper developed in part by U.S. EPA, NCDENR and the College of Agriculture and Life Sciences at NSCU.</t>
  </si>
  <si>
    <t>WTP for water quality improvements</t>
  </si>
  <si>
    <t>Whitehead, et al. (2002)</t>
  </si>
  <si>
    <t>Waterbody/Resource Description</t>
  </si>
  <si>
    <t>St. Lucie River, St. Lucie Estuary, and Indian River Lagoon</t>
  </si>
  <si>
    <t>Weekly water quality data collected by the Florida Oceanographic Society.</t>
  </si>
  <si>
    <t>Monitor levels of water clarity, temperature, pH, salinity, and DO as well as a general water quality grade based on all parameters (except temperature).</t>
  </si>
  <si>
    <t>1. "meets criteria" means that the study met all evaluation criteria and are included in sector impact summaries; "anecdotal" means the source is a newspaper article or other anecdotal information documenting nutrient impacts; "additional" means the source has relevant nutrient impacts but does not meet all screening criteria.</t>
  </si>
  <si>
    <t>2. If study includes multiple years, most recent year in data</t>
  </si>
  <si>
    <t>Blue-green algae blooms have necessitated warnings against human and animal contact with and consumption of water in the river due to health concerns. Economic impacts are not quantified but could include decreased tourism and recreational revenues.</t>
  </si>
  <si>
    <t>Implicit price of a 1-meter improvement in water clarity ranged from $409 (less than 1% of purchase price) to $13,146 (25% of purchase price). 
Implicit price of a 1-meter decline in water clarity ranged from $464 (less than 1% of purchase price) to $40,241 (over 78% of purchase price). (1995 dollars)</t>
  </si>
  <si>
    <t>Implicit price of a 1-meter improvement in water clarity ranged from $616 (less than 1% of purchase price) to $19,805 (25% of purchase price).
Implicit price of a 1-meter decline in water clarity ranged from $699 (less than 1% of purchase price) to $60,624 (over 78% of purchase price).</t>
  </si>
  <si>
    <t>Study is valuing eutrophication not nutrient levels directly, however eutrophication is tied to nutrient pollution in the resource of interest.
Property values were lower on Tainter Lake and Menomin Lake compared to lakes that did not have the same nutrient pollution problems; no water quality variable included in the anlaysis (just comparison across lakes).</t>
  </si>
  <si>
    <t>Study is valuing water clarity not nutrient levels directly, however water clarity is tied to nutrient pollution in the resource of interest.
Highest implicit prices are on 2 lakes (Cass and Leech) that are in a National Forest and an Indian Reservation with considerable publicly-owned lakeshore property; because of this, other variables not accounted for in the modeling may have caused the higher price effects ($402,665 and $231,849 per lot). The next highest estimate is on Lake Bemidji, where a water quality change is valued at $65,355 per lot.</t>
  </si>
  <si>
    <t>Study is valuing water clarity not nutrient levels directly, however water clarity is tied to nutrient pollution in the resource of interest.</t>
  </si>
  <si>
    <t>Study is valuing water clarity not nutrient levels directly, however water clarity is tied to nutrient pollution in the resource of interest.
Objective measure was a better predictor of sale price.</t>
  </si>
  <si>
    <t>Study is valuing water clarity not nutrient levels directly, however water clarity is tied to nutrient pollution in the resource of interest.
Study shows the differences in implicit prices depending on the variable selected.</t>
  </si>
  <si>
    <t>Hedonic study of the impact of various water quality measures and an overall water quality grade on waterfront home prices in an urban coastal housing market in South Florida.</t>
  </si>
  <si>
    <t>Study is valuing water clarity and DO not nutrient levels directly, however these parameters are tied to nutrient pollution in the resource of interest.
Impact of a "location grade" measuring general water quality indicated that the grade acts as as a warning sign in the potential homebuyers' house purchase decision, but they could be indifferent between higher percentage grades .</t>
  </si>
  <si>
    <t>Results (2012 Dollars) [1]</t>
  </si>
  <si>
    <t>1. Costs escalated to 2012 dollars from original year dollars based on the Consumer Price Index.</t>
  </si>
  <si>
    <t>1. Costs escalated to 2012 dollars from original year dollars based on the Construction Cost Index.</t>
  </si>
  <si>
    <t>$6 million in losses for harvesters of shoft-shell clams, mahogany quahogs, and mussels; including indirect and induced impacts, $14.8 million lost in sales and $7.9 million in lost income (2005 dollars); however, some damages were attributable to sources besides or in addition to anthropogenic nutrient pollution, such as flooding.</t>
  </si>
  <si>
    <t>Presence of red tide on a given day reduces restaurant sales by $616 (2005 dollars) (5% to 14% of daily sales for the 3 restaurants evaluated); however, impacts may also be caused at least partially by natural drivers, and authors note that the model is likely to be mis-specified.</t>
  </si>
  <si>
    <t>Nitrate removal from U.S. drinking water supplies costs over $4.8 billion per year; however, the cost estimates are based on 1996 technologies and as such may not be applicable.</t>
  </si>
  <si>
    <t>In one zip code, the monthly losses associated with a red tide event are $2.23 million for restaurants and $2.29 million for hotels; however, impacts may also be caused at least partially by natural drivers.</t>
  </si>
  <si>
    <t>Units in algae zones were about 43% as valuable as units in algae-free areas; extrapolating to all 754 "algae zone" units yields depreciation value of $9.4 million per year in lost value; conclusions rely heavily on public perception and not statistical or data-driven analysis.</t>
  </si>
  <si>
    <t>Fishing and boating trip-related expenditure annual losses of $189m-$589m and $182m-$567m, respectively (2001 dollars);
Property value annual losses (scaled over 50-years) of $0.3b, $1.4b, and $2.8b for the low (5% private), intermediate (25% private), and high (50% private) assumed land availabilities, respectively;
Aquatic biodiversity impacts of $44 million per year to develop 60 plans for the species that are at least partially imperiled due to eutrophication;
Drinking water impacts of $813 million per year for bottled water because of taste and odor problems potentially linked to eutrophication (2001 dollars).</t>
  </si>
  <si>
    <r>
      <t xml:space="preserve">Anderson, G.D. and S.F. Edwards. 1986. Protecting Rhode Island’s Coastal Salt Ponds: “An Economic Assessment of Downzoning.” </t>
    </r>
    <r>
      <rPr>
        <i/>
        <sz val="10"/>
        <color theme="1"/>
        <rFont val="Calibri"/>
        <family val="2"/>
        <scheme val="minor"/>
      </rPr>
      <t>Coastal Zone Management</t>
    </r>
    <r>
      <rPr>
        <sz val="10"/>
        <color theme="1"/>
        <rFont val="Calibri"/>
        <family val="2"/>
        <scheme val="minor"/>
      </rPr>
      <t xml:space="preserve"> 14( ½): 67-91.</t>
    </r>
  </si>
  <si>
    <r>
      <t xml:space="preserve">Carson, R.T. and R.C. Mitchell. 1993. “The value of clean water: the public’s willingness to pay for boatable, fishable, and swimmable quality water.” </t>
    </r>
    <r>
      <rPr>
        <i/>
        <sz val="10"/>
        <color theme="1"/>
        <rFont val="Calibri"/>
        <family val="2"/>
        <scheme val="minor"/>
      </rPr>
      <t>Water Resources Research</t>
    </r>
    <r>
      <rPr>
        <sz val="10"/>
        <color theme="1"/>
        <rFont val="Calibri"/>
        <family val="2"/>
        <scheme val="minor"/>
      </rPr>
      <t xml:space="preserve"> 29(7): 2445-2454.</t>
    </r>
  </si>
  <si>
    <r>
      <t xml:space="preserve">Desvousges,W.H., V.K. Smith and A. Fisher. 1987. “Option Price Estimates for Water Quality Improvements: A Contingent Valuation Study for the Monongahela River.” </t>
    </r>
    <r>
      <rPr>
        <i/>
        <sz val="10"/>
        <color theme="1"/>
        <rFont val="Calibri"/>
        <family val="2"/>
        <scheme val="minor"/>
      </rPr>
      <t>Journal of Environmental Economics and Management</t>
    </r>
    <r>
      <rPr>
        <sz val="10"/>
        <color theme="1"/>
        <rFont val="Calibri"/>
        <family val="2"/>
        <scheme val="minor"/>
      </rPr>
      <t>. 14: 248-267.</t>
    </r>
  </si>
  <si>
    <r>
      <t xml:space="preserve">Loomis, J., P. Kent, L. Strange, K. Fausch and A. Covich. 2000. “Measuring the total economic value of restoring ecosystem services in an impaired river basin: results from a contingent valuation survey.” </t>
    </r>
    <r>
      <rPr>
        <i/>
        <sz val="10"/>
        <color theme="1"/>
        <rFont val="Calibri"/>
        <family val="2"/>
        <scheme val="minor"/>
      </rPr>
      <t>Ecological Economics</t>
    </r>
    <r>
      <rPr>
        <sz val="10"/>
        <color theme="1"/>
        <rFont val="Calibri"/>
        <family val="2"/>
        <scheme val="minor"/>
      </rPr>
      <t xml:space="preserve"> 33: 103-117.</t>
    </r>
  </si>
  <si>
    <r>
      <t xml:space="preserve">Sanders, L. B., R.G. Walsh, and J.B. Loomis. 1990. “Toward Empirical Estimation of the Total Value of Protecting Rivers.” </t>
    </r>
    <r>
      <rPr>
        <i/>
        <sz val="10"/>
        <color theme="1"/>
        <rFont val="Calibri"/>
        <family val="2"/>
        <scheme val="minor"/>
      </rPr>
      <t>Water Resources Research</t>
    </r>
    <r>
      <rPr>
        <sz val="10"/>
        <color theme="1"/>
        <rFont val="Calibri"/>
        <family val="2"/>
        <scheme val="minor"/>
      </rPr>
      <t>. 26(7): 1345-1357.</t>
    </r>
  </si>
  <si>
    <t>Algal blooms (turbidity)</t>
  </si>
  <si>
    <t>Cheney Reservoir outside of Witchita, Kansas</t>
  </si>
  <si>
    <t>Oneby and Bollyky (2006)</t>
  </si>
  <si>
    <t>Evaluated treatment performance of ozonation to reduce turbidity and taste and odor issues associated with presence of algae.</t>
  </si>
  <si>
    <t>Cost to install ozonation system prior to drinking water treatment plant were $8.5 million (completed in 2005). Study does not provide description of what project costs entailed or source/citation of costs.</t>
  </si>
  <si>
    <t>Oneby, M. and L. J. Bollyky. 2006. High-pressure Pipeline Pre-ozonation at Witchita, Kansas for Taste and Odor Control. Presented at International Conference Ozone and UV, April 3rd 2006.</t>
  </si>
  <si>
    <t>The Associated Press (2013)</t>
  </si>
  <si>
    <t>Four Kentucky Lakes: Rough River, Barren River, Taylorsville and Nolin.</t>
  </si>
  <si>
    <t>The City of Toledo spent $3,000 to $4,000 per day on carbon activated filtration during algal blooms, plus additional costs to treat water with potassium permanganate.</t>
  </si>
  <si>
    <t>Conservative estimate of the number of fish killed is 17.5 million; estimate of value of fish killed is over $7 million. Unknown indirect losses to local tourism, sport fishing, and state revenues.</t>
  </si>
  <si>
    <t>Estimated reductions in recreational spending of $10 million to $12 million in small coastal communities; loss of subsistence fishing for Native American coastal tribes.</t>
  </si>
  <si>
    <t>HABs have been detected at four Kentucky lakes during the summer of 2013. Collectively, these lakes receive approximately 5 million visitors per year, and a lake manager reports that some visitors have cancelled campground reservations.</t>
  </si>
  <si>
    <t>Reported Loss</t>
  </si>
  <si>
    <t>HARRNESS (2005)</t>
  </si>
  <si>
    <t>Associated Press (2013)</t>
  </si>
  <si>
    <t>Buckeye Lake</t>
  </si>
  <si>
    <t xml:space="preserve">Due to the presence of a liver toxin produced by algae near beaches, state park officials have posted warnings for swimmers along the beaches of Buckeye Lake in Fairfield, Licking, and Perry Counties for the last three summers, and revenues have declined. The toxic algae is attributable to excess phosphorus loading from manure, sewage, and fertilizers. Since 2011, the Ohio Environmental Protection Agency has spent more than $700,000 on efforts to identify sources of phosphorus loading and reduce algae at Buckeye Lake. </t>
  </si>
  <si>
    <t>Harmful algal blooms have necessitated warnings against swimming and closure of beaches, with scheduled Girl Scout camps being closed, and property values declining; there have been 18 fish kills in Northwest Creek since 1986. Plans to restore the creek cost $1 million.</t>
  </si>
  <si>
    <t>Algal blooms caused taste and odor issues for drinking water in Los Angeles County and parts of Orange County, San Bernardino County, and Riverside County. Utilities have applied copper sulfate to control the bloom, but the taste and odor issues persisted affecting approximately 7 million people in the area.</t>
  </si>
  <si>
    <t>Extremely high levels of toxic algae in the lake knocked the water treatment plant offline (which serves 2,000 residents of Carroll Township).</t>
  </si>
  <si>
    <t>City News Service. 2011. Algae Bloom in Tap Water Affecting Some in Southland. October 1, 2011. http://www.nbclosangeles.com/news/local/Algae-Bloom-in-Tap-Water-Affecting-Some-in-Southland-130910958.html</t>
  </si>
  <si>
    <t>Des Moines Register. 2013. News Article: Nitrates in Des Moines Rivers Hit Record Levels. Sourcewater Collaborative. http://www.sourcewatercollaborative.org/highlights/news-article-nitrates-in-des-moines-rivers-hit-record-levels/</t>
  </si>
  <si>
    <t>Health-threatening levels of nitrates in surface waters used for drinking water intakes necessitated the use of a nitrate removal plant, which has not been needed since 2007 (the plant cost $4 million to construct in 1992). The plant costs about $7,000 a day to run, although it is not clear if those are operating costs as full capacity or current capacity (the plant is only using 4 of the 8 treatment cells).</t>
  </si>
  <si>
    <t>PA-LBFC (2013)</t>
  </si>
  <si>
    <t>EG Found (2012)</t>
  </si>
  <si>
    <t>Jiang (2004)</t>
  </si>
  <si>
    <t>Falk (2011)</t>
  </si>
  <si>
    <t>SWET (2008)</t>
  </si>
  <si>
    <t>CWP (2013)</t>
  </si>
  <si>
    <t>Weiss et al. (2007)</t>
  </si>
  <si>
    <t>Huang, et al. (2010)</t>
  </si>
  <si>
    <t>Hypoxia</t>
  </si>
  <si>
    <t>Bioeconomic model to identify lagged effects of hypoxia on commercial harvests of brown shrimp.</t>
  </si>
  <si>
    <t>1999-2005</t>
  </si>
  <si>
    <t>1999 to 2005</t>
  </si>
  <si>
    <t>Neuse River and Pamlico Bay</t>
  </si>
  <si>
    <t>Oxygen conditions data from USGS monitoring; fish harvest data from the NC Division of Marine Fisheries trip ticket program.</t>
  </si>
  <si>
    <t>Between 1999 and 2005, there was a brown shrimp harvest revenue decrease of 13.1% due to hypoxia in the Neuse River, worth $32,000. In Pamlico Sound, there was a 13.4% decrease worth $1.24 million over the 7 year period (1999 dollars).</t>
  </si>
  <si>
    <t>Associated Press. 2013. Algae blooms found in more Kentucky lakes. Courier Press. Accessible electronically at: http://www.courierpress.com/news/2013/aug/01/algae-blooms-found-in-more-kentucky-lakes/</t>
  </si>
  <si>
    <t>Hunt, S. 2013. Algae bloom limits swimming in Buckeye Lake. The Columbus Dispatch. Accessible electronically at: http://www.dispatch.com/content/stories/public/2013/08/05/buckeye-lake-algae.html</t>
  </si>
  <si>
    <t>Times Standard. 2013. Blue-green algae a health hazard in Klamath River: Caution urged in water contact and fish consumption. Accessible electronically at: http://www.times-standard.com/breakingnews/ci_24116523/blue-green-algae-health-hazard-klamath-river-caution</t>
  </si>
  <si>
    <t>Wheeler, T.B. 2013. Fish kills, toxic algae plague Northwest Creek in Stevensville. The Baltimore Sun. Accessible electronically at: http://articles.baltimoresun.com/2013-08-26/features/bs-gr-toxic-algae-shore-20130825_1_blue-green-algae-microcystis-fish-kills</t>
  </si>
  <si>
    <t>Appendix B: Summary of State-Level Cost-Benefit and Economic Analyses of Proposed Nutrient Reduction Regulations</t>
  </si>
  <si>
    <t>Weaver (2010)</t>
  </si>
  <si>
    <t>Weaver, K. 2010. “Estuary and Coastal Waters Numeric Nutrient Criteria: Workshop Introduction.” Estuary Numeric Nutrient Criteria Public Meeting for Portions of the Florida Coast from Dixie County to Pasco County.</t>
  </si>
  <si>
    <t>Huang et al. (2010)</t>
  </si>
  <si>
    <t>Breetz (2004)</t>
  </si>
  <si>
    <t>WASDE (2011)</t>
  </si>
  <si>
    <t>CBP (2002)</t>
  </si>
  <si>
    <t>U.S. EPA (2008)</t>
  </si>
  <si>
    <t>WERF (2005)</t>
  </si>
  <si>
    <t>Hernandez-Sancho (2011)</t>
  </si>
  <si>
    <t>MNESERB (2004)</t>
  </si>
  <si>
    <t>U.S. EPA (2004)</t>
  </si>
  <si>
    <t>Barnstable (2010)</t>
  </si>
  <si>
    <t xml:space="preserve">HARRNESS. 2005. Harmful Algal Research &amp; Response: A National Environmental Science Strategy, 2005 - 2015. </t>
  </si>
  <si>
    <t xml:space="preserve">Utah Division of Water Quality (UDWQ). 2013. Economic Benefits of Nutrient Reductions in Utah’s Waters. CH2MHill. </t>
  </si>
  <si>
    <t xml:space="preserve">Colorado Department of Public Health and Environment (CDPHE). 2011. Cost/Benefit Study of the Impacts of Potential Nutrient Controls for Colorado Point Source Discharges. CDM. </t>
  </si>
  <si>
    <t>WI Department of Natural Resources (2012)</t>
  </si>
  <si>
    <t xml:space="preserve">U.S. Environmental Protection Agency (U.S. EPA). 2010. Economic Analysis of Final Water Quality Standards for Nutrients for Lakes and Flowing Waters in Florida. </t>
  </si>
  <si>
    <t>Anderson, G.D. and S.F. Edwards. 1986. Protecting Rhode Island’s Coastal Salt Ponds: “An Economic Assessment of Downzoning.” Coastal Zone Management 14( ½): 67-91.</t>
  </si>
  <si>
    <t>Carson, R.T. and R.C. Mitchell. 1993. “The value of clean water: the public’s willingness to pay for boatable, fishable, and swimmable quality water.” Water Resources Research 29(7): 2445-2454.</t>
  </si>
  <si>
    <t>Desvousges,W.H., V.K. Smith and A. Fisher. 1987. “Option Price Estimates for Water Quality Improvements: A Contingent Valuation Study for the Monongahela River.” Journal of Environmental Economics and Management. 14: 248-267.</t>
  </si>
  <si>
    <t>Loomis, J., P. Kent, L. Strange, K. Fausch and A. Covich. 2000. “Measuring the total economic value of restoring ecosystem services in an impaired river basin: results from a contingent valuation survey.” Ecological Economics 33: 103-117.</t>
  </si>
  <si>
    <t>Sanders, L. B., R.G. Walsh, and J.B. Loomis. 1990. “Toward Empirical Estimation of the Total Value of Protecting Rivers.” Water Resources Research. 26(7): 1345-1357.</t>
  </si>
  <si>
    <t xml:space="preserve">Huang, L., M.D. Smith, and K. Craig. 2010. Quantifying the Economic Effects of Hypoxia on a Fishery for Brown Shrimp Farfantepenaeus aztecus. Marine and Coastal Fisheries: Dynamics, Management, and Ecosystem Science 2:232–248. </t>
  </si>
  <si>
    <t xml:space="preserve">van Beukering, P.J.H. and H.S.J. Cesar. 2004. Ecological Economic Modeling of Coral Reefs: Evaluating Tourist Overuse at Hanauma Bay and Algae Blooms at the Kihei Coast, Hawaii. Pacific Science 58(2): 243-260. </t>
  </si>
  <si>
    <t>Barstable County Wastewater Cost Task Force. (2010). Comparison of Costs for Wastewater Management Systems Applicable to Cape Cod: Guidance to Cape Cod Towns Undertaking Comprehensive Wastewater Management Planning. Retrieved on 2013/03/07. &lt;http://www.ccwpc.org/images/educ_materials/wwreports/cape_cod_ww_costs--4-10.pdf&gt;</t>
  </si>
  <si>
    <t>Hernandez-Sancho, F., Molinos-Senante, M., &amp; Sala-Garrido, R. (2011). Cost Modelling for Wastewater Treatment Processes. Desalination, 268, pp 1-5.</t>
  </si>
  <si>
    <t>Jiang, F., Beck, M.B., Cummings, R.G., Rowles, K., &amp; Russell, D. (2004). Estimation of Costs of Phosphorus Removal in Wastewater Treatment Facilities: Construction De Novo (Water Policy Working Paper #2004-010). Retrieved on 2013/02/27. http://h2opolicycenter.org/researchpapers/DeNovo.pdf</t>
  </si>
  <si>
    <t>Water Environment Research Foundation. (2005). Nutrient Farming and Traditional Removal: An Economic Comparison. (03-WSM-6CO). Alexandria, VA: IWA Publishing.</t>
  </si>
  <si>
    <t xml:space="preserve">US Environmental Protection Agency. (2008). Municipal Nutrient Removal Technologies Reference Document: Volume 1 &amp; 2 - Technical Report. (EPA 832-R-08-006). </t>
  </si>
  <si>
    <t>Chesapeake Bay Program. (2002). Nutrient Reduction Technology Cost Estimations for Point Sources in the Chesapeake Bay Watershed. Retrieved 2013/02/28. &lt;http://www.chesapeakebay.net/content/publications/cbp_13136.pdf&gt;</t>
  </si>
  <si>
    <t>Washington State Department of Ecology. (2011). Technical and Economic Evaluation of Nitrogen and Phosphorus Removal at Municicipal Wastewater Treatment Facilities.  Retrieved 2013/02/28. &lt;https://fortress.wa.gov/ecy/publications/publications/1110060.pdf&gt;.</t>
  </si>
  <si>
    <t>US Environmental Protection Agency. (2003). Economic Analyses of Nutrient and Sediment Reduciton Actions to Restore Chesapeake Bay Water Quality. Retrieved on 2013/03/06. &lt;http://nepis.epa.gov/Exe/ZyPDF.cgi?Dockey=P10065XE.PDF&gt;</t>
  </si>
  <si>
    <t>U.S. EPA (2003)</t>
  </si>
  <si>
    <t>Everglades Foundation. (2012). Enterprise Assessment for the Reduction of Nutrient Pollution in South Florida Waters-Final Report. Retrieved 2013/03/06. &lt;http://www.evergladesfoundation.org/wp-content/uploads/2012/04/Report-RTI-Study.pdf&gt;</t>
  </si>
  <si>
    <t xml:space="preserve">US Environmental Protection Agency. (1999). Evaluation of Wastewater Treatment Plants for BNR Retrofits Using Advances in Technology. (EPA-R-99-020). </t>
  </si>
  <si>
    <t>U.S. EPA (1999)</t>
  </si>
  <si>
    <t>US Environmental Protection Agency. (2004). Technical Development Document for the Final Effluent Limitations Guidelines and Standards for the Meat and Poultry Products Point Source Cateogory (40 CFR 432): Volumes 1 - 4. (EPA-821-R-04-011).</t>
  </si>
  <si>
    <t>Falk, M.W., Neethling, J.B., Reardon, D.J. (2011). Striking the Balance Between Nutrient Removal in Wastewater Treatment and Sustainability. London, IWA Publishing.</t>
  </si>
  <si>
    <t>Weiss, P.T., Gulliver, J.S., &amp; Erickson, A.J. (2007). Cost and Pollution Removal of Storm-Water Treatment Practices. Journal of Water Resources Planning and Management, 133, 3, pp 218-219.</t>
  </si>
  <si>
    <t>Shilling (2005)</t>
  </si>
  <si>
    <t>U.S. EPA (2001a)</t>
  </si>
  <si>
    <t>U.S. EPA (2001b)</t>
  </si>
  <si>
    <t>US Environmental Protection Agency. (2001). The National Costs of the Total Maximum Daily Load Program (Draft Report). (EPA 841-D-01-003).</t>
  </si>
  <si>
    <t>US Environmental Protection Agency (2001). The National Costs of the Total Maximum Daily Load Program, Support Document #1. (EPA 841-D-01-003).</t>
  </si>
  <si>
    <t>Breetz, H. L., Fisher-Vanden, K., Garzon, L., Jacobs, H., Kroetz, K., &amp; Terry, R. (2004). Water Quality Trading and Offset Initiatives in the U.S.: A Comprehensive Survey. Dartmouth College, Hanover, N. H.</t>
  </si>
  <si>
    <t>Cooke, G.D., Welch, E.B., Peterson, S.A., &amp; Nichols, S.A. (2005).  Restoration and Management of Lakes and Reservoirs, 3rd edition. CRC Press, Boca Raton, FL; 616 pages.</t>
  </si>
  <si>
    <t>Huang, et al. (2012)</t>
  </si>
  <si>
    <t>Logit model of NC fisherman participation behavior and estimation of consumer and producer surplus changes attributable to hypoxia.</t>
  </si>
  <si>
    <t>Between 1999 and 2005, the average number of hypoxic days (61) lead to a $261,372 welfare loss (2005$)</t>
  </si>
  <si>
    <t>Huang et al. (2012)</t>
  </si>
  <si>
    <t>Huang, L., L.A.B. Nichols, Craig, J.K. and M.D. Smith. 2012. Measuring Welfare Loss from Hypoxia: The Case of North Carolina Brown Shrimp. Marine Resource Economics 27: 3-23.</t>
  </si>
  <si>
    <t>Between 1999 and 2005, there was a brown shrimp harvest revenue decrease of 13.1% due to hypoxia in the Neuse River, worth $44,100. In Pamlico Sound, there was a 13.4% decrease worth $1.71 million over the 7 year period.</t>
  </si>
  <si>
    <t>Nutrient Economic Impact Overview</t>
  </si>
  <si>
    <t>Pennsylvania General Assembly: Legislative Budget and Finance Committee. (2013). A Cost Effective Alternative Approach to Meeting Pennsylvania’s Chesapeake Bay Nutrient Reduction Targets. (Conducted Pursuant to Act 2012-87). Retrieved on 2013/11/11. http://lbfc.legis.state.pa.us/reports/2013/77.PDF</t>
  </si>
  <si>
    <t>Shilling, F., S. Sommarstrom, R. Kattelmann, B. Washburn, J. Florsheim, and R. Henly. (2005). California Watershed Assessment Manual: Volume I. Prepared for the California Resources Agency and the California Bay-Delta Authority (http://cwam.ucdavis.edu).</t>
  </si>
  <si>
    <t>Center for Watershed Protection (2013). Cost-Effectiveness Study of Urban Stormwater BMPs in the James River Basin. Retrieved 2013/8/11. &lt;http://www.jamesriverassociation.org/what-we-do/JRA-Cost-effective-Full-Report-June-update.pdf&gt;</t>
  </si>
  <si>
    <t>Minnesota Environmental Science and Economic Review Board. (2004). Wastewater Phosphorus Control and Reduction Initiative. Retrieved 2013/02/28. &lt;http://www.meserb.org/wp-content/uploads/2009/12/mesereport22apr05.pdf&gt;.</t>
  </si>
  <si>
    <t>Results are based on the assumption that environmental effects from a hypoxia event accumulate over a 60-day period; harvest reductions under alternate lagging assumptions (between 30 days to 100 days) also had significant effects, ranging between 9.23% to 14.92%</t>
  </si>
  <si>
    <t>Additional Studies</t>
  </si>
  <si>
    <t>Provides a list of studies that assess the benefits of nutrient reductions.</t>
  </si>
  <si>
    <t>Mitigation</t>
  </si>
  <si>
    <t>Point Sources</t>
  </si>
  <si>
    <t>Municipal</t>
  </si>
  <si>
    <t xml:space="preserve">Provides information about studies reporting costs associated with municipal water treatment for nutrients (including, for each study, the nutrient parameter, target concentration, treatment technology, influent and effluent concentrations, plant capacity, and costs); all results updated to 2012$ using the consumer price index. </t>
  </si>
  <si>
    <t>Industrial</t>
  </si>
  <si>
    <t xml:space="preserve">Provides information about studies reporting costs associated with industrial wastewater treatment for nutrients (including, for each study, the nutrient parameter, treatment technology, influent and effluent concentrations, plant capacity, and costs); all results updated to 2012$ using the consumer price index. </t>
  </si>
  <si>
    <t>Decentralized</t>
  </si>
  <si>
    <t xml:space="preserve">Provides information about studies reporting costs associated with decentralized wastewater treatment for nutrients (including, for each study, the nutrient parameter, treatment technology, influent and effluent concentrations, plant capacity, and costs); all results updated to 2012$ using the consumer price index. </t>
  </si>
  <si>
    <t>Nonpoint Sources</t>
  </si>
  <si>
    <t>Urban Runoff</t>
  </si>
  <si>
    <t xml:space="preserve">Provides information about studies reporting costs associated with reducing nutrient pollution from urban runoff (including, for each study, the nutrient parameter, treatment technology, removal performance, size, location, and costs); all results updated to 2012$ using the consumer price index. </t>
  </si>
  <si>
    <t>Economic Impacts</t>
  </si>
  <si>
    <t>Point Source Control Cost Overview</t>
  </si>
  <si>
    <t>Paramater Codes</t>
  </si>
  <si>
    <t>TA</t>
  </si>
  <si>
    <t>=</t>
  </si>
  <si>
    <t>Total Ammonia as N</t>
  </si>
  <si>
    <t>TIN</t>
  </si>
  <si>
    <t>Total Inorganic Nitrogen</t>
  </si>
  <si>
    <t>Total Nitrogen as N</t>
  </si>
  <si>
    <t>TP</t>
  </si>
  <si>
    <t>Total Phosphorus</t>
  </si>
  <si>
    <t>Technology Codes</t>
  </si>
  <si>
    <t>Point Source Control Technologies</t>
  </si>
  <si>
    <t>3Clar</t>
  </si>
  <si>
    <t>Tertiary Clarification</t>
  </si>
  <si>
    <t>A2O</t>
  </si>
  <si>
    <t>Three-stage Phoredox</t>
  </si>
  <si>
    <t>AB</t>
  </si>
  <si>
    <t>Aeration Basin</t>
  </si>
  <si>
    <t>Aerobic Lagoons</t>
  </si>
  <si>
    <t>AO</t>
  </si>
  <si>
    <t>Phoredox</t>
  </si>
  <si>
    <t>AS</t>
  </si>
  <si>
    <t>Activated Sludge</t>
  </si>
  <si>
    <t>BAF</t>
  </si>
  <si>
    <t>Biological Activated Filter</t>
  </si>
  <si>
    <t xml:space="preserve">BNR </t>
  </si>
  <si>
    <t>Unspecified Biological Nutrient Removal Process</t>
  </si>
  <si>
    <t>Bpho</t>
  </si>
  <si>
    <t>Bardenpho</t>
  </si>
  <si>
    <t>BPR</t>
  </si>
  <si>
    <t>Unspecified Biological Phosphorus Removal</t>
  </si>
  <si>
    <t>Cycled Aeration</t>
  </si>
  <si>
    <t>CAC</t>
  </si>
  <si>
    <t>Chemically Assisted Clarification</t>
  </si>
  <si>
    <t>ChPr</t>
  </si>
  <si>
    <t>Chemical Phosphorus Removal</t>
  </si>
  <si>
    <t>DFil</t>
  </si>
  <si>
    <t>Denitrification Filter</t>
  </si>
  <si>
    <t>EA</t>
  </si>
  <si>
    <t>Extended Aeration</t>
  </si>
  <si>
    <t>Fil</t>
  </si>
  <si>
    <t>Media Filtration (non-GAC)</t>
  </si>
  <si>
    <t>Facultative Lagoon</t>
  </si>
  <si>
    <t>GAAl</t>
  </si>
  <si>
    <t>Granular Activated Aluminum</t>
  </si>
  <si>
    <t>GR</t>
  </si>
  <si>
    <t>Grit Removal</t>
  </si>
  <si>
    <t>IFAS</t>
  </si>
  <si>
    <t>Integrated Fixed-Film Activated Sludge</t>
  </si>
  <si>
    <t>MemBR</t>
  </si>
  <si>
    <t>Membrane Bioreactor</t>
  </si>
  <si>
    <t>MiFil</t>
  </si>
  <si>
    <t>Microfiltration</t>
  </si>
  <si>
    <t>MLE</t>
  </si>
  <si>
    <t>Modified Ludzack-Ettinger</t>
  </si>
  <si>
    <t>OX</t>
  </si>
  <si>
    <t>Oxidation Ditch</t>
  </si>
  <si>
    <t>RBC</t>
  </si>
  <si>
    <t>Rotating Biological Contactor</t>
  </si>
  <si>
    <t>RO</t>
  </si>
  <si>
    <t>Reverse Osmosis</t>
  </si>
  <si>
    <t>SBR</t>
  </si>
  <si>
    <t>Sequential Batch Reactor</t>
  </si>
  <si>
    <t>SF</t>
  </si>
  <si>
    <t>Sand Filter</t>
  </si>
  <si>
    <t>SubF</t>
  </si>
  <si>
    <t>Submerged Biological Filter</t>
  </si>
  <si>
    <t>TF</t>
  </si>
  <si>
    <t>Trickling Filter</t>
  </si>
  <si>
    <t>UCT</t>
  </si>
  <si>
    <t>University of Capetown Process</t>
  </si>
  <si>
    <t>UF</t>
  </si>
  <si>
    <t>Ultrafiltration</t>
  </si>
  <si>
    <t>Note:</t>
  </si>
  <si>
    <t>Cost Estimate Basis Codes</t>
  </si>
  <si>
    <t>Modeled</t>
  </si>
  <si>
    <t>Cost estimate and effluent results were modeled (i.e., costs were developed using technology-specific cost curves, or by direct estimation using RS Means construction cost data).</t>
  </si>
  <si>
    <t>Empirical</t>
  </si>
  <si>
    <t>Cost estimate and effluent results were the product of direct observation.</t>
  </si>
  <si>
    <t>Parameter</t>
  </si>
  <si>
    <t>Technology</t>
  </si>
  <si>
    <t>Influent Mean Concentration (ug/L)</t>
  </si>
  <si>
    <t>Effluent Mean Concentration (ug/L)</t>
  </si>
  <si>
    <t>Percent Removal</t>
  </si>
  <si>
    <t>Total Capital Cost ($2012/gpd)</t>
  </si>
  <si>
    <t>Annual O&amp;M Cost ($2012/gpd)</t>
  </si>
  <si>
    <t>Size</t>
  </si>
  <si>
    <t>Original Cost Year</t>
  </si>
  <si>
    <t>Cost Estimate Basis</t>
  </si>
  <si>
    <t>Reference Pointer</t>
  </si>
  <si>
    <t>Type of Cost</t>
  </si>
  <si>
    <t>Comments</t>
  </si>
  <si>
    <t>UCT + Fil</t>
  </si>
  <si>
    <t>3 MGD</t>
  </si>
  <si>
    <t>USEPA (2008)</t>
  </si>
  <si>
    <t>Retrofit/Expansion</t>
  </si>
  <si>
    <t>Montana</t>
  </si>
  <si>
    <t>AO + 3Clar + Fil</t>
  </si>
  <si>
    <t>100 MGD</t>
  </si>
  <si>
    <t>Nevada</t>
  </si>
  <si>
    <t>AS + Fil</t>
  </si>
  <si>
    <t>67 MGD</t>
  </si>
  <si>
    <t>Virginia</t>
  </si>
  <si>
    <t>0.5 MGD</t>
  </si>
  <si>
    <t>WASDE(2011)</t>
  </si>
  <si>
    <t>Washington</t>
  </si>
  <si>
    <t>1 MGD</t>
  </si>
  <si>
    <t>Extended aeration with diffused aeration system.</t>
  </si>
  <si>
    <t>TF + SubF</t>
  </si>
  <si>
    <t>Extended aeration with mechanical aerators.</t>
  </si>
  <si>
    <t>10 MGD</t>
  </si>
  <si>
    <t>150 MGD</t>
  </si>
  <si>
    <t>2 MGD</t>
  </si>
  <si>
    <t>20 MGD</t>
  </si>
  <si>
    <t>High-purity oxygen activated sludge plant</t>
  </si>
  <si>
    <t>220 MGD</t>
  </si>
  <si>
    <t>5 MGD</t>
  </si>
  <si>
    <t>50 MGD</t>
  </si>
  <si>
    <t>AS + Dfil</t>
  </si>
  <si>
    <t>Not Reported</t>
  </si>
  <si>
    <t>0.36 MGD</t>
  </si>
  <si>
    <t>USEPA (1999)</t>
  </si>
  <si>
    <t>Maryland</t>
  </si>
  <si>
    <t>Federalsburg WWTP</t>
  </si>
  <si>
    <t>Dfil + OX</t>
  </si>
  <si>
    <t>1.37 MGD</t>
  </si>
  <si>
    <t>Elkton WWTP</t>
  </si>
  <si>
    <t>BNR</t>
  </si>
  <si>
    <t>0.1 MGD</t>
  </si>
  <si>
    <t xml:space="preserve"> CBP (2002)</t>
  </si>
  <si>
    <t>DC/MD/VA/PA</t>
  </si>
  <si>
    <t>1.0 MGD</t>
  </si>
  <si>
    <t>30 MGD</t>
  </si>
  <si>
    <t>AS + MLE + ChPr + MiFil + RO</t>
  </si>
  <si>
    <t>AS + MLE + ChPr</t>
  </si>
  <si>
    <t>AS + Bpho</t>
  </si>
  <si>
    <t>33.4 MGD</t>
  </si>
  <si>
    <t>WERF(2005)</t>
  </si>
  <si>
    <t>Illinois</t>
  </si>
  <si>
    <t>Dfil</t>
  </si>
  <si>
    <t>3.5 MGD</t>
  </si>
  <si>
    <t>7 MGD</t>
  </si>
  <si>
    <t>North Carolina</t>
  </si>
  <si>
    <t>TF w SubF</t>
  </si>
  <si>
    <t>RBC + AS + Dfil</t>
  </si>
  <si>
    <t>0.30 MGD</t>
  </si>
  <si>
    <t>Winebrenner WWTP</t>
  </si>
  <si>
    <t xml:space="preserve">AS </t>
  </si>
  <si>
    <t>0.32 MGD</t>
  </si>
  <si>
    <t>Indian Head WWTP - Conversion to anoxic and aerobic zones</t>
  </si>
  <si>
    <t>AS + CA</t>
  </si>
  <si>
    <t>0.325 MGD</t>
  </si>
  <si>
    <t>Brunswick WWTP</t>
  </si>
  <si>
    <t>OX + GR</t>
  </si>
  <si>
    <t>0.626 MGD</t>
  </si>
  <si>
    <t>Georges Creek WWTP</t>
  </si>
  <si>
    <t>AS + AL + SF</t>
  </si>
  <si>
    <t>0.65 MGD</t>
  </si>
  <si>
    <t>Chestertown WWTP</t>
  </si>
  <si>
    <t>AS + MLE</t>
  </si>
  <si>
    <t>7.55 MGD</t>
  </si>
  <si>
    <t>Mattawoman WWTP</t>
  </si>
  <si>
    <t>AS + IFAS + BAF</t>
  </si>
  <si>
    <t>24.9 MGD</t>
  </si>
  <si>
    <t>New York</t>
  </si>
  <si>
    <t>Binghamton-Johnson City Joint Sewage Treatment Plant</t>
  </si>
  <si>
    <t>TF + AS + BAF</t>
  </si>
  <si>
    <t>7.39 MGD</t>
  </si>
  <si>
    <t>Endicott WWTP</t>
  </si>
  <si>
    <t>AO + CA + AS + ChPr</t>
  </si>
  <si>
    <t>13.1 MGD</t>
  </si>
  <si>
    <t>Pennsylvania</t>
  </si>
  <si>
    <t>York City Sewer Authority STP</t>
  </si>
  <si>
    <t>13.8 MGD</t>
  </si>
  <si>
    <t>Scranton Sewer Authority WWTP</t>
  </si>
  <si>
    <t>SBR + CA + MLE</t>
  </si>
  <si>
    <t>22.3 MGD</t>
  </si>
  <si>
    <t>Wyoming Valley Sanitary Authority WWTP</t>
  </si>
  <si>
    <t>AL + Dfil + ChPr</t>
  </si>
  <si>
    <t>23.4 MGD</t>
  </si>
  <si>
    <t>Lancaster City WWTP</t>
  </si>
  <si>
    <t>AS + MLE + BAF</t>
  </si>
  <si>
    <t>24 MGD</t>
  </si>
  <si>
    <t>Harrisburg WWTP</t>
  </si>
  <si>
    <t>OX + CA</t>
  </si>
  <si>
    <t>3.46 MGD</t>
  </si>
  <si>
    <t>Hanover Area Regional WWTP</t>
  </si>
  <si>
    <t>TF + IFAS + Dfil +MLE</t>
  </si>
  <si>
    <t>4.5 MGD</t>
  </si>
  <si>
    <t>Chambersburg WWTP</t>
  </si>
  <si>
    <t>AO + MLE</t>
  </si>
  <si>
    <t>University Area Joint Authority</t>
  </si>
  <si>
    <t>Throop WWTP Lackawanna River Basin Sewer Authority</t>
  </si>
  <si>
    <t>AS + SBR+ TF + Dfil</t>
  </si>
  <si>
    <t>5.7 MGD</t>
  </si>
  <si>
    <t>Lebanon WWTP</t>
  </si>
  <si>
    <t>6.2 MGD</t>
  </si>
  <si>
    <t>Greater Hazelton Joint  Sewer Authority WWTP</t>
  </si>
  <si>
    <t>6.67 MGD</t>
  </si>
  <si>
    <t>Altoona City Authority Easterly Plant - Anoxic zone added to first cell of each flow train</t>
  </si>
  <si>
    <t>8.98 MGD</t>
  </si>
  <si>
    <t>Williamsport Sanitary Authority Central Plant - Installation of 3 anoxic cells in each train</t>
  </si>
  <si>
    <t>9.14 MGD</t>
  </si>
  <si>
    <t>9.45 MGD</t>
  </si>
  <si>
    <t>Susquehanna Water Pollution Control Plant, Lancaster Area Sewer Authority</t>
  </si>
  <si>
    <t>0.28 MGD</t>
  </si>
  <si>
    <t>Dahlgren WWTP</t>
  </si>
  <si>
    <t>AS + CA + MLE + Bpho</t>
  </si>
  <si>
    <t>0.491 MGD</t>
  </si>
  <si>
    <t>Dupont Waynesboro WWTP</t>
  </si>
  <si>
    <t>0.6 MGD</t>
  </si>
  <si>
    <t>Strasburg WWTP</t>
  </si>
  <si>
    <t>0.64 MGD</t>
  </si>
  <si>
    <t>Colonial Beach WWTP</t>
  </si>
  <si>
    <t>0.77 MGD</t>
  </si>
  <si>
    <t>Woodstock WWTP</t>
  </si>
  <si>
    <t>0.98 MGD</t>
  </si>
  <si>
    <t>Stuarts Draft</t>
  </si>
  <si>
    <t>Purcellville</t>
  </si>
  <si>
    <t xml:space="preserve">OX + CA </t>
  </si>
  <si>
    <t>1.09 MGD</t>
  </si>
  <si>
    <t>Parkins Mill WWTP</t>
  </si>
  <si>
    <t>1.3 MGD</t>
  </si>
  <si>
    <t>12.8 MGD</t>
  </si>
  <si>
    <t>H.L. Mooney WWTP</t>
  </si>
  <si>
    <t>2.27 MGD</t>
  </si>
  <si>
    <t>Front Royal WWTP</t>
  </si>
  <si>
    <t>TF + AS + BPR</t>
  </si>
  <si>
    <t>2.86 MGD</t>
  </si>
  <si>
    <t>Leesburg Water Pollution Control Facility</t>
  </si>
  <si>
    <t>3.0 / 2.13 MGD</t>
  </si>
  <si>
    <t>TF + RBC + Dfil</t>
  </si>
  <si>
    <t>3.63 MGD</t>
  </si>
  <si>
    <t>Waynesboro WWTP</t>
  </si>
  <si>
    <t>3.65 MGD</t>
  </si>
  <si>
    <t>Middle River/Verona WWTP</t>
  </si>
  <si>
    <t>AS + SBR</t>
  </si>
  <si>
    <t>32.4 MGD</t>
  </si>
  <si>
    <t>Arlington WWTP</t>
  </si>
  <si>
    <t>AS + BPR</t>
  </si>
  <si>
    <t>5.14 MGD</t>
  </si>
  <si>
    <t>City of Winchester Opequon WRF</t>
  </si>
  <si>
    <t>8 MGD</t>
  </si>
  <si>
    <t>Harrisonburg WWTP - Anoxic zones</t>
  </si>
  <si>
    <t>52 MGD</t>
  </si>
  <si>
    <t>Hernandez-Sancho(2011)</t>
  </si>
  <si>
    <t>de Novo</t>
  </si>
  <si>
    <t>Spain</t>
  </si>
  <si>
    <t>Capital and O&amp;M costs were not reported. Instead an average annualized total project cost was reported for 58 WWTPs. Capital cost units are $/gpd-year. Costs were converted to dollars from euros using 2007 average exchange rates (0.760 euros per dollar; http://www.irs.gov/Individuals/International-Taxpayers/Yearly-Average-Currency-Exchange-Rates).</t>
  </si>
  <si>
    <t>UF or MemBR or RO</t>
  </si>
  <si>
    <t>122 MGD</t>
  </si>
  <si>
    <t>Capital and O&amp;M costs were not reported. Instead an average annualized total project cost was reported for 16 WWTPs. Capital cost units are $/gpd-year. Costs were converted to dollars from euros using 2007 average exchange rates (0.760 euros per dollar; http://www.irs.gov/Individuals/International-Taxpayers/Yearly-Average-Currency-Exchange-Rates).</t>
  </si>
  <si>
    <t>2.17 MGD</t>
  </si>
  <si>
    <t>23.8 MGD</t>
  </si>
  <si>
    <t>237 MGD</t>
  </si>
  <si>
    <t>250 MGD</t>
  </si>
  <si>
    <t>683 MGD</t>
  </si>
  <si>
    <t>8.18 MGD</t>
  </si>
  <si>
    <t>Florida</t>
  </si>
  <si>
    <t>40 MGD</t>
  </si>
  <si>
    <t>75 MGD</t>
  </si>
  <si>
    <t>110 MGD</t>
  </si>
  <si>
    <t>145 MGD</t>
  </si>
  <si>
    <t>0.7 MGD</t>
  </si>
  <si>
    <t>Crisfield WWTP</t>
  </si>
  <si>
    <t>AS + SBR + IFAS</t>
  </si>
  <si>
    <t>Williamsport Sanitary Authority West</t>
  </si>
  <si>
    <t xml:space="preserve">A2O + CAC </t>
  </si>
  <si>
    <t>A20 + CAC + 3Clar</t>
  </si>
  <si>
    <t>A20 + CAC + 3Clar + Fil</t>
  </si>
  <si>
    <t>A20 + CAC + 3Clar + GAAl</t>
  </si>
  <si>
    <t>A20 + CAC + 3Clar + UF</t>
  </si>
  <si>
    <t xml:space="preserve">A2O+CAC </t>
  </si>
  <si>
    <t>OX + ChPr</t>
  </si>
  <si>
    <t>MNESERB(2004)</t>
  </si>
  <si>
    <t>Minnesota</t>
  </si>
  <si>
    <t>OX + AO + ChPr</t>
  </si>
  <si>
    <t>0.66 MGD</t>
  </si>
  <si>
    <t>AL + ChPr</t>
  </si>
  <si>
    <t>0.76 MGD</t>
  </si>
  <si>
    <t>TF + AS + AO + ChPr (w/out dairy)</t>
  </si>
  <si>
    <t>0.8 MGD</t>
  </si>
  <si>
    <t>TF + AS + ChPr (w/out dairy)</t>
  </si>
  <si>
    <t>TF + AS + ChPr</t>
  </si>
  <si>
    <t>TF + ChPr</t>
  </si>
  <si>
    <t>1.06 MGD</t>
  </si>
  <si>
    <t>1.4 MGD</t>
  </si>
  <si>
    <t>1.5 MGD</t>
  </si>
  <si>
    <t>TF + AS + AO</t>
  </si>
  <si>
    <t>CA + AO + ChPr</t>
  </si>
  <si>
    <t>10.8 MGD</t>
  </si>
  <si>
    <t>CA + ChPr</t>
  </si>
  <si>
    <t>AB + AO + ChPr</t>
  </si>
  <si>
    <t>13.2 MGD</t>
  </si>
  <si>
    <t>AB + ChPr</t>
  </si>
  <si>
    <t>AS + AO + ChPr</t>
  </si>
  <si>
    <t>2.1 MGD</t>
  </si>
  <si>
    <t>2.5 MGD</t>
  </si>
  <si>
    <t>AS + ChPr</t>
  </si>
  <si>
    <t>AS + AO</t>
  </si>
  <si>
    <t>2.6 MGD</t>
  </si>
  <si>
    <t>RBC + ChPr</t>
  </si>
  <si>
    <t>2.61 MGD</t>
  </si>
  <si>
    <t>AB + AO</t>
  </si>
  <si>
    <t>3.9 MGD</t>
  </si>
  <si>
    <t>4.1 MGD</t>
  </si>
  <si>
    <t>OX + AO</t>
  </si>
  <si>
    <t>CA + AO</t>
  </si>
  <si>
    <t>Not Applicable</t>
  </si>
  <si>
    <t>0.33 MGD</t>
  </si>
  <si>
    <t>Keplinger(2003)</t>
  </si>
  <si>
    <t>Texas</t>
  </si>
  <si>
    <t>Unit</t>
  </si>
  <si>
    <t>Annual O&amp;M Cost ($2012/Unit)</t>
  </si>
  <si>
    <t>AAL + AS + MLE + Dfil + CA</t>
  </si>
  <si>
    <t>$/gpd</t>
  </si>
  <si>
    <t>1.1 MGD</t>
  </si>
  <si>
    <t>Rocco Farm Foods WWTP</t>
  </si>
  <si>
    <t>MLE + ChPr</t>
  </si>
  <si>
    <t>$/Facility</t>
  </si>
  <si>
    <t>USEPA (2004)</t>
  </si>
  <si>
    <t>Average cost from upgrading existing partial nitrification process. Achieves partial denitrification. Applicable to slaughterhous and meat packinghouses (regulatory subcategories A - I of Meat and Poultry Poducts Point Source Categories - 40 CFR 432).</t>
  </si>
  <si>
    <t>Average cost from upgrading existing partial nitrification process. Achieves complete denitrification. Applicable to slaughterhous and meat packinghouses (regulatory subcategories A - I of Meat and Poultry Poducts Point Source Categories - 40 CFR 432).</t>
  </si>
  <si>
    <t>Average cost from upgrading existing partial nitrification process. Achieves partial denitrification. Applicable to non-poultry meat processors (regulatory subcategories A - I of Meat and Poultry Poducts Point Source Categories - 40 CFR 432).</t>
  </si>
  <si>
    <t>Average cost from upgrading existing partial nitrification process. Achieves complete denitrification. Applicable to non-poultry meat processors (regulatory subcategories A - I of Meat and Poultry Poducts Point Source Categories - 40 CFR 432).</t>
  </si>
  <si>
    <t>Average cost from upgrading existing partial nitrification process. Achieves partial denitrification. Applicable to renders (regulatory  subcategory J of Meat and Poultry Poducts Point Source Categories - 40 CFR 432).</t>
  </si>
  <si>
    <t>Average cost from upgrading existing partial nitrification process. Achieves partial denitrification. Applicable to renders (regulatory  subcategory J  of Meat and Poultry Poducts Point Source Categories - 40 CFR 432).</t>
  </si>
  <si>
    <t>Average cost from upgrading existing partial nitrification process. Achieves partial denitrification. Applicable to poultry processors (regulatory subcategory K of Meat and Poultry Poducts Point Source Categories - 40 CFR 432).</t>
  </si>
  <si>
    <t>Average cost from upgrading existing partial nitrification process. Achieves complete denitrification. Applicable to poultry processors (regulatory subcategory K of Meat and Poultry Poducts Point Source Categories - 40 CFR 432).</t>
  </si>
  <si>
    <t>Average cost from upgrading existing partial nitrification process. Achieves partial denitrification. Applicable to poultry post-processors (regulatory subcategory L of Meat and Poultry Poducts Point Source Categories - 40 CFR 432).</t>
  </si>
  <si>
    <t>Average cost from upgrading existing partial nitrification process. Achieves complete denitrification. Applicable to poultry post-processors (regulatory subcategory L of Meat and Poultry Poducts Point Source Categories - 40 CFR 432).</t>
  </si>
  <si>
    <t>Average cost from upgrading existing partial nitrification process. Achieves complete denitrification. Applicable to renders (regulatory subcategory J of Meat and Poultry Poducts Point Source Categories - 40 CFR 432).</t>
  </si>
  <si>
    <t>Average cost from upgrading existing partial nitrification process. Applicable to slaughterhous and meat packinghouses (regulatory subcategories A - I of Meat and Poultry Poducts Point Source Categories - 40 CFR 432).</t>
  </si>
  <si>
    <t>Average cost from upgrading existing partial nitrification process. Applicable to non-poultry meat processors (regulatory subcategories A - I of Meat and Poultry Poducts Point Source Categories - 40 CFR 432).</t>
  </si>
  <si>
    <t>Average cost from upgrading existing partial nitrification process. Applicable to renders (regulatory  subcategory J  of Meat and Poultry Poducts Point Source Categories - 40 CFR 432).</t>
  </si>
  <si>
    <t>Average cost from upgrading existing partial nitrification process. Applicable to poultry processors (regulatory subcategory K of Meat and Poultry Poducts Point Source Categories - 40 CFR 432).</t>
  </si>
  <si>
    <t>Average cost from upgrading existing partial nitrification process. Applicable to poultry post-processors (regulatory subcategory L of Meat and Poultry Poducts Point Source Categories - 40 CFR 432).</t>
  </si>
  <si>
    <t>Muliple-Residence Septic System with Nitrification/Denitrification</t>
  </si>
  <si>
    <t>0.0044 MGD</t>
  </si>
  <si>
    <t>Barnstable(2010)</t>
  </si>
  <si>
    <t>Massachusetts</t>
  </si>
  <si>
    <t>Satellite Treatment Systems/Package Plants</t>
  </si>
  <si>
    <t>0.05 MGD</t>
  </si>
  <si>
    <t>0.2 MGD</t>
  </si>
  <si>
    <t>0.3 MGD</t>
  </si>
  <si>
    <t>Single-Residence Septic System</t>
  </si>
  <si>
    <t>0.000175 MGD</t>
  </si>
  <si>
    <t>Single-Residence Septic System with Denitrification</t>
  </si>
  <si>
    <t>Muliple-Residence Septic System with Denitrification</t>
  </si>
  <si>
    <t>SBR + MemBr</t>
  </si>
  <si>
    <t>0.00033 MGD</t>
  </si>
  <si>
    <t>USEPA(2003)</t>
  </si>
  <si>
    <t>0.03 MGD</t>
  </si>
  <si>
    <t>0.08 MGD</t>
  </si>
  <si>
    <t>0.09 MGD</t>
  </si>
  <si>
    <t>Nonpoint Source Control Cost Overview</t>
  </si>
  <si>
    <t>PARAMETER</t>
  </si>
  <si>
    <t>NO3</t>
  </si>
  <si>
    <t>Nitrate an N</t>
  </si>
  <si>
    <t>Total Nitrogen</t>
  </si>
  <si>
    <t>TECHNOLOGY</t>
  </si>
  <si>
    <t>Urban Runoff (UR)</t>
  </si>
  <si>
    <t>BB</t>
  </si>
  <si>
    <t>Baffle Boxes</t>
  </si>
  <si>
    <t>BR</t>
  </si>
  <si>
    <t>Bioretention</t>
  </si>
  <si>
    <t>BS</t>
  </si>
  <si>
    <t>Bioswale</t>
  </si>
  <si>
    <t>ChPrcp</t>
  </si>
  <si>
    <t>Chemically Assisted Precipitation</t>
  </si>
  <si>
    <t>DB</t>
  </si>
  <si>
    <t>Detention Basin</t>
  </si>
  <si>
    <t>FA</t>
  </si>
  <si>
    <t>Fertilizer Application</t>
  </si>
  <si>
    <t>Media Filtration</t>
  </si>
  <si>
    <t>HS</t>
  </si>
  <si>
    <t>Hydrodynamic Structures</t>
  </si>
  <si>
    <t>IB</t>
  </si>
  <si>
    <t>Infiltration Basin</t>
  </si>
  <si>
    <t>Correction/Removal of Illicit Discharges</t>
  </si>
  <si>
    <t>Imp</t>
  </si>
  <si>
    <t>Reduce Impervious Surface Area</t>
  </si>
  <si>
    <t>IT</t>
  </si>
  <si>
    <t>Infiltration Trench</t>
  </si>
  <si>
    <t>Pet</t>
  </si>
  <si>
    <t>Pet Waste Program</t>
  </si>
  <si>
    <t>PP</t>
  </si>
  <si>
    <t>Porous Pavement</t>
  </si>
  <si>
    <t>SS</t>
  </si>
  <si>
    <t>Street Sweeping</t>
  </si>
  <si>
    <t>SWF</t>
  </si>
  <si>
    <t>Storm Water Filtration</t>
  </si>
  <si>
    <t>WB</t>
  </si>
  <si>
    <t>Wetland Basin</t>
  </si>
  <si>
    <t>Wetland</t>
  </si>
  <si>
    <t>COST ESTIMATE BASIS</t>
  </si>
  <si>
    <t>Removal Performance</t>
  </si>
  <si>
    <t>Total Capital Cost (2012 dollars)</t>
  </si>
  <si>
    <t>Capital Cost Unit</t>
  </si>
  <si>
    <t>Cost per Mass Pollutant Treated</t>
  </si>
  <si>
    <t>$/acre</t>
  </si>
  <si>
    <t>Reduced P fertilization</t>
  </si>
  <si>
    <t>Capital Cost Year</t>
  </si>
  <si>
    <t>Based on a 20 year cost. Applicable to new, suburban construction; A/B soils with no underdrain.</t>
  </si>
  <si>
    <t>Based on a 20 year cost. Applicable to new, suburban construction; A/B soils with an underdrain.</t>
  </si>
  <si>
    <t>Based on a 20 year cost. Applicable to new, suburban construction; C/D soils with an underdrain.</t>
  </si>
  <si>
    <t>Based on a 20 year cost. Applicable to a high density urban retrofit units; C soils.</t>
  </si>
  <si>
    <t xml:space="preserve">Based on a 20 year cost. </t>
  </si>
  <si>
    <t>Based on a 20 year cost. Above ground sand filters</t>
  </si>
  <si>
    <t>Based on a 20 year cost. Below ground sand filters</t>
  </si>
  <si>
    <t>FB</t>
  </si>
  <si>
    <t>Based on a 20 year cost. Correction of sanitary &amp; storm sewer cross connections.</t>
  </si>
  <si>
    <t>Based on a 20 year cost. Sewer repair.</t>
  </si>
  <si>
    <t>Based on a 20 year cost. With sand and vegetation.</t>
  </si>
  <si>
    <t>Based on a 20 year cost. Without sand and vegetation</t>
  </si>
  <si>
    <t>Based on a 20 year cost. Sand, vegetation, A/B soils, and no underdrain.</t>
  </si>
  <si>
    <t>Based on a 20 year cost. Sand, vegetation, A/B soils and an underdrain.</t>
  </si>
  <si>
    <t>Based on a 20 year cost. Sand, vegetation, C/D soils and an underdrain.</t>
  </si>
  <si>
    <t>Based on a 20 year cost. Vegetation, no sand, A/B soils and no underdrain.</t>
  </si>
  <si>
    <t>Based on a 20 year cost. Vegetation, no sand, A/B soils and an underdrain.</t>
  </si>
  <si>
    <t>Based on a 20 year cost. Vegetation, no sand, C/D soils, and an underdrain.</t>
  </si>
  <si>
    <t>Based on a 20 year cost. Estimated based on the mass loading method.</t>
  </si>
  <si>
    <t>Based on a 20 year cost. Estimated based on the street lane method.</t>
  </si>
  <si>
    <t>Low Density Residential (assumed av size of 200 ac); Existing N Concentration: 1.24 mg/l</t>
  </si>
  <si>
    <t>Medium Density Residential (assumed av size of 200 ac); Existing N Concentration: 1.53 mg/l</t>
  </si>
  <si>
    <t>High Density Residential (assumed av size of 200 ac); Existing N Concentration: 1.99 mg/l</t>
  </si>
  <si>
    <t>Other Urban, Mixed Commercial (assumed av size of 200 ac); Existing N Concentration: 1.51 mg/l</t>
  </si>
  <si>
    <t>Low Density Residential (assumed av size of 200 ac); Existing P Concentration: 0.12 mg/l</t>
  </si>
  <si>
    <t>Medium Density Residential (assumed av size of 200 ac); Existing P Concentration: 0.3 mg/l</t>
  </si>
  <si>
    <t>High Density Residential (assumed av size of 200 ac); Existing P Concentration: 0.55mg/l</t>
  </si>
  <si>
    <t>Medium Density with Mixed Commercial (assumed av size of 200 ac); Existing P Concentration: 0.30 mg/l</t>
  </si>
  <si>
    <t xml:space="preserve"> $/m3 water treated</t>
  </si>
  <si>
    <t>26 m3</t>
  </si>
  <si>
    <t>Maine, New Jersey, Pennsylvania, Michigan, Wisconsin, Iowa, Minnesota, and northern parts of Indiana, Illinois, and Ohio</t>
  </si>
  <si>
    <t>100 m3</t>
  </si>
  <si>
    <t>500 m3</t>
  </si>
  <si>
    <t>990 m3</t>
  </si>
  <si>
    <t>85 m3</t>
  </si>
  <si>
    <t>1000 m3</t>
  </si>
  <si>
    <t>10000 m3</t>
  </si>
  <si>
    <t>100000 m3</t>
  </si>
  <si>
    <t>13 m3</t>
  </si>
  <si>
    <t>50 m3</t>
  </si>
  <si>
    <t>250 m3</t>
  </si>
  <si>
    <t>870 m3</t>
  </si>
  <si>
    <t>3 m3</t>
  </si>
  <si>
    <t>15 m3</t>
  </si>
  <si>
    <t>5500 m3</t>
  </si>
  <si>
    <t>SWF + ChPrcp</t>
  </si>
  <si>
    <t>410 m3</t>
  </si>
  <si>
    <t>150000 m3</t>
  </si>
  <si>
    <t>215000 m3</t>
  </si>
  <si>
    <t>200 m3</t>
  </si>
  <si>
    <t>50000 m3</t>
  </si>
  <si>
    <t>2921 $/lb removed</t>
  </si>
  <si>
    <t>3312 $/lb removed</t>
  </si>
  <si>
    <t>5519 $/lb removed</t>
  </si>
  <si>
    <t>12446 $/lb removed</t>
  </si>
  <si>
    <t>2642 $/lb removed</t>
  </si>
  <si>
    <t>21052 $/lb removed</t>
  </si>
  <si>
    <t>10525 $/lb removed</t>
  </si>
  <si>
    <t>4521 $/lb removed</t>
  </si>
  <si>
    <t>4919 $/lb removed</t>
  </si>
  <si>
    <t>1843 $/lb removed</t>
  </si>
  <si>
    <t>32723 $/lb removed</t>
  </si>
  <si>
    <t>71 $/lb removed</t>
  </si>
  <si>
    <t>35 $/lb removed</t>
  </si>
  <si>
    <t>7322 $/lb removed</t>
  </si>
  <si>
    <t>3383 $/lb removed</t>
  </si>
  <si>
    <t>3237 $/lb removed</t>
  </si>
  <si>
    <t>17509 $/lb removed</t>
  </si>
  <si>
    <t>28015 $/lb removed</t>
  </si>
  <si>
    <t>70039 $/lb removed</t>
  </si>
  <si>
    <t>12509 $/lb removed</t>
  </si>
  <si>
    <t>20013 $/lb removed</t>
  </si>
  <si>
    <t>50025 $/lb removed</t>
  </si>
  <si>
    <t>3.35 $/lb removed</t>
  </si>
  <si>
    <t>3459 $/lb removed</t>
  </si>
  <si>
    <t>15647 $/lb removed</t>
  </si>
  <si>
    <t>Water Body Type(s)</t>
  </si>
  <si>
    <t>Activity Category</t>
  </si>
  <si>
    <t>Activity Description</t>
  </si>
  <si>
    <t>Name/Location</t>
  </si>
  <si>
    <t>Data sources</t>
  </si>
  <si>
    <t>USEPA (2001a)</t>
  </si>
  <si>
    <t>All</t>
  </si>
  <si>
    <t>TMDL</t>
  </si>
  <si>
    <t>The cost of developing TMDLs (excluding monitoring costs).  Cost per single cause of impairment (single TMDL).</t>
  </si>
  <si>
    <t>Nationwide</t>
  </si>
  <si>
    <t>2000-2015</t>
  </si>
  <si>
    <t>All resources for which there are TMDLs</t>
  </si>
  <si>
    <t>Not assessed separately</t>
  </si>
  <si>
    <t>USEPA (2001b) (Study supporting document)</t>
  </si>
  <si>
    <t xml:space="preserve">Government analyses </t>
  </si>
  <si>
    <t>$37,000 on average nationally per cause; typically range from $7,000 to $205,000</t>
  </si>
  <si>
    <t xml:space="preserve">Presented cost are not specific to nutrients.  These costs could be higher or lower by 10%, depending on the pace that states adopt the most efficient approaches to develop TMDLs. </t>
  </si>
  <si>
    <t>The cost of developing TMDLs (excluding monitoring costs).  Cost per single water body of impairment (one or more TMDL).</t>
  </si>
  <si>
    <t>$69,000 on average nationally per cause; typically range from $35,000 to over $666,000 (depending on the complexity and number of TMDLs)</t>
  </si>
  <si>
    <t>Presented cost are not specific to nutrients. These costs could be higher or lower by 10%, depending on the pace that states adopt the most efficient approaches to develop TMDLs.  Clustering TMDLs on a watershed scale significantly reduces costs.</t>
  </si>
  <si>
    <t>The cost of preparing TMDL submission.</t>
  </si>
  <si>
    <t>$200,000 on average nationally (which typically may cover 5-6 TMDLs); typically range from $26,000 (single TMDL) to over $1,333,000 (depending on the number of water bodies and TMDLs included in the submission)</t>
  </si>
  <si>
    <t>Presented cost are not specific to nutrients.</t>
  </si>
  <si>
    <t>Shilling, et al. (2005)</t>
  </si>
  <si>
    <t>Watershed Planning</t>
  </si>
  <si>
    <t>Costs associated with completing a watershed assessment.</t>
  </si>
  <si>
    <t>California</t>
  </si>
  <si>
    <t>Watershed Assessment Manual</t>
  </si>
  <si>
    <t>See Chapter 2; Page 28</t>
  </si>
  <si>
    <t>Compilation of costs from completed watershed assessments in California.</t>
  </si>
  <si>
    <t>The California Bay-Delta Authority’s (CALFED) Watershed Program has awarded grants in 2001 &amp; 2002 ranging from $114,000 to $906,000 for projects described as watershed assessments. In the central coast, combined watershed assessment and watershed enhancement plans that include field-work performed by consultants generally average about $235,000-294,000 for a 40 square-mile (26,000-acre) watershed.</t>
  </si>
  <si>
    <t>Costs are related to watershed assessments are not associated with any particular pollutant..</t>
  </si>
  <si>
    <t>Oregon</t>
  </si>
  <si>
    <t>Compilation of costs from completed watershed assessments in Oregon.</t>
  </si>
  <si>
    <t>In Oregon, assessments based on the state manual have ranged from about $700 to almost $470,000 for fifth-field watershed-level assessments (at 60,000-acre scale), with 90% costing less than $118,000 and consultant-prepared assessments at the higher end.</t>
  </si>
  <si>
    <t>Breetz, et al. (2004)</t>
  </si>
  <si>
    <t>River/Stream</t>
  </si>
  <si>
    <t>Pollutant Trading</t>
  </si>
  <si>
    <t>Details regarding water quality trading for Boulder Creek.  Case study includes costs regarding Nitrogen.</t>
  </si>
  <si>
    <t>Colorado</t>
  </si>
  <si>
    <t xml:space="preserve">See Page 29 for the program background and Page 34 for a administrative cost details. </t>
  </si>
  <si>
    <t xml:space="preserve">Compilation of administrative costs. </t>
  </si>
  <si>
    <t>The Phase I demonstration project cost $152,000, and is estimated to value $518,000, including donated time, labor, and materials. Phase II funding was also $152,000. Phase III was funded for $91,000, and Phase IV is estimated at $273,000. The total cost was estimated at $1.58-1.70 million. Costs included the costs of gathering data for planning and evaluation, construction, materials, labor, and time. The overall cost was brought down by the donation of volunteer labor, time, materials, and land easements from landowners.</t>
  </si>
  <si>
    <t>Lake/Reservoir</t>
  </si>
  <si>
    <t>Details regarding water quality trading for Chatfield Reservoir. Case study includes costs regarding Phosphorus.</t>
  </si>
  <si>
    <t>Phosphorus trading program.</t>
  </si>
  <si>
    <t xml:space="preserve">See Page 37 for the program background and Page 41 for a administrative cost details. </t>
  </si>
  <si>
    <t>A $122 application fee to cover administrative costs is required for point sources to apply for increased discharge through trading. Credits that enter the pool are sold at a price that reflects the cost of nonpoint source reduction projects, costs associated with the pooling program, and costs incurred by the Authority to administer the trading program . Exact costs were unknown, but the monitoring program had been estimated to cost $71,000/year.</t>
  </si>
  <si>
    <t>Details regarding water quality trading for Cherry Creek. Case study includes costs regarding Phosphorus.</t>
  </si>
  <si>
    <t xml:space="preserve">See Page 44 for the program background and Page 52 for a administrative cost details. </t>
  </si>
  <si>
    <t>Coming from a combination of property taxes and user fees, the Authority’s budget for 2003 was $1.7 million, of which at least 60% had to be spent on the construction and maintenance of PRFs. The remaining 40% is used in research, planning documents, technical reports, and administrative costs. State grants finance a smaller portion of the Authority’s work, particularly that involving educational campaigns about nonpoint source pollution and construction of PRFs.</t>
  </si>
  <si>
    <t>Estuary</t>
  </si>
  <si>
    <t>Details regarding water quality trading for Long Island Sound.  Case study includes costs regarding Nitrogen.</t>
  </si>
  <si>
    <t>Connecticut</t>
  </si>
  <si>
    <t>Nitrogen trading program .</t>
  </si>
  <si>
    <t xml:space="preserve">See Page 80 for the program background and Page 86 for a administrative cost details. </t>
  </si>
  <si>
    <t>The trading program at Long Island Sound has carried out two years of credit exchange with relatively limited financial resources, besides the state and federal funds used to implement nitrogen removal projects. The CTDEP currently employs between four and five individuals to work on the Nitrogen Credit Exchange, the equivalent of two full-time employees. All members of the Nitrogen Credit Advisory Board complete their work for the program without monetary compensation.</t>
  </si>
  <si>
    <t xml:space="preserve">See Page 176 for the program background and Page 179 for a administrative cost details. </t>
  </si>
  <si>
    <t>Transaction costs were estimated between the permitting and implementation phases. During the two-year permitting phase Rahr spent about $20,000 ($14,600 for consultants and $5,500 for staff time), while the MPCA spent about $63,000 on staff time. During the implementation phase, Rahr spent about $2,700 on staff time, the MPCA spent about $40,000 on staff time, a local citizen’s group spent about $900, and nonpoint sources spent about $600 on legal assistance. The grand total for transaction costs during these two phases was about $128,000, 81% of which were borne by the MPCA as it designed the overall trading structure.</t>
  </si>
  <si>
    <t>The transaction costs (which include administrative costs) associated with this trading program were high because there was no water quality trading precedent in Minnesota. Rahr and the MPCA had to design a permit and trading framework, determine the effectiveness of BMPs, negotiate with landowners, write detailed contracts, and monitor the implementation of nonpoint source controls. The participation of CCMR in identifying trades significantly helped to reduce transaction costs.</t>
  </si>
  <si>
    <t>Watershed</t>
  </si>
  <si>
    <t>Details regarding water quality offset for the New York City Watershed.  Case study includes costs regarding Phosphorus.</t>
  </si>
  <si>
    <t xml:space="preserve">See Page 207 for the program background and Page 214 for a administrative cost details. </t>
  </si>
  <si>
    <t xml:space="preserve">For development of the comprehensive strategies in the Croton System, the NYC DEP allocated up to $1.2 million to each county required to develop a water quality protection plan. </t>
  </si>
  <si>
    <t>Details regarding water quality trading for the Tar-Pamlico River Basin.  Case study includes costs regarding Nitrogen and Phosphorus.</t>
  </si>
  <si>
    <t>Nitrogen and Phosphorus trading program.</t>
  </si>
  <si>
    <t>See Page 226 for the program background  and Page 230 for a administrative cost details.</t>
  </si>
  <si>
    <t>The Tar-Pamlico Basin Association gave $182,000 to the DEM during Phase I to fund a staff position, and the trading ratio includes 10% for administrative costs.</t>
  </si>
  <si>
    <t>Details regarding water quality trading for the Great Miami River Watershed Trading Pilot Program.  Case study includes costs regarding Nitrogen and Phosphorus.</t>
  </si>
  <si>
    <t>Ohio</t>
  </si>
  <si>
    <t xml:space="preserve">See Page 238 for the program background and Page 243 for administrative cost details. </t>
  </si>
  <si>
    <t>The Conservation Innovation Grant anticipates a three-year project cost of $2,430,810 including $607,000 to fund BMPs. For the grant, the Program receives in-kind support primarily in the form of water quality monitoring and the training of soil and water conservation professionals by other organizations.</t>
  </si>
  <si>
    <t>Assessemnt of a request for proposal program for long-term verified nutrient credits</t>
  </si>
  <si>
    <t>Nitrogen and Phosphorus trading program to meet Chesapeake Bay TMDL requirements</t>
  </si>
  <si>
    <t>PENNVEST</t>
  </si>
  <si>
    <t>Compilation of trading costs.</t>
  </si>
  <si>
    <t>As of November  30, 2012, 38 trades occurred; nitrogen and phosphorus credits traded at costs ranging from $1.25 to $4 per pound.</t>
  </si>
  <si>
    <t xml:space="preserve">Does not include the administrative costs incurred by PENNVEST serving as credit clearinghouse. </t>
  </si>
  <si>
    <t>Ferm</t>
  </si>
  <si>
    <t>Fermenter</t>
  </si>
  <si>
    <t>POD</t>
  </si>
  <si>
    <t>Phased Oxidation or Isolation Ditch</t>
  </si>
  <si>
    <t>Nitrogen</t>
  </si>
  <si>
    <t>Phosphorus</t>
  </si>
  <si>
    <t>Location - State</t>
  </si>
  <si>
    <t>Location - EPA Region</t>
  </si>
  <si>
    <t>Cost to convert process or add-on treatment units.</t>
  </si>
  <si>
    <t>BNR + DFil</t>
  </si>
  <si>
    <t>Cot to convert filter to denitirification filter.</t>
  </si>
  <si>
    <t>Cost to convert process or add-on treatment units. Chemical addition at a single point with no filtration.</t>
  </si>
  <si>
    <t>Ferm + Fil</t>
  </si>
  <si>
    <t>Ferm + Fil + ChPr</t>
  </si>
  <si>
    <t>Cost to convert process or add-on treatment units. Chemical addition at a single point.</t>
  </si>
  <si>
    <t>ChPr + Fil</t>
  </si>
  <si>
    <t>Cost to convert process or add-on treatment units. Chemical addition at two  points.</t>
  </si>
  <si>
    <t>Retrofit of existing basins to an MLE process.</t>
  </si>
  <si>
    <t>Cost to install a parallel treatment process with no increase in total plant design flow.</t>
  </si>
  <si>
    <t>AO + Ferm</t>
  </si>
  <si>
    <t>AO + Ferm + Fil</t>
  </si>
  <si>
    <t>AO + Ferm + ChPr + Fil</t>
  </si>
  <si>
    <t>UCT + Ferm + Fil</t>
  </si>
  <si>
    <t>Bpho + Fil</t>
  </si>
  <si>
    <t>POD + ChPr + Fil</t>
  </si>
  <si>
    <t>SBR + ChPr + Fil</t>
  </si>
  <si>
    <t>Bpho + ChPr + Fil</t>
  </si>
  <si>
    <t>Altoona City Authority Westerly Plant - Anoxic zone added to first cell of each train.</t>
  </si>
  <si>
    <t>Lower Potomac, Fairfax County - Step feed anoxic aerobic operation; expansion; new secondary clarifiers, 6-pass AS basins, blowers.</t>
  </si>
  <si>
    <t>Dale Services WWTP - Contact stabilization; adjustment of pH, separation of anoxic zone in aerobic digester (2 WWTPs).</t>
  </si>
  <si>
    <t>Fisherville WWTP - Create an anaerobic/anoxic switch zone followed by an anoxic and an anoxic/aerobic switch zone at the influent end by turning off the air.</t>
  </si>
  <si>
    <t xml:space="preserve">Extended aeration with diffused aeration system. </t>
  </si>
  <si>
    <t xml:space="preserve">Extended aeration with mechanical aerators.  </t>
  </si>
  <si>
    <t>High-purity oxygen activated sludge plant.</t>
  </si>
  <si>
    <t xml:space="preserve">Extended aeration with mechanical aerators. </t>
  </si>
  <si>
    <t>Total Kjeldahl Nitrogen</t>
  </si>
  <si>
    <t>2, 3, 5</t>
  </si>
  <si>
    <t>1% increase in water visibility (i.e. clarity) increases average property value by $5,263, with 95th percentile lower and upper bounds of $1,843 to $8,719 (2004 dollars) at the average sale price ($937,294).
Changes in dissolved oxygen did not have a significant affect on sales price.</t>
  </si>
  <si>
    <t>1% increase in water visibility (i.e. clarity) increases average property value by $6,397, with 95th percentile lower and upper bounds of $2,240 to $10,597 at the average sale price ($1,139,179).
Changes in dissolved oxygen did not have a significant affect on sales price.</t>
  </si>
  <si>
    <t>Possum Kingdon Lake in TX</t>
  </si>
  <si>
    <t>3 County Area surrounding Possum Kingdom Lake (PKL), TX</t>
  </si>
  <si>
    <t>49% reduction in crab harvest and lost revenues of $304,000/yr associated with change in DO.</t>
  </si>
  <si>
    <t>Provides a summary of studies documenting the economic impacts of nutrients on tourism; includes a description of the impacted resource, water quality, data and method used, and the estimated economic damages.</t>
  </si>
  <si>
    <t>Provides a summary of studies documenting the economic impacts of nutrients on fisheries; includes a description of the impacted resource, water quality, data and method used, and the estimated economic damages.</t>
  </si>
  <si>
    <t>Provides a summary of studies documenting the economic impacts of nutrients on property values; includes a description of the impacted resource, water quality, data and method used, and the estimated economic damages.</t>
  </si>
  <si>
    <t>Provides a summary of studies documenting the economic impacts of nutrients on human health; includes a description of the impacted resource, water quality, data and method used, and the estimated economic damages.</t>
  </si>
  <si>
    <t>Provides a summary of studies documenting the economic impacts of nutrients on drinking water treatment; includes a description of the impacted resource, water quality, data and method used, and the estimated economic damages.</t>
  </si>
  <si>
    <t>Waterbody</t>
  </si>
  <si>
    <t>Parameter of Concern</t>
  </si>
  <si>
    <t>Starting Concentration</t>
  </si>
  <si>
    <t>Target or Ending Concentration</t>
  </si>
  <si>
    <t>Year $</t>
  </si>
  <si>
    <t>Alum treatment</t>
  </si>
  <si>
    <t>Kohlman Lake</t>
  </si>
  <si>
    <t>excessive phosphorus concentrations</t>
  </si>
  <si>
    <t>P</t>
  </si>
  <si>
    <t>not reported</t>
  </si>
  <si>
    <t>-</t>
  </si>
  <si>
    <t>Barr (2005)</t>
  </si>
  <si>
    <t xml:space="preserve">Preliminary treatment recommendation to address internal phosphorus loading. Authors reference Welch and Cooke (1999) which gives a longevity of 10-15 years for alum treatment. </t>
  </si>
  <si>
    <t>Dredging</t>
  </si>
  <si>
    <t>$824,000-$1,823,000</t>
  </si>
  <si>
    <t>Preliminary treatment recommendation to address internal phosphorus loading</t>
  </si>
  <si>
    <t>Keller Lake</t>
  </si>
  <si>
    <t>$535,000-$1,183,000</t>
  </si>
  <si>
    <t>Spring Lake</t>
  </si>
  <si>
    <t>Treatment for the whole lake. Based on aerial doses needed, lake area, and a cost of $1.60 per gallon of alum needed</t>
  </si>
  <si>
    <t>85 μg/l</t>
  </si>
  <si>
    <t>$986,000 - $1,086,000</t>
  </si>
  <si>
    <t>Barr (2012)</t>
  </si>
  <si>
    <t>Herbicide treatment</t>
  </si>
  <si>
    <t>Onota Lake</t>
  </si>
  <si>
    <t>eutrophication and excessive macrophyte growth</t>
  </si>
  <si>
    <t>Application of the herbicide SONAR over the whole lake with follow-up spot treatment. Actual  cost.</t>
  </si>
  <si>
    <t>Berkshire Regional Planning Commission (2004)</t>
  </si>
  <si>
    <t>Aeration system</t>
  </si>
  <si>
    <t xml:space="preserve">Not clear. </t>
  </si>
  <si>
    <t>$285,000 - $330,000</t>
  </si>
  <si>
    <t>Capital costs include in-lake components (three columns, air lines, and ballast), land-based elements (compressor house, compressor, ventilation system, electric circuitry and air valving system), and three-phase power, trenching of airlines at the shoreline, and the connection of all the equipment. O&amp;M costs include maintenance and an annual service contract fee.</t>
  </si>
  <si>
    <t>Lake Ketchum</t>
  </si>
  <si>
    <t>algal blooms</t>
  </si>
  <si>
    <t>Whole lake treatment based on costs of aluminum sulfate and sodium aluminate of $2.50 and $4 per gallon and costs for treatment design, pre-treatment testing, trucking, application from a boat or barge, and permitting.</t>
  </si>
  <si>
    <t>277 μg/l (summer)</t>
  </si>
  <si>
    <t>Burghdoff and Williams (2012)</t>
  </si>
  <si>
    <t xml:space="preserve">Whole-lake sediment inactivation alum treatment; needs to be treated again in year 6. Ending concentration represents the average concentration of years 2-4 after alum treatment. Authors reference Welch and Cooke (1999) which gives a longevity of 10-15 years for alum treatment. </t>
  </si>
  <si>
    <t>Alum treatment - Water Column only</t>
  </si>
  <si>
    <t>Based on costs of aluminum sulfate and sodium aluminate of $3.50 and $4.80 per gallon and costs for treatment design, pre-treatment testing, trucking, application from a boat or barge, and permitting.</t>
  </si>
  <si>
    <t>1 year</t>
  </si>
  <si>
    <t>Annual water column alum treatments; assumes higher chemical costs due to smaller volumes needed. Ending concentration is given for whole-lake sediment inactivation and annual water colum treatments, but not annual water column treatments by themselves.</t>
  </si>
  <si>
    <t>Cedar Lake</t>
  </si>
  <si>
    <r>
      <t>Partial lake treatment: application rate of 130g Al/m</t>
    </r>
    <r>
      <rPr>
        <vertAlign val="superscript"/>
        <sz val="10"/>
        <color theme="1"/>
        <rFont val="Calibri"/>
        <family val="2"/>
        <scheme val="minor"/>
      </rPr>
      <t>2</t>
    </r>
    <r>
      <rPr>
        <sz val="10"/>
        <color theme="1"/>
        <rFont val="Calibri"/>
        <family val="2"/>
        <scheme val="minor"/>
      </rPr>
      <t xml:space="preserve"> at depths greater than 25 feet and 100g Al/m2 at depths between 20 and 25 feet. Alum doses are calculated based on
the need to treat the upper 6-8 cm of sediment. </t>
    </r>
  </si>
  <si>
    <t>0.052 to 0.068 mg/L</t>
  </si>
  <si>
    <t>0.030 – 0.039 mg/L</t>
  </si>
  <si>
    <t>Cedar Lake Protection and Rehabilitation District (2013)</t>
  </si>
  <si>
    <t>Twin Lake</t>
  </si>
  <si>
    <t>Costs estimate includes 20% engineering and design, a 25% contingency, and permitting; does not include monitoring. Alum is to be dosed to 19 of the 20 acres of the lake twice in three years.</t>
  </si>
  <si>
    <t>70 μg/L</t>
  </si>
  <si>
    <t>20 μg/L</t>
  </si>
  <si>
    <t>10 - 20 years</t>
  </si>
  <si>
    <t>Chandler (2013)</t>
  </si>
  <si>
    <t>Hypolimnetic withdrawal</t>
  </si>
  <si>
    <t>Construction costs estimated at $400,000; O&amp;M estimated at $40,000 annually; engineering and design were assumed to be 20% of capital and a contingency of 25% of capital costs was applied.</t>
  </si>
  <si>
    <t>20 years</t>
  </si>
  <si>
    <t>Biomanipulation</t>
  </si>
  <si>
    <t>$8,000 to remove carp through seining and electrofishing; $6,000 for pike stocking and $39,000 for bass stocking; $1,000 per year for monitoring. Assumes a total of four stockings conducted in years 1, 2, 4, and 6.</t>
  </si>
  <si>
    <t>Barley straw</t>
  </si>
  <si>
    <t>300 pounds of barley straw per acre of lake surface at a cost of $12 per 45-pound bag; additional costs are $1,000 for delivery, $500 for materials, and $8,000 for application labor.</t>
  </si>
  <si>
    <t>Bubbler aeration system</t>
  </si>
  <si>
    <t>Based on 1,350 feet of soaker hoser installation ($160,000), $35,000 in yearly maintenance including 20% in engineering and design and a 25% contingency</t>
  </si>
  <si>
    <t>Solar-powered mixing aeration system</t>
  </si>
  <si>
    <t>Annual labor costs of $5,000, purchase for two solar-powered units is $102,000; total cost includes 25% contingency and permitting costs</t>
  </si>
  <si>
    <t>Based on costs of $100/CY removed for 6 inches of sediment (17,500 CY); capital costs are $1.7 million, and total costs include 20% for engineering and design and a 25% contingency</t>
  </si>
  <si>
    <t>Lake Stevens</t>
  </si>
  <si>
    <t>Actual average cost over the past six years - includes power consumption, staffing, and repairs.</t>
  </si>
  <si>
    <t>City of Lake Stevens (2013)</t>
  </si>
  <si>
    <t xml:space="preserve">Annual operation cost is $35,000; however due to repairs, the average annual cost has been $110,000 a year for the past 6 years. </t>
  </si>
  <si>
    <t>Lovers Lake and Stillwater Pond</t>
  </si>
  <si>
    <t>eutrophication</t>
  </si>
  <si>
    <t xml:space="preserve">Removal of 32,850 CY from Lovers Lake and 28,500 CY from Stillwater Pond at a cost of $22 per CY, plus $100,000 for engineering and environmental permits. Based on a sediment removal depth of 2 feet in areas of water over 20 feet deep. </t>
  </si>
  <si>
    <t>Lovers Lake: 38.2 μg/L 
Stillwater Pond: 40 μg/L</t>
  </si>
  <si>
    <t>10 years or less</t>
  </si>
  <si>
    <t>ENSR Corporation (2008)</t>
  </si>
  <si>
    <t>Artificial circulation</t>
  </si>
  <si>
    <t>$1,800/acre for capital costs, $135/acre for O&amp;M, and permitting costs of $10,000 per lake</t>
  </si>
  <si>
    <t>Lovers Lake: 21.5 μg/L 
Stillwater Pond: 33.1 μg/L</t>
  </si>
  <si>
    <t>15 years</t>
  </si>
  <si>
    <t>Based on qualified vendor quote for 150 day period of treatment; capital cost of $71,000, site prep and installation of $8,000; operational costs of $1,500..</t>
  </si>
  <si>
    <t>Application area of 19 acres for Lovers Lake, 9.25 for Stillwater Pond; contingency of 15% to account for uncertainty in access and ease of mobilization.</t>
  </si>
  <si>
    <t>Lovers Lake: 19.1 μg/L 
Stillwater Pond: 15.7 μg/L</t>
  </si>
  <si>
    <t>$198,500 - $228,500</t>
  </si>
  <si>
    <t>$122,500 to $141,000 (median $132,000) for Lovers Lake and $76,000 to $87,500 (median $82,000) for Stillwater Pond.</t>
  </si>
  <si>
    <t>Green Lake</t>
  </si>
  <si>
    <t>Based on a dose of 23 mg Al/L</t>
  </si>
  <si>
    <t>2 μg/L</t>
  </si>
  <si>
    <t>10 years</t>
  </si>
  <si>
    <t>Herrera Environmental Consultants (2003)</t>
  </si>
  <si>
    <t>East Alaska Lake</t>
  </si>
  <si>
    <t xml:space="preserve">Based on unit costs of $1.65 per gallon of alum applied, plus fees, monitoring, and volunteer hours. </t>
  </si>
  <si>
    <t>43 μg/L</t>
  </si>
  <si>
    <t>29 μg/L</t>
  </si>
  <si>
    <t>Hoyman (2011)</t>
  </si>
  <si>
    <t>Based on 132 g per m^2 in areas with depth greater than 10 feet (33 acres) and 40 g per m^2 in areas with depth 5 to 10 feet (7.6 acres). Starting and ending TP concentrations are estimated for the lake surface under current and 90% reduced internal P loading scenarios.</t>
  </si>
  <si>
    <t>Lake Hicks</t>
  </si>
  <si>
    <t>Capital costs include staff time ($28,233), treatment ($16,180), and public outreach ($446); O&amp;M costs include 7 trips for post-treatment monitoring ($1,723.23); each category includes a contingency (7.5% for all except the treatment which is 20%).</t>
  </si>
  <si>
    <t>King County (2005)</t>
  </si>
  <si>
    <t>Lake Mitchell</t>
  </si>
  <si>
    <t>none provided</t>
  </si>
  <si>
    <t>Osgood (2002)</t>
  </si>
  <si>
    <t>Lake Lawrence</t>
  </si>
  <si>
    <t>ratio of 10:1 (AL added: AL-P formed) with sediment depth of 20 cm and water column demand of 9.1 mg Al/L; total dose is 17.5 mg Al/L.</t>
  </si>
  <si>
    <t>1.1 mg/g in top 20 cm</t>
  </si>
  <si>
    <t>more than 20 years</t>
  </si>
  <si>
    <t>Tetra Tech (2004)</t>
  </si>
  <si>
    <t xml:space="preserve">Benefits are expected to last more than 20 years. O&amp;M costs include 80 days of annual monitoring at $2,100/day. </t>
  </si>
  <si>
    <t>Dredging plus alum treatment</t>
  </si>
  <si>
    <t>2,100,600 cubic yards of dredging (cover a depth of 0 to 2.5 meters throughout the lake) plus subsequent alum treatment of 9.1 mg Al/L.</t>
  </si>
  <si>
    <t>more than 50 years</t>
  </si>
  <si>
    <t>Benefits are expected to last more than 50 years.</t>
  </si>
  <si>
    <t>Cossayuna Lake</t>
  </si>
  <si>
    <t xml:space="preserve">Partial lake treatment (35 out of 776 acres). Based on $500 per acre. </t>
  </si>
  <si>
    <t>The LA Group (2001)</t>
  </si>
  <si>
    <t>Partial lake treatment (300 out of 776 acres). Based on $15,000 to $25,000 for excavation of 4 to 6 feet over 1 acre</t>
  </si>
  <si>
    <t>Barr. 2005. Internal Phosphorus Load Study: Kohlman and Keller Lakes.</t>
  </si>
  <si>
    <t>Barr. 2012. Spring Lake Sediment Core Analysis, Alum Dose Determination and Application Plan.</t>
  </si>
  <si>
    <t>Berkshire Regional Planning Commission. 2004. Onota Lake Long-Range Management Plan. Prepared for the City of Pittsfield.</t>
  </si>
  <si>
    <t>Burghdoff, M. and G. Williams. 2012. Lake Ketchum Algae Control Plan.</t>
  </si>
  <si>
    <t>Cedar Lake Protection and Rehabilitation District. 2013. Cedar Lake: Lake Management Plan. Draft.</t>
  </si>
  <si>
    <t>Chandler, K.L. 2013. Feasibility Report for Water Quality Improvements in Twin Lake CIP Project TW-2. Engineer's Report to the Bassett Creek Watershed Management Commission.</t>
  </si>
  <si>
    <t>City of Lake Stevens. 2013. Phosphorus Management Plan.</t>
  </si>
  <si>
    <t>ENSR Corporation. 2008. Lovers Lake and Stillwater Pond Eutrophication Mitigation Plan Report: Final Report. 12249-001-500.</t>
  </si>
  <si>
    <t>Herrera Environmental Consultants (2004)</t>
  </si>
  <si>
    <t>Herrera Environmental Consultants. 2003. Technical Report: Green Lake Alum Treatment Study. Prepared for Seattle Department of Parks and Recreation.</t>
  </si>
  <si>
    <t>Hoyman, T. 2011. East Alaska Lake Alum Treatment Plan. Tri-Lakes Association.</t>
  </si>
  <si>
    <t>King County. 2005. Lake Hicks (Lake Garrett) Integrated Phosphorus Management Plan.</t>
  </si>
  <si>
    <t>Osgood, D. 2002. Lake Mitchell Alum Treatment System: Final Report and Recommendations. Ecosystem Strategies.</t>
  </si>
  <si>
    <t xml:space="preserve">Tetra Tech. 2004. Lake Lawrence Integrated Aquatic Vegetation Management Plan (IAVMP). Alum and Sediment Dredging Feasibility Assessment. </t>
  </si>
  <si>
    <t>The LA Group. 2001. An Action Plan for the Long Term Management of Nuisance Aquatic Vegetation in Cossayuna Lake. Report prepared for the Town of Argyle.</t>
  </si>
  <si>
    <t>$211,676 - $243,667</t>
  </si>
  <si>
    <t>$576 - $667</t>
  </si>
  <si>
    <t xml:space="preserve">$355,621 - $411,772 </t>
  </si>
  <si>
    <t>Low end represents one-time full application; high end represents recommended 3 separate applications. There is uncertainty regarding how long the alum treatments will last before they need to be repeated (if necessary at all).</t>
  </si>
  <si>
    <t>$2,411 - $2,655</t>
  </si>
  <si>
    <t>10 - 32 years</t>
  </si>
  <si>
    <t>$8,735 - $19,316</t>
  </si>
  <si>
    <t>$628,944 - $1,390,731</t>
  </si>
  <si>
    <t>Dredging for the whole lake. Based on costs between $4 and $11 per cubic yard, plus disposal costs of $10 to $20 per cubic yard. A sediment depth of 0.33ft would be dredged.</t>
  </si>
  <si>
    <t>Treatment for the whole lake. Based on aerial doses needed, lake area, and a cost of $1.30 per gallon of alum needed.</t>
  </si>
  <si>
    <t>$13,090 - $28,961</t>
  </si>
  <si>
    <t>$968,692 - $2,143,112</t>
  </si>
  <si>
    <t>Dredging for the whole lake. Based on costs between $4 and $11 per cubic yard, plus disposal costs of $10 to $20 per cubic yard. A sediment depth of 0.49ft would be dredged.</t>
  </si>
  <si>
    <t>O&amp;M Unit Cost (2012$)</t>
  </si>
  <si>
    <t>Capital Unit Cost  (2012$/acre)</t>
  </si>
  <si>
    <t>O&amp;M Costs (2012$)</t>
  </si>
  <si>
    <t>O&amp;M Costs (Original Year $)</t>
  </si>
  <si>
    <t>Useful Life</t>
  </si>
  <si>
    <t>Capital Costs (2012$)</t>
  </si>
  <si>
    <t>Capital Costs (Original Year $)</t>
  </si>
  <si>
    <t>Treatment Area (acres)</t>
  </si>
  <si>
    <t>Mitigation Measure</t>
  </si>
  <si>
    <t>Provides information about studies quantifying the costs associated with nutrient reduction planning (including, for each study, the water body type, planning activity and description, location, year, resource description, water quality impact, data sources, and costs); all results updated to 2012$ using the consumer price index.</t>
  </si>
  <si>
    <t>Provides information about studies quantifying the costs associated with in-lake nutrient mitigation technologies and methods (including, for each study, the water body type, planning activity and description, location, year, resource description, water quality impact, data sources, and costs); all results updated to 2012$ using the consumer price index.</t>
  </si>
  <si>
    <t xml:space="preserve">This section provides a compilation of costs for the treatment of nutrients from point sources, which are grouped into three categories: Municipal, Industrial, and Decentralized. </t>
  </si>
  <si>
    <t>This section provides a compilation of studies examining the economic impact of nutrient pollution, which are grouped into six categories: tourism, fisheries, property value, health effects, and drinking water treatment. Studies included in this section describe the damages to these economic sectors resulting from nutrient-imparied water bodies.</t>
  </si>
  <si>
    <t>71 μg/l (summer)</t>
  </si>
  <si>
    <t>4 years</t>
  </si>
  <si>
    <t>for 2 applications over 10 years</t>
  </si>
  <si>
    <t>Not reported</t>
  </si>
  <si>
    <t>$35,000 - $110000</t>
  </si>
  <si>
    <t>$34.55 - $108.59</t>
  </si>
  <si>
    <t>"This number could be further refined during preliminary design and permitting, but provides an informed order-of-magnitude estimate" (p. 7-20). Phosphorus concentrations represent surface-level averages. Backcalculated dredging area based on total volume dredged and depth of dredging (2 feet). End concentration based on 26% - 28% reduction in P loads.</t>
  </si>
  <si>
    <t>Lovers Lake: 27.9 μg/L 
Stillwater Pond: 29.2 μg/L</t>
  </si>
  <si>
    <t>Hypolimnetic aeration</t>
  </si>
  <si>
    <t>Cost estimate does not include a permanent structure for necessary shore-based equipment nor a cost for extending power (p. 7-30). O&amp;M estimated by dividing total O&amp;M costs reported ($74,000) by 15 years.</t>
  </si>
  <si>
    <t>$7,493 - $8,625</t>
  </si>
  <si>
    <t>13 μg/L</t>
  </si>
  <si>
    <t>Starting concentration range from 13 - 25 μg/L from 1995 to 2000. Ending concentration represents results from Green Lake samples, with an average starting TP of 13 μg/L, which were given a 23 mg/L alum dosage.</t>
  </si>
  <si>
    <t>average of 51 to 77 (between 1996 and 2004)</t>
  </si>
  <si>
    <t>Study references Welch and Cooke (1999), which states that benefits of alum treatment could last for more than 10 years. O&amp;M cost estimate includes 7 monitoring trips per month from April to October 2005. Study reports target concentration of less than 20 ug/L but does not indicate whether alum treatment can achieve the target level.</t>
  </si>
  <si>
    <t>241 ug/L</t>
  </si>
  <si>
    <t>90 ug/L</t>
  </si>
  <si>
    <t>$100,000 to $186,679</t>
  </si>
  <si>
    <t>Based on 150,000 gallons the first year,  $120,000 for two years, at a cost of $1 per gallon plus monitoring, staff time, and consulting, then $100,000 per year thereafter.</t>
  </si>
  <si>
    <t>$127,623 - $238,246</t>
  </si>
  <si>
    <t>not applicable</t>
  </si>
  <si>
    <t>Ft Walton Beach and Destin areas, FL</t>
  </si>
  <si>
    <t>FL Southwest coast</t>
  </si>
  <si>
    <t>5 years</t>
  </si>
  <si>
    <t>Annual application of copper sulfate at $4,500 per year for 5 years.</t>
  </si>
  <si>
    <t>Single application of alum.</t>
  </si>
  <si>
    <t>Copper sulfate treatment</t>
  </si>
  <si>
    <t>$4,555,000 to $7,555,000</t>
  </si>
  <si>
    <t>$5,905,143 to $9,794,369</t>
  </si>
  <si>
    <t>$19,683 to $32,647</t>
  </si>
  <si>
    <t>Impacts may also be caused at least partially by natural drivers.</t>
  </si>
  <si>
    <t>All impacts are not clearly attributable to anthropogenic nutrient pollution (i.e., may also be attributable at least in part to other natural drivers such as weather patterns).</t>
  </si>
  <si>
    <t>Morgan, et al. (2009)</t>
  </si>
  <si>
    <t>Reduced daily restaurant sales of $868 to $3,734 (13.7% to 15.3%) during red tide events (2005 dollars); between 1996 and 2002, the Small Business Association provided each of 36 firms with $4,832 to $81,912 in loans.</t>
  </si>
  <si>
    <t>Reduced daily restaurant sales of $1,020 to $4,390 (13.7% to 15.3%) during red tide events; between 1996 and 2002, the Small Business Association provided each of 36 firms with $5,680 to $96,295 in loans.</t>
  </si>
  <si>
    <t>Daily restaurant sales for three establishments within 50 feet of water's edge between 1998 and 2005; environmental conditions provided by restaurant manager observations.</t>
  </si>
  <si>
    <t>Coastal areas in southwest Florida that experienced prolonged red tide events</t>
  </si>
  <si>
    <t>Monthly restaurant and lodging revenue data from the FL Department of Revenue; red tide occurrence data from the Florida Marine Research Institute.</t>
  </si>
  <si>
    <t>Morgan, K.L., S.L. Larkin, and C.M. Adams. 2009.  Firm-level economic effects of HABs: A tool for business loss assessment. Harmful Algae 8 (2009) 212-218.</t>
  </si>
  <si>
    <t>Reduced restaurant and lodging revenues of $2.8 million and $3.7 million (1995 dollars), respectively, per month (representing 29% and 35% declines).</t>
  </si>
  <si>
    <t>Reduced restaurant and lodging revenues of $4.2  million and $5.6 million, respectively, per month (representing 29% and 35% declines).</t>
  </si>
  <si>
    <t>Statistical exposure-response model of relationship between respiratory illnesses and bloom events (and other potential explanatory variables); assumes marginal cost of $58 to $240 per hospital visit, plus 3 days of lost productivity ($335).</t>
  </si>
  <si>
    <t>Annual marginal cost of illness: $0.020 million for low bloom levels - $0.13 million for high bloom levels (in 2008 dollars); 39 to 218 annual emergency department visits.</t>
  </si>
  <si>
    <t>Annual marginal cost of illness: $0.021 million for low bloom levels - $0.14 for high bloom levels; 39 to 218 annual emergency department visits.</t>
  </si>
  <si>
    <t>Results (2012$)</t>
  </si>
  <si>
    <t>Nitrate removal from U.S. drinking water supplies costs over 7.0 billion per year; however, the cost estimates are based on 1996 technologies and as such may not be applicable.</t>
  </si>
  <si>
    <t>Presence of red tide on a given day reduces restaurant sales by $724 (5% to 14% of daily sales for the 3 restaurants evaluated); however, impacts may also be caused at least partially by natural drivers, and authors note that the model is likely to be mis-specified.</t>
  </si>
  <si>
    <t>$7 million in losses for harvesters of shoft-shell clams, mahogany quahogs, and mussels; including indirect and induced impacts, $17.4 million lost in sales and $9.3 million in lost income; however, some damages were attributable to sources besides or in addition to anthropogenic nutrient pollution, such as flooding.</t>
  </si>
  <si>
    <t>In one zip code, the monthly losses associated with a red tide event are $2.97 million for restaurants and $3.05 million for hotels (assumed original impacts were in 2000 dollars); however, impacts may also be caused at least partially by natural drivers.</t>
  </si>
  <si>
    <t>An additional foot of clarity raises the value of a lakefront lot by between $381 and $444 (assumed original costs were in 1989 dollars); however, clarity problems are not explicitly tied to nutrient pollution.</t>
  </si>
  <si>
    <t>Losses of 500 jobs and $50 million in annual personal income due to decline in pink shrimp harvest between 1986 and 1994 (assumed original costs were in 1994 dollars); unable to attribute commercial fishing revenue changes to nutrient enrichment since revenues went down statewide during the same period during a weak economy.</t>
  </si>
  <si>
    <t>The value of properties are depressed by 20% ($11,400 on average) when they are located on an area of the lake that has degraded water quality (St. Albans Bay) (assumed original impact were in 1981 dollars); water quality variable was a one-time ranking of water quality by 30 individuals at 10 locations throughout the study area, while property data covered 6 years of sales.</t>
  </si>
  <si>
    <t>Reducing nutrients results in a $38 million (approximate) increase in property values of houses, hotels, and condominiums that are associated with coral reefs (assumed original impacts were in 2002 dollars).</t>
  </si>
  <si>
    <t>Units in algae zones were about 43% as valuable as units in algae-free areas; extrapolating to all 754 "algae zone" units yields depreciation value of $12.0 million per year in lost value (assumed original impacts were in 2002 dollars); conclusions rely heavily on public perception and not statistical or data-driven analysis.</t>
  </si>
  <si>
    <t>Annual economic impacts $45.2m - $108.8m : Public Health (shellfish and ciguatera poisoning): $24.7m - $33.2 m; Commercial Fishery (wild harvest and aquaculture losses associated with shellfish poisoning, ciguatera, and brown tides): $17.9m - $33.7m; Recreation/Tourism (impacts documented in NC, OR, and WA in various years): $0m - $39.1m; Monitoring/Management (cost of routine shellfish toxin monitoring programs, plankton monitoring, and other activities in 12 states): $2.7m - $2.8m</t>
  </si>
  <si>
    <t>Fishing and boating trip-related expenditure annual losses of $245m-$764m and $236m-$735m, respectively;
Property value annual losses (scaled over 50-years) of $0.4b, $1.8b, and $3.6b for the low (5% private), intermediate (25% private), and high (50% private) assumed land availabilities, respectively;
Aquatic biodiversity impacts of $57 million per year to develop 60 plans for the species that are at least partially imperiled due to eutrophication;
Drinking water impacts of $1.1 billion per year for bottled water because of taste and odor problems potentially linked to eutrophication.</t>
  </si>
  <si>
    <t>Cost to install ozonation system prior to drinking water treatment plant were $10.0 million (completed in 2005). Study does not provide description of what project costs entailed or source/citation of costs.</t>
  </si>
  <si>
    <t>Between 1999 and 2005, the average number of hypoxic days (61) lead to a $307,268 welfare loss.</t>
  </si>
  <si>
    <t>COST SUMMARY</t>
  </si>
  <si>
    <t>$/gpd ENR only</t>
  </si>
  <si>
    <t>$/gpd BNR+ENR</t>
  </si>
  <si>
    <t>$/gpd BNR (Total)</t>
  </si>
  <si>
    <t>$/gpd BNR (50% state share)</t>
  </si>
  <si>
    <t>NPDES</t>
  </si>
  <si>
    <t>ENR</t>
  </si>
  <si>
    <t>Total Upgrade Cost</t>
  </si>
  <si>
    <t>Total BNR State Share</t>
  </si>
  <si>
    <t>Total BNR</t>
  </si>
  <si>
    <t>Total ENR State Share</t>
  </si>
  <si>
    <t>Total Other</t>
  </si>
  <si>
    <t>ABERDEEN</t>
  </si>
  <si>
    <t>MD0021563</t>
  </si>
  <si>
    <t>HARFORD</t>
  </si>
  <si>
    <t>ANNAPOLIS</t>
  </si>
  <si>
    <t>MD0021814</t>
  </si>
  <si>
    <t>ANNE ARUNDEL</t>
  </si>
  <si>
    <t>2000</t>
  </si>
  <si>
    <t>APG-ABERDEEN*</t>
  </si>
  <si>
    <t>MD0021237</t>
  </si>
  <si>
    <t>2006</t>
  </si>
  <si>
    <t>Unknown</t>
  </si>
  <si>
    <t>BACK RIVER (BNR REFINEMENT)</t>
  </si>
  <si>
    <t>MD0021555</t>
  </si>
  <si>
    <t xml:space="preserve">BALTIMORE </t>
  </si>
  <si>
    <t>1998</t>
  </si>
  <si>
    <t xml:space="preserve">BALLENGER CREEK </t>
  </si>
  <si>
    <t>MD0021822</t>
  </si>
  <si>
    <t>FREDERICK</t>
  </si>
  <si>
    <t>1995</t>
  </si>
  <si>
    <t>BLUE PLAINS (Grants MD PORTION)</t>
  </si>
  <si>
    <t>DC0021199</t>
  </si>
  <si>
    <t>DISTRICT OF COLUMBIA</t>
  </si>
  <si>
    <t>BOONSBORO (MINOR; STATE $ FOR BNR ONLY)</t>
  </si>
  <si>
    <t>MD0020231</t>
  </si>
  <si>
    <t>WASHINGTON</t>
  </si>
  <si>
    <t>2010</t>
  </si>
  <si>
    <t>BOWIE</t>
  </si>
  <si>
    <t>MD0021628</t>
  </si>
  <si>
    <t xml:space="preserve">PRINCE GEORGE'S </t>
  </si>
  <si>
    <t>1991</t>
  </si>
  <si>
    <t>BROADNECK</t>
  </si>
  <si>
    <t>MD0021644</t>
  </si>
  <si>
    <t>1994</t>
  </si>
  <si>
    <t>BROADWATER</t>
  </si>
  <si>
    <t>MD0024350</t>
  </si>
  <si>
    <t>BRUNSWICK</t>
  </si>
  <si>
    <t>MD0020958</t>
  </si>
  <si>
    <t>2008</t>
  </si>
  <si>
    <t>CAMBRIDGE</t>
  </si>
  <si>
    <t>MD0021636</t>
  </si>
  <si>
    <t>DORCHESTER</t>
  </si>
  <si>
    <t>2003</t>
  </si>
  <si>
    <t>CELANESE</t>
  </si>
  <si>
    <t>MD0063878</t>
  </si>
  <si>
    <t>ALLEGANY</t>
  </si>
  <si>
    <t>CENTREVILLE***</t>
  </si>
  <si>
    <t>MD0020834</t>
  </si>
  <si>
    <t>QUEEN ANNE'S</t>
  </si>
  <si>
    <t>2005</t>
  </si>
  <si>
    <t>CHESAPEAKE BEACH</t>
  </si>
  <si>
    <t>MD0020281</t>
  </si>
  <si>
    <t>CALVERT</t>
  </si>
  <si>
    <t>1992</t>
  </si>
  <si>
    <t>CHESTERTOWN</t>
  </si>
  <si>
    <t>MD0020010</t>
  </si>
  <si>
    <t>KENT</t>
  </si>
  <si>
    <t>CONOCOCHEAGUE</t>
  </si>
  <si>
    <t>MD0063509</t>
  </si>
  <si>
    <t>2001</t>
  </si>
  <si>
    <t>COX CREEK</t>
  </si>
  <si>
    <t>MD0021661</t>
  </si>
  <si>
    <t>2002</t>
  </si>
  <si>
    <t>CRISFIELD</t>
  </si>
  <si>
    <t>MD0020001</t>
  </si>
  <si>
    <t>SOMERSET</t>
  </si>
  <si>
    <t>CUMBERLAND</t>
  </si>
  <si>
    <t>MD0021598</t>
  </si>
  <si>
    <t>DAMASCUS</t>
  </si>
  <si>
    <t>MD0020982</t>
  </si>
  <si>
    <t>MONTGOMERY</t>
  </si>
  <si>
    <t>DELMAR</t>
  </si>
  <si>
    <t>MD0020532</t>
  </si>
  <si>
    <t>WICOMICO</t>
  </si>
  <si>
    <t>DENTON</t>
  </si>
  <si>
    <t>MD0020494</t>
  </si>
  <si>
    <t>CAROLINE</t>
  </si>
  <si>
    <t>DORSEY RUN***</t>
  </si>
  <si>
    <t>MD0063207</t>
  </si>
  <si>
    <t>EASTON</t>
  </si>
  <si>
    <t>MD0020273</t>
  </si>
  <si>
    <t>TALBOT</t>
  </si>
  <si>
    <t>2007</t>
  </si>
  <si>
    <t>ELKTON</t>
  </si>
  <si>
    <t>MD0020681</t>
  </si>
  <si>
    <t>CECIL</t>
  </si>
  <si>
    <t>2009</t>
  </si>
  <si>
    <t>EMMITSBURG</t>
  </si>
  <si>
    <t>MD0020257</t>
  </si>
  <si>
    <t>FEDERALSBURG</t>
  </si>
  <si>
    <t>MD0020249</t>
  </si>
  <si>
    <t>FREDERICK (BNR REFINEMENT)</t>
  </si>
  <si>
    <t>MD0021610</t>
  </si>
  <si>
    <t>FREEDOM DISTRICT (BNR REFINEMENT)</t>
  </si>
  <si>
    <t>MD0021512</t>
  </si>
  <si>
    <t>CARROLL</t>
  </si>
  <si>
    <t>FRUITLAND</t>
  </si>
  <si>
    <t>MD0052990</t>
  </si>
  <si>
    <t>GEORGES CREEK</t>
  </si>
  <si>
    <t>MD0060071</t>
  </si>
  <si>
    <t>HAGERSTOWN</t>
  </si>
  <si>
    <t>MD0021776</t>
  </si>
  <si>
    <t>HAMPSTEAD</t>
  </si>
  <si>
    <t xml:space="preserve">HAVRE DE GRACE (BNR REFINEMENT) </t>
  </si>
  <si>
    <t>MD0021750</t>
  </si>
  <si>
    <t>HURLOCK</t>
  </si>
  <si>
    <t>MD0022730</t>
  </si>
  <si>
    <t>INDIAN HEAD</t>
  </si>
  <si>
    <t>MD0020052</t>
  </si>
  <si>
    <t>CHARLES</t>
  </si>
  <si>
    <t>JOPPATOWNE</t>
  </si>
  <si>
    <t>MD0022535</t>
  </si>
  <si>
    <t>1996</t>
  </si>
  <si>
    <t>KENT ISLAND</t>
  </si>
  <si>
    <t>MD0023485</t>
  </si>
  <si>
    <t>LA PLATA</t>
  </si>
  <si>
    <t>MD0020524</t>
  </si>
  <si>
    <t>LEONARDTOWN</t>
  </si>
  <si>
    <t>MD0024767</t>
  </si>
  <si>
    <t>ST MARY'S</t>
  </si>
  <si>
    <t>LITTLE  PATUXENT</t>
  </si>
  <si>
    <t>MD0055174</t>
  </si>
  <si>
    <t>HOWARD</t>
  </si>
  <si>
    <t>MARLAY TAYLOR (PINE HILL RUN)</t>
  </si>
  <si>
    <t>MD0021679</t>
  </si>
  <si>
    <t>MARYLAND CITY</t>
  </si>
  <si>
    <t>MD0062596</t>
  </si>
  <si>
    <t>1990</t>
  </si>
  <si>
    <t>MARYLAND CORRECTIONAL INSTITUTE***</t>
  </si>
  <si>
    <t>MD0023957</t>
  </si>
  <si>
    <t>MATTAWOMAN***</t>
  </si>
  <si>
    <t>MD0021865</t>
  </si>
  <si>
    <t>MAYO LARGE COMMUNAL</t>
  </si>
  <si>
    <t>MD0061794</t>
  </si>
  <si>
    <t>MOUNT AIRY</t>
  </si>
  <si>
    <t>MD0022527</t>
  </si>
  <si>
    <t>1999</t>
  </si>
  <si>
    <t>NORTHEAST RIVER</t>
  </si>
  <si>
    <t>MD0052027</t>
  </si>
  <si>
    <t>PARKWAY</t>
  </si>
  <si>
    <t>MD0021725</t>
  </si>
  <si>
    <t>PRINCE GEORGE'S</t>
  </si>
  <si>
    <t>PATAPSCO</t>
  </si>
  <si>
    <t>MD0021601</t>
  </si>
  <si>
    <t>BALTIMORE CITY</t>
  </si>
  <si>
    <t>PATUXENT</t>
  </si>
  <si>
    <t>MD0021652</t>
  </si>
  <si>
    <t>PERRYVILLE</t>
  </si>
  <si>
    <t>MD0020613</t>
  </si>
  <si>
    <t>PISCATAWAY</t>
  </si>
  <si>
    <t>MD0021539</t>
  </si>
  <si>
    <t>POCOMOKE CITY</t>
  </si>
  <si>
    <t>MD0022551</t>
  </si>
  <si>
    <t>WORCESTER</t>
  </si>
  <si>
    <t>2004</t>
  </si>
  <si>
    <t>POOLESVILLE</t>
  </si>
  <si>
    <t>MD0023001</t>
  </si>
  <si>
    <t>PRINCESS ANNE</t>
  </si>
  <si>
    <t>MD0020656</t>
  </si>
  <si>
    <t xml:space="preserve">SALISBURY </t>
  </si>
  <si>
    <t>MD0021571</t>
  </si>
  <si>
    <t>SALISBURY CORRECTIVE ACTION</t>
  </si>
  <si>
    <t xml:space="preserve">SENECA </t>
  </si>
  <si>
    <t>MD0021491</t>
  </si>
  <si>
    <t>SNOW HILL</t>
  </si>
  <si>
    <t>MD0022764</t>
  </si>
  <si>
    <t xml:space="preserve">SOD RUN </t>
  </si>
  <si>
    <t>MD0056545</t>
  </si>
  <si>
    <t>SWAN POINT**</t>
  </si>
  <si>
    <t>MD0057525</t>
  </si>
  <si>
    <t>TALBOT COUNTY REGION II (St. Michael's)</t>
  </si>
  <si>
    <t>MD0023604</t>
  </si>
  <si>
    <t>TANEYTOWN</t>
  </si>
  <si>
    <t>MD0020672</t>
  </si>
  <si>
    <t>THURMONT</t>
  </si>
  <si>
    <t>MD0021121</t>
  </si>
  <si>
    <t>WESTERN BRANCH</t>
  </si>
  <si>
    <t>MD0021741</t>
  </si>
  <si>
    <t>WESTMINSTER</t>
  </si>
  <si>
    <t>MD0021831</t>
  </si>
  <si>
    <t xml:space="preserve">WINEBRENNER </t>
  </si>
  <si>
    <t>MD0003221</t>
  </si>
  <si>
    <t>* Funded by the U.S. Army.</t>
  </si>
  <si>
    <r>
      <t xml:space="preserve">** </t>
    </r>
    <r>
      <rPr>
        <sz val="10"/>
        <rFont val="Arial"/>
        <family val="2"/>
      </rPr>
      <t>Funded by private developer</t>
    </r>
  </si>
  <si>
    <t>*** Based on current performance, ENR upgrade may not be required.  Further evaluation is necessary.</t>
  </si>
  <si>
    <t>Point Source Anecdotal</t>
  </si>
  <si>
    <t>Grays Harbor and Pacific Counties, WA</t>
  </si>
  <si>
    <t>Recreational razor clam fisheries that are frequently closed due to HAB events</t>
  </si>
  <si>
    <t>HABs</t>
  </si>
  <si>
    <t>Economic input-output impact model based on recreationists' spending and stated visitation plan changes in response to HAB events.</t>
  </si>
  <si>
    <t>Visitor questionnaires eliciting typical expenditures (on meals, lodging, transportation, and gear) and visitation changes when HAB closures occur.</t>
  </si>
  <si>
    <t>A typical beach closure (2 to 5 days) at four beaches in the two counties results in a lost labor income of $2.1 million and a sales impact of $5.75 million (2008 dollars).</t>
  </si>
  <si>
    <t>A typical beach closure (2 to 5 days) at four beaches in the two counties results in a lost labor income of $2.24 million and a sales impact of $6.13 million.</t>
  </si>
  <si>
    <t>The questionnaire did not explicitly ask respondents how many days they spent clamming, so had to assume the days spent based on the number of nights the respondents spent near the beach.</t>
  </si>
  <si>
    <t>Summary of Anecdotal Evidence on Nutrient Pollution Impact</t>
  </si>
  <si>
    <t>Summary of Additional Studies of the Economic Impacts of Nutrient Pollution</t>
  </si>
  <si>
    <t>Benefits Studies</t>
  </si>
  <si>
    <t xml:space="preserve"> </t>
  </si>
  <si>
    <t>Major WWTP</t>
  </si>
  <si>
    <t>General Facility/Permit Information</t>
  </si>
  <si>
    <t>Completion Year</t>
  </si>
  <si>
    <t>Expansion Capacity (MGD)</t>
  </si>
  <si>
    <t>Current Capacity (MGD)</t>
  </si>
  <si>
    <t>Maryland County</t>
  </si>
  <si>
    <t>Tourism/Recreation</t>
  </si>
  <si>
    <t>Impact Index</t>
  </si>
  <si>
    <t>Provides information about studies valuing nutrient impacts to tourism and recreation (including, for each study, the waterbody type, location, year, resource description, water quality impacts, data, methodology, and results); all results updated to 2012$ using the consumer price index.</t>
  </si>
  <si>
    <t>Provides information about studies valuing nutrient impacts to drinking water treatment costs (including, for each study, the waterbody type, location, year, resource description, water quality impacts, data, methodology, and results); all results updated to 2012$ using the construction cost index.</t>
  </si>
  <si>
    <t>Provides a reference for the region categorizations in the Impact Index.</t>
  </si>
  <si>
    <t>Anecdotal Impacts</t>
  </si>
  <si>
    <t>CBAs</t>
  </si>
  <si>
    <t>Dollar Adjustments</t>
  </si>
  <si>
    <t>CPI [1]</t>
  </si>
  <si>
    <t>CCI [2]</t>
  </si>
  <si>
    <t>1. Source: Consumer Price Index from the Bureau of Labor Statistics.</t>
  </si>
  <si>
    <t>2. Source: Construction Cost Index from the Engineering News Record.</t>
  </si>
  <si>
    <t>3. Represents January to May average.</t>
  </si>
  <si>
    <t>Apopka-Beauclair Canal/CC Ranch / Water in Apopka-Beauclair Canal treated off-line with alum. Removes TP from Lake Apopka discharge. Reduce loading from Lake Apopka to Lake Beauclair and Apopka-Beauclair Canal.</t>
  </si>
  <si>
    <t>Western end of Lake Beauclair / Suction dredging to remove 1 million cubic yards of sediment in western end of Lake Beauclair.</t>
  </si>
  <si>
    <t>Lake Dora in-lake removal of fish / Harvest of gizzard shad by commercial fishermen. Part of experimental assessment with UF and FWC. Removal of fish removes nutrient from lake. Reduces recycling of nutrients from sediments and reduces sediment resuspension (TSS). Stabilizes bottom to reduce TSS.</t>
  </si>
  <si>
    <t>Pine Meadows Restoration Area. Muck farm is east of Trout Lake and discharges to Hicks Ditch. / Reduce TP loadings from former muck farm. Restore aquatic, wetland, and riverine habitat. Chemical treatment of soil (alum) to bind phosphates. Reduce nutrient outflow to feasible level of 1.1 kg/ha/yr of TP, or about 1 lb. per acre. Trout Lake is tributary to Lake Eustis. Reduction in
nutrient loading benefits both Lake Eustis and Trout Lake.</t>
  </si>
  <si>
    <t>Emeralda Marsh Conservation Area (northeast marshes) north of Haines Creek /Lake Griffin Emeralda Marsh restoration: To be managed for wetland restoration, planting; alum treatment to bind phosphates in sediments; manage excess nutrient outflow. Remove phosphates and TSS: wetland habitat restoration. Manage nutrient outflow to Lake Griffin to feasible loading of 1.1 kg/ha/yr, or about 1 lb. per acre.</t>
  </si>
  <si>
    <t>Lake Griffin in-lake removal of fish / Gizzard shad removal from Lake Griffin by commercial fishermen. Expanded to Lake Dora and Lake Beauclair, with possible future expansion to other lakes in Harris Chain. Remove and export nutrients via fish. Reduces recycling of nutrients from sediments and reduces sediment resuspension (TSS). Stabilizes bottom to reduce TSS.</t>
  </si>
  <si>
    <t>North shore of Lake Harris / Restoration of former muck farm. Chemical treatment of soil (alum) to bind phosphates for nutrient control. Aquatic and wetland habitat restoration. Reduce and manage nutrient outflow to Lake Harris to feasible loading of 1.1 kg/ha/yr, or about 1 lb. per acre.</t>
  </si>
  <si>
    <t>Northwest shore of Lake Apopka / Constructed marsh on northwest shore of lake. Lake water pumped through marsh to remove particulates and nutrients from lake water. Marsh designed to treat about 150 cubic feet per second (cfs).</t>
  </si>
  <si>
    <t>North shore of Lake Apopka / Wetland habitat restoration. Remediate pesticide "hot spots" in soil.</t>
  </si>
  <si>
    <t>Project Status /Completion Date or Anticipated Completion Date</t>
  </si>
  <si>
    <t>Project Cost ($)</t>
  </si>
  <si>
    <t>SJRWMD / SJRWMD Ad valorem;
Legislative appropriation / --</t>
  </si>
  <si>
    <r>
      <rPr>
        <b/>
        <sz val="10"/>
        <rFont val="Calibri"/>
        <family val="2"/>
        <scheme val="minor"/>
      </rPr>
      <t>Project Number -
Project Name</t>
    </r>
  </si>
  <si>
    <r>
      <rPr>
        <b/>
        <sz val="10"/>
        <rFont val="Calibri"/>
        <family val="2"/>
        <scheme val="minor"/>
      </rPr>
      <t>General Location / Description</t>
    </r>
  </si>
  <si>
    <r>
      <rPr>
        <b/>
        <sz val="10"/>
        <rFont val="Calibri"/>
        <family val="2"/>
        <scheme val="minor"/>
      </rPr>
      <t>Estimated TP
Load
Reduction
(lbs /yr)</t>
    </r>
  </si>
  <si>
    <r>
      <rPr>
        <b/>
        <sz val="10"/>
        <rFont val="Calibri"/>
        <family val="2"/>
        <scheme val="minor"/>
      </rPr>
      <t>WBID
Number</t>
    </r>
  </si>
  <si>
    <r>
      <rPr>
        <b/>
        <sz val="10"/>
        <rFont val="Calibri"/>
        <family val="2"/>
        <scheme val="minor"/>
      </rPr>
      <t>Lead Entity / Funding Source /
Project Partners</t>
    </r>
  </si>
  <si>
    <r>
      <rPr>
        <sz val="10"/>
        <rFont val="Calibri"/>
        <family val="2"/>
        <scheme val="minor"/>
      </rPr>
      <t>ABC01 - Nutrient
Reduction Facility</t>
    </r>
  </si>
  <si>
    <r>
      <rPr>
        <sz val="10"/>
        <rFont val="Calibri"/>
        <family val="2"/>
        <scheme val="minor"/>
      </rPr>
      <t>2835A;
2834C</t>
    </r>
  </si>
  <si>
    <r>
      <rPr>
        <sz val="10"/>
        <rFont val="Calibri"/>
        <family val="2"/>
        <scheme val="minor"/>
      </rPr>
      <t>LCWA / LCWA;Legislature /
SJRWMD/DEP</t>
    </r>
  </si>
  <si>
    <r>
      <rPr>
        <sz val="10"/>
        <rFont val="Calibri"/>
        <family val="2"/>
        <scheme val="minor"/>
      </rPr>
      <t>BCL02 - Suction
dredging of western
Lake Beauclair</t>
    </r>
  </si>
  <si>
    <r>
      <rPr>
        <sz val="10"/>
        <rFont val="Calibri"/>
        <family val="2"/>
        <scheme val="minor"/>
      </rPr>
      <t>Unknown</t>
    </r>
  </si>
  <si>
    <r>
      <rPr>
        <sz val="10"/>
        <rFont val="Calibri"/>
        <family val="2"/>
        <scheme val="minor"/>
      </rPr>
      <t>2834C</t>
    </r>
  </si>
  <si>
    <r>
      <rPr>
        <sz val="10"/>
        <rFont val="Calibri"/>
        <family val="2"/>
        <scheme val="minor"/>
      </rPr>
      <t>FWC/LCWA/SJRWMD / cost share
/ --</t>
    </r>
  </si>
  <si>
    <r>
      <rPr>
        <sz val="10"/>
        <rFont val="Calibri"/>
        <family val="2"/>
        <scheme val="minor"/>
      </rPr>
      <t>BCL03 - Gizzard
shad harvest</t>
    </r>
  </si>
  <si>
    <r>
      <rPr>
        <sz val="10"/>
        <rFont val="Calibri"/>
        <family val="2"/>
        <scheme val="minor"/>
      </rPr>
      <t>Lake Beauclair in-lake removal of fish / Harvest of gizzard shad by commercial fishermen. Removal of fish removes nutrients from lake. Reduces recycling of nutrients from sediments and reduces sediment resuspension (TSS). Stabilizes bottom to reduce TSS.</t>
    </r>
  </si>
  <si>
    <r>
      <rPr>
        <sz val="10"/>
        <rFont val="Calibri"/>
        <family val="2"/>
        <scheme val="minor"/>
      </rPr>
      <t>$150,000/year in 2005 and 2006</t>
    </r>
  </si>
  <si>
    <r>
      <rPr>
        <sz val="10"/>
        <rFont val="Calibri"/>
        <family val="2"/>
        <scheme val="minor"/>
      </rPr>
      <t>Ongoing / Ongoing</t>
    </r>
  </si>
  <si>
    <r>
      <rPr>
        <sz val="10"/>
        <rFont val="Calibri"/>
        <family val="2"/>
        <scheme val="minor"/>
      </rPr>
      <t>DORA13 - Gizzard
shad harvest</t>
    </r>
  </si>
  <si>
    <r>
      <rPr>
        <sz val="10"/>
        <rFont val="Calibri"/>
        <family val="2"/>
        <scheme val="minor"/>
      </rPr>
      <t>2831B</t>
    </r>
  </si>
  <si>
    <r>
      <rPr>
        <sz val="10"/>
        <rFont val="Calibri"/>
        <family val="2"/>
        <scheme val="minor"/>
      </rPr>
      <t>SJRWMD / SJRMWD Ad valorem;
Legislative appropriation / --</t>
    </r>
  </si>
  <si>
    <r>
      <rPr>
        <sz val="10"/>
        <rFont val="Calibri"/>
        <family val="2"/>
        <scheme val="minor"/>
      </rPr>
      <t>EUS25 - Pine
Meadows
Restoration Area</t>
    </r>
  </si>
  <si>
    <r>
      <rPr>
        <sz val="10"/>
        <rFont val="Calibri"/>
        <family val="2"/>
        <scheme val="minor"/>
      </rPr>
      <t>1,487 - Lake
Eustis; 726 -
Trout Lake</t>
    </r>
  </si>
  <si>
    <r>
      <rPr>
        <sz val="10"/>
        <rFont val="Calibri"/>
        <family val="2"/>
        <scheme val="minor"/>
      </rPr>
      <t>2817B</t>
    </r>
  </si>
  <si>
    <r>
      <rPr>
        <sz val="10"/>
        <rFont val="Calibri"/>
        <family val="2"/>
        <scheme val="minor"/>
      </rPr>
      <t>SJRWMD / SJRWMD / --</t>
    </r>
  </si>
  <si>
    <r>
      <rPr>
        <sz val="10"/>
        <rFont val="Calibri"/>
        <family val="2"/>
        <scheme val="minor"/>
      </rPr>
      <t>$1,300,000 combined cost for both lakes</t>
    </r>
  </si>
  <si>
    <r>
      <rPr>
        <sz val="10"/>
        <rFont val="Calibri"/>
        <family val="2"/>
        <scheme val="minor"/>
      </rPr>
      <t>GRIF01 - Lake
Griffin Emeralda
Marsh Restoration</t>
    </r>
  </si>
  <si>
    <r>
      <rPr>
        <sz val="10"/>
        <rFont val="Calibri"/>
        <family val="2"/>
        <scheme val="minor"/>
      </rPr>
      <t>2814A</t>
    </r>
  </si>
  <si>
    <r>
      <rPr>
        <sz val="10"/>
        <rFont val="Calibri"/>
        <family val="2"/>
        <scheme val="minor"/>
      </rPr>
      <t>SJRWMD / SJRWMD Ad valorem;
Legislative appropriation / --</t>
    </r>
  </si>
  <si>
    <r>
      <rPr>
        <sz val="10"/>
        <rFont val="Calibri"/>
        <family val="2"/>
        <scheme val="minor"/>
      </rPr>
      <t>$15,000,000 for land
acquisition</t>
    </r>
  </si>
  <si>
    <r>
      <rPr>
        <sz val="10"/>
        <rFont val="Calibri"/>
        <family val="2"/>
        <scheme val="minor"/>
      </rPr>
      <t>GRIF02 - Gizzard
Shad Harvest</t>
    </r>
  </si>
  <si>
    <r>
      <rPr>
        <sz val="10"/>
        <rFont val="Calibri"/>
        <family val="2"/>
        <scheme val="minor"/>
      </rPr>
      <t>SJRWMD / SJRWMD Ad valorem;
Legislative appropriation; LCWA / -
-</t>
    </r>
  </si>
  <si>
    <r>
      <rPr>
        <sz val="10"/>
        <rFont val="Calibri"/>
        <family val="2"/>
        <scheme val="minor"/>
      </rPr>
      <t>$1,000,000 spent
since 2002 harvest</t>
    </r>
  </si>
  <si>
    <r>
      <rPr>
        <sz val="10"/>
        <rFont val="Calibri"/>
        <family val="2"/>
        <scheme val="minor"/>
      </rPr>
      <t>HAR02 - Lake
Harris Conservation
Area</t>
    </r>
  </si>
  <si>
    <r>
      <rPr>
        <sz val="10"/>
        <rFont val="Calibri"/>
        <family val="2"/>
        <scheme val="minor"/>
      </rPr>
      <t>2838A</t>
    </r>
  </si>
  <si>
    <r>
      <rPr>
        <sz val="10"/>
        <rFont val="Calibri"/>
        <family val="2"/>
        <scheme val="minor"/>
      </rPr>
      <t>SJRWMD / Ad valorem; legislative
appropriation / --</t>
    </r>
  </si>
  <si>
    <r>
      <rPr>
        <sz val="10"/>
        <rFont val="Calibri"/>
        <family val="2"/>
        <scheme val="minor"/>
      </rPr>
      <t>HAR03 - Harris
Bayou Conveyance
Project</t>
    </r>
  </si>
  <si>
    <r>
      <t xml:space="preserve">Harris Conservation Area to Lake Griffin / Establish water flow connection to </t>
    </r>
    <r>
      <rPr>
        <sz val="10"/>
        <rFont val="Calibri"/>
        <family val="2"/>
        <scheme val="minor"/>
      </rPr>
      <t>Lake Griffin. Modification of hydrodynamics to accommodate higher flows of
water.</t>
    </r>
  </si>
  <si>
    <r>
      <rPr>
        <sz val="10"/>
        <rFont val="Calibri"/>
        <family val="2"/>
        <scheme val="minor"/>
      </rPr>
      <t>LAP05 - Lake
Apopka Constructed
Marsh flow-way
Phase 1</t>
    </r>
  </si>
  <si>
    <r>
      <rPr>
        <sz val="10"/>
        <rFont val="Calibri"/>
        <family val="2"/>
        <scheme val="minor"/>
      </rPr>
      <t>External
reduction: 4,864
and flow-way:
17,640 to
22,050</t>
    </r>
  </si>
  <si>
    <r>
      <rPr>
        <sz val="10"/>
        <rFont val="Calibri"/>
        <family val="2"/>
        <scheme val="minor"/>
      </rPr>
      <t>2835D</t>
    </r>
  </si>
  <si>
    <r>
      <rPr>
        <sz val="10"/>
        <rFont val="Calibri"/>
        <family val="2"/>
        <scheme val="minor"/>
      </rPr>
      <t>SJRWMD / SJRWMD - SWIM
Legislative Appropriation/ Ad
Valorem/Beltway Mitigation Lake
County/LCWA - $1,000,000 EPA -
$1,000,000 / LCWA/ Lake
County/EPA</t>
    </r>
  </si>
  <si>
    <r>
      <rPr>
        <sz val="10"/>
        <rFont val="Calibri"/>
        <family val="2"/>
        <scheme val="minor"/>
      </rPr>
      <t>Total $~15 million in
land acquisition /
$4.32 million Phase 1
flow-way construction</t>
    </r>
  </si>
  <si>
    <r>
      <rPr>
        <sz val="10"/>
        <rFont val="Calibri"/>
        <family val="2"/>
        <scheme val="minor"/>
      </rPr>
      <t>LAP06 - North
Shore Restoration</t>
    </r>
  </si>
  <si>
    <r>
      <rPr>
        <sz val="10"/>
        <rFont val="Calibri"/>
        <family val="2"/>
        <scheme val="minor"/>
      </rPr>
      <t>$~100 million in land
acquisition</t>
    </r>
  </si>
  <si>
    <t>SJRWMD / SJRWMD/Legislative
appropriation - P2000:SOR: CARL;
USDA WRP / USDA</t>
  </si>
  <si>
    <t>2835D</t>
  </si>
  <si>
    <t>SJRWMD / SJRWMD ad valorem /
--</t>
  </si>
  <si>
    <t>~$10,000 annually</t>
  </si>
  <si>
    <t>Ongoing / Ongoing</t>
  </si>
  <si>
    <t>LAP08 - Removal of
Gizzard Shad</t>
  </si>
  <si>
    <t>Lake Apopka / Harvest of gizzard shad by commercial fishermen. Removal of fish removes nutrient from lake. Reduces recycling of nutrients from sediments and reduces sediment resuspension (TSS). Stabilizes bottom to reduce TSS.</t>
  </si>
  <si>
    <t>~$500,000 annually</t>
  </si>
  <si>
    <t>TROUT01 - Pine
Meadows
Restoration Area</t>
  </si>
  <si>
    <t>1,487 - Lake
Eustis; 726 -
Trout Lake</t>
  </si>
  <si>
    <t>2817B;
2819A</t>
  </si>
  <si>
    <t>SJRWMD / SJRWMD / --</t>
  </si>
  <si>
    <t>$1,300,000 combined cost for both lakes</t>
  </si>
  <si>
    <t>LAP07 - With-in
Lake Habitat
Restoration Area</t>
  </si>
  <si>
    <t>Lake Apopka / Planting of wetland vegetation in littoral zone, largely north shore. Helps improve fishery, improve water quality and may reduce nutrient levels, stabilize bottom, and reduce TSS.</t>
  </si>
  <si>
    <t>Pine Meadows Restoration Area. Muck farm is east of Trout Lake and discharges to Hicks Ditch. / Reduce TP loadings from former muck farm. Restore aquatic, wetland, and riverine habitat. Chemical treatment of soil (alum) to bind phosphates. Reduce nutrient outflow to feasible level of 1.1 kg/ha/yr of TP, or about 1 lb. per acre. Trout Lake is a tributary to Lake Eustis. Reduction in nutrient loading benefits both Lake Eustis and Trout Lake.</t>
  </si>
  <si>
    <t>SJRWMD / SJRWMD ad valorem
; Lake County; LCWA; Legislature
appropriation / Lake County/LCWA</t>
  </si>
  <si>
    <t>Mitigation Anecdotal</t>
  </si>
  <si>
    <t>*Evaluated data source quality also based on the following: 1. Whether the study relied on state-of-art methods accepted in economic literature; 2. Whether the results correspond to economic theory; 3. Evaluate the quality of data sources (e.g., relies on well-known data sources or that the best practices were used for primary data collection); 4. Whether the results are supported by economic literature.</t>
  </si>
  <si>
    <t xml:space="preserve">a. Include quantitative estimates of the costs </t>
  </si>
  <si>
    <t>d. Estimates related to actual or existing occurrences of nutrient pollution (e.g., excludes estimates related to projected nutrient pollution, such as a proposed nutrient criteria rule).</t>
  </si>
  <si>
    <t>a. Quantitative estimates of adverse economic impacts from nutrient pollution.</t>
  </si>
  <si>
    <t xml:space="preserve">b. Original research or method. </t>
  </si>
  <si>
    <t>c. Specific to nutrients, dissolved oxygen, or algal blooms.</t>
  </si>
  <si>
    <t>e. Peer-reviewed, government-funded, academic, or other quality data source.*</t>
  </si>
  <si>
    <t>b. Studies specific to nutrients.</t>
  </si>
  <si>
    <t xml:space="preserve">c. Studies on streams, lakes, estuaries, or coastal systems; excludes wetlands (impacts of nutrient on wetlands is beyond the scope of this project although wetland restoration and preservation are including in control costs).  </t>
  </si>
  <si>
    <t>d. Original research or method (e.g., exclude studies that used original study results; identify and use original study references).</t>
  </si>
  <si>
    <t>e.  Not older than 2000 (unless more recent information on the category is not available).</t>
  </si>
  <si>
    <t>f. Estimates related to actual or existing occurrences of nutrient pollution (e.g., excludes estimates related to projected nutrient pollution, such as a proposed nutrient criteria rule).</t>
  </si>
  <si>
    <t>g. Peer-reviewed, government-funded, academic or other quality data source.*</t>
  </si>
  <si>
    <t>b. Studies specific to nutrients</t>
  </si>
  <si>
    <t>d. Original research or method (e.g., exclude studies that used original study results; identify and use original study references)</t>
  </si>
  <si>
    <t>e.  Not older than 2000 (unless more recent information on the category is not available)</t>
  </si>
  <si>
    <t>f. Estimates related to actual or existing occurrences of nutrient pollution (e.g., excludes estimates related to projected nutrient pollution, such as a proposed nutrient criteria rule)</t>
  </si>
  <si>
    <t>g. Peer-reviewed, government-funded, academic or other quality data source*</t>
  </si>
  <si>
    <t>h.  Exclude red tide-related studies</t>
  </si>
  <si>
    <t>a. Include quantitative estimates of the costs.</t>
  </si>
  <si>
    <t>Provides information about restoration and water quality improvement projects planned to meet phosphorus load reductions for Florida's Upper Ocklawaha River Basin TMDL (including, for each project, the estimated load reduction, project cost, and completion date). Presented in original dollar years.</t>
  </si>
  <si>
    <t xml:space="preserve">Source:  (UOBWG, 2007) </t>
  </si>
  <si>
    <t>Upper Ocklawaha Basin Working Group (UOBWG). 2007. Basin Management Action Plan: For the Implementation of Total Maximum Daily Loads Adopted by the Florida Department of Environmental Protection in the Upper Ocklawaha River Basin.</t>
  </si>
  <si>
    <t>Provides an overview of the data on point source control costs and definitions for the terms and abbreviations used in the Municipal, Industrial, Decentralized, and Point Source Anecdotal sheets.</t>
  </si>
  <si>
    <t xml:space="preserve">Provides information about costs reported for Maryland wastewater treatment plants to upgrade to BNR and ENR treatment processes (including, for each plant, NPDES ID, treatment capacity, BNR/ENR upgrade year, BNR upgrade cost, and ENR upgrade cost). </t>
  </si>
  <si>
    <t>UOBWG, 2007</t>
  </si>
  <si>
    <t>MDE (2012)</t>
  </si>
  <si>
    <t>Maryland Department of the Environment (MDE). 2012. Cost Estimates for Phase II WIP.</t>
  </si>
  <si>
    <t>[3]</t>
  </si>
  <si>
    <t>Provides an overview of the data on economic impacts presented in the Tourism, Fisheries, Property Value, Health Effects, and Drinking Water Treatment sheets.</t>
  </si>
  <si>
    <t>Ongoing / Projected
completion 2007</t>
  </si>
  <si>
    <t>Pending / Projected
completion 2008</t>
  </si>
  <si>
    <t>Starting phosphorus concentration represents the average phosphorus concentration in the year 2009. Ending concentration is an approximation of where the phosphorus level will settle. Total capital cost represents the addition of capital ($100,000), engineering &amp; design ($20,000), contigency ($25,000), and permitting ($3,000) costs.</t>
  </si>
  <si>
    <t>Starting phosphorus concentration represents the average phosphorus concentration in the year 2009. Total capital cost represents the addition of capital ($160,000), engineering &amp; design ($32,000), contigency ($40,000), and permitting ($3,000) costs.</t>
  </si>
  <si>
    <t xml:space="preserve">Starting phosphorus concentration represents the average phosphorus concentration in the year 2009. Total capital cost represents the addition of capital ($102,000), contigency ($35,700), and permitting ($3,000) costs. The report states that contigency represents 25% of construction cost, but the cost reported ($35,700) is 35%. </t>
  </si>
  <si>
    <t>Involves the direct removal of lake bottom waters and return of treated water to the lake; NPDES permit would also be required. Starting phosphorus concentration represents the average phosphorus concentration in the year 2009. Total capital cost represents the addition of capital ($400,000), engineering &amp; design ($80,000), contigency ($100,000), and permitting ($10,000) costs.</t>
  </si>
  <si>
    <t>Involves the removal of rough fish (carp) and introduction of piscivores to reduce planktivores that reduce zooplankton that feed on algae; fish removal costs are uncertain because fish population is not well understood. Starting phosphorus concentration represents the average phosphorus concentration in the year 2009. Total capital cost represents the addition of capital ($216,000), contigency ($54,000), and permitting ($3,000) costs.</t>
  </si>
  <si>
    <t>Barley straw is added along the shoreline to limit algae growth.  Starting phosphorus concentration represents the average phosphorus concentration in the year 2009. Capital cost represents the total annual cost of a barley straw application.</t>
  </si>
  <si>
    <t>Involves on-site dewatering and off-site disposal due to space limitations. Starting phosphorus concentration represents the average phosphorus concentration in the year 2009. Total capital cost represents the addition of capital ($1,700,000), engineering &amp; design ($425,000), contigency ($425,000), and permitting ($20,000) costs.</t>
  </si>
  <si>
    <t>$154,000 for Lovers Lake; $78,000 for Stillwater Pond; additionally consulted a highly qualified vendor who estimated costs of $180,000 for Lovers Lake. Ending phosphorus concentrations are the result of ENSR's Treatment Option #2, which would perform artificial circulation only on Lover's Lake.  Total capital cost represents the addition of capital ($1800/acre x 56 acres) and permitting ($10,000).</t>
  </si>
  <si>
    <t>Costs will range from $159,879 - $186,679 per year over the first three years; thereafter costs will be approximately $100,000 annually; budget used high estimate of alum costs to be conservative. Capital costs represent the addition of alum treatment, monitoring, and consulting.</t>
  </si>
  <si>
    <t>Provides the consumer price index (CPI) factors used to normalize cost and impact estimates to 2012$, and the construction cost index (CCI) factors used to normalize drinking water and wastewater treatment cost estimates to 2012$.</t>
  </si>
  <si>
    <t xml:space="preserve">Provides information about studies reporting costs associated with municipal water treatment for nutrients (including, for each study, the nutrient parameter, target concentration, treatment technology, influent and effluent concentrations, plant capacity, and costs); all results updated to 2012$ using the construction cost index. </t>
  </si>
  <si>
    <t xml:space="preserve">Provides information about studies reporting costs associated with industrial wastewater treatment for nutrients (including, for each study, the nutrient parameter, treatment technology, influent and effluent concentrations, plant capacity, and costs); all results updated to 2012$ using the construction cost index. </t>
  </si>
  <si>
    <t xml:space="preserve">Provides information about studies reporting costs associated with decentralized wastewater treatment for nutrients (including, for each study, the nutrient parameter, treatment technology, influent and effluent concentrations, plant capacity, and costs); all results updated to 2012$ using the construction cost index. </t>
  </si>
  <si>
    <t>Sequenced processes should be denoted by "___ + ___" (i.e., Activated sludge followed by filtration would be "AS + Fil").</t>
  </si>
  <si>
    <t>Pollutant Offset</t>
  </si>
  <si>
    <t>Nitrogen offset program.</t>
  </si>
  <si>
    <t>Details regarding pollutant offsets for the Rahr Malting Co. Case study includes costs regarding Phosphorus, Nitrogen, CBOD-5, and sediment.</t>
  </si>
  <si>
    <t>Phosphorus, Nitrogen, CBOD-5, and sediment offset program.</t>
  </si>
  <si>
    <t>Instructions</t>
  </si>
  <si>
    <t>Provides general instructions on how to use the workbook to access the data and information about the economic impacts (i.e., costs) of nutrient pollution and the costs of nutrient pollution control.</t>
  </si>
  <si>
    <t>Nutrient Impacts and Control Costs</t>
  </si>
  <si>
    <t>The Cadmus Group Inc. (2014)</t>
  </si>
  <si>
    <t>Lake Waco (TX)</t>
  </si>
  <si>
    <t>2002 - 2012</t>
  </si>
  <si>
    <t>11 sq. mile lake that provides drinking water for 165,805 people in Waco and adjacent municipalities that purchase drinking water from the City of Waco.</t>
  </si>
  <si>
    <t>The City of Waco provided details on water treatment actions and costs.</t>
  </si>
  <si>
    <t>Used information from the City to estimate the total impacts associated with excess nutrients in source water including watershed monitoring, influent and treated water monitoring, chemical usage to treat for algae, treatment plant upgrades, treatment plant energy costs, and potential lost revenue from decreased water sales to Waco residents and neighboring communities.</t>
  </si>
  <si>
    <t>Technical Report</t>
  </si>
  <si>
    <t>The treatment plant upgrades include the cost of expansion from 66 mgd to a final capacity of 135 mgd. In addition, after the DAF and ozone treatment, water is sent to two treatment plants prior to distribution. The report does not account for the decrease in treatment costs (e.g., chemical usage) at these plants resulting from the additional pretreatment. The report also does not discuss the potential increase in purchased water due to the higher quality.</t>
  </si>
  <si>
    <t>The Cadmus Group Inc. 2014. The Economic Impact of Nutrients and Algae on a Central Texas Drinking Water Supply. April.</t>
  </si>
  <si>
    <t>Lake Waco Watershed Monitoring = $2,597,118
Influent and Treated Water Monitoring = $740,705
Chemical Usage to Treat for Algae = $1,169,151
Drinking Water Treatment Plant Upgrades = $64,877,721
Treatment Plant Energy Costs = $812,755
Total Estimated Cost = $70,197,450
Lost Revenue from purchased water = $10.3 million over 11 years</t>
  </si>
  <si>
    <t>Lake Waco Watershed Monitoring = $2,597,118 (2012 dollars)
Influent and Treated Water Monitoring = $740,705 (2012 dollars)
Chemical Usage to Treat for Algae = $1,169,151 (2012 dollars)
Drinking Water Treatment Plant Upgrades = $64,877,721 (2012 dollars)
Treatment Plant Energy Costs = $812,755 (2012 dollars)
Total Estimated Cost = $70,197,450 (2012 dollars)
Lost Revenue from purchased water = $10.3 million over 11 years (2012 dollars)</t>
  </si>
  <si>
    <t>KDHE (2011)</t>
  </si>
  <si>
    <t>Report</t>
  </si>
  <si>
    <t>Not specified</t>
  </si>
  <si>
    <t>Reservoirs throughout Kansas impacted by excess algae</t>
  </si>
  <si>
    <t>Kansas Department of Health and Environment (KDHE). 2011. Water Quality Standards White Paper: Chlorophyll-a Criteria for Public Water Supply Lakes or Reservoirs.</t>
  </si>
  <si>
    <t>Taste and odor issues in the drinking water from Lake Waco were first reported in the late 1960s. A decline in water quality in the late 1980s coincided with the growth of dairy cow production in the watershed. Total phosphorus concentrations are generally &lt;0.2 mg/L (the state’s screening level to protect general use), though daily average concentrations have been reported as high as 1.04 mg/L. The median chlorophyll a concentration is 13.9 µg/L with a range of 2.2 µg/L to 40.0 µg/L.</t>
  </si>
  <si>
    <t>The City of Wichita constructed an $8.5 million ozone facility at Cheney Reservoir to control taste and odor problems. In Kansas, there have been a few incidences of drinking water treatment plants being forced to shut down during moderate to severe algal blooms due to the inability to adequately treat the source water.</t>
  </si>
  <si>
    <t>Use of this workbook assumes users have a working knowledge of Microsoft Excel© functions. However, the following provides some general instructions on how to use the workbook to access the data and information about the economic impacts (i.e., costs) of nutrient pollution and the costs of nutrient pollution control.
In the top left-hand corner of each page is a set of one or more navigational buttons. These buttons can be used to instantly move from one page to another within the file. This page (i.e., Instructions) has a  “GO TO” button which, when clicked with the cursor, leads to the Navigation page. The "File Info" button leads back to the general information page.
The Navigation page serves as a Table of Contents for the Nutrient Conceptual Model file. One can immediately switch to any page in the file by clicking on the button corresponding to that topic. As an example, go to the Navigation page by pressing the “GO TO” button, then press the “TMDLs” button in the “Restoration and Mitigation” row. After arriving at the TMDLs page, click on the “File Info” button to return to the file information sheet. Remember, the “GO TO” button will always return one to the Navigation page, and the “Instructions” button will always return here. On any given page, additional buttons may be present which will lead one to related topics or resources that may be of interest (e.g., source references). The worksheet descriptions table (in the "File Info" sheet) can also be used to navigate by clicking on the worksheet name.
Certain sheets within the file contain tools for sorting and filtering information. Columns with a grey button located in the lower left-hand corner of header cells (Figure 1) can be used for filtering and sorting the contents of a sheet. By utilizing the filtering and sorting tools, a user may organize the data within a given page according to options like pollutant type, cost, and geographic location. A user may also search within a sheet or within the entire file for specific keywords using the Search function. Search options may be accessed by pressing Ctrl+f.</t>
  </si>
  <si>
    <t>This workbook provides a compendium of information about the economic impacts of nutrient pollution, and the costs of nutrient pollution control, including costs associated with in-waterbody mitigation, restoration, point source controls, and nonpoint source controls. It includes diagrams showing the pathways for impacts of nutrients on lakes, streams, estuaries, and coasts, and a summary of the literature on economic impacts and control costs. Relevant studies are described in tabs organized according to economic economic sector (including tourism/recreation, commercial fisheries, property values, health effects, and drinking water treatment) and type of control activity. Sources that are relevant to economic impacts of nutrient pollution but do not meet all the evaluation criteria are included as Anecdotal Impacts or Additional Studies (as described below). CBA briefly summarizes cost-benefit and economic analyses of state-level nutrient rulemaking. All boxes and cells that are shaded purple are links to other sheets within the workbook.</t>
  </si>
  <si>
    <t>Restoration and Mitigation</t>
  </si>
  <si>
    <t>Restoration and Mitigation Cost Overview</t>
  </si>
  <si>
    <t>This section provides a compilation of costs for nutrient reduction restoration activities and in-lake nutrient mitigation technologies and methods. The Restoration sheet includes studies which detail the costs of preparing TMDLs, watershed planning assessments, or pollutant trading programs for nutrients. The Mitigation sheet includes studies which detail the costs of strategies used to treat nutrients within a lake, such as alum treatment, dredging, and artificial circulation.</t>
  </si>
  <si>
    <t>Provides information about studies quantifying the costs associated with nutrient reduction restoration (including, for each study, the water body type, restoration activity and description, location, year, resource description, water quality impact, data sources, and costs); all results updated to 2012$ using the consumer price index.</t>
  </si>
  <si>
    <t>Restoration</t>
  </si>
  <si>
    <t>Provides an overview of the data on restoration and mitigation costs and definitions for the terms and abbreviations used in the Restoration, Mitigation, and Mitigation Anecdotal sheets.</t>
  </si>
  <si>
    <t>Provides an overview of the data on nonpoint source control costs and definitions for the terms and abbreviations used in the Urban Runoff sheet.</t>
  </si>
  <si>
    <t xml:space="preserve">This section provides a compilation of costs for the treatment of nutrient pollution from nonpoint sources focusing on Urban Runoff.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</si>
</sst>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8" formatCode="&quot;$&quot;#,##0.00_);[Red]\(&quot;$&quot;#,##0.00\)"/>
    <numFmt numFmtId="43" formatCode="_(* #,##0.00_);_(* \(#,##0.00\);_(* &quot;-&quot;??_);_(@_)"/>
    <numFmt numFmtId="164" formatCode="0.0000"/>
    <numFmt numFmtId="165" formatCode="0.000"/>
    <numFmt numFmtId="166" formatCode="0.00000"/>
    <numFmt numFmtId="167" formatCode="&quot;$&quot;#,##0"/>
    <numFmt numFmtId="168" formatCode="&quot;$&quot;#,##0.00"/>
  </numFmts>
  <fonts count="22"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0"/>
      <color theme="1"/>
      <name val="Calibri"/>
      <family val="2"/>
      <scheme val="minor"/>
    </font>
    <font>
      <sz val="11"/>
      <color rgb="FF000000"/>
      <name val="Calibri"/>
      <family val="2"/>
    </font>
    <font>
      <sz val="10"/>
      <name val="Arial"/>
      <family val="2"/>
    </font>
    <font>
      <i/>
      <sz val="10"/>
      <color theme="1"/>
      <name val="Calibri"/>
      <family val="2"/>
      <scheme val="minor"/>
    </font>
    <font>
      <i/>
      <sz val="11"/>
      <color theme="1"/>
      <name val="Calibri"/>
      <family val="2"/>
      <scheme val="minor"/>
    </font>
    <font>
      <sz val="10"/>
      <name val="Calibri"/>
      <family val="2"/>
      <scheme val="minor"/>
    </font>
    <font>
      <sz val="10"/>
      <color rgb="FF000000"/>
      <name val="Arial"/>
      <family val="2"/>
    </font>
    <font>
      <u/>
      <sz val="10"/>
      <color theme="10"/>
      <name val="Arial"/>
      <family val="2"/>
    </font>
    <font>
      <sz val="10"/>
      <color theme="1"/>
      <name val="Arial"/>
      <family val="2"/>
    </font>
    <font>
      <sz val="11"/>
      <color rgb="FF000000"/>
      <name val="Calibri"/>
      <family val="2"/>
      <scheme val="minor"/>
    </font>
    <font>
      <u/>
      <sz val="10"/>
      <color theme="10"/>
      <name val="Calibri"/>
      <family val="2"/>
      <scheme val="minor"/>
    </font>
    <font>
      <sz val="11"/>
      <color theme="1"/>
      <name val="Calibri"/>
      <family val="2"/>
      <scheme val="minor"/>
    </font>
    <font>
      <i/>
      <u/>
      <sz val="11"/>
      <color theme="1"/>
      <name val="Calibri"/>
      <family val="2"/>
      <scheme val="minor"/>
    </font>
    <font>
      <sz val="10"/>
      <color theme="1"/>
      <name val="Arial Narrow"/>
      <family val="2"/>
    </font>
    <font>
      <b/>
      <sz val="10"/>
      <color theme="1"/>
      <name val="Arial Narrow"/>
      <family val="2"/>
    </font>
    <font>
      <vertAlign val="superscript"/>
      <sz val="10"/>
      <color theme="1"/>
      <name val="Calibri"/>
      <family val="2"/>
      <scheme val="minor"/>
    </font>
    <font>
      <i/>
      <sz val="10"/>
      <name val="Arial"/>
      <family val="2"/>
    </font>
    <font>
      <b/>
      <sz val="1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4" tint="0.59996337778862885"/>
        <bgColor indexed="64"/>
      </patternFill>
    </fill>
    <fill>
      <patternFill patternType="solid">
        <fgColor theme="7"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8">
    <xf numFmtId="0" fontId="0"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1" fillId="0" borderId="0" applyNumberFormat="0" applyFill="0" applyBorder="0" applyAlignment="0" applyProtection="0"/>
    <xf numFmtId="43" fontId="15" fillId="0" borderId="0" applyFont="0" applyFill="0" applyBorder="0" applyAlignment="0" applyProtection="0"/>
    <xf numFmtId="9" fontId="15" fillId="0" borderId="0" applyFont="0" applyFill="0" applyBorder="0" applyAlignment="0" applyProtection="0"/>
    <xf numFmtId="0" fontId="5" fillId="0" borderId="0"/>
  </cellStyleXfs>
  <cellXfs count="233">
    <xf numFmtId="0" fontId="0" fillId="0" borderId="0" xfId="0"/>
    <xf numFmtId="0" fontId="0" fillId="2" borderId="0" xfId="0" applyFill="1"/>
    <xf numFmtId="0" fontId="0" fillId="0" borderId="1" xfId="0" applyBorder="1" applyAlignment="1">
      <alignment horizontal="left" vertical="center"/>
    </xf>
    <xf numFmtId="0" fontId="0" fillId="0" borderId="0" xfId="0" applyAlignment="1">
      <alignment vertical="center"/>
    </xf>
    <xf numFmtId="14" fontId="0" fillId="0" borderId="1" xfId="0" applyNumberFormat="1" applyBorder="1" applyAlignment="1">
      <alignment horizontal="left" vertical="center"/>
    </xf>
    <xf numFmtId="0" fontId="2" fillId="0" borderId="0" xfId="0" applyFont="1"/>
    <xf numFmtId="0" fontId="2" fillId="0" borderId="1" xfId="0" applyFont="1" applyFill="1" applyBorder="1" applyAlignment="1">
      <alignment vertical="center" wrapText="1"/>
    </xf>
    <xf numFmtId="0" fontId="2" fillId="0" borderId="1" xfId="0" applyFont="1" applyBorder="1" applyAlignment="1">
      <alignment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Fill="1" applyBorder="1" applyAlignment="1">
      <alignment vertical="center"/>
    </xf>
    <xf numFmtId="0" fontId="2" fillId="0" borderId="0" xfId="0" applyFont="1" applyFill="1"/>
    <xf numFmtId="0" fontId="2" fillId="0" borderId="1" xfId="0" applyFont="1" applyBorder="1" applyAlignment="1">
      <alignment vertical="center" wrapText="1"/>
    </xf>
    <xf numFmtId="0" fontId="2" fillId="0" borderId="0" xfId="0" applyFont="1" applyAlignment="1">
      <alignment wrapText="1"/>
    </xf>
    <xf numFmtId="0" fontId="2"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9" fillId="0" borderId="1" xfId="0" applyFont="1" applyFill="1" applyBorder="1" applyAlignment="1">
      <alignment vertical="center" wrapText="1"/>
    </xf>
    <xf numFmtId="0" fontId="9" fillId="0" borderId="1" xfId="0" applyFont="1" applyBorder="1" applyAlignment="1">
      <alignment vertical="center" wrapText="1"/>
    </xf>
    <xf numFmtId="0" fontId="0" fillId="0" borderId="0" xfId="0" applyAlignment="1">
      <alignment vertical="center" wrapText="1"/>
    </xf>
    <xf numFmtId="0" fontId="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horizontal="center" vertical="center" wrapText="1"/>
    </xf>
    <xf numFmtId="0" fontId="12"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2" fillId="0" borderId="1" xfId="0" applyFont="1" applyBorder="1" applyAlignment="1" applyProtection="1">
      <alignment horizontal="center" vertical="center" wrapText="1"/>
    </xf>
    <xf numFmtId="0" fontId="0" fillId="0" borderId="0" xfId="0" applyAlignment="1" applyProtection="1">
      <alignment horizontal="center" vertical="center" wrapText="1"/>
    </xf>
    <xf numFmtId="0" fontId="2" fillId="0" borderId="1" xfId="0" applyFont="1" applyBorder="1" applyAlignment="1">
      <alignment horizontal="left" vertical="center" wrapText="1"/>
    </xf>
    <xf numFmtId="0" fontId="2" fillId="0" borderId="0" xfId="0" applyFont="1" applyAlignment="1">
      <alignment horizont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10"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xf>
    <xf numFmtId="0" fontId="0" fillId="0" borderId="0" xfId="0" applyFill="1" applyAlignment="1">
      <alignment vertical="center" wrapText="1"/>
    </xf>
    <xf numFmtId="0" fontId="2" fillId="0" borderId="0" xfId="0" applyFont="1" applyFill="1" applyAlignment="1">
      <alignment vertical="center"/>
    </xf>
    <xf numFmtId="0" fontId="2" fillId="0" borderId="0" xfId="0" applyFont="1" applyAlignment="1">
      <alignment vertical="center"/>
    </xf>
    <xf numFmtId="0" fontId="12" fillId="0" borderId="3" xfId="0" applyFont="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2" fillId="0" borderId="0" xfId="0" applyFont="1" applyAlignment="1">
      <alignment horizontal="center" wrapText="1"/>
    </xf>
    <xf numFmtId="0" fontId="11" fillId="0" borderId="1" xfId="4" applyBorder="1" applyAlignment="1" applyProtection="1">
      <alignment horizontal="center" vertical="center" wrapText="1"/>
      <protection locked="0"/>
    </xf>
    <xf numFmtId="0" fontId="0" fillId="0" borderId="0" xfId="0" applyFont="1"/>
    <xf numFmtId="0" fontId="8" fillId="0" borderId="0" xfId="0" applyFont="1"/>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xf numFmtId="0" fontId="0" fillId="0" borderId="0" xfId="0" applyBorder="1" applyAlignment="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vertical="center"/>
    </xf>
    <xf numFmtId="0" fontId="11" fillId="0" borderId="1" xfId="4" applyBorder="1" applyAlignment="1">
      <alignment horizontal="center"/>
    </xf>
    <xf numFmtId="0" fontId="11" fillId="3" borderId="1" xfId="4"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lignment horizontal="center" vertical="center" wrapText="1"/>
    </xf>
    <xf numFmtId="0" fontId="1" fillId="3" borderId="1" xfId="0" applyFont="1" applyFill="1" applyBorder="1" applyAlignment="1">
      <alignment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0" fillId="0" borderId="1" xfId="0" applyBorder="1" applyAlignment="1">
      <alignment vertical="center" wrapText="1"/>
    </xf>
    <xf numFmtId="0" fontId="10" fillId="0" borderId="0" xfId="0" applyFont="1" applyBorder="1" applyAlignment="1" applyProtection="1">
      <alignment horizontal="center" vertical="center" wrapText="1"/>
      <protection locked="0"/>
    </xf>
    <xf numFmtId="0" fontId="12" fillId="0" borderId="0" xfId="0" applyFont="1" applyBorder="1" applyAlignment="1" applyProtection="1">
      <alignment horizontal="center" vertical="center" wrapText="1"/>
    </xf>
    <xf numFmtId="0" fontId="12" fillId="0" borderId="0" xfId="0" applyFont="1" applyBorder="1" applyAlignment="1" applyProtection="1">
      <alignment horizontal="center" vertical="center" wrapText="1"/>
      <protection locked="0"/>
    </xf>
    <xf numFmtId="0" fontId="11" fillId="0" borderId="0" xfId="4" applyBorder="1" applyAlignment="1" applyProtection="1">
      <alignment horizontal="center" vertical="center" wrapText="1"/>
      <protection locked="0"/>
    </xf>
    <xf numFmtId="0" fontId="1" fillId="3" borderId="1" xfId="0" applyFont="1" applyFill="1" applyBorder="1" applyAlignment="1">
      <alignment horizontal="center" vertical="center" wrapText="1"/>
    </xf>
    <xf numFmtId="0" fontId="5" fillId="0" borderId="1" xfId="0" applyFont="1" applyBorder="1" applyAlignment="1">
      <alignment vertical="center" wrapText="1"/>
    </xf>
    <xf numFmtId="0" fontId="11" fillId="7" borderId="1" xfId="4" applyFill="1" applyBorder="1" applyAlignment="1">
      <alignment vertical="center" wrapText="1"/>
    </xf>
    <xf numFmtId="0" fontId="11" fillId="7" borderId="2" xfId="4" applyFill="1" applyBorder="1" applyAlignment="1">
      <alignment vertical="center" wrapText="1"/>
    </xf>
    <xf numFmtId="0" fontId="1" fillId="3" borderId="1" xfId="0" applyFont="1" applyFill="1" applyBorder="1" applyAlignment="1">
      <alignment horizontal="center" vertical="center" wrapText="1"/>
    </xf>
    <xf numFmtId="0" fontId="0" fillId="0" borderId="1" xfId="0" applyBorder="1" applyAlignment="1">
      <alignment horizontal="center" vertical="center" wrapText="1"/>
    </xf>
    <xf numFmtId="0" fontId="1" fillId="0" borderId="0" xfId="0" applyFont="1" applyAlignment="1">
      <alignment vertical="center" wrapText="1"/>
    </xf>
    <xf numFmtId="0" fontId="0" fillId="0" borderId="1" xfId="0" quotePrefix="1" applyBorder="1" applyAlignment="1">
      <alignment horizontal="center" vertical="center" wrapText="1"/>
    </xf>
    <xf numFmtId="9" fontId="2" fillId="0" borderId="1" xfId="6"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17" fillId="0" borderId="0" xfId="0" applyFont="1" applyAlignment="1">
      <alignment vertical="center" wrapText="1"/>
    </xf>
    <xf numFmtId="2" fontId="2" fillId="0" borderId="1" xfId="5" applyNumberFormat="1" applyFont="1" applyFill="1" applyBorder="1" applyAlignment="1">
      <alignment horizontal="center" vertical="center" wrapText="1"/>
    </xf>
    <xf numFmtId="0" fontId="2" fillId="0" borderId="1" xfId="5" applyNumberFormat="1" applyFont="1" applyFill="1" applyBorder="1" applyAlignment="1">
      <alignment horizontal="center" vertical="center" wrapText="1"/>
    </xf>
    <xf numFmtId="0" fontId="2" fillId="0" borderId="0" xfId="0" applyFont="1" applyFill="1" applyAlignment="1">
      <alignment horizontal="center" vertical="center"/>
    </xf>
    <xf numFmtId="0" fontId="17" fillId="0" borderId="0" xfId="0" applyFont="1"/>
    <xf numFmtId="0" fontId="17" fillId="0" borderId="0" xfId="0" applyFont="1" applyFill="1"/>
    <xf numFmtId="1" fontId="2" fillId="0" borderId="1" xfId="0" applyNumberFormat="1" applyFont="1" applyBorder="1" applyAlignment="1">
      <alignment horizontal="center" vertical="center" wrapText="1"/>
    </xf>
    <xf numFmtId="0" fontId="17" fillId="0" borderId="0" xfId="0" applyFont="1" applyAlignment="1"/>
    <xf numFmtId="0" fontId="0" fillId="0" borderId="0" xfId="0" applyFill="1"/>
    <xf numFmtId="0" fontId="0" fillId="0" borderId="0" xfId="0" applyFill="1" applyAlignment="1"/>
    <xf numFmtId="166" fontId="2" fillId="0" borderId="1" xfId="0" applyNumberFormat="1" applyFont="1" applyFill="1" applyBorder="1" applyAlignment="1">
      <alignment horizontal="center" vertical="center" wrapText="1"/>
    </xf>
    <xf numFmtId="2" fontId="2" fillId="0" borderId="1" xfId="0" applyNumberFormat="1" applyFont="1" applyBorder="1" applyAlignment="1">
      <alignment horizontal="center" vertical="center"/>
    </xf>
    <xf numFmtId="0" fontId="0" fillId="0" borderId="0" xfId="0" applyNumberFormat="1" applyFill="1"/>
    <xf numFmtId="0" fontId="0" fillId="0" borderId="1" xfId="0" applyFill="1" applyBorder="1" applyAlignment="1">
      <alignment horizontal="center" vertical="center" wrapText="1"/>
    </xf>
    <xf numFmtId="0" fontId="0" fillId="0" borderId="1" xfId="0" applyFill="1" applyBorder="1" applyAlignment="1">
      <alignment vertical="center" wrapText="1"/>
    </xf>
    <xf numFmtId="0" fontId="0" fillId="0" borderId="1" xfId="0" quotePrefix="1" applyFill="1" applyBorder="1" applyAlignment="1">
      <alignment horizontal="center" vertical="center" wrapText="1"/>
    </xf>
    <xf numFmtId="0" fontId="0" fillId="0" borderId="0" xfId="0" applyFill="1" applyAlignment="1">
      <alignment horizontal="center" vertical="center" wrapText="1"/>
    </xf>
    <xf numFmtId="0" fontId="0" fillId="0" borderId="0" xfId="0" quotePrefix="1" applyFill="1" applyAlignment="1">
      <alignment horizontal="center" vertical="center" wrapText="1"/>
    </xf>
    <xf numFmtId="9" fontId="2" fillId="0" borderId="1" xfId="6" applyFont="1" applyFill="1" applyBorder="1" applyAlignment="1">
      <alignment horizontal="center" vertical="center"/>
    </xf>
    <xf numFmtId="2" fontId="2" fillId="0" borderId="1" xfId="6" applyNumberFormat="1" applyFont="1" applyFill="1" applyBorder="1" applyAlignment="1">
      <alignment horizontal="center" vertical="center"/>
    </xf>
    <xf numFmtId="2" fontId="2" fillId="0" borderId="1" xfId="0" applyNumberFormat="1" applyFont="1" applyFill="1" applyBorder="1" applyAlignment="1">
      <alignment horizontal="center" vertical="center"/>
    </xf>
    <xf numFmtId="9" fontId="2" fillId="0" borderId="1" xfId="0" applyNumberFormat="1" applyFont="1" applyBorder="1" applyAlignment="1">
      <alignment horizontal="center" vertical="center"/>
    </xf>
    <xf numFmtId="0" fontId="2" fillId="0" borderId="1" xfId="0" applyFont="1" applyBorder="1" applyAlignment="1"/>
    <xf numFmtId="0" fontId="2" fillId="0" borderId="1" xfId="0" applyFont="1" applyBorder="1" applyAlignment="1">
      <alignment wrapText="1"/>
    </xf>
    <xf numFmtId="0" fontId="0" fillId="0" borderId="0" xfId="0" applyAlignment="1">
      <alignment horizontal="center" vertical="center"/>
    </xf>
    <xf numFmtId="0" fontId="2" fillId="0" borderId="0" xfId="0" applyFont="1" applyFill="1" applyAlignment="1">
      <alignment vertical="center" wrapText="1"/>
    </xf>
    <xf numFmtId="0" fontId="2" fillId="0" borderId="0" xfId="0" applyFont="1" applyFill="1" applyAlignment="1">
      <alignment wrapText="1"/>
    </xf>
    <xf numFmtId="0" fontId="9" fillId="0" borderId="1" xfId="0"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0" fontId="2" fillId="0" borderId="1" xfId="0" applyFont="1" applyFill="1" applyBorder="1"/>
    <xf numFmtId="165" fontId="2" fillId="0" borderId="1" xfId="0" applyNumberFormat="1" applyFont="1" applyFill="1" applyBorder="1" applyAlignment="1">
      <alignment horizontal="center" vertical="center"/>
    </xf>
    <xf numFmtId="0" fontId="2" fillId="0" borderId="1" xfId="0" quotePrefix="1"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0" xfId="0" applyFont="1" applyFill="1" applyAlignment="1">
      <alignment horizontal="center" vertical="center" wrapText="1"/>
    </xf>
    <xf numFmtId="9" fontId="2" fillId="0" borderId="0" xfId="6" applyFont="1" applyFill="1" applyAlignment="1">
      <alignment horizontal="center" vertical="center" wrapText="1"/>
    </xf>
    <xf numFmtId="2" fontId="2" fillId="0" borderId="0" xfId="0" applyNumberFormat="1" applyFont="1" applyFill="1" applyAlignment="1">
      <alignment horizontal="center" vertical="center" wrapText="1"/>
    </xf>
    <xf numFmtId="1" fontId="2" fillId="0" borderId="0" xfId="0" applyNumberFormat="1" applyFont="1" applyFill="1" applyAlignment="1">
      <alignment horizontal="center" vertical="center" wrapText="1"/>
    </xf>
    <xf numFmtId="0" fontId="2" fillId="0" borderId="5" xfId="0" applyFont="1" applyFill="1" applyBorder="1" applyAlignment="1">
      <alignment horizontal="left" vertical="center" wrapText="1"/>
    </xf>
    <xf numFmtId="0" fontId="0" fillId="0" borderId="0" xfId="0" applyBorder="1" applyAlignment="1">
      <alignment wrapText="1"/>
    </xf>
    <xf numFmtId="0" fontId="0" fillId="0" borderId="0" xfId="0" applyFill="1" applyBorder="1" applyAlignment="1">
      <alignment wrapText="1"/>
    </xf>
    <xf numFmtId="0" fontId="7" fillId="0" borderId="0" xfId="0" applyFont="1" applyBorder="1" applyAlignment="1">
      <alignment wrapText="1"/>
    </xf>
    <xf numFmtId="0" fontId="11" fillId="7" borderId="2" xfId="4" applyFill="1" applyBorder="1" applyAlignment="1">
      <alignment vertical="center" wrapText="1"/>
    </xf>
    <xf numFmtId="0" fontId="14" fillId="0" borderId="0" xfId="4" applyFont="1" applyFill="1" applyBorder="1" applyAlignment="1">
      <alignment horizontal="center" vertical="center"/>
    </xf>
    <xf numFmtId="0" fontId="4" fillId="3" borderId="1" xfId="0" applyFont="1" applyFill="1" applyBorder="1" applyAlignment="1">
      <alignment horizontal="center" vertical="center" wrapText="1"/>
    </xf>
    <xf numFmtId="0" fontId="11" fillId="7" borderId="2" xfId="4" applyFill="1" applyBorder="1" applyAlignment="1">
      <alignment vertical="center" wrapText="1"/>
    </xf>
    <xf numFmtId="167" fontId="4" fillId="3" borderId="1" xfId="0" applyNumberFormat="1" applyFont="1" applyFill="1" applyBorder="1" applyAlignment="1">
      <alignment horizontal="center" vertical="center" wrapText="1"/>
    </xf>
    <xf numFmtId="0" fontId="2" fillId="0" borderId="1" xfId="0" applyNumberFormat="1" applyFont="1" applyBorder="1" applyAlignment="1">
      <alignment horizontal="center" vertical="center" wrapText="1"/>
    </xf>
    <xf numFmtId="3" fontId="2" fillId="0" borderId="1" xfId="0" applyNumberFormat="1" applyFont="1" applyFill="1" applyBorder="1" applyAlignment="1">
      <alignment horizontal="center" vertical="center" wrapText="1"/>
    </xf>
    <xf numFmtId="2" fontId="2" fillId="0" borderId="1" xfId="6" applyNumberFormat="1" applyFont="1" applyFill="1" applyBorder="1" applyAlignment="1">
      <alignment horizontal="center" vertical="center" wrapText="1"/>
    </xf>
    <xf numFmtId="6" fontId="2" fillId="0" borderId="1" xfId="0" applyNumberFormat="1" applyFont="1" applyFill="1" applyBorder="1" applyAlignment="1">
      <alignment horizontal="center" vertical="center" wrapText="1"/>
    </xf>
    <xf numFmtId="8" fontId="2" fillId="0" borderId="1" xfId="0" applyNumberFormat="1" applyFont="1" applyFill="1" applyBorder="1" applyAlignment="1">
      <alignment horizontal="center" vertical="center" wrapText="1"/>
    </xf>
    <xf numFmtId="168" fontId="2" fillId="0" borderId="1" xfId="0" applyNumberFormat="1" applyFont="1" applyFill="1" applyBorder="1" applyAlignment="1">
      <alignment horizontal="center" vertical="center" wrapText="1"/>
    </xf>
    <xf numFmtId="9" fontId="2" fillId="0" borderId="1" xfId="0" applyNumberFormat="1" applyFont="1" applyBorder="1" applyAlignment="1">
      <alignment horizontal="center" vertical="center" wrapText="1"/>
    </xf>
    <xf numFmtId="3" fontId="2" fillId="0" borderId="1" xfId="0" applyNumberFormat="1" applyFont="1" applyBorder="1" applyAlignment="1">
      <alignment horizontal="center" vertical="center" wrapText="1"/>
    </xf>
    <xf numFmtId="2" fontId="2" fillId="2" borderId="1" xfId="6" applyNumberFormat="1" applyFont="1" applyFill="1" applyBorder="1" applyAlignment="1">
      <alignment horizontal="center" vertical="center" wrapText="1"/>
    </xf>
    <xf numFmtId="6" fontId="2" fillId="0" borderId="1" xfId="0" applyNumberFormat="1" applyFont="1" applyBorder="1" applyAlignment="1">
      <alignment horizontal="center" vertical="center" wrapText="1"/>
    </xf>
    <xf numFmtId="167" fontId="2" fillId="0" borderId="1" xfId="0" applyNumberFormat="1" applyFont="1" applyFill="1" applyBorder="1" applyAlignment="1">
      <alignment horizontal="center" vertical="center" wrapText="1"/>
    </xf>
    <xf numFmtId="0" fontId="0" fillId="0" borderId="0" xfId="0" applyAlignment="1">
      <alignment wrapText="1"/>
    </xf>
    <xf numFmtId="167" fontId="0" fillId="0" borderId="0" xfId="0" applyNumberFormat="1" applyAlignment="1">
      <alignment wrapText="1"/>
    </xf>
    <xf numFmtId="8" fontId="2" fillId="0" borderId="1" xfId="0" quotePrefix="1" applyNumberFormat="1" applyFont="1" applyFill="1" applyBorder="1" applyAlignment="1">
      <alignment horizontal="center" vertical="center" wrapText="1"/>
    </xf>
    <xf numFmtId="167" fontId="2" fillId="0" borderId="1" xfId="0" quotePrefix="1" applyNumberFormat="1" applyFont="1" applyFill="1" applyBorder="1" applyAlignment="1">
      <alignment horizontal="center" vertical="center" wrapText="1"/>
    </xf>
    <xf numFmtId="6" fontId="2" fillId="0" borderId="1" xfId="0" quotePrefix="1" applyNumberFormat="1" applyFont="1" applyBorder="1" applyAlignment="1">
      <alignment horizontal="center" vertical="center" wrapText="1"/>
    </xf>
    <xf numFmtId="0" fontId="4" fillId="3" borderId="6" xfId="0" applyFont="1" applyFill="1" applyBorder="1" applyAlignment="1">
      <alignment horizontal="center" vertical="center" wrapText="1"/>
    </xf>
    <xf numFmtId="0" fontId="11" fillId="7" borderId="2" xfId="4" applyFill="1" applyBorder="1" applyAlignment="1">
      <alignment vertical="center" wrapText="1"/>
    </xf>
    <xf numFmtId="0" fontId="4" fillId="3" borderId="6" xfId="0" applyFont="1" applyFill="1" applyBorder="1" applyAlignment="1">
      <alignment horizontal="center" wrapText="1"/>
    </xf>
    <xf numFmtId="0" fontId="2" fillId="4" borderId="3" xfId="0" applyFont="1" applyFill="1" applyBorder="1"/>
    <xf numFmtId="0" fontId="2" fillId="0" borderId="1" xfId="0" applyFont="1" applyFill="1" applyBorder="1" applyAlignment="1">
      <alignment wrapText="1"/>
    </xf>
    <xf numFmtId="0" fontId="4" fillId="3" borderId="1" xfId="0" applyFont="1" applyFill="1" applyBorder="1" applyAlignment="1">
      <alignment horizontal="center" vertical="center" wrapText="1"/>
    </xf>
    <xf numFmtId="0" fontId="6" fillId="0" borderId="0" xfId="1" applyFont="1" applyFill="1" applyBorder="1" applyAlignment="1">
      <alignment vertical="center"/>
    </xf>
    <xf numFmtId="0" fontId="4" fillId="3" borderId="1" xfId="1" applyFont="1" applyFill="1" applyBorder="1" applyAlignment="1">
      <alignment horizontal="center" vertical="center" wrapText="1"/>
    </xf>
    <xf numFmtId="0" fontId="6" fillId="0" borderId="0" xfId="1" applyFont="1" applyFill="1" applyBorder="1" applyAlignment="1">
      <alignment horizontal="center" wrapText="1"/>
    </xf>
    <xf numFmtId="0" fontId="2" fillId="0" borderId="1" xfId="1" applyFont="1" applyFill="1" applyBorder="1" applyAlignment="1">
      <alignment horizontal="center" vertical="center" wrapText="1"/>
    </xf>
    <xf numFmtId="167" fontId="2" fillId="0" borderId="1" xfId="1" applyNumberFormat="1" applyFont="1" applyFill="1" applyBorder="1" applyAlignment="1">
      <alignment horizontal="center" vertical="center" wrapText="1"/>
    </xf>
    <xf numFmtId="168" fontId="2" fillId="0" borderId="1" xfId="1" applyNumberFormat="1" applyFont="1" applyFill="1" applyBorder="1" applyAlignment="1">
      <alignment horizontal="center" vertical="center" wrapText="1"/>
    </xf>
    <xf numFmtId="0" fontId="6" fillId="0" borderId="0" xfId="1" applyFont="1" applyFill="1" applyBorder="1" applyAlignment="1">
      <alignment horizontal="left" vertical="center"/>
    </xf>
    <xf numFmtId="168" fontId="6" fillId="0" borderId="0" xfId="1" applyNumberFormat="1" applyFont="1" applyFill="1" applyBorder="1" applyAlignment="1">
      <alignment vertical="center"/>
    </xf>
    <xf numFmtId="0" fontId="20" fillId="0" borderId="0" xfId="1" applyFont="1" applyFill="1" applyBorder="1" applyAlignment="1">
      <alignment horizontal="left" vertical="center"/>
    </xf>
    <xf numFmtId="0" fontId="4" fillId="0" borderId="0" xfId="0" applyFont="1" applyFill="1" applyBorder="1" applyAlignment="1">
      <alignment horizontal="center" vertical="center"/>
    </xf>
    <xf numFmtId="0" fontId="1" fillId="3" borderId="1" xfId="0" applyFont="1" applyFill="1" applyBorder="1" applyAlignment="1">
      <alignment horizontal="center" vertical="center" wrapText="1"/>
    </xf>
    <xf numFmtId="0" fontId="11" fillId="7" borderId="2" xfId="4" applyFill="1" applyBorder="1" applyAlignment="1">
      <alignment vertical="center" wrapText="1"/>
    </xf>
    <xf numFmtId="0" fontId="0" fillId="0" borderId="1" xfId="0" applyFont="1" applyBorder="1" applyAlignment="1">
      <alignment vertical="center" wrapText="1"/>
    </xf>
    <xf numFmtId="0" fontId="0" fillId="0" borderId="1" xfId="0" applyFont="1" applyFill="1" applyBorder="1" applyAlignment="1">
      <alignment vertical="center" wrapText="1"/>
    </xf>
    <xf numFmtId="0" fontId="13" fillId="0" borderId="1" xfId="0" applyFont="1" applyBorder="1" applyAlignment="1">
      <alignment vertical="center" wrapText="1"/>
    </xf>
    <xf numFmtId="0" fontId="13" fillId="0" borderId="1" xfId="0" applyFont="1" applyFill="1" applyBorder="1" applyAlignment="1">
      <alignment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0" fillId="0" borderId="1" xfId="0" applyFont="1" applyBorder="1" applyAlignment="1">
      <alignment horizontal="center"/>
    </xf>
    <xf numFmtId="0" fontId="0" fillId="0" borderId="1" xfId="0" applyBorder="1" applyAlignment="1">
      <alignment horizontal="center"/>
    </xf>
    <xf numFmtId="0" fontId="0" fillId="0" borderId="0" xfId="0" applyAlignment="1">
      <alignment horizontal="left"/>
    </xf>
    <xf numFmtId="0" fontId="0" fillId="0" borderId="0" xfId="0" applyFill="1" applyBorder="1" applyAlignment="1">
      <alignment horizontal="left"/>
    </xf>
    <xf numFmtId="0" fontId="4" fillId="3" borderId="1" xfId="0" applyFont="1" applyFill="1" applyBorder="1" applyAlignment="1">
      <alignment horizontal="center" vertical="center" wrapText="1"/>
    </xf>
    <xf numFmtId="0" fontId="11" fillId="7" borderId="2" xfId="4" applyFill="1" applyBorder="1" applyAlignment="1">
      <alignment vertical="center" wrapText="1"/>
    </xf>
    <xf numFmtId="167" fontId="2" fillId="0" borderId="1" xfId="6" applyNumberFormat="1" applyFont="1" applyFill="1" applyBorder="1" applyAlignment="1">
      <alignment horizontal="center" vertical="center" wrapText="1"/>
    </xf>
    <xf numFmtId="0" fontId="21" fillId="3" borderId="1" xfId="0" applyFont="1" applyFill="1" applyBorder="1" applyAlignment="1">
      <alignment horizontal="center" vertical="center" wrapText="1"/>
    </xf>
    <xf numFmtId="0" fontId="9" fillId="0" borderId="1"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9" fillId="0" borderId="1" xfId="7" applyFont="1" applyBorder="1" applyAlignment="1">
      <alignment horizontal="center" vertical="center" wrapText="1"/>
    </xf>
    <xf numFmtId="0" fontId="9" fillId="0" borderId="1" xfId="7" applyFont="1" applyBorder="1" applyAlignment="1">
      <alignment horizontal="justify" vertical="center" wrapText="1"/>
    </xf>
    <xf numFmtId="0" fontId="9" fillId="0" borderId="1" xfId="7" applyFont="1" applyBorder="1" applyAlignment="1">
      <alignment horizontal="left" vertical="center" wrapText="1"/>
    </xf>
    <xf numFmtId="0" fontId="0" fillId="2" borderId="0" xfId="0" applyFill="1" applyAlignment="1">
      <alignment wrapText="1"/>
    </xf>
    <xf numFmtId="0" fontId="11" fillId="7" borderId="2" xfId="4" applyFill="1" applyBorder="1" applyAlignment="1">
      <alignment vertical="center" wrapText="1"/>
    </xf>
    <xf numFmtId="0" fontId="9" fillId="0" borderId="7" xfId="7" applyFont="1" applyFill="1" applyBorder="1" applyAlignment="1">
      <alignment horizontal="left" vertical="center"/>
    </xf>
    <xf numFmtId="2" fontId="9" fillId="0" borderId="1" xfId="6"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0" borderId="0" xfId="0" applyFont="1" applyAlignment="1">
      <alignment horizontal="center" vertical="center" wrapText="1"/>
    </xf>
    <xf numFmtId="0" fontId="11" fillId="7" borderId="1" xfId="4" applyFill="1" applyBorder="1" applyAlignment="1">
      <alignment vertical="center" wrapText="1"/>
    </xf>
    <xf numFmtId="0" fontId="11" fillId="7" borderId="2" xfId="4" applyFill="1" applyBorder="1" applyAlignment="1">
      <alignment vertical="center" wrapText="1"/>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0" fillId="0" borderId="2" xfId="0" applyBorder="1" applyAlignment="1">
      <alignment vertical="center" wrapText="1"/>
    </xf>
    <xf numFmtId="0" fontId="0" fillId="0" borderId="3" xfId="0" applyBorder="1" applyAlignment="1">
      <alignment vertical="center" wrapText="1"/>
    </xf>
    <xf numFmtId="0" fontId="1" fillId="4" borderId="2"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3" fillId="2" borderId="0" xfId="0" applyFont="1" applyFill="1" applyAlignment="1">
      <alignment horizontal="center" vertical="center"/>
    </xf>
    <xf numFmtId="0" fontId="0" fillId="2" borderId="0" xfId="0" applyFill="1" applyAlignment="1">
      <alignment horizontal="left" wrapText="1"/>
    </xf>
    <xf numFmtId="0" fontId="0" fillId="0" borderId="1" xfId="0" applyFont="1" applyBorder="1" applyAlignment="1">
      <alignment wrapText="1"/>
    </xf>
    <xf numFmtId="0" fontId="0" fillId="0" borderId="1" xfId="0" applyBorder="1" applyAlignment="1">
      <alignment wrapText="1"/>
    </xf>
    <xf numFmtId="0" fontId="0" fillId="0" borderId="1" xfId="0" applyFill="1" applyBorder="1" applyAlignment="1">
      <alignment wrapText="1"/>
    </xf>
    <xf numFmtId="0" fontId="1" fillId="4" borderId="1" xfId="0" applyFont="1" applyFill="1" applyBorder="1" applyAlignment="1">
      <alignment horizontal="center" vertical="center"/>
    </xf>
    <xf numFmtId="0" fontId="16" fillId="3"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11" fillId="7" borderId="1" xfId="4" applyFill="1" applyBorder="1" applyAlignment="1">
      <alignment vertical="center" wrapText="1"/>
    </xf>
    <xf numFmtId="0" fontId="7" fillId="0" borderId="1" xfId="0" applyFont="1" applyBorder="1" applyAlignment="1">
      <alignmen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8" fillId="3" borderId="1" xfId="0" applyFont="1" applyFill="1" applyBorder="1" applyAlignment="1">
      <alignment horizontal="center"/>
    </xf>
    <xf numFmtId="0" fontId="4" fillId="3" borderId="1" xfId="1" applyFont="1" applyFill="1" applyBorder="1" applyAlignment="1">
      <alignment horizontal="center" vertical="center" wrapText="1"/>
    </xf>
    <xf numFmtId="0" fontId="8" fillId="3" borderId="1" xfId="0" applyFont="1" applyFill="1" applyBorder="1" applyAlignment="1">
      <alignment horizontal="center" vertical="center"/>
    </xf>
    <xf numFmtId="0" fontId="11" fillId="7" borderId="2" xfId="4" applyFill="1" applyBorder="1" applyAlignment="1">
      <alignment vertical="center" wrapText="1"/>
    </xf>
    <xf numFmtId="0" fontId="11" fillId="7" borderId="3" xfId="4" applyFill="1" applyBorder="1" applyAlignment="1">
      <alignment vertical="center" wrapText="1"/>
    </xf>
    <xf numFmtId="0" fontId="11" fillId="7" borderId="1" xfId="4" applyFill="1" applyBorder="1" applyAlignment="1">
      <alignment vertical="center"/>
    </xf>
    <xf numFmtId="0" fontId="7" fillId="0" borderId="1" xfId="0" applyFont="1" applyBorder="1" applyAlignment="1">
      <alignment wrapText="1"/>
    </xf>
    <xf numFmtId="0" fontId="4" fillId="4" borderId="2" xfId="0" applyFont="1" applyFill="1" applyBorder="1" applyAlignment="1">
      <alignment horizontal="center"/>
    </xf>
    <xf numFmtId="0" fontId="4" fillId="4" borderId="4" xfId="0" applyFont="1" applyFill="1" applyBorder="1" applyAlignment="1">
      <alignment horizontal="center"/>
    </xf>
    <xf numFmtId="0" fontId="4" fillId="4" borderId="3" xfId="0" applyFont="1" applyFill="1" applyBorder="1" applyAlignment="1">
      <alignment horizontal="center"/>
    </xf>
    <xf numFmtId="0" fontId="1" fillId="4" borderId="2" xfId="0" applyFont="1" applyFill="1" applyBorder="1" applyAlignment="1">
      <alignment horizontal="center"/>
    </xf>
    <xf numFmtId="0" fontId="1" fillId="4" borderId="4" xfId="0" applyFont="1" applyFill="1" applyBorder="1" applyAlignment="1">
      <alignment horizontal="center"/>
    </xf>
    <xf numFmtId="0" fontId="1" fillId="4" borderId="3" xfId="0" applyFont="1" applyFill="1" applyBorder="1" applyAlignment="1">
      <alignment horizontal="center"/>
    </xf>
    <xf numFmtId="0" fontId="7"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12" fillId="0" borderId="1" xfId="0" applyFont="1" applyBorder="1" applyAlignment="1">
      <alignment horizontal="left" vertical="center" wrapText="1"/>
    </xf>
  </cellXfs>
  <cellStyles count="8">
    <cellStyle name="Comma" xfId="5" builtinId="3"/>
    <cellStyle name="Comma 2" xfId="2"/>
    <cellStyle name="Hyperlink" xfId="4" builtinId="8" customBuiltin="1"/>
    <cellStyle name="Normal" xfId="0" builtinId="0"/>
    <cellStyle name="Normal 2" xfId="1"/>
    <cellStyle name="Normal 3" xfId="7"/>
    <cellStyle name="Percent" xfId="6" builtinId="5"/>
    <cellStyle name="Percent 2" xfId="3"/>
  </cellStyles>
  <dxfs count="0"/>
  <tableStyles count="0" defaultTableStyle="TableStyleMedium2" defaultPivotStyle="PivotStyleLight16"/>
  <colors>
    <mruColors>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File Info'!A1"/><Relationship Id="rId2" Type="http://schemas.openxmlformats.org/officeDocument/2006/relationships/hyperlink" Target="#Navigation!B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Instructions!A1"/><Relationship Id="rId1" Type="http://schemas.openxmlformats.org/officeDocument/2006/relationships/hyperlink" Target="#Navigation!B1"/></Relationships>
</file>

<file path=xl/drawings/_rels/drawing3.xml.rels><?xml version="1.0" encoding="UTF-8" standalone="yes"?>
<Relationships xmlns="http://schemas.openxmlformats.org/package/2006/relationships"><Relationship Id="rId8" Type="http://schemas.openxmlformats.org/officeDocument/2006/relationships/hyperlink" Target="#Industrial!A1"/><Relationship Id="rId13" Type="http://schemas.openxmlformats.org/officeDocument/2006/relationships/hyperlink" Target="#Navigation!B1"/><Relationship Id="rId3" Type="http://schemas.openxmlformats.org/officeDocument/2006/relationships/hyperlink" Target="#'Urban Runoff'!A1"/><Relationship Id="rId7" Type="http://schemas.openxmlformats.org/officeDocument/2006/relationships/hyperlink" Target="#Decentralized!A1"/><Relationship Id="rId12" Type="http://schemas.openxmlformats.org/officeDocument/2006/relationships/hyperlink" Target="#'File Info'!A1"/><Relationship Id="rId2" Type="http://schemas.openxmlformats.org/officeDocument/2006/relationships/hyperlink" Target="#'Economic Impacts --&gt;'!A1"/><Relationship Id="rId1" Type="http://schemas.openxmlformats.org/officeDocument/2006/relationships/hyperlink" Target="#Mitigation!A1"/><Relationship Id="rId6" Type="http://schemas.openxmlformats.org/officeDocument/2006/relationships/hyperlink" Target="#Municipal!A1"/><Relationship Id="rId11" Type="http://schemas.openxmlformats.org/officeDocument/2006/relationships/hyperlink" Target="#'Nonpoint Sources --&gt;'!A1"/><Relationship Id="rId5" Type="http://schemas.openxmlformats.org/officeDocument/2006/relationships/hyperlink" Target="#Crops!A1"/><Relationship Id="rId10" Type="http://schemas.openxmlformats.org/officeDocument/2006/relationships/hyperlink" Target="#'Point Sources --&gt;'!A1"/><Relationship Id="rId4" Type="http://schemas.openxmlformats.org/officeDocument/2006/relationships/hyperlink" Target="#Livestock!A1"/><Relationship Id="rId9" Type="http://schemas.openxmlformats.org/officeDocument/2006/relationships/hyperlink" Target="#Planning!A1"/></Relationships>
</file>

<file path=xl/drawings/_rels/drawing4.xml.rels><?xml version="1.0" encoding="UTF-8" standalone="yes"?>
<Relationships xmlns="http://schemas.openxmlformats.org/package/2006/relationships"><Relationship Id="rId8" Type="http://schemas.openxmlformats.org/officeDocument/2006/relationships/hyperlink" Target="#Planning!A1"/><Relationship Id="rId3" Type="http://schemas.openxmlformats.org/officeDocument/2006/relationships/hyperlink" Target="#Livestock!A1"/><Relationship Id="rId7" Type="http://schemas.openxmlformats.org/officeDocument/2006/relationships/hyperlink" Target="#Industrial!A1"/><Relationship Id="rId12" Type="http://schemas.openxmlformats.org/officeDocument/2006/relationships/hyperlink" Target="#Navigation!B1"/><Relationship Id="rId2" Type="http://schemas.openxmlformats.org/officeDocument/2006/relationships/hyperlink" Target="#'Urban Runoff'!A1"/><Relationship Id="rId1" Type="http://schemas.openxmlformats.org/officeDocument/2006/relationships/hyperlink" Target="#'Economic Impacts --&gt;'!A1"/><Relationship Id="rId6" Type="http://schemas.openxmlformats.org/officeDocument/2006/relationships/hyperlink" Target="#Decentralized!A1"/><Relationship Id="rId11" Type="http://schemas.openxmlformats.org/officeDocument/2006/relationships/hyperlink" Target="#'File Info'!A1"/><Relationship Id="rId5" Type="http://schemas.openxmlformats.org/officeDocument/2006/relationships/hyperlink" Target="#Municipal!A1"/><Relationship Id="rId10" Type="http://schemas.openxmlformats.org/officeDocument/2006/relationships/hyperlink" Target="#'Nonpoint Sources --&gt;'!A1"/><Relationship Id="rId4" Type="http://schemas.openxmlformats.org/officeDocument/2006/relationships/hyperlink" Target="#Crops!A1"/><Relationship Id="rId9" Type="http://schemas.openxmlformats.org/officeDocument/2006/relationships/hyperlink" Target="#'Point Sources --&gt;'!A1"/></Relationships>
</file>

<file path=xl/drawings/_rels/drawing5.xml.rels><?xml version="1.0" encoding="UTF-8" standalone="yes"?>
<Relationships xmlns="http://schemas.openxmlformats.org/package/2006/relationships"><Relationship Id="rId2" Type="http://schemas.openxmlformats.org/officeDocument/2006/relationships/hyperlink" Target="#Navigation!B1"/><Relationship Id="rId1" Type="http://schemas.openxmlformats.org/officeDocument/2006/relationships/hyperlink" Target="#'File Info'!A1"/></Relationships>
</file>

<file path=xl/drawings/_rels/drawing6.xml.rels><?xml version="1.0" encoding="UTF-8" standalone="yes"?>
<Relationships xmlns="http://schemas.openxmlformats.org/package/2006/relationships"><Relationship Id="rId3" Type="http://schemas.openxmlformats.org/officeDocument/2006/relationships/hyperlink" Target="#References!A1"/><Relationship Id="rId2" Type="http://schemas.openxmlformats.org/officeDocument/2006/relationships/hyperlink" Target="#'Point Sources --&gt;'!A1"/><Relationship Id="rId1" Type="http://schemas.openxmlformats.org/officeDocument/2006/relationships/hyperlink" Target="#'File Info'!A1"/><Relationship Id="rId4" Type="http://schemas.openxmlformats.org/officeDocument/2006/relationships/hyperlink" Target="#Navigation!B1"/></Relationships>
</file>

<file path=xl/drawings/_rels/drawing7.xml.rels><?xml version="1.0" encoding="UTF-8" standalone="yes"?>
<Relationships xmlns="http://schemas.openxmlformats.org/package/2006/relationships"><Relationship Id="rId3" Type="http://schemas.openxmlformats.org/officeDocument/2006/relationships/hyperlink" Target="#References!A1"/><Relationship Id="rId2" Type="http://schemas.openxmlformats.org/officeDocument/2006/relationships/hyperlink" Target="#'Point Sources --&gt;'!A1"/><Relationship Id="rId1" Type="http://schemas.openxmlformats.org/officeDocument/2006/relationships/hyperlink" Target="#'File Info'!A1"/><Relationship Id="rId4" Type="http://schemas.openxmlformats.org/officeDocument/2006/relationships/hyperlink" Target="#Navigation!B1"/></Relationships>
</file>

<file path=xl/drawings/_rels/drawing8.xml.rels><?xml version="1.0" encoding="UTF-8" standalone="yes"?>
<Relationships xmlns="http://schemas.openxmlformats.org/package/2006/relationships"><Relationship Id="rId3" Type="http://schemas.openxmlformats.org/officeDocument/2006/relationships/hyperlink" Target="#References!A1"/><Relationship Id="rId2" Type="http://schemas.openxmlformats.org/officeDocument/2006/relationships/hyperlink" Target="#'Point Sources --&gt;'!A1"/><Relationship Id="rId1" Type="http://schemas.openxmlformats.org/officeDocument/2006/relationships/hyperlink" Target="#'File Info'!A1"/><Relationship Id="rId4" Type="http://schemas.openxmlformats.org/officeDocument/2006/relationships/hyperlink" Target="#Navigation!B1"/></Relationships>
</file>

<file path=xl/drawings/_rels/drawing9.xml.rels><?xml version="1.0" encoding="UTF-8" standalone="yes"?>
<Relationships xmlns="http://schemas.openxmlformats.org/package/2006/relationships"><Relationship Id="rId3" Type="http://schemas.openxmlformats.org/officeDocument/2006/relationships/hyperlink" Target="#Navigation!B1"/><Relationship Id="rId2" Type="http://schemas.openxmlformats.org/officeDocument/2006/relationships/hyperlink" Target="#'Point Sources --&gt;'!A1"/><Relationship Id="rId1" Type="http://schemas.openxmlformats.org/officeDocument/2006/relationships/hyperlink" Target="#'File Info'!A1"/></Relationships>
</file>

<file path=xl/drawings/_rels/drawing10.xml.rels><?xml version="1.0" encoding="UTF-8" standalone="yes"?>
<Relationships xmlns="http://schemas.openxmlformats.org/package/2006/relationships"><Relationship Id="rId2" Type="http://schemas.openxmlformats.org/officeDocument/2006/relationships/hyperlink" Target="#Navigation!B1"/><Relationship Id="rId1" Type="http://schemas.openxmlformats.org/officeDocument/2006/relationships/hyperlink" Target="#'File Info'!A1"/></Relationships>
</file>

<file path=xl/drawings/_rels/drawing11.xml.rels><?xml version="1.0" encoding="UTF-8" standalone="yes"?>
<Relationships xmlns="http://schemas.openxmlformats.org/package/2006/relationships"><Relationship Id="rId3" Type="http://schemas.openxmlformats.org/officeDocument/2006/relationships/hyperlink" Target="#References!A1"/><Relationship Id="rId2" Type="http://schemas.openxmlformats.org/officeDocument/2006/relationships/hyperlink" Target="#'Nonpoint Sources --&gt;'!A1"/><Relationship Id="rId1" Type="http://schemas.openxmlformats.org/officeDocument/2006/relationships/hyperlink" Target="#'File Info'!A1"/><Relationship Id="rId4" Type="http://schemas.openxmlformats.org/officeDocument/2006/relationships/hyperlink" Target="#Navigation!B1"/></Relationships>
</file>

<file path=xl/drawings/_rels/drawing12.xml.rels><?xml version="1.0" encoding="UTF-8" standalone="yes"?>
<Relationships xmlns="http://schemas.openxmlformats.org/package/2006/relationships"><Relationship Id="rId2" Type="http://schemas.openxmlformats.org/officeDocument/2006/relationships/hyperlink" Target="#Navigation!B1"/><Relationship Id="rId1" Type="http://schemas.openxmlformats.org/officeDocument/2006/relationships/hyperlink" Target="#'File Info'!A1"/></Relationships>
</file>

<file path=xl/drawings/_rels/drawing13.xml.rels><?xml version="1.0" encoding="UTF-8" standalone="yes"?>
<Relationships xmlns="http://schemas.openxmlformats.org/package/2006/relationships"><Relationship Id="rId3" Type="http://schemas.openxmlformats.org/officeDocument/2006/relationships/hyperlink" Target="#References!A1"/><Relationship Id="rId2" Type="http://schemas.openxmlformats.org/officeDocument/2006/relationships/hyperlink" Target="#'Planning and Mitigation --&gt;'!A1"/><Relationship Id="rId1" Type="http://schemas.openxmlformats.org/officeDocument/2006/relationships/hyperlink" Target="#'File Info'!A1"/><Relationship Id="rId4" Type="http://schemas.openxmlformats.org/officeDocument/2006/relationships/hyperlink" Target="#Navigation!B1"/></Relationships>
</file>

<file path=xl/drawings/_rels/drawing14.xml.rels><?xml version="1.0" encoding="UTF-8" standalone="yes"?>
<Relationships xmlns="http://schemas.openxmlformats.org/package/2006/relationships"><Relationship Id="rId3" Type="http://schemas.openxmlformats.org/officeDocument/2006/relationships/hyperlink" Target="#References!A1"/><Relationship Id="rId2" Type="http://schemas.openxmlformats.org/officeDocument/2006/relationships/hyperlink" Target="#'Planning and Mitigation --&gt;'!A1"/><Relationship Id="rId1" Type="http://schemas.openxmlformats.org/officeDocument/2006/relationships/hyperlink" Target="#'File Info'!A1"/><Relationship Id="rId4" Type="http://schemas.openxmlformats.org/officeDocument/2006/relationships/hyperlink" Target="#Navigation!B1"/></Relationships>
</file>

<file path=xl/drawings/_rels/drawing15.xml.rels><?xml version="1.0" encoding="UTF-8" standalone="yes"?>
<Relationships xmlns="http://schemas.openxmlformats.org/package/2006/relationships"><Relationship Id="rId3" Type="http://schemas.openxmlformats.org/officeDocument/2006/relationships/hyperlink" Target="#References!A1"/><Relationship Id="rId2" Type="http://schemas.openxmlformats.org/officeDocument/2006/relationships/hyperlink" Target="#'Planning and Mitigation --&gt;'!A1"/><Relationship Id="rId1" Type="http://schemas.openxmlformats.org/officeDocument/2006/relationships/hyperlink" Target="#'File Info'!A1"/><Relationship Id="rId4" Type="http://schemas.openxmlformats.org/officeDocument/2006/relationships/hyperlink" Target="#Navigation!B1"/></Relationships>
</file>

<file path=xl/drawings/_rels/drawing16.xml.rels><?xml version="1.0" encoding="UTF-8" standalone="yes"?>
<Relationships xmlns="http://schemas.openxmlformats.org/package/2006/relationships"><Relationship Id="rId2" Type="http://schemas.openxmlformats.org/officeDocument/2006/relationships/hyperlink" Target="#Navigation!B1"/><Relationship Id="rId1" Type="http://schemas.openxmlformats.org/officeDocument/2006/relationships/hyperlink" Target="#'File Info'!A1"/></Relationships>
</file>

<file path=xl/drawings/_rels/drawing17.xml.rels><?xml version="1.0" encoding="UTF-8" standalone="yes"?>
<Relationships xmlns="http://schemas.openxmlformats.org/package/2006/relationships"><Relationship Id="rId3" Type="http://schemas.openxmlformats.org/officeDocument/2006/relationships/hyperlink" Target="#References!A1"/><Relationship Id="rId2" Type="http://schemas.openxmlformats.org/officeDocument/2006/relationships/hyperlink" Target="#'Economic Impacts --&gt;'!A1"/><Relationship Id="rId1" Type="http://schemas.openxmlformats.org/officeDocument/2006/relationships/hyperlink" Target="#'File Info'!A1"/><Relationship Id="rId4" Type="http://schemas.openxmlformats.org/officeDocument/2006/relationships/hyperlink" Target="#Navigation!B1"/></Relationships>
</file>

<file path=xl/drawings/_rels/drawing18.xml.rels><?xml version="1.0" encoding="UTF-8" standalone="yes"?>
<Relationships xmlns="http://schemas.openxmlformats.org/package/2006/relationships"><Relationship Id="rId3" Type="http://schemas.openxmlformats.org/officeDocument/2006/relationships/hyperlink" Target="#References!A1"/><Relationship Id="rId2" Type="http://schemas.openxmlformats.org/officeDocument/2006/relationships/hyperlink" Target="#'Economic Impacts --&gt;'!A1"/><Relationship Id="rId1" Type="http://schemas.openxmlformats.org/officeDocument/2006/relationships/hyperlink" Target="#'File Info'!A1"/><Relationship Id="rId5" Type="http://schemas.openxmlformats.org/officeDocument/2006/relationships/hyperlink" Target="#Index!A1"/><Relationship Id="rId4" Type="http://schemas.openxmlformats.org/officeDocument/2006/relationships/hyperlink" Target="#Navigation!B1"/></Relationships>
</file>

<file path=xl/drawings/_rels/drawing19.xml.rels><?xml version="1.0" encoding="UTF-8" standalone="yes"?>
<Relationships xmlns="http://schemas.openxmlformats.org/package/2006/relationships"><Relationship Id="rId3" Type="http://schemas.openxmlformats.org/officeDocument/2006/relationships/hyperlink" Target="#References!A1"/><Relationship Id="rId2" Type="http://schemas.openxmlformats.org/officeDocument/2006/relationships/hyperlink" Target="#'Economic Impacts --&gt;'!A1"/><Relationship Id="rId1" Type="http://schemas.openxmlformats.org/officeDocument/2006/relationships/hyperlink" Target="#'File Info'!A1"/><Relationship Id="rId5" Type="http://schemas.openxmlformats.org/officeDocument/2006/relationships/hyperlink" Target="#Index!A1"/><Relationship Id="rId4" Type="http://schemas.openxmlformats.org/officeDocument/2006/relationships/hyperlink" Target="#Navigation!B1"/></Relationships>
</file>

<file path=xl/drawings/_rels/drawing20.xml.rels><?xml version="1.0" encoding="UTF-8" standalone="yes"?>
<Relationships xmlns="http://schemas.openxmlformats.org/package/2006/relationships"><Relationship Id="rId3" Type="http://schemas.openxmlformats.org/officeDocument/2006/relationships/hyperlink" Target="#References!A1"/><Relationship Id="rId2" Type="http://schemas.openxmlformats.org/officeDocument/2006/relationships/hyperlink" Target="#'Economic Impacts --&gt;'!A1"/><Relationship Id="rId1" Type="http://schemas.openxmlformats.org/officeDocument/2006/relationships/hyperlink" Target="#'File Info'!A1"/><Relationship Id="rId5" Type="http://schemas.openxmlformats.org/officeDocument/2006/relationships/hyperlink" Target="#Index!A1"/><Relationship Id="rId4" Type="http://schemas.openxmlformats.org/officeDocument/2006/relationships/hyperlink" Target="#Navigation!B1"/></Relationships>
</file>

<file path=xl/drawings/_rels/drawing21.xml.rels><?xml version="1.0" encoding="UTF-8" standalone="yes"?>
<Relationships xmlns="http://schemas.openxmlformats.org/package/2006/relationships"><Relationship Id="rId3" Type="http://schemas.openxmlformats.org/officeDocument/2006/relationships/hyperlink" Target="#References!A1"/><Relationship Id="rId2" Type="http://schemas.openxmlformats.org/officeDocument/2006/relationships/hyperlink" Target="#'Economic Impacts --&gt;'!A1"/><Relationship Id="rId1" Type="http://schemas.openxmlformats.org/officeDocument/2006/relationships/hyperlink" Target="#'File Info'!A1"/><Relationship Id="rId5" Type="http://schemas.openxmlformats.org/officeDocument/2006/relationships/hyperlink" Target="#Index!A1"/><Relationship Id="rId4" Type="http://schemas.openxmlformats.org/officeDocument/2006/relationships/hyperlink" Target="#Navigation!B1"/></Relationships>
</file>

<file path=xl/drawings/_rels/drawing22.xml.rels><?xml version="1.0" encoding="UTF-8" standalone="yes"?>
<Relationships xmlns="http://schemas.openxmlformats.org/package/2006/relationships"><Relationship Id="rId3" Type="http://schemas.openxmlformats.org/officeDocument/2006/relationships/hyperlink" Target="#References!A1"/><Relationship Id="rId2" Type="http://schemas.openxmlformats.org/officeDocument/2006/relationships/hyperlink" Target="#'Economic Impacts --&gt;'!A1"/><Relationship Id="rId1" Type="http://schemas.openxmlformats.org/officeDocument/2006/relationships/hyperlink" Target="#'File Info'!A1"/><Relationship Id="rId5" Type="http://schemas.openxmlformats.org/officeDocument/2006/relationships/hyperlink" Target="#Index!A1"/><Relationship Id="rId4" Type="http://schemas.openxmlformats.org/officeDocument/2006/relationships/hyperlink" Target="#Navigation!B1"/></Relationships>
</file>

<file path=xl/drawings/_rels/drawing23.xml.rels><?xml version="1.0" encoding="UTF-8" standalone="yes"?>
<Relationships xmlns="http://schemas.openxmlformats.org/package/2006/relationships"><Relationship Id="rId3" Type="http://schemas.openxmlformats.org/officeDocument/2006/relationships/hyperlink" Target="#Navigation!B1"/><Relationship Id="rId2" Type="http://schemas.openxmlformats.org/officeDocument/2006/relationships/hyperlink" Target="#'Economic Impacts --&gt;'!A1"/><Relationship Id="rId1" Type="http://schemas.openxmlformats.org/officeDocument/2006/relationships/hyperlink" Target="#'File Info'!A1"/><Relationship Id="rId5" Type="http://schemas.openxmlformats.org/officeDocument/2006/relationships/hyperlink" Target="#References!A1"/><Relationship Id="rId4" Type="http://schemas.openxmlformats.org/officeDocument/2006/relationships/hyperlink" Target="#Index!A1"/></Relationships>
</file>

<file path=xl/drawings/_rels/drawing24.xml.rels><?xml version="1.0" encoding="UTF-8" standalone="yes"?>
<Relationships xmlns="http://schemas.openxmlformats.org/package/2006/relationships"><Relationship Id="rId3" Type="http://schemas.openxmlformats.org/officeDocument/2006/relationships/hyperlink" Target="#Navigation!B1"/><Relationship Id="rId2" Type="http://schemas.openxmlformats.org/officeDocument/2006/relationships/hyperlink" Target="#'Economic Impacts --&gt;'!A1"/><Relationship Id="rId1" Type="http://schemas.openxmlformats.org/officeDocument/2006/relationships/hyperlink" Target="#'File Info'!A1"/><Relationship Id="rId5" Type="http://schemas.openxmlformats.org/officeDocument/2006/relationships/hyperlink" Target="#References!A1"/><Relationship Id="rId4" Type="http://schemas.openxmlformats.org/officeDocument/2006/relationships/hyperlink" Target="#Index!A1"/></Relationships>
</file>

<file path=xl/drawings/_rels/drawing25.xml.rels><?xml version="1.0" encoding="UTF-8" standalone="yes"?>
<Relationships xmlns="http://schemas.openxmlformats.org/package/2006/relationships"><Relationship Id="rId3" Type="http://schemas.openxmlformats.org/officeDocument/2006/relationships/hyperlink" Target="#Index!A1"/><Relationship Id="rId7" Type="http://schemas.openxmlformats.org/officeDocument/2006/relationships/hyperlink" Target="#'File Info'!A1"/><Relationship Id="rId2" Type="http://schemas.openxmlformats.org/officeDocument/2006/relationships/hyperlink" Target="#Navigation!B1"/><Relationship Id="rId1" Type="http://schemas.openxmlformats.org/officeDocument/2006/relationships/hyperlink" Target="#'Economic Impacts --&gt;'!A1"/><Relationship Id="rId6" Type="http://schemas.openxmlformats.org/officeDocument/2006/relationships/hyperlink" Target="#References!A1"/><Relationship Id="rId5" Type="http://schemas.openxmlformats.org/officeDocument/2006/relationships/hyperlink" Target="#'Nonpoint Sources --&gt;'!A1"/><Relationship Id="rId4" Type="http://schemas.openxmlformats.org/officeDocument/2006/relationships/hyperlink" Target="#'Planning and Mitigation --&gt;'!A1"/></Relationships>
</file>

<file path=xl/drawings/_rels/drawing26.xml.rels><?xml version="1.0" encoding="UTF-8" standalone="yes"?>
<Relationships xmlns="http://schemas.openxmlformats.org/package/2006/relationships"><Relationship Id="rId3" Type="http://schemas.openxmlformats.org/officeDocument/2006/relationships/hyperlink" Target="#'Nonpoint Sources --&gt;'!A1"/><Relationship Id="rId7" Type="http://schemas.openxmlformats.org/officeDocument/2006/relationships/hyperlink" Target="#References!A1"/><Relationship Id="rId2" Type="http://schemas.openxmlformats.org/officeDocument/2006/relationships/hyperlink" Target="#'Economic Impacts --&gt;'!A1"/><Relationship Id="rId1" Type="http://schemas.openxmlformats.org/officeDocument/2006/relationships/hyperlink" Target="#'File Info'!A1"/><Relationship Id="rId6" Type="http://schemas.openxmlformats.org/officeDocument/2006/relationships/hyperlink" Target="#'Planning and Mitigation --&gt;'!A1"/><Relationship Id="rId5" Type="http://schemas.openxmlformats.org/officeDocument/2006/relationships/hyperlink" Target="#Index!A1"/><Relationship Id="rId4" Type="http://schemas.openxmlformats.org/officeDocument/2006/relationships/hyperlink" Target="#Navigation!B1"/></Relationships>
</file>

<file path=xl/drawings/_rels/drawing27.xml.rels><?xml version="1.0" encoding="UTF-8" standalone="yes"?>
<Relationships xmlns="http://schemas.openxmlformats.org/package/2006/relationships"><Relationship Id="rId3" Type="http://schemas.openxmlformats.org/officeDocument/2006/relationships/hyperlink" Target="#'Nonpoint Sources --&gt;'!A1"/><Relationship Id="rId2" Type="http://schemas.openxmlformats.org/officeDocument/2006/relationships/hyperlink" Target="#'Economic Impacts --&gt;'!A1"/><Relationship Id="rId1" Type="http://schemas.openxmlformats.org/officeDocument/2006/relationships/hyperlink" Target="#'File Info'!A1"/><Relationship Id="rId6" Type="http://schemas.openxmlformats.org/officeDocument/2006/relationships/hyperlink" Target="#'Planning and Mitigation --&gt;'!A1"/><Relationship Id="rId5" Type="http://schemas.openxmlformats.org/officeDocument/2006/relationships/hyperlink" Target="#Index!A1"/><Relationship Id="rId4" Type="http://schemas.openxmlformats.org/officeDocument/2006/relationships/hyperlink" Target="#Navigation!B1"/></Relationships>
</file>

<file path=xl/drawings/_rels/drawing28.xml.rels><?xml version="1.0" encoding="UTF-8" standalone="yes"?>
<Relationships xmlns="http://schemas.openxmlformats.org/package/2006/relationships"><Relationship Id="rId3" Type="http://schemas.openxmlformats.org/officeDocument/2006/relationships/hyperlink" Target="#'Nonpoint Sources --&gt;'!A1"/><Relationship Id="rId2" Type="http://schemas.openxmlformats.org/officeDocument/2006/relationships/hyperlink" Target="#'Economic Impacts --&gt;'!A1"/><Relationship Id="rId1" Type="http://schemas.openxmlformats.org/officeDocument/2006/relationships/hyperlink" Target="#'File Info'!A1"/><Relationship Id="rId6" Type="http://schemas.openxmlformats.org/officeDocument/2006/relationships/hyperlink" Target="#'Planning and Mitigation --&gt;'!A1"/><Relationship Id="rId5" Type="http://schemas.openxmlformats.org/officeDocument/2006/relationships/hyperlink" Target="#Index!A1"/><Relationship Id="rId4" Type="http://schemas.openxmlformats.org/officeDocument/2006/relationships/hyperlink" Target="#Navigation!B1"/></Relationships>
</file>

<file path=xl/drawings/_rels/drawing29.xml.rels><?xml version="1.0" encoding="UTF-8" standalone="yes"?>
<Relationships xmlns="http://schemas.openxmlformats.org/package/2006/relationships"><Relationship Id="rId3" Type="http://schemas.openxmlformats.org/officeDocument/2006/relationships/hyperlink" Target="#'Nonpoint Sources --&gt;'!A1"/><Relationship Id="rId2" Type="http://schemas.openxmlformats.org/officeDocument/2006/relationships/hyperlink" Target="#'Economic Impacts --&gt;'!A1"/><Relationship Id="rId1" Type="http://schemas.openxmlformats.org/officeDocument/2006/relationships/hyperlink" Target="#'File Info'!A1"/><Relationship Id="rId6" Type="http://schemas.openxmlformats.org/officeDocument/2006/relationships/hyperlink" Target="#'Planning and Mitigation --&gt;'!A1"/><Relationship Id="rId5" Type="http://schemas.openxmlformats.org/officeDocument/2006/relationships/hyperlink" Target="#Index!A1"/><Relationship Id="rId4" Type="http://schemas.openxmlformats.org/officeDocument/2006/relationships/hyperlink" Target="#Navigation!B1"/></Relationships>
</file>

<file path=xl/drawings/drawing1.xml><?xml version="1.0" encoding="utf-8"?>
<xdr:wsDr xmlns:xdr="http://schemas.openxmlformats.org/drawingml/2006/spreadsheetDrawing" xmlns:a="http://schemas.openxmlformats.org/drawingml/2006/main">
  <xdr:twoCellAnchor>
    <xdr:from>
      <xdr:col>1</xdr:col>
      <xdr:colOff>152400</xdr:colOff>
      <xdr:row>2</xdr:row>
      <xdr:rowOff>133350</xdr:rowOff>
    </xdr:from>
    <xdr:to>
      <xdr:col>8</xdr:col>
      <xdr:colOff>533400</xdr:colOff>
      <xdr:row>2</xdr:row>
      <xdr:rowOff>3771898</xdr:rowOff>
    </xdr:to>
    <xdr:grpSp>
      <xdr:nvGrpSpPr>
        <xdr:cNvPr id="4" name="Group 3"/>
        <xdr:cNvGrpSpPr/>
      </xdr:nvGrpSpPr>
      <xdr:grpSpPr>
        <a:xfrm>
          <a:off x="7820025" y="533400"/>
          <a:ext cx="4648200" cy="3638548"/>
          <a:chOff x="8648700" y="152400"/>
          <a:chExt cx="4648200" cy="3667124"/>
        </a:xfrm>
      </xdr:grpSpPr>
      <xdr:pic>
        <xdr:nvPicPr>
          <xdr:cNvPr id="2" name="Picture 1"/>
          <xdr:cNvPicPr/>
        </xdr:nvPicPr>
        <xdr:blipFill>
          <a:blip xmlns:r="http://schemas.openxmlformats.org/officeDocument/2006/relationships" r:embed="rId1" cstate="print"/>
          <a:srcRect/>
          <a:stretch>
            <a:fillRect/>
          </a:stretch>
        </xdr:blipFill>
        <xdr:spPr bwMode="auto">
          <a:xfrm>
            <a:off x="8648700" y="152400"/>
            <a:ext cx="4648200" cy="3124200"/>
          </a:xfrm>
          <a:prstGeom prst="rect">
            <a:avLst/>
          </a:prstGeom>
          <a:noFill/>
          <a:ln w="9525">
            <a:noFill/>
            <a:miter lim="800000"/>
            <a:headEnd/>
            <a:tailEnd/>
          </a:ln>
        </xdr:spPr>
      </xdr:pic>
      <xdr:sp macro="" textlink="">
        <xdr:nvSpPr>
          <xdr:cNvPr id="3" name="TextBox 2"/>
          <xdr:cNvSpPr txBox="1"/>
        </xdr:nvSpPr>
        <xdr:spPr>
          <a:xfrm>
            <a:off x="8648700" y="3276599"/>
            <a:ext cx="4645152" cy="54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 Figure 1. Buttons located in header cells allow the user to filter and sort the contents of the sheet.</a:t>
            </a:r>
          </a:p>
        </xdr:txBody>
      </xdr:sp>
    </xdr:grpSp>
    <xdr:clientData/>
  </xdr:twoCellAnchor>
  <xdr:twoCellAnchor>
    <xdr:from>
      <xdr:col>0</xdr:col>
      <xdr:colOff>123825</xdr:colOff>
      <xdr:row>0</xdr:row>
      <xdr:rowOff>66675</xdr:rowOff>
    </xdr:from>
    <xdr:to>
      <xdr:col>0</xdr:col>
      <xdr:colOff>933450</xdr:colOff>
      <xdr:row>1</xdr:row>
      <xdr:rowOff>142875</xdr:rowOff>
    </xdr:to>
    <xdr:sp macro="" textlink="">
      <xdr:nvSpPr>
        <xdr:cNvPr id="6" name="TextBox 5">
          <a:hlinkClick xmlns:r="http://schemas.openxmlformats.org/officeDocument/2006/relationships" r:id="rId2"/>
        </xdr:cNvPr>
        <xdr:cNvSpPr txBox="1"/>
      </xdr:nvSpPr>
      <xdr:spPr>
        <a:xfrm>
          <a:off x="123825" y="66675"/>
          <a:ext cx="809625"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0</xdr:col>
      <xdr:colOff>1104900</xdr:colOff>
      <xdr:row>0</xdr:row>
      <xdr:rowOff>66675</xdr:rowOff>
    </xdr:from>
    <xdr:to>
      <xdr:col>0</xdr:col>
      <xdr:colOff>1766151</xdr:colOff>
      <xdr:row>1</xdr:row>
      <xdr:rowOff>141351</xdr:rowOff>
    </xdr:to>
    <xdr:sp macro="" textlink="">
      <xdr:nvSpPr>
        <xdr:cNvPr id="7" name="TextBox 6">
          <a:hlinkClick xmlns:r="http://schemas.openxmlformats.org/officeDocument/2006/relationships" r:id="rId3"/>
        </xdr:cNvPr>
        <xdr:cNvSpPr txBox="1"/>
      </xdr:nvSpPr>
      <xdr:spPr>
        <a:xfrm>
          <a:off x="1104900" y="66675"/>
          <a:ext cx="661251" cy="265176"/>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0</xdr:row>
      <xdr:rowOff>66675</xdr:rowOff>
    </xdr:from>
    <xdr:to>
      <xdr:col>0</xdr:col>
      <xdr:colOff>933450</xdr:colOff>
      <xdr:row>1</xdr:row>
      <xdr:rowOff>142875</xdr:rowOff>
    </xdr:to>
    <xdr:sp macro="" textlink="">
      <xdr:nvSpPr>
        <xdr:cNvPr id="3" name="TextBox 2">
          <a:hlinkClick xmlns:r="http://schemas.openxmlformats.org/officeDocument/2006/relationships" r:id="rId1"/>
        </xdr:cNvPr>
        <xdr:cNvSpPr txBox="1"/>
      </xdr:nvSpPr>
      <xdr:spPr>
        <a:xfrm>
          <a:off x="123825" y="66675"/>
          <a:ext cx="809625"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0</xdr:col>
      <xdr:colOff>1123950</xdr:colOff>
      <xdr:row>0</xdr:row>
      <xdr:rowOff>68199</xdr:rowOff>
    </xdr:from>
    <xdr:to>
      <xdr:col>1</xdr:col>
      <xdr:colOff>400050</xdr:colOff>
      <xdr:row>1</xdr:row>
      <xdr:rowOff>142875</xdr:rowOff>
    </xdr:to>
    <xdr:sp macro="" textlink="">
      <xdr:nvSpPr>
        <xdr:cNvPr id="4" name="TextBox 3">
          <a:hlinkClick xmlns:r="http://schemas.openxmlformats.org/officeDocument/2006/relationships" r:id="rId2"/>
        </xdr:cNvPr>
        <xdr:cNvSpPr txBox="1"/>
      </xdr:nvSpPr>
      <xdr:spPr>
        <a:xfrm>
          <a:off x="1123950" y="68199"/>
          <a:ext cx="933450" cy="265176"/>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156151</xdr:colOff>
      <xdr:row>2</xdr:row>
      <xdr:rowOff>117258</xdr:rowOff>
    </xdr:from>
    <xdr:to>
      <xdr:col>23</xdr:col>
      <xdr:colOff>306916</xdr:colOff>
      <xdr:row>32</xdr:row>
      <xdr:rowOff>66373</xdr:rowOff>
    </xdr:to>
    <xdr:grpSp>
      <xdr:nvGrpSpPr>
        <xdr:cNvPr id="5" name="Group 4"/>
        <xdr:cNvGrpSpPr/>
      </xdr:nvGrpSpPr>
      <xdr:grpSpPr>
        <a:xfrm>
          <a:off x="156151" y="610317"/>
          <a:ext cx="13810736" cy="5664115"/>
          <a:chOff x="156151" y="392425"/>
          <a:chExt cx="13782098" cy="5664115"/>
        </a:xfrm>
      </xdr:grpSpPr>
      <xdr:sp macro="" textlink="">
        <xdr:nvSpPr>
          <xdr:cNvPr id="2" name="TextBox 1"/>
          <xdr:cNvSpPr txBox="1"/>
        </xdr:nvSpPr>
        <xdr:spPr>
          <a:xfrm>
            <a:off x="1109055" y="392431"/>
            <a:ext cx="1325879" cy="53340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External Nutrient Sources</a:t>
            </a:r>
          </a:p>
        </xdr:txBody>
      </xdr:sp>
      <xdr:sp macro="" textlink="">
        <xdr:nvSpPr>
          <xdr:cNvPr id="8" name="TextBox 7"/>
          <xdr:cNvSpPr txBox="1"/>
        </xdr:nvSpPr>
        <xdr:spPr>
          <a:xfrm>
            <a:off x="4063998" y="392431"/>
            <a:ext cx="1682750" cy="53340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Mitigating Natural Factors</a:t>
            </a:r>
          </a:p>
        </xdr:txBody>
      </xdr:sp>
      <xdr:sp macro="" textlink="">
        <xdr:nvSpPr>
          <xdr:cNvPr id="9" name="TextBox 8"/>
          <xdr:cNvSpPr txBox="1"/>
        </xdr:nvSpPr>
        <xdr:spPr>
          <a:xfrm>
            <a:off x="2831891" y="1971691"/>
            <a:ext cx="933871"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Nitrogen</a:t>
            </a:r>
          </a:p>
          <a:p>
            <a:pPr algn="ctr"/>
            <a:r>
              <a:rPr lang="en-US" sz="1100"/>
              <a:t>Phosphorus</a:t>
            </a:r>
          </a:p>
        </xdr:txBody>
      </xdr:sp>
      <xdr:sp macro="" textlink="">
        <xdr:nvSpPr>
          <xdr:cNvPr id="10" name="TextBox 9"/>
          <xdr:cNvSpPr txBox="1"/>
        </xdr:nvSpPr>
        <xdr:spPr>
          <a:xfrm>
            <a:off x="6136837" y="392431"/>
            <a:ext cx="1514911" cy="530352"/>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Primary Responses</a:t>
            </a:r>
          </a:p>
        </xdr:txBody>
      </xdr:sp>
      <xdr:sp macro="" textlink="">
        <xdr:nvSpPr>
          <xdr:cNvPr id="11" name="TextBox 10"/>
          <xdr:cNvSpPr txBox="1"/>
        </xdr:nvSpPr>
        <xdr:spPr>
          <a:xfrm>
            <a:off x="4063998" y="1030606"/>
            <a:ext cx="1682750" cy="9696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Color</a:t>
            </a:r>
          </a:p>
          <a:p>
            <a:r>
              <a:rPr lang="en-US" sz="1100"/>
              <a:t>Residence</a:t>
            </a:r>
          </a:p>
          <a:p>
            <a:r>
              <a:rPr lang="en-US" sz="1100"/>
              <a:t>Depth</a:t>
            </a:r>
          </a:p>
          <a:p>
            <a:r>
              <a:rPr lang="en-US" sz="1100"/>
              <a:t>Turbidity</a:t>
            </a:r>
          </a:p>
          <a:p>
            <a:r>
              <a:rPr lang="en-US" sz="1100"/>
              <a:t>Grazing</a:t>
            </a:r>
          </a:p>
        </xdr:txBody>
      </xdr:sp>
      <xdr:sp macro="" textlink="">
        <xdr:nvSpPr>
          <xdr:cNvPr id="12" name="TextBox 11"/>
          <xdr:cNvSpPr txBox="1"/>
        </xdr:nvSpPr>
        <xdr:spPr>
          <a:xfrm>
            <a:off x="6136837" y="1030606"/>
            <a:ext cx="1514911" cy="1119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Algal Dominance Changes</a:t>
            </a:r>
          </a:p>
          <a:p>
            <a:r>
              <a:rPr lang="en-US" sz="1100"/>
              <a:t>- shift to blue-green algae</a:t>
            </a:r>
          </a:p>
          <a:p>
            <a:r>
              <a:rPr lang="en-US" sz="1100"/>
              <a:t>- benthic dominance to pelagic dominance</a:t>
            </a:r>
          </a:p>
        </xdr:txBody>
      </xdr:sp>
      <xdr:sp macro="" textlink="">
        <xdr:nvSpPr>
          <xdr:cNvPr id="13" name="TextBox 12"/>
          <xdr:cNvSpPr txBox="1"/>
        </xdr:nvSpPr>
        <xdr:spPr>
          <a:xfrm>
            <a:off x="6136837" y="2318381"/>
            <a:ext cx="1514911" cy="11876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Decreased Light Availability</a:t>
            </a:r>
          </a:p>
          <a:p>
            <a:r>
              <a:rPr lang="en-US" sz="1100"/>
              <a:t>- extreme Chl-a concentrations</a:t>
            </a:r>
          </a:p>
          <a:p>
            <a:r>
              <a:rPr lang="en-US" sz="1100"/>
              <a:t>- reduced periphyton</a:t>
            </a:r>
            <a:r>
              <a:rPr lang="en-US" sz="1100" baseline="0"/>
              <a:t> growth</a:t>
            </a:r>
            <a:endParaRPr lang="en-US" sz="1100"/>
          </a:p>
        </xdr:txBody>
      </xdr:sp>
      <xdr:sp macro="" textlink="">
        <xdr:nvSpPr>
          <xdr:cNvPr id="14" name="TextBox 13"/>
          <xdr:cNvSpPr txBox="1"/>
        </xdr:nvSpPr>
        <xdr:spPr>
          <a:xfrm>
            <a:off x="6136837" y="3772268"/>
            <a:ext cx="1514911" cy="10385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Increased Organic Decomposition</a:t>
            </a:r>
          </a:p>
          <a:p>
            <a:r>
              <a:rPr lang="en-US" sz="1100"/>
              <a:t>- extreme Chl-a concentrations</a:t>
            </a:r>
          </a:p>
          <a:p>
            <a:r>
              <a:rPr lang="en-US" sz="1100"/>
              <a:t>- bacterial respiration</a:t>
            </a:r>
          </a:p>
        </xdr:txBody>
      </xdr:sp>
      <xdr:sp macro="" textlink="">
        <xdr:nvSpPr>
          <xdr:cNvPr id="16" name="TextBox 15"/>
          <xdr:cNvSpPr txBox="1"/>
        </xdr:nvSpPr>
        <xdr:spPr>
          <a:xfrm>
            <a:off x="7871024" y="392431"/>
            <a:ext cx="1512612" cy="53340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Secondary Responses</a:t>
            </a:r>
          </a:p>
        </xdr:txBody>
      </xdr:sp>
      <xdr:sp macro="" textlink="">
        <xdr:nvSpPr>
          <xdr:cNvPr id="17" name="TextBox 16"/>
          <xdr:cNvSpPr txBox="1"/>
        </xdr:nvSpPr>
        <xdr:spPr>
          <a:xfrm>
            <a:off x="7871024" y="1213195"/>
            <a:ext cx="1512612" cy="75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Harmful Algae</a:t>
            </a:r>
          </a:p>
          <a:p>
            <a:r>
              <a:rPr lang="en-US" sz="1100"/>
              <a:t>- nuisance blooms</a:t>
            </a:r>
          </a:p>
          <a:p>
            <a:r>
              <a:rPr lang="en-US" sz="1100"/>
              <a:t>- toxic blooms</a:t>
            </a:r>
          </a:p>
        </xdr:txBody>
      </xdr:sp>
      <xdr:sp macro="" textlink="">
        <xdr:nvSpPr>
          <xdr:cNvPr id="18" name="TextBox 17"/>
          <xdr:cNvSpPr txBox="1"/>
        </xdr:nvSpPr>
        <xdr:spPr>
          <a:xfrm>
            <a:off x="7871024" y="2405482"/>
            <a:ext cx="1512612" cy="10235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Loss of SAV</a:t>
            </a:r>
          </a:p>
          <a:p>
            <a:r>
              <a:rPr lang="en-US" sz="1100"/>
              <a:t>- reduced SAV spatial coverage</a:t>
            </a:r>
          </a:p>
          <a:p>
            <a:r>
              <a:rPr lang="en-US" sz="1100"/>
              <a:t>- reduced SAV species diversity</a:t>
            </a:r>
          </a:p>
        </xdr:txBody>
      </xdr:sp>
      <xdr:sp macro="" textlink="">
        <xdr:nvSpPr>
          <xdr:cNvPr id="19" name="TextBox 18"/>
          <xdr:cNvSpPr txBox="1"/>
        </xdr:nvSpPr>
        <xdr:spPr>
          <a:xfrm>
            <a:off x="7871024" y="3801516"/>
            <a:ext cx="1512612" cy="98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Low</a:t>
            </a:r>
            <a:r>
              <a:rPr lang="en-US" sz="1100" u="sng" baseline="0"/>
              <a:t> Dissolved Oxygen</a:t>
            </a:r>
            <a:endParaRPr lang="en-US" sz="1100" u="sng"/>
          </a:p>
          <a:p>
            <a:r>
              <a:rPr lang="en-US" sz="1100"/>
              <a:t>- anoxia/hypoxia</a:t>
            </a:r>
          </a:p>
          <a:p>
            <a:r>
              <a:rPr lang="en-US" sz="1100"/>
              <a:t>-</a:t>
            </a:r>
            <a:r>
              <a:rPr lang="en-US" sz="1100" baseline="0"/>
              <a:t> altered redox chemistry</a:t>
            </a:r>
          </a:p>
          <a:p>
            <a:r>
              <a:rPr lang="en-US" sz="1100" baseline="0"/>
              <a:t>- biological stress</a:t>
            </a:r>
            <a:endParaRPr lang="en-US" sz="1100"/>
          </a:p>
        </xdr:txBody>
      </xdr:sp>
      <xdr:cxnSp macro="">
        <xdr:nvCxnSpPr>
          <xdr:cNvPr id="20" name="Straight Arrow Connector 19"/>
          <xdr:cNvCxnSpPr>
            <a:stCxn id="13" idx="3"/>
            <a:endCxn id="18" idx="1"/>
          </xdr:cNvCxnSpPr>
        </xdr:nvCxnSpPr>
        <xdr:spPr>
          <a:xfrm>
            <a:off x="7651748" y="2912213"/>
            <a:ext cx="219276" cy="50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1" name="Straight Arrow Connector 20"/>
          <xdr:cNvCxnSpPr>
            <a:stCxn id="14" idx="3"/>
            <a:endCxn id="19" idx="1"/>
          </xdr:cNvCxnSpPr>
        </xdr:nvCxnSpPr>
        <xdr:spPr>
          <a:xfrm>
            <a:off x="7651748" y="4291566"/>
            <a:ext cx="21927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2" name="Straight Arrow Connector 21"/>
          <xdr:cNvCxnSpPr>
            <a:stCxn id="12" idx="3"/>
            <a:endCxn id="17" idx="1"/>
          </xdr:cNvCxnSpPr>
        </xdr:nvCxnSpPr>
        <xdr:spPr>
          <a:xfrm>
            <a:off x="7651748" y="1590385"/>
            <a:ext cx="21927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3" name="Elbow Connector 22"/>
          <xdr:cNvCxnSpPr>
            <a:stCxn id="9" idx="3"/>
            <a:endCxn id="12" idx="1"/>
          </xdr:cNvCxnSpPr>
        </xdr:nvCxnSpPr>
        <xdr:spPr>
          <a:xfrm flipV="1">
            <a:off x="3765762" y="1590385"/>
            <a:ext cx="2371075" cy="614669"/>
          </a:xfrm>
          <a:prstGeom prst="bentConnector3">
            <a:avLst>
              <a:gd name="adj1" fmla="val 90618"/>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24" name="Elbow Connector 23"/>
          <xdr:cNvCxnSpPr>
            <a:stCxn id="9" idx="3"/>
            <a:endCxn id="14" idx="1"/>
          </xdr:cNvCxnSpPr>
        </xdr:nvCxnSpPr>
        <xdr:spPr>
          <a:xfrm>
            <a:off x="3765762" y="2205054"/>
            <a:ext cx="2371075" cy="2086512"/>
          </a:xfrm>
          <a:prstGeom prst="bentConnector3">
            <a:avLst>
              <a:gd name="adj1" fmla="val 90618"/>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5" name="TextBox 24"/>
          <xdr:cNvSpPr txBox="1"/>
        </xdr:nvSpPr>
        <xdr:spPr>
          <a:xfrm>
            <a:off x="2755904" y="392431"/>
            <a:ext cx="1085844" cy="53340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Nutrient Loading [1]</a:t>
            </a:r>
          </a:p>
        </xdr:txBody>
      </xdr:sp>
      <xdr:cxnSp macro="">
        <xdr:nvCxnSpPr>
          <xdr:cNvPr id="26" name="Straight Arrow Connector 25"/>
          <xdr:cNvCxnSpPr>
            <a:stCxn id="11" idx="2"/>
          </xdr:cNvCxnSpPr>
        </xdr:nvCxnSpPr>
        <xdr:spPr>
          <a:xfrm>
            <a:off x="4905373" y="2000250"/>
            <a:ext cx="5292" cy="2116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2" name="TextBox 31"/>
          <xdr:cNvSpPr txBox="1"/>
        </xdr:nvSpPr>
        <xdr:spPr>
          <a:xfrm>
            <a:off x="9823812" y="392431"/>
            <a:ext cx="1479192" cy="53340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Impacts to Designated Uses</a:t>
            </a:r>
          </a:p>
        </xdr:txBody>
      </xdr:sp>
      <xdr:sp macro="" textlink="">
        <xdr:nvSpPr>
          <xdr:cNvPr id="33" name="TextBox 32"/>
          <xdr:cNvSpPr txBox="1"/>
        </xdr:nvSpPr>
        <xdr:spPr>
          <a:xfrm>
            <a:off x="9823812" y="2113606"/>
            <a:ext cx="1479192" cy="484632"/>
          </a:xfrm>
          <a:prstGeom prst="rect">
            <a:avLst/>
          </a:prstGeom>
          <a:ln w="9525">
            <a:solidFill>
              <a:srgbClr val="BCBCB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Drinking water (surface water)</a:t>
            </a:r>
          </a:p>
        </xdr:txBody>
      </xdr:sp>
      <xdr:sp macro="" textlink="">
        <xdr:nvSpPr>
          <xdr:cNvPr id="34" name="TextBox 33"/>
          <xdr:cNvSpPr txBox="1"/>
        </xdr:nvSpPr>
        <xdr:spPr>
          <a:xfrm>
            <a:off x="9823812" y="1572105"/>
            <a:ext cx="1479192" cy="484632"/>
          </a:xfrm>
          <a:prstGeom prst="rect">
            <a:avLst/>
          </a:prstGeom>
          <a:ln w="9525">
            <a:solidFill>
              <a:srgbClr val="BCBCB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Secondary contact recreation</a:t>
            </a:r>
          </a:p>
        </xdr:txBody>
      </xdr:sp>
      <xdr:sp macro="" textlink="">
        <xdr:nvSpPr>
          <xdr:cNvPr id="35" name="TextBox 34"/>
          <xdr:cNvSpPr txBox="1"/>
        </xdr:nvSpPr>
        <xdr:spPr>
          <a:xfrm>
            <a:off x="9823812" y="4279610"/>
            <a:ext cx="1479192" cy="484632"/>
          </a:xfrm>
          <a:prstGeom prst="rect">
            <a:avLst/>
          </a:prstGeom>
          <a:ln w="9525">
            <a:solidFill>
              <a:srgbClr val="BCBCB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Agricultural water supply</a:t>
            </a:r>
          </a:p>
        </xdr:txBody>
      </xdr:sp>
      <xdr:sp macro="" textlink="">
        <xdr:nvSpPr>
          <xdr:cNvPr id="36" name="TextBox 35">
            <a:hlinkClick xmlns:r="http://schemas.openxmlformats.org/officeDocument/2006/relationships" r:id="rId1"/>
          </xdr:cNvPr>
          <xdr:cNvSpPr txBox="1"/>
        </xdr:nvSpPr>
        <xdr:spPr>
          <a:xfrm>
            <a:off x="4063998" y="3525269"/>
            <a:ext cx="1682750" cy="1300731"/>
          </a:xfrm>
          <a:prstGeom prst="rect">
            <a:avLst/>
          </a:prstGeom>
          <a:solidFill>
            <a:schemeClr val="accent4">
              <a:lumMod val="20000"/>
              <a:lumOff val="80000"/>
            </a:schemeClr>
          </a:solidFill>
          <a:ln>
            <a:solidFill>
              <a:schemeClr val="bg2">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Aeration</a:t>
            </a:r>
          </a:p>
          <a:p>
            <a:r>
              <a:rPr lang="en-US" sz="1100"/>
              <a:t>Chemical treatment</a:t>
            </a:r>
          </a:p>
          <a:p>
            <a:r>
              <a:rPr lang="en-US" sz="1100"/>
              <a:t>Artificial</a:t>
            </a:r>
            <a:r>
              <a:rPr lang="en-US" sz="1100" baseline="0"/>
              <a:t> circulation</a:t>
            </a:r>
          </a:p>
          <a:p>
            <a:r>
              <a:rPr lang="en-US" sz="1100" baseline="0"/>
              <a:t>Vegetation harvesting</a:t>
            </a:r>
          </a:p>
          <a:p>
            <a:r>
              <a:rPr lang="en-US" sz="1100" baseline="0"/>
              <a:t>Biomanipulation</a:t>
            </a:r>
          </a:p>
          <a:p>
            <a:r>
              <a:rPr lang="en-US" sz="1100" baseline="0"/>
              <a:t>Water level manipulation</a:t>
            </a:r>
          </a:p>
          <a:p>
            <a:r>
              <a:rPr lang="en-US" sz="1100" baseline="0"/>
              <a:t>Others</a:t>
            </a:r>
            <a:endParaRPr lang="en-US" sz="1100"/>
          </a:p>
        </xdr:txBody>
      </xdr:sp>
      <xdr:cxnSp macro="">
        <xdr:nvCxnSpPr>
          <xdr:cNvPr id="45" name="Elbow Connector 44"/>
          <xdr:cNvCxnSpPr>
            <a:stCxn id="17" idx="3"/>
            <a:endCxn id="34" idx="1"/>
          </xdr:cNvCxnSpPr>
        </xdr:nvCxnSpPr>
        <xdr:spPr>
          <a:xfrm>
            <a:off x="9383636" y="1590385"/>
            <a:ext cx="440176" cy="224036"/>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6" name="Elbow Connector 45"/>
          <xdr:cNvCxnSpPr>
            <a:stCxn id="17" idx="3"/>
            <a:endCxn id="33" idx="1"/>
          </xdr:cNvCxnSpPr>
        </xdr:nvCxnSpPr>
        <xdr:spPr>
          <a:xfrm>
            <a:off x="9383636" y="1590385"/>
            <a:ext cx="440176" cy="765537"/>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7" name="Elbow Connector 46"/>
          <xdr:cNvCxnSpPr>
            <a:stCxn id="17" idx="3"/>
            <a:endCxn id="35" idx="1"/>
          </xdr:cNvCxnSpPr>
        </xdr:nvCxnSpPr>
        <xdr:spPr>
          <a:xfrm>
            <a:off x="9383636" y="1590385"/>
            <a:ext cx="440176" cy="2931541"/>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8" name="TextBox 47">
            <a:hlinkClick xmlns:r="http://schemas.openxmlformats.org/officeDocument/2006/relationships" r:id="rId1"/>
          </xdr:cNvPr>
          <xdr:cNvSpPr txBox="1"/>
        </xdr:nvSpPr>
        <xdr:spPr>
          <a:xfrm>
            <a:off x="4063998" y="2810102"/>
            <a:ext cx="1682750" cy="640080"/>
          </a:xfrm>
          <a:prstGeom prst="rect">
            <a:avLst/>
          </a:prstGeom>
          <a:solidFill>
            <a:schemeClr val="accent1">
              <a:lumMod val="20000"/>
              <a:lumOff val="80000"/>
            </a:schemeClr>
          </a:solidFill>
          <a:ln>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Short-term Mitigation</a:t>
            </a:r>
          </a:p>
        </xdr:txBody>
      </xdr:sp>
      <xdr:cxnSp macro="">
        <xdr:nvCxnSpPr>
          <xdr:cNvPr id="52" name="Straight Arrow Connector 51"/>
          <xdr:cNvCxnSpPr>
            <a:stCxn id="48" idx="0"/>
          </xdr:cNvCxnSpPr>
        </xdr:nvCxnSpPr>
        <xdr:spPr>
          <a:xfrm flipH="1" flipV="1">
            <a:off x="4900081" y="2180167"/>
            <a:ext cx="5292" cy="6299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3" name="TextBox 52"/>
          <xdr:cNvSpPr txBox="1"/>
        </xdr:nvSpPr>
        <xdr:spPr>
          <a:xfrm>
            <a:off x="9823812" y="3196608"/>
            <a:ext cx="1479192" cy="484632"/>
          </a:xfrm>
          <a:prstGeom prst="rect">
            <a:avLst/>
          </a:prstGeom>
          <a:ln w="9525">
            <a:solidFill>
              <a:srgbClr val="BCBCB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Aquatic life (spawning</a:t>
            </a:r>
            <a:r>
              <a:rPr lang="en-US" sz="1100" baseline="0"/>
              <a:t>, rearing, etc.)</a:t>
            </a:r>
            <a:endParaRPr lang="en-US" sz="1100"/>
          </a:p>
        </xdr:txBody>
      </xdr:sp>
      <xdr:cxnSp macro="">
        <xdr:nvCxnSpPr>
          <xdr:cNvPr id="55" name="Elbow Connector 54"/>
          <xdr:cNvCxnSpPr>
            <a:stCxn id="19" idx="3"/>
            <a:endCxn id="53" idx="1"/>
          </xdr:cNvCxnSpPr>
        </xdr:nvCxnSpPr>
        <xdr:spPr>
          <a:xfrm flipV="1">
            <a:off x="9383636" y="3438924"/>
            <a:ext cx="440176" cy="852642"/>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57" name="TextBox 56">
            <a:hlinkClick xmlns:r="http://schemas.openxmlformats.org/officeDocument/2006/relationships" r:id="rId2"/>
          </xdr:cNvPr>
          <xdr:cNvSpPr txBox="1"/>
        </xdr:nvSpPr>
        <xdr:spPr>
          <a:xfrm>
            <a:off x="11750481" y="392425"/>
            <a:ext cx="2187768" cy="533400"/>
          </a:xfrm>
          <a:prstGeom prst="rect">
            <a:avLst/>
          </a:prstGeom>
          <a:solidFill>
            <a:schemeClr val="accent1">
              <a:lumMod val="20000"/>
              <a:lumOff val="80000"/>
            </a:schemeClr>
          </a:solidFill>
          <a:ln>
            <a:solidFill>
              <a:schemeClr val="accent2"/>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Economic Sectors Negatively Impacted </a:t>
            </a:r>
          </a:p>
        </xdr:txBody>
      </xdr:sp>
      <xdr:sp macro="" textlink="">
        <xdr:nvSpPr>
          <xdr:cNvPr id="58" name="TextBox 57">
            <a:hlinkClick xmlns:r="http://schemas.openxmlformats.org/officeDocument/2006/relationships" r:id="rId2"/>
          </xdr:cNvPr>
          <xdr:cNvSpPr txBox="1"/>
        </xdr:nvSpPr>
        <xdr:spPr>
          <a:xfrm>
            <a:off x="11750481" y="1030606"/>
            <a:ext cx="2187768" cy="1969823"/>
          </a:xfrm>
          <a:prstGeom prst="rect">
            <a:avLst/>
          </a:prstGeom>
          <a:solidFill>
            <a:schemeClr val="accent4">
              <a:lumMod val="20000"/>
              <a:lumOff val="80000"/>
            </a:schemeClr>
          </a:solid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indent="0"/>
            <a:r>
              <a:rPr lang="en-US" sz="1100" u="none">
                <a:solidFill>
                  <a:schemeClr val="dk1"/>
                </a:solidFill>
                <a:latin typeface="+mn-lt"/>
                <a:ea typeface="+mn-ea"/>
                <a:cs typeface="+mn-cs"/>
              </a:rPr>
              <a:t>· Tourism-related industries (lodging, restaurants,</a:t>
            </a:r>
            <a:r>
              <a:rPr lang="en-US" sz="1100" u="none" baseline="0">
                <a:solidFill>
                  <a:schemeClr val="dk1"/>
                </a:solidFill>
                <a:latin typeface="+mn-lt"/>
                <a:ea typeface="+mn-ea"/>
                <a:cs typeface="+mn-cs"/>
              </a:rPr>
              <a:t> etc.)</a:t>
            </a:r>
            <a:endParaRPr lang="en-US" sz="1100" u="none">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u="none">
                <a:solidFill>
                  <a:schemeClr val="dk1"/>
                </a:solidFill>
                <a:latin typeface="+mn-lt"/>
                <a:ea typeface="+mn-ea"/>
                <a:cs typeface="+mn-cs"/>
              </a:rPr>
              <a:t>· Commercial</a:t>
            </a:r>
            <a:r>
              <a:rPr lang="en-US" sz="1100" u="none" baseline="0">
                <a:solidFill>
                  <a:schemeClr val="dk1"/>
                </a:solidFill>
                <a:latin typeface="+mn-lt"/>
                <a:ea typeface="+mn-ea"/>
                <a:cs typeface="+mn-cs"/>
              </a:rPr>
              <a:t> fisheries</a:t>
            </a:r>
            <a:endParaRPr lang="en-US" sz="1100" u="none">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u="none">
                <a:solidFill>
                  <a:schemeClr val="dk1"/>
                </a:solidFill>
                <a:latin typeface="+mn-lt"/>
                <a:ea typeface="+mn-ea"/>
                <a:cs typeface="+mn-cs"/>
              </a:rPr>
              <a:t>· Households</a:t>
            </a:r>
            <a:r>
              <a:rPr lang="en-US" sz="1100" u="none" baseline="0">
                <a:solidFill>
                  <a:schemeClr val="dk1"/>
                </a:solidFill>
                <a:latin typeface="+mn-lt"/>
                <a:ea typeface="+mn-ea"/>
                <a:cs typeface="+mn-cs"/>
              </a:rPr>
              <a:t> (housing values, adverse health effects, increased drinking water treatment costs)</a:t>
            </a:r>
            <a:endParaRPr lang="en-US" sz="1100" u="none">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u="none">
                <a:solidFill>
                  <a:schemeClr val="dk1"/>
                </a:solidFill>
                <a:latin typeface="+mn-lt"/>
                <a:ea typeface="+mn-ea"/>
                <a:cs typeface="+mn-cs"/>
              </a:rPr>
              <a:t>· Private industries (increased operating costs</a:t>
            </a:r>
            <a:r>
              <a:rPr lang="en-US" sz="1100" u="none" baseline="0">
                <a:solidFill>
                  <a:schemeClr val="dk1"/>
                </a:solidFill>
                <a:latin typeface="+mn-lt"/>
                <a:ea typeface="+mn-ea"/>
                <a:cs typeface="+mn-cs"/>
              </a:rPr>
              <a:t>)</a:t>
            </a:r>
            <a:endParaRPr lang="en-US" sz="1100" u="none">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u="none">
                <a:solidFill>
                  <a:schemeClr val="dk1"/>
                </a:solidFill>
                <a:latin typeface="+mn-lt"/>
                <a:ea typeface="+mn-ea"/>
                <a:cs typeface="+mn-cs"/>
              </a:rPr>
              <a:t>· Municipalities (drinking water treatment)</a:t>
            </a:r>
          </a:p>
          <a:p>
            <a:pPr marL="0" indent="0"/>
            <a:endParaRPr lang="en-US" sz="1100" u="none">
              <a:solidFill>
                <a:schemeClr val="dk1"/>
              </a:solidFill>
              <a:latin typeface="+mn-lt"/>
              <a:ea typeface="+mn-ea"/>
              <a:cs typeface="+mn-cs"/>
            </a:endParaRPr>
          </a:p>
          <a:p>
            <a:pPr marL="0" indent="0"/>
            <a:endParaRPr lang="en-US" sz="1100" u="none">
              <a:solidFill>
                <a:schemeClr val="dk1"/>
              </a:solidFill>
              <a:latin typeface="+mn-lt"/>
              <a:ea typeface="+mn-ea"/>
              <a:cs typeface="+mn-cs"/>
            </a:endParaRPr>
          </a:p>
          <a:p>
            <a:pPr marL="0" indent="0"/>
            <a:endParaRPr lang="en-US" sz="1100" u="none">
              <a:solidFill>
                <a:schemeClr val="dk1"/>
              </a:solidFill>
              <a:latin typeface="+mn-lt"/>
              <a:ea typeface="+mn-ea"/>
              <a:cs typeface="+mn-cs"/>
            </a:endParaRPr>
          </a:p>
        </xdr:txBody>
      </xdr:sp>
      <xdr:sp macro="" textlink="">
        <xdr:nvSpPr>
          <xdr:cNvPr id="59" name="TextBox 58"/>
          <xdr:cNvSpPr txBox="1"/>
        </xdr:nvSpPr>
        <xdr:spPr>
          <a:xfrm>
            <a:off x="9823812" y="1030604"/>
            <a:ext cx="1479192" cy="484632"/>
          </a:xfrm>
          <a:prstGeom prst="rect">
            <a:avLst/>
          </a:prstGeom>
          <a:ln w="9525">
            <a:solidFill>
              <a:srgbClr val="BCBCB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Primary contact recreation</a:t>
            </a:r>
          </a:p>
        </xdr:txBody>
      </xdr:sp>
      <xdr:cxnSp macro="">
        <xdr:nvCxnSpPr>
          <xdr:cNvPr id="60" name="Elbow Connector 59"/>
          <xdr:cNvCxnSpPr>
            <a:stCxn id="19" idx="3"/>
            <a:endCxn id="59" idx="1"/>
          </xdr:cNvCxnSpPr>
        </xdr:nvCxnSpPr>
        <xdr:spPr>
          <a:xfrm flipV="1">
            <a:off x="9383636" y="1272920"/>
            <a:ext cx="440176" cy="3018646"/>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1" name="Elbow Connector 60"/>
          <xdr:cNvCxnSpPr>
            <a:stCxn id="59" idx="3"/>
            <a:endCxn id="58" idx="1"/>
          </xdr:cNvCxnSpPr>
        </xdr:nvCxnSpPr>
        <xdr:spPr>
          <a:xfrm>
            <a:off x="11303004" y="1272920"/>
            <a:ext cx="447477" cy="742598"/>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2" name="Elbow Connector 61"/>
          <xdr:cNvCxnSpPr>
            <a:stCxn id="34" idx="3"/>
            <a:endCxn id="58" idx="1"/>
          </xdr:cNvCxnSpPr>
        </xdr:nvCxnSpPr>
        <xdr:spPr>
          <a:xfrm>
            <a:off x="11303004" y="1814421"/>
            <a:ext cx="447477" cy="201097"/>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3" name="Elbow Connector 62"/>
          <xdr:cNvCxnSpPr>
            <a:stCxn id="33" idx="3"/>
            <a:endCxn id="58" idx="1"/>
          </xdr:cNvCxnSpPr>
        </xdr:nvCxnSpPr>
        <xdr:spPr>
          <a:xfrm flipV="1">
            <a:off x="11303004" y="2015518"/>
            <a:ext cx="447477" cy="340404"/>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4" name="Elbow Connector 63"/>
          <xdr:cNvCxnSpPr>
            <a:stCxn id="35" idx="3"/>
            <a:endCxn id="58" idx="1"/>
          </xdr:cNvCxnSpPr>
        </xdr:nvCxnSpPr>
        <xdr:spPr>
          <a:xfrm flipV="1">
            <a:off x="11303004" y="2015518"/>
            <a:ext cx="447477" cy="2506408"/>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65" name="Elbow Connector 64"/>
          <xdr:cNvCxnSpPr>
            <a:stCxn id="53" idx="3"/>
            <a:endCxn id="58" idx="1"/>
          </xdr:cNvCxnSpPr>
        </xdr:nvCxnSpPr>
        <xdr:spPr>
          <a:xfrm flipV="1">
            <a:off x="11303004" y="2015518"/>
            <a:ext cx="447477" cy="1423406"/>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7" name="TextBox 66"/>
          <xdr:cNvSpPr txBox="1"/>
        </xdr:nvSpPr>
        <xdr:spPr>
          <a:xfrm>
            <a:off x="9823812" y="3738109"/>
            <a:ext cx="1479192" cy="484632"/>
          </a:xfrm>
          <a:prstGeom prst="rect">
            <a:avLst/>
          </a:prstGeom>
          <a:ln w="9525">
            <a:solidFill>
              <a:srgbClr val="BCBCB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Industrial water supply</a:t>
            </a:r>
          </a:p>
        </xdr:txBody>
      </xdr:sp>
      <xdr:sp macro="" textlink="">
        <xdr:nvSpPr>
          <xdr:cNvPr id="68" name="TextBox 67"/>
          <xdr:cNvSpPr txBox="1"/>
        </xdr:nvSpPr>
        <xdr:spPr>
          <a:xfrm>
            <a:off x="9823812" y="2655107"/>
            <a:ext cx="1479192" cy="484632"/>
          </a:xfrm>
          <a:prstGeom prst="rect">
            <a:avLst/>
          </a:prstGeom>
          <a:ln w="9525">
            <a:solidFill>
              <a:srgbClr val="BCBCB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Wildlife habitat</a:t>
            </a:r>
          </a:p>
        </xdr:txBody>
      </xdr:sp>
      <xdr:cxnSp macro="">
        <xdr:nvCxnSpPr>
          <xdr:cNvPr id="71" name="Elbow Connector 70"/>
          <xdr:cNvCxnSpPr>
            <a:stCxn id="18" idx="3"/>
            <a:endCxn id="67" idx="1"/>
          </xdr:cNvCxnSpPr>
        </xdr:nvCxnSpPr>
        <xdr:spPr>
          <a:xfrm>
            <a:off x="9383636" y="2917241"/>
            <a:ext cx="440176" cy="1063184"/>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4" name="Elbow Connector 73"/>
          <xdr:cNvCxnSpPr>
            <a:stCxn id="67" idx="3"/>
            <a:endCxn id="58" idx="1"/>
          </xdr:cNvCxnSpPr>
        </xdr:nvCxnSpPr>
        <xdr:spPr>
          <a:xfrm flipV="1">
            <a:off x="11303004" y="2015518"/>
            <a:ext cx="447477" cy="1964907"/>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5" name="Elbow Connector 74"/>
          <xdr:cNvCxnSpPr>
            <a:stCxn id="68" idx="3"/>
            <a:endCxn id="58" idx="1"/>
          </xdr:cNvCxnSpPr>
        </xdr:nvCxnSpPr>
        <xdr:spPr>
          <a:xfrm flipV="1">
            <a:off x="11303004" y="2015518"/>
            <a:ext cx="447477" cy="881905"/>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6" name="TextBox 115"/>
          <xdr:cNvSpPr txBox="1"/>
        </xdr:nvSpPr>
        <xdr:spPr>
          <a:xfrm>
            <a:off x="1109055" y="1030606"/>
            <a:ext cx="1325879" cy="11707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Agriculture</a:t>
            </a:r>
          </a:p>
          <a:p>
            <a:r>
              <a:rPr lang="en-US" sz="1100"/>
              <a:t>Industrial Sources</a:t>
            </a:r>
          </a:p>
          <a:p>
            <a:r>
              <a:rPr lang="en-US" sz="1100"/>
              <a:t>Municipal</a:t>
            </a:r>
            <a:r>
              <a:rPr lang="en-US" sz="1100" baseline="0"/>
              <a:t> Sources</a:t>
            </a:r>
          </a:p>
          <a:p>
            <a:r>
              <a:rPr lang="en-US" sz="1100" baseline="0"/>
              <a:t>Septics</a:t>
            </a:r>
          </a:p>
          <a:p>
            <a:r>
              <a:rPr lang="en-US" sz="1100" baseline="0"/>
              <a:t>Urban Runoff</a:t>
            </a:r>
          </a:p>
        </xdr:txBody>
      </xdr:sp>
      <xdr:cxnSp macro="">
        <xdr:nvCxnSpPr>
          <xdr:cNvPr id="118" name="Elbow Connector 117"/>
          <xdr:cNvCxnSpPr>
            <a:stCxn id="116" idx="3"/>
            <a:endCxn id="9" idx="1"/>
          </xdr:cNvCxnSpPr>
        </xdr:nvCxnSpPr>
        <xdr:spPr>
          <a:xfrm>
            <a:off x="2434934" y="1615970"/>
            <a:ext cx="396957" cy="589084"/>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5" name="Elbow Connector 124"/>
          <xdr:cNvCxnSpPr>
            <a:stCxn id="17" idx="3"/>
            <a:endCxn id="68" idx="1"/>
          </xdr:cNvCxnSpPr>
        </xdr:nvCxnSpPr>
        <xdr:spPr>
          <a:xfrm>
            <a:off x="9383636" y="1590385"/>
            <a:ext cx="440176" cy="1307038"/>
          </a:xfrm>
          <a:prstGeom prst="bentConnector3">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6" name="TextBox 65">
            <a:hlinkClick xmlns:r="http://schemas.openxmlformats.org/officeDocument/2006/relationships" r:id="rId3"/>
          </xdr:cNvPr>
          <xdr:cNvSpPr txBox="1"/>
        </xdr:nvSpPr>
        <xdr:spPr>
          <a:xfrm>
            <a:off x="1256877" y="3504103"/>
            <a:ext cx="1027588" cy="448056"/>
          </a:xfrm>
          <a:prstGeom prst="rect">
            <a:avLst/>
          </a:prstGeom>
          <a:solidFill>
            <a:schemeClr val="accent4">
              <a:lumMod val="20000"/>
              <a:lumOff val="80000"/>
            </a:schemeClr>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Urban</a:t>
            </a:r>
            <a:r>
              <a:rPr lang="en-US" sz="1100" baseline="0"/>
              <a:t> Runoff</a:t>
            </a:r>
            <a:endParaRPr lang="en-US" sz="1100"/>
          </a:p>
        </xdr:txBody>
      </xdr:sp>
      <xdr:sp macro="" textlink="">
        <xdr:nvSpPr>
          <xdr:cNvPr id="69" name="TextBox 68">
            <a:hlinkClick xmlns:r="http://schemas.openxmlformats.org/officeDocument/2006/relationships" r:id="rId4"/>
          </xdr:cNvPr>
          <xdr:cNvSpPr txBox="1"/>
        </xdr:nvSpPr>
        <xdr:spPr>
          <a:xfrm>
            <a:off x="1256877" y="4508057"/>
            <a:ext cx="1027588" cy="448056"/>
          </a:xfrm>
          <a:prstGeom prst="rect">
            <a:avLst/>
          </a:prstGeom>
          <a:solidFill>
            <a:schemeClr val="accent4">
              <a:lumMod val="20000"/>
              <a:lumOff val="80000"/>
            </a:schemeClr>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Livestock Management</a:t>
            </a:r>
          </a:p>
        </xdr:txBody>
      </xdr:sp>
      <xdr:sp macro="" textlink="">
        <xdr:nvSpPr>
          <xdr:cNvPr id="70" name="TextBox 69">
            <a:hlinkClick xmlns:r="http://schemas.openxmlformats.org/officeDocument/2006/relationships" r:id="rId5"/>
          </xdr:cNvPr>
          <xdr:cNvSpPr txBox="1"/>
        </xdr:nvSpPr>
        <xdr:spPr>
          <a:xfrm>
            <a:off x="1256877" y="4006080"/>
            <a:ext cx="1027588" cy="448056"/>
          </a:xfrm>
          <a:prstGeom prst="rect">
            <a:avLst/>
          </a:prstGeom>
          <a:solidFill>
            <a:schemeClr val="accent4">
              <a:lumMod val="20000"/>
              <a:lumOff val="80000"/>
            </a:schemeClr>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baseline="0"/>
              <a:t>Cropland Management</a:t>
            </a:r>
            <a:endParaRPr lang="en-US" sz="1100"/>
          </a:p>
        </xdr:txBody>
      </xdr:sp>
      <xdr:sp macro="" textlink="">
        <xdr:nvSpPr>
          <xdr:cNvPr id="72" name="TextBox 71">
            <a:hlinkClick xmlns:r="http://schemas.openxmlformats.org/officeDocument/2006/relationships" r:id="rId6"/>
          </xdr:cNvPr>
          <xdr:cNvSpPr txBox="1"/>
        </xdr:nvSpPr>
        <xdr:spPr>
          <a:xfrm>
            <a:off x="156151" y="3504103"/>
            <a:ext cx="1027587" cy="448056"/>
          </a:xfrm>
          <a:prstGeom prst="rect">
            <a:avLst/>
          </a:prstGeom>
          <a:solidFill>
            <a:schemeClr val="accent4">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lang="en-US" sz="1100"/>
              <a:t>Municipal</a:t>
            </a:r>
            <a:r>
              <a:rPr lang="en-US" sz="1100" baseline="0"/>
              <a:t> Treatment</a:t>
            </a:r>
            <a:endParaRPr lang="en-US" sz="1100"/>
          </a:p>
        </xdr:txBody>
      </xdr:sp>
      <xdr:sp macro="" textlink="">
        <xdr:nvSpPr>
          <xdr:cNvPr id="73" name="TextBox 72">
            <a:hlinkClick xmlns:r="http://schemas.openxmlformats.org/officeDocument/2006/relationships" r:id="rId7"/>
          </xdr:cNvPr>
          <xdr:cNvSpPr txBox="1"/>
        </xdr:nvSpPr>
        <xdr:spPr>
          <a:xfrm>
            <a:off x="156151" y="4508057"/>
            <a:ext cx="1027587" cy="448056"/>
          </a:xfrm>
          <a:prstGeom prst="rect">
            <a:avLst/>
          </a:prstGeom>
          <a:solidFill>
            <a:schemeClr val="accent4">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lang="en-US" sz="1100"/>
              <a:t>Decentralized</a:t>
            </a:r>
          </a:p>
        </xdr:txBody>
      </xdr:sp>
      <xdr:sp macro="" textlink="">
        <xdr:nvSpPr>
          <xdr:cNvPr id="76" name="TextBox 75">
            <a:hlinkClick xmlns:r="http://schemas.openxmlformats.org/officeDocument/2006/relationships" r:id="rId8"/>
          </xdr:cNvPr>
          <xdr:cNvSpPr txBox="1"/>
        </xdr:nvSpPr>
        <xdr:spPr>
          <a:xfrm>
            <a:off x="156151" y="4006080"/>
            <a:ext cx="1027587" cy="448056"/>
          </a:xfrm>
          <a:prstGeom prst="rect">
            <a:avLst/>
          </a:prstGeom>
          <a:solidFill>
            <a:schemeClr val="accent4">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r>
              <a:rPr lang="en-US" sz="1100" baseline="0"/>
              <a:t>Industrial Treatment</a:t>
            </a:r>
            <a:endParaRPr lang="en-US" sz="1100"/>
          </a:p>
        </xdr:txBody>
      </xdr:sp>
      <xdr:sp macro="" textlink="">
        <xdr:nvSpPr>
          <xdr:cNvPr id="77" name="TextBox 76">
            <a:hlinkClick xmlns:r="http://schemas.openxmlformats.org/officeDocument/2006/relationships" r:id="rId9"/>
          </xdr:cNvPr>
          <xdr:cNvSpPr txBox="1"/>
        </xdr:nvSpPr>
        <xdr:spPr>
          <a:xfrm>
            <a:off x="2357604" y="2814759"/>
            <a:ext cx="1027588" cy="635423"/>
          </a:xfrm>
          <a:prstGeom prst="rect">
            <a:avLst/>
          </a:prstGeom>
          <a:solidFill>
            <a:schemeClr val="accent4">
              <a:lumMod val="40000"/>
              <a:lumOff val="60000"/>
            </a:schemeClr>
          </a:solidFill>
          <a:ln>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Long-Term Restoration</a:t>
            </a:r>
          </a:p>
        </xdr:txBody>
      </xdr:sp>
      <xdr:sp macro="" textlink="">
        <xdr:nvSpPr>
          <xdr:cNvPr id="78" name="TextBox 77">
            <a:hlinkClick xmlns:r="http://schemas.openxmlformats.org/officeDocument/2006/relationships" r:id="rId10"/>
          </xdr:cNvPr>
          <xdr:cNvSpPr txBox="1"/>
        </xdr:nvSpPr>
        <xdr:spPr>
          <a:xfrm>
            <a:off x="156151" y="2814759"/>
            <a:ext cx="1027587" cy="635423"/>
          </a:xfrm>
          <a:prstGeom prst="rect">
            <a:avLst/>
          </a:prstGeom>
          <a:solidFill>
            <a:schemeClr val="accent4">
              <a:lumMod val="40000"/>
              <a:lumOff val="6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lstStyle/>
          <a:p>
            <a:pPr algn="ctr"/>
            <a:r>
              <a:rPr lang="en-US" sz="1100" b="1"/>
              <a:t>Point Source Controls</a:t>
            </a:r>
          </a:p>
        </xdr:txBody>
      </xdr:sp>
      <xdr:sp macro="" textlink="">
        <xdr:nvSpPr>
          <xdr:cNvPr id="79" name="TextBox 78">
            <a:hlinkClick xmlns:r="http://schemas.openxmlformats.org/officeDocument/2006/relationships" r:id="rId11"/>
          </xdr:cNvPr>
          <xdr:cNvSpPr txBox="1"/>
        </xdr:nvSpPr>
        <xdr:spPr>
          <a:xfrm>
            <a:off x="1256877" y="2814759"/>
            <a:ext cx="1027588" cy="635423"/>
          </a:xfrm>
          <a:prstGeom prst="rect">
            <a:avLst/>
          </a:prstGeom>
          <a:solidFill>
            <a:schemeClr val="accent4">
              <a:lumMod val="40000"/>
              <a:lumOff val="60000"/>
            </a:schemeClr>
          </a:solidFill>
          <a:ln>
            <a:solidFill>
              <a:schemeClr val="accent3"/>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Nonpoint Source Controls</a:t>
            </a:r>
          </a:p>
        </xdr:txBody>
      </xdr:sp>
      <xdr:sp macro="" textlink="">
        <xdr:nvSpPr>
          <xdr:cNvPr id="80" name="TextBox 79">
            <a:hlinkClick xmlns:r="http://schemas.openxmlformats.org/officeDocument/2006/relationships" r:id="rId9"/>
          </xdr:cNvPr>
          <xdr:cNvSpPr txBox="1"/>
        </xdr:nvSpPr>
        <xdr:spPr>
          <a:xfrm>
            <a:off x="2357604" y="3504103"/>
            <a:ext cx="1027588" cy="448056"/>
          </a:xfrm>
          <a:prstGeom prst="rect">
            <a:avLst/>
          </a:prstGeom>
          <a:solidFill>
            <a:schemeClr val="accent4">
              <a:lumMod val="20000"/>
              <a:lumOff val="80000"/>
            </a:schemeClr>
          </a:solidFill>
          <a:ln>
            <a:solidFill>
              <a:schemeClr val="bg2">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TMDLs</a:t>
            </a:r>
          </a:p>
        </xdr:txBody>
      </xdr:sp>
      <xdr:sp macro="" textlink="">
        <xdr:nvSpPr>
          <xdr:cNvPr id="81" name="TextBox 80">
            <a:hlinkClick xmlns:r="http://schemas.openxmlformats.org/officeDocument/2006/relationships" r:id="rId9"/>
          </xdr:cNvPr>
          <xdr:cNvSpPr txBox="1"/>
        </xdr:nvSpPr>
        <xdr:spPr>
          <a:xfrm>
            <a:off x="2357604" y="4508057"/>
            <a:ext cx="1027588" cy="448056"/>
          </a:xfrm>
          <a:prstGeom prst="rect">
            <a:avLst/>
          </a:prstGeom>
          <a:solidFill>
            <a:schemeClr val="accent4">
              <a:lumMod val="20000"/>
              <a:lumOff val="80000"/>
            </a:schemeClr>
          </a:solidFill>
          <a:ln>
            <a:solidFill>
              <a:schemeClr val="bg2">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000"/>
              <a:t>Watershed Planning</a:t>
            </a:r>
          </a:p>
        </xdr:txBody>
      </xdr:sp>
      <xdr:sp macro="" textlink="">
        <xdr:nvSpPr>
          <xdr:cNvPr id="82" name="TextBox 81">
            <a:hlinkClick xmlns:r="http://schemas.openxmlformats.org/officeDocument/2006/relationships" r:id="rId9"/>
          </xdr:cNvPr>
          <xdr:cNvSpPr txBox="1"/>
        </xdr:nvSpPr>
        <xdr:spPr>
          <a:xfrm>
            <a:off x="2357604" y="4006080"/>
            <a:ext cx="1027588" cy="448056"/>
          </a:xfrm>
          <a:prstGeom prst="rect">
            <a:avLst/>
          </a:prstGeom>
          <a:solidFill>
            <a:schemeClr val="accent4">
              <a:lumMod val="20000"/>
              <a:lumOff val="80000"/>
            </a:schemeClr>
          </a:solidFill>
          <a:ln>
            <a:solidFill>
              <a:schemeClr val="bg2">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Pollutant Trading</a:t>
            </a:r>
          </a:p>
        </xdr:txBody>
      </xdr:sp>
      <xdr:sp macro="" textlink="">
        <xdr:nvSpPr>
          <xdr:cNvPr id="83" name="TextBox 82"/>
          <xdr:cNvSpPr txBox="1"/>
        </xdr:nvSpPr>
        <xdr:spPr>
          <a:xfrm>
            <a:off x="1256877" y="5010036"/>
            <a:ext cx="1027588" cy="448056"/>
          </a:xfrm>
          <a:prstGeom prst="rect">
            <a:avLst/>
          </a:prstGeom>
          <a:solidFill>
            <a:schemeClr val="accent4">
              <a:lumMod val="20000"/>
              <a:lumOff val="80000"/>
            </a:schemeClr>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Forestry</a:t>
            </a:r>
          </a:p>
        </xdr:txBody>
      </xdr:sp>
      <xdr:cxnSp macro="">
        <xdr:nvCxnSpPr>
          <xdr:cNvPr id="6" name="Elbow Connector 5"/>
          <xdr:cNvCxnSpPr>
            <a:stCxn id="78" idx="0"/>
            <a:endCxn id="116" idx="2"/>
          </xdr:cNvCxnSpPr>
        </xdr:nvCxnSpPr>
        <xdr:spPr>
          <a:xfrm rot="5400000" flipH="1" flipV="1">
            <a:off x="914257" y="1957021"/>
            <a:ext cx="613426" cy="1102050"/>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8" name="Elbow Connector 27"/>
          <xdr:cNvCxnSpPr>
            <a:stCxn id="79" idx="0"/>
            <a:endCxn id="116" idx="2"/>
          </xdr:cNvCxnSpPr>
        </xdr:nvCxnSpPr>
        <xdr:spPr>
          <a:xfrm rot="5400000" flipH="1" flipV="1">
            <a:off x="1464620" y="2507384"/>
            <a:ext cx="613426" cy="1324"/>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xdr:cNvCxnSpPr>
            <a:stCxn id="77" idx="0"/>
            <a:endCxn id="116" idx="2"/>
          </xdr:cNvCxnSpPr>
        </xdr:nvCxnSpPr>
        <xdr:spPr>
          <a:xfrm rot="16200000" flipV="1">
            <a:off x="2014984" y="1958344"/>
            <a:ext cx="613426" cy="1099403"/>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8" name="Elbow Connector 127"/>
          <xdr:cNvCxnSpPr>
            <a:stCxn id="9" idx="3"/>
            <a:endCxn id="13" idx="1"/>
          </xdr:cNvCxnSpPr>
        </xdr:nvCxnSpPr>
        <xdr:spPr>
          <a:xfrm>
            <a:off x="3765762" y="2205054"/>
            <a:ext cx="2371075" cy="707159"/>
          </a:xfrm>
          <a:prstGeom prst="bentConnector3">
            <a:avLst>
              <a:gd name="adj1" fmla="val 90618"/>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TextBox 3"/>
          <xdr:cNvSpPr txBox="1"/>
        </xdr:nvSpPr>
        <xdr:spPr>
          <a:xfrm>
            <a:off x="156151" y="5619754"/>
            <a:ext cx="13771516"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lang="en-US" sz="1100"/>
              <a:t>Source: </a:t>
            </a:r>
            <a:r>
              <a:rPr lang="en-US" sz="1100">
                <a:solidFill>
                  <a:schemeClr val="tx1"/>
                </a:solidFill>
                <a:effectLst/>
                <a:latin typeface="+mn-lt"/>
                <a:ea typeface="+mn-ea"/>
                <a:cs typeface="+mn-cs"/>
              </a:rPr>
              <a:t>Based on Weaver (2010)</a:t>
            </a:r>
            <a:r>
              <a:rPr lang="en-US" sz="1100" baseline="0">
                <a:solidFill>
                  <a:schemeClr val="tx1"/>
                </a:solidFill>
                <a:effectLst/>
                <a:latin typeface="+mn-lt"/>
                <a:ea typeface="+mn-ea"/>
                <a:cs typeface="+mn-cs"/>
              </a:rPr>
              <a:t> and Dodds et al. (2009)</a:t>
            </a:r>
            <a:endParaRPr lang="en-US">
              <a:effectLst/>
            </a:endParaRPr>
          </a:p>
          <a:p>
            <a:r>
              <a:rPr lang="en-US" sz="1100"/>
              <a:t>1. Loads to surface waters. Infiltration throughout the watershed may also contaminate groundwater used for drinking water source water.</a:t>
            </a:r>
          </a:p>
        </xdr:txBody>
      </xdr:sp>
    </xdr:grpSp>
    <xdr:clientData/>
  </xdr:twoCellAnchor>
  <xdr:twoCellAnchor>
    <xdr:from>
      <xdr:col>1</xdr:col>
      <xdr:colOff>315479</xdr:colOff>
      <xdr:row>0</xdr:row>
      <xdr:rowOff>47625</xdr:rowOff>
    </xdr:from>
    <xdr:to>
      <xdr:col>2</xdr:col>
      <xdr:colOff>384064</xdr:colOff>
      <xdr:row>1</xdr:row>
      <xdr:rowOff>101134</xdr:rowOff>
    </xdr:to>
    <xdr:sp macro="" textlink="">
      <xdr:nvSpPr>
        <xdr:cNvPr id="91" name="TextBox 90">
          <a:hlinkClick xmlns:r="http://schemas.openxmlformats.org/officeDocument/2006/relationships" r:id="rId12"/>
        </xdr:cNvPr>
        <xdr:cNvSpPr txBox="1"/>
      </xdr:nvSpPr>
      <xdr:spPr>
        <a:xfrm>
          <a:off x="908146" y="47625"/>
          <a:ext cx="661251" cy="265176"/>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0</xdr:col>
      <xdr:colOff>95249</xdr:colOff>
      <xdr:row>0</xdr:row>
      <xdr:rowOff>47625</xdr:rowOff>
    </xdr:from>
    <xdr:to>
      <xdr:col>1</xdr:col>
      <xdr:colOff>179916</xdr:colOff>
      <xdr:row>1</xdr:row>
      <xdr:rowOff>101134</xdr:rowOff>
    </xdr:to>
    <xdr:sp macro="" textlink="">
      <xdr:nvSpPr>
        <xdr:cNvPr id="92" name="TextBox 91">
          <a:hlinkClick xmlns:r="http://schemas.openxmlformats.org/officeDocument/2006/relationships" r:id="rId13"/>
        </xdr:cNvPr>
        <xdr:cNvSpPr txBox="1"/>
      </xdr:nvSpPr>
      <xdr:spPr>
        <a:xfrm>
          <a:off x="95249" y="47625"/>
          <a:ext cx="677334" cy="265176"/>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117845</xdr:colOff>
      <xdr:row>2</xdr:row>
      <xdr:rowOff>106674</xdr:rowOff>
    </xdr:from>
    <xdr:to>
      <xdr:col>23</xdr:col>
      <xdr:colOff>290011</xdr:colOff>
      <xdr:row>33</xdr:row>
      <xdr:rowOff>141235</xdr:rowOff>
    </xdr:to>
    <xdr:grpSp>
      <xdr:nvGrpSpPr>
        <xdr:cNvPr id="3" name="Group 2"/>
        <xdr:cNvGrpSpPr/>
      </xdr:nvGrpSpPr>
      <xdr:grpSpPr>
        <a:xfrm>
          <a:off x="117845" y="566115"/>
          <a:ext cx="13832137" cy="5940061"/>
          <a:chOff x="117845" y="350091"/>
          <a:chExt cx="13803499" cy="5940061"/>
        </a:xfrm>
      </xdr:grpSpPr>
      <xdr:sp macro="" textlink="">
        <xdr:nvSpPr>
          <xdr:cNvPr id="2" name="TextBox 1"/>
          <xdr:cNvSpPr txBox="1"/>
        </xdr:nvSpPr>
        <xdr:spPr>
          <a:xfrm>
            <a:off x="1120801" y="350097"/>
            <a:ext cx="1325880" cy="53340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External Nutrient Sources</a:t>
            </a:r>
          </a:p>
        </xdr:txBody>
      </xdr:sp>
      <xdr:sp macro="" textlink="">
        <xdr:nvSpPr>
          <xdr:cNvPr id="8" name="TextBox 7"/>
          <xdr:cNvSpPr txBox="1"/>
        </xdr:nvSpPr>
        <xdr:spPr>
          <a:xfrm>
            <a:off x="4439231" y="350097"/>
            <a:ext cx="1417269" cy="53340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Mitigating Natural Factors</a:t>
            </a:r>
          </a:p>
        </xdr:txBody>
      </xdr:sp>
      <xdr:sp macro="" textlink="">
        <xdr:nvSpPr>
          <xdr:cNvPr id="15" name="TextBox 14"/>
          <xdr:cNvSpPr txBox="1"/>
        </xdr:nvSpPr>
        <xdr:spPr>
          <a:xfrm>
            <a:off x="6228117" y="350097"/>
            <a:ext cx="1509966" cy="53340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Primary Responses</a:t>
            </a:r>
          </a:p>
        </xdr:txBody>
      </xdr:sp>
      <xdr:sp macro="" textlink="">
        <xdr:nvSpPr>
          <xdr:cNvPr id="19" name="TextBox 18"/>
          <xdr:cNvSpPr txBox="1"/>
        </xdr:nvSpPr>
        <xdr:spPr>
          <a:xfrm>
            <a:off x="4437921" y="988272"/>
            <a:ext cx="1418579" cy="11753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Color</a:t>
            </a:r>
          </a:p>
          <a:p>
            <a:r>
              <a:rPr lang="en-US" sz="1100"/>
              <a:t>Flushing</a:t>
            </a:r>
          </a:p>
          <a:p>
            <a:r>
              <a:rPr lang="en-US" sz="1100"/>
              <a:t>Residence</a:t>
            </a:r>
          </a:p>
          <a:p>
            <a:r>
              <a:rPr lang="en-US" sz="1100"/>
              <a:t>Depth</a:t>
            </a:r>
          </a:p>
          <a:p>
            <a:r>
              <a:rPr lang="en-US" sz="1100"/>
              <a:t>Turbidity</a:t>
            </a:r>
          </a:p>
          <a:p>
            <a:r>
              <a:rPr lang="en-US" sz="1100"/>
              <a:t>Grazing</a:t>
            </a:r>
          </a:p>
        </xdr:txBody>
      </xdr:sp>
      <xdr:sp macro="" textlink="">
        <xdr:nvSpPr>
          <xdr:cNvPr id="37" name="TextBox 36"/>
          <xdr:cNvSpPr txBox="1"/>
        </xdr:nvSpPr>
        <xdr:spPr>
          <a:xfrm>
            <a:off x="6228117" y="982557"/>
            <a:ext cx="1509966" cy="9634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Algal Dominance Changes</a:t>
            </a:r>
          </a:p>
          <a:p>
            <a:r>
              <a:rPr lang="en-US" sz="1100"/>
              <a:t>- diatoms to flagellates</a:t>
            </a:r>
          </a:p>
          <a:p>
            <a:r>
              <a:rPr lang="en-US" sz="1100"/>
              <a:t>- benthic dominance to pelagic dominance</a:t>
            </a:r>
          </a:p>
        </xdr:txBody>
      </xdr:sp>
      <xdr:sp macro="" textlink="">
        <xdr:nvSpPr>
          <xdr:cNvPr id="40" name="TextBox 39"/>
          <xdr:cNvSpPr txBox="1"/>
        </xdr:nvSpPr>
        <xdr:spPr>
          <a:xfrm>
            <a:off x="6228117" y="2110314"/>
            <a:ext cx="1509966" cy="14797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Decreased Light Availability</a:t>
            </a:r>
          </a:p>
          <a:p>
            <a:r>
              <a:rPr lang="en-US" sz="1100"/>
              <a:t>- extreme Chl-a concentrations</a:t>
            </a:r>
          </a:p>
          <a:p>
            <a:r>
              <a:rPr lang="en-US" sz="1100"/>
              <a:t>- excess epiphytic</a:t>
            </a:r>
            <a:r>
              <a:rPr lang="en-US" sz="1100" baseline="0"/>
              <a:t> growth</a:t>
            </a:r>
          </a:p>
          <a:p>
            <a:r>
              <a:rPr lang="en-US" sz="1100" baseline="0"/>
              <a:t>- excess macroalgal growth</a:t>
            </a:r>
            <a:endParaRPr lang="en-US" sz="1100"/>
          </a:p>
        </xdr:txBody>
      </xdr:sp>
      <xdr:sp macro="" textlink="">
        <xdr:nvSpPr>
          <xdr:cNvPr id="42" name="TextBox 41"/>
          <xdr:cNvSpPr txBox="1"/>
        </xdr:nvSpPr>
        <xdr:spPr>
          <a:xfrm>
            <a:off x="6228117" y="3754326"/>
            <a:ext cx="1509966" cy="10015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Increased Organic Decomposition</a:t>
            </a:r>
          </a:p>
          <a:p>
            <a:r>
              <a:rPr lang="en-US" sz="1100"/>
              <a:t>- extreme Chl-a concentrations</a:t>
            </a:r>
          </a:p>
          <a:p>
            <a:r>
              <a:rPr lang="en-US" sz="1100"/>
              <a:t>- bacterial respiration</a:t>
            </a:r>
          </a:p>
        </xdr:txBody>
      </xdr:sp>
      <xdr:sp macro="" textlink="">
        <xdr:nvSpPr>
          <xdr:cNvPr id="57" name="TextBox 56"/>
          <xdr:cNvSpPr txBox="1"/>
        </xdr:nvSpPr>
        <xdr:spPr>
          <a:xfrm>
            <a:off x="7974210" y="350097"/>
            <a:ext cx="1509967" cy="53340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Secondary Responses</a:t>
            </a:r>
          </a:p>
        </xdr:txBody>
      </xdr:sp>
      <xdr:sp macro="" textlink="">
        <xdr:nvSpPr>
          <xdr:cNvPr id="59" name="TextBox 58"/>
          <xdr:cNvSpPr txBox="1"/>
        </xdr:nvSpPr>
        <xdr:spPr>
          <a:xfrm>
            <a:off x="7974210" y="1087094"/>
            <a:ext cx="1509967" cy="754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Harmful Algae</a:t>
            </a:r>
          </a:p>
          <a:p>
            <a:r>
              <a:rPr lang="en-US" sz="1100"/>
              <a:t>- nuisance blooms</a:t>
            </a:r>
          </a:p>
          <a:p>
            <a:r>
              <a:rPr lang="en-US" sz="1100"/>
              <a:t>- toxic blooms</a:t>
            </a:r>
          </a:p>
        </xdr:txBody>
      </xdr:sp>
      <xdr:sp macro="" textlink="">
        <xdr:nvSpPr>
          <xdr:cNvPr id="61" name="TextBox 60"/>
          <xdr:cNvSpPr txBox="1"/>
        </xdr:nvSpPr>
        <xdr:spPr>
          <a:xfrm>
            <a:off x="7974210" y="2335818"/>
            <a:ext cx="1509967"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Loss of SAV</a:t>
            </a:r>
          </a:p>
          <a:p>
            <a:r>
              <a:rPr lang="en-US" sz="1100"/>
              <a:t>- reduced SAV spatial coverage</a:t>
            </a:r>
          </a:p>
          <a:p>
            <a:r>
              <a:rPr lang="en-US" sz="1100"/>
              <a:t>- negative SAV spatial coverage trends</a:t>
            </a:r>
          </a:p>
        </xdr:txBody>
      </xdr:sp>
      <xdr:sp macro="" textlink="">
        <xdr:nvSpPr>
          <xdr:cNvPr id="63" name="TextBox 62"/>
          <xdr:cNvSpPr txBox="1"/>
        </xdr:nvSpPr>
        <xdr:spPr>
          <a:xfrm>
            <a:off x="7974210" y="3821954"/>
            <a:ext cx="1509967" cy="866299"/>
          </a:xfrm>
          <a:prstGeom prst="rect">
            <a:avLst/>
          </a:prstGeom>
          <a:solidFill>
            <a:schemeClr val="lt1"/>
          </a:solidFill>
          <a:ln w="9525" cmpd="sng">
            <a:solidFill>
              <a:srgbClr val="BCBCBC"/>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t>Low</a:t>
            </a:r>
            <a:r>
              <a:rPr lang="en-US" sz="1100" u="sng" baseline="0"/>
              <a:t> Dissolved Oxygen</a:t>
            </a:r>
            <a:endParaRPr lang="en-US" sz="1100" u="sng"/>
          </a:p>
          <a:p>
            <a:r>
              <a:rPr lang="en-US" sz="1100"/>
              <a:t>- anoxia</a:t>
            </a:r>
          </a:p>
          <a:p>
            <a:r>
              <a:rPr lang="en-US" sz="1100"/>
              <a:t>-</a:t>
            </a:r>
            <a:r>
              <a:rPr lang="en-US" sz="1100" baseline="0"/>
              <a:t> hypoxia</a:t>
            </a:r>
          </a:p>
          <a:p>
            <a:r>
              <a:rPr lang="en-US" sz="1100" baseline="0"/>
              <a:t>- biological stress</a:t>
            </a:r>
            <a:endParaRPr lang="en-US" sz="1100"/>
          </a:p>
        </xdr:txBody>
      </xdr:sp>
      <xdr:cxnSp macro="">
        <xdr:nvCxnSpPr>
          <xdr:cNvPr id="71" name="Straight Arrow Connector 70"/>
          <xdr:cNvCxnSpPr>
            <a:stCxn id="40" idx="3"/>
            <a:endCxn id="61" idx="1"/>
          </xdr:cNvCxnSpPr>
        </xdr:nvCxnSpPr>
        <xdr:spPr>
          <a:xfrm flipV="1">
            <a:off x="7738083" y="2850168"/>
            <a:ext cx="236127"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4" name="Straight Arrow Connector 73"/>
          <xdr:cNvCxnSpPr>
            <a:stCxn id="42" idx="3"/>
            <a:endCxn id="63" idx="1"/>
          </xdr:cNvCxnSpPr>
        </xdr:nvCxnSpPr>
        <xdr:spPr>
          <a:xfrm>
            <a:off x="7738083" y="4255103"/>
            <a:ext cx="236127"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77" name="Straight Arrow Connector 76"/>
          <xdr:cNvCxnSpPr>
            <a:stCxn id="37" idx="3"/>
            <a:endCxn id="59" idx="1"/>
          </xdr:cNvCxnSpPr>
        </xdr:nvCxnSpPr>
        <xdr:spPr>
          <a:xfrm>
            <a:off x="7738083" y="1464284"/>
            <a:ext cx="23612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01" name="Straight Arrow Connector 100"/>
          <xdr:cNvCxnSpPr>
            <a:stCxn id="19" idx="2"/>
          </xdr:cNvCxnSpPr>
        </xdr:nvCxnSpPr>
        <xdr:spPr>
          <a:xfrm>
            <a:off x="5147211" y="2163658"/>
            <a:ext cx="10823" cy="1871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18" name="TextBox 117"/>
          <xdr:cNvSpPr txBox="1"/>
        </xdr:nvSpPr>
        <xdr:spPr>
          <a:xfrm>
            <a:off x="9879373" y="350097"/>
            <a:ext cx="1473390" cy="53340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Impacts to Designated Uses</a:t>
            </a:r>
          </a:p>
        </xdr:txBody>
      </xdr:sp>
      <xdr:sp macro="" textlink="">
        <xdr:nvSpPr>
          <xdr:cNvPr id="120" name="TextBox 119"/>
          <xdr:cNvSpPr txBox="1"/>
        </xdr:nvSpPr>
        <xdr:spPr>
          <a:xfrm>
            <a:off x="9879373" y="2145737"/>
            <a:ext cx="1473390" cy="484632"/>
          </a:xfrm>
          <a:prstGeom prst="rect">
            <a:avLst/>
          </a:prstGeom>
          <a:ln w="9525">
            <a:solidFill>
              <a:srgbClr val="BCBCB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Wildlife habitat</a:t>
            </a:r>
          </a:p>
        </xdr:txBody>
      </xdr:sp>
      <xdr:sp macro="" textlink="">
        <xdr:nvSpPr>
          <xdr:cNvPr id="121" name="TextBox 120"/>
          <xdr:cNvSpPr txBox="1"/>
        </xdr:nvSpPr>
        <xdr:spPr>
          <a:xfrm>
            <a:off x="9879373" y="1611593"/>
            <a:ext cx="1473390" cy="484632"/>
          </a:xfrm>
          <a:prstGeom prst="rect">
            <a:avLst/>
          </a:prstGeom>
          <a:ln w="9525">
            <a:solidFill>
              <a:srgbClr val="BCBCB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Secondary contact recreation</a:t>
            </a:r>
          </a:p>
        </xdr:txBody>
      </xdr:sp>
      <xdr:sp macro="" textlink="">
        <xdr:nvSpPr>
          <xdr:cNvPr id="123" name="TextBox 122"/>
          <xdr:cNvSpPr txBox="1"/>
        </xdr:nvSpPr>
        <xdr:spPr>
          <a:xfrm>
            <a:off x="9879373" y="2679881"/>
            <a:ext cx="1473390" cy="484632"/>
          </a:xfrm>
          <a:prstGeom prst="rect">
            <a:avLst/>
          </a:prstGeom>
          <a:ln w="9525">
            <a:solidFill>
              <a:srgbClr val="BCBCB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Shellfish harvesting</a:t>
            </a:r>
          </a:p>
        </xdr:txBody>
      </xdr:sp>
      <xdr:cxnSp macro="">
        <xdr:nvCxnSpPr>
          <xdr:cNvPr id="136" name="Elbow Connector 135"/>
          <xdr:cNvCxnSpPr>
            <a:stCxn id="59" idx="3"/>
            <a:endCxn id="121" idx="1"/>
          </xdr:cNvCxnSpPr>
        </xdr:nvCxnSpPr>
        <xdr:spPr>
          <a:xfrm>
            <a:off x="9484177" y="1464284"/>
            <a:ext cx="395196" cy="389625"/>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9" name="Elbow Connector 138"/>
          <xdr:cNvCxnSpPr>
            <a:stCxn id="59" idx="3"/>
            <a:endCxn id="120" idx="1"/>
          </xdr:cNvCxnSpPr>
        </xdr:nvCxnSpPr>
        <xdr:spPr>
          <a:xfrm>
            <a:off x="9484177" y="1464284"/>
            <a:ext cx="395196" cy="923769"/>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42" name="Elbow Connector 141"/>
          <xdr:cNvCxnSpPr>
            <a:stCxn id="61" idx="3"/>
            <a:endCxn id="123" idx="1"/>
          </xdr:cNvCxnSpPr>
        </xdr:nvCxnSpPr>
        <xdr:spPr>
          <a:xfrm>
            <a:off x="9484177" y="2850168"/>
            <a:ext cx="395196" cy="7202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64" name="TextBox 63"/>
          <xdr:cNvSpPr txBox="1"/>
        </xdr:nvSpPr>
        <xdr:spPr>
          <a:xfrm>
            <a:off x="9879373" y="3214025"/>
            <a:ext cx="1473390" cy="484632"/>
          </a:xfrm>
          <a:prstGeom prst="rect">
            <a:avLst/>
          </a:prstGeom>
          <a:ln w="9525">
            <a:solidFill>
              <a:srgbClr val="BCBCB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Aquatic life (spawning</a:t>
            </a:r>
            <a:r>
              <a:rPr lang="en-US" sz="1100" baseline="0"/>
              <a:t>, rearing, etc.)</a:t>
            </a:r>
            <a:endParaRPr lang="en-US" sz="1100"/>
          </a:p>
        </xdr:txBody>
      </xdr:sp>
      <xdr:cxnSp macro="">
        <xdr:nvCxnSpPr>
          <xdr:cNvPr id="16" name="Elbow Connector 15"/>
          <xdr:cNvCxnSpPr>
            <a:stCxn id="63" idx="3"/>
            <a:endCxn id="64" idx="1"/>
          </xdr:cNvCxnSpPr>
        </xdr:nvCxnSpPr>
        <xdr:spPr>
          <a:xfrm flipV="1">
            <a:off x="9484177" y="3456341"/>
            <a:ext cx="395196" cy="798763"/>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5" name="TextBox 74">
            <a:hlinkClick xmlns:r="http://schemas.openxmlformats.org/officeDocument/2006/relationships" r:id="rId1"/>
          </xdr:cNvPr>
          <xdr:cNvSpPr txBox="1"/>
        </xdr:nvSpPr>
        <xdr:spPr>
          <a:xfrm>
            <a:off x="11746512" y="350091"/>
            <a:ext cx="2174832" cy="533400"/>
          </a:xfrm>
          <a:prstGeom prst="rect">
            <a:avLst/>
          </a:prstGeom>
          <a:solidFill>
            <a:schemeClr val="accent1">
              <a:lumMod val="20000"/>
              <a:lumOff val="80000"/>
            </a:schemeClr>
          </a:solidFill>
          <a:ln>
            <a:solidFill>
              <a:schemeClr val="accent2"/>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Economic Sectors Negatively Impacted</a:t>
            </a:r>
          </a:p>
        </xdr:txBody>
      </xdr:sp>
      <xdr:sp macro="" textlink="">
        <xdr:nvSpPr>
          <xdr:cNvPr id="76" name="TextBox 75">
            <a:hlinkClick xmlns:r="http://schemas.openxmlformats.org/officeDocument/2006/relationships" r:id="rId1"/>
          </xdr:cNvPr>
          <xdr:cNvSpPr txBox="1"/>
        </xdr:nvSpPr>
        <xdr:spPr>
          <a:xfrm>
            <a:off x="11746512" y="1255448"/>
            <a:ext cx="2174832" cy="1401743"/>
          </a:xfrm>
          <a:prstGeom prst="rect">
            <a:avLst/>
          </a:prstGeom>
          <a:solidFill>
            <a:schemeClr val="accent4">
              <a:lumMod val="20000"/>
              <a:lumOff val="80000"/>
            </a:schemeClr>
          </a:solidFill>
          <a:ln>
            <a:solidFill>
              <a:schemeClr val="accent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indent="0"/>
            <a:r>
              <a:rPr lang="en-US" sz="1100" u="none">
                <a:solidFill>
                  <a:schemeClr val="dk1"/>
                </a:solidFill>
                <a:latin typeface="+mn-lt"/>
                <a:ea typeface="+mn-ea"/>
                <a:cs typeface="+mn-cs"/>
              </a:rPr>
              <a:t>· Tourism-related industries (lodging, restaurants,</a:t>
            </a:r>
            <a:r>
              <a:rPr lang="en-US" sz="1100" u="none" baseline="0">
                <a:solidFill>
                  <a:schemeClr val="dk1"/>
                </a:solidFill>
                <a:latin typeface="+mn-lt"/>
                <a:ea typeface="+mn-ea"/>
                <a:cs typeface="+mn-cs"/>
              </a:rPr>
              <a:t> etc.)</a:t>
            </a:r>
            <a:endParaRPr lang="en-US" sz="1100" u="none">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u="none">
                <a:solidFill>
                  <a:schemeClr val="dk1"/>
                </a:solidFill>
                <a:latin typeface="+mn-lt"/>
                <a:ea typeface="+mn-ea"/>
                <a:cs typeface="+mn-cs"/>
              </a:rPr>
              <a:t>· Commercial</a:t>
            </a:r>
            <a:r>
              <a:rPr lang="en-US" sz="1100" u="none" baseline="0">
                <a:solidFill>
                  <a:schemeClr val="dk1"/>
                </a:solidFill>
                <a:latin typeface="+mn-lt"/>
                <a:ea typeface="+mn-ea"/>
                <a:cs typeface="+mn-cs"/>
              </a:rPr>
              <a:t> fisheries</a:t>
            </a:r>
            <a:endParaRPr lang="en-US" sz="1100" u="none">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u="none">
                <a:solidFill>
                  <a:schemeClr val="dk1"/>
                </a:solidFill>
                <a:latin typeface="+mn-lt"/>
                <a:ea typeface="+mn-ea"/>
                <a:cs typeface="+mn-cs"/>
              </a:rPr>
              <a:t>· Households</a:t>
            </a:r>
            <a:r>
              <a:rPr lang="en-US" sz="1100" u="none" baseline="0">
                <a:solidFill>
                  <a:schemeClr val="dk1"/>
                </a:solidFill>
                <a:latin typeface="+mn-lt"/>
                <a:ea typeface="+mn-ea"/>
                <a:cs typeface="+mn-cs"/>
              </a:rPr>
              <a:t> (housing values, adverse health effects, etc.)</a:t>
            </a:r>
            <a:endParaRPr lang="en-US" sz="1100" u="none">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u="none">
                <a:solidFill>
                  <a:schemeClr val="dk1"/>
                </a:solidFill>
                <a:latin typeface="+mn-lt"/>
                <a:ea typeface="+mn-ea"/>
                <a:cs typeface="+mn-cs"/>
              </a:rPr>
              <a:t>· Private industries (increased operating costs</a:t>
            </a:r>
            <a:r>
              <a:rPr lang="en-US" sz="1100" u="none" baseline="0">
                <a:solidFill>
                  <a:schemeClr val="dk1"/>
                </a:solidFill>
                <a:latin typeface="+mn-lt"/>
                <a:ea typeface="+mn-ea"/>
                <a:cs typeface="+mn-cs"/>
              </a:rPr>
              <a:t>)</a:t>
            </a:r>
            <a:endParaRPr lang="en-US" sz="1100" u="none">
              <a:solidFill>
                <a:schemeClr val="dk1"/>
              </a:solidFill>
              <a:latin typeface="+mn-lt"/>
              <a:ea typeface="+mn-ea"/>
              <a:cs typeface="+mn-cs"/>
            </a:endParaRPr>
          </a:p>
          <a:p>
            <a:pPr marL="0" indent="0"/>
            <a:endParaRPr lang="en-US" sz="1100" u="none">
              <a:solidFill>
                <a:schemeClr val="dk1"/>
              </a:solidFill>
              <a:latin typeface="+mn-lt"/>
              <a:ea typeface="+mn-ea"/>
              <a:cs typeface="+mn-cs"/>
            </a:endParaRPr>
          </a:p>
          <a:p>
            <a:pPr marL="0" indent="0"/>
            <a:endParaRPr lang="en-US" sz="1100" u="none">
              <a:solidFill>
                <a:schemeClr val="dk1"/>
              </a:solidFill>
              <a:latin typeface="+mn-lt"/>
              <a:ea typeface="+mn-ea"/>
              <a:cs typeface="+mn-cs"/>
            </a:endParaRPr>
          </a:p>
          <a:p>
            <a:pPr marL="0" indent="0"/>
            <a:endParaRPr lang="en-US" sz="1100" u="none">
              <a:solidFill>
                <a:schemeClr val="dk1"/>
              </a:solidFill>
              <a:latin typeface="+mn-lt"/>
              <a:ea typeface="+mn-ea"/>
              <a:cs typeface="+mn-cs"/>
            </a:endParaRPr>
          </a:p>
        </xdr:txBody>
      </xdr:sp>
      <xdr:sp macro="" textlink="">
        <xdr:nvSpPr>
          <xdr:cNvPr id="84" name="TextBox 83"/>
          <xdr:cNvSpPr txBox="1"/>
        </xdr:nvSpPr>
        <xdr:spPr>
          <a:xfrm>
            <a:off x="9879373" y="1077449"/>
            <a:ext cx="1473390" cy="484632"/>
          </a:xfrm>
          <a:prstGeom prst="rect">
            <a:avLst/>
          </a:prstGeom>
          <a:ln w="9525">
            <a:solidFill>
              <a:srgbClr val="BCBCB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Primary contact recreation</a:t>
            </a:r>
          </a:p>
        </xdr:txBody>
      </xdr:sp>
      <xdr:cxnSp macro="">
        <xdr:nvCxnSpPr>
          <xdr:cNvPr id="12" name="Elbow Connector 11"/>
          <xdr:cNvCxnSpPr>
            <a:stCxn id="63" idx="3"/>
            <a:endCxn id="84" idx="1"/>
          </xdr:cNvCxnSpPr>
        </xdr:nvCxnSpPr>
        <xdr:spPr>
          <a:xfrm flipV="1">
            <a:off x="9484177" y="1319765"/>
            <a:ext cx="395196" cy="2935339"/>
          </a:xfrm>
          <a:prstGeom prst="bentConnector3">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7" name="Elbow Connector 86"/>
          <xdr:cNvCxnSpPr>
            <a:stCxn id="84" idx="3"/>
            <a:endCxn id="76" idx="1"/>
          </xdr:cNvCxnSpPr>
        </xdr:nvCxnSpPr>
        <xdr:spPr>
          <a:xfrm>
            <a:off x="11352763" y="1319765"/>
            <a:ext cx="393749" cy="636555"/>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8" name="Elbow Connector 87"/>
          <xdr:cNvCxnSpPr>
            <a:stCxn id="121" idx="3"/>
            <a:endCxn id="76" idx="1"/>
          </xdr:cNvCxnSpPr>
        </xdr:nvCxnSpPr>
        <xdr:spPr>
          <a:xfrm>
            <a:off x="11352763" y="1853909"/>
            <a:ext cx="393749" cy="102411"/>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89" name="Elbow Connector 88"/>
          <xdr:cNvCxnSpPr>
            <a:stCxn id="120" idx="3"/>
            <a:endCxn id="76" idx="1"/>
          </xdr:cNvCxnSpPr>
        </xdr:nvCxnSpPr>
        <xdr:spPr>
          <a:xfrm flipV="1">
            <a:off x="11352763" y="1956320"/>
            <a:ext cx="393749" cy="431733"/>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0" name="Elbow Connector 89"/>
          <xdr:cNvCxnSpPr>
            <a:stCxn id="123" idx="3"/>
            <a:endCxn id="76" idx="1"/>
          </xdr:cNvCxnSpPr>
        </xdr:nvCxnSpPr>
        <xdr:spPr>
          <a:xfrm flipV="1">
            <a:off x="11352763" y="1956320"/>
            <a:ext cx="393749" cy="965877"/>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93" name="Elbow Connector 92"/>
          <xdr:cNvCxnSpPr>
            <a:stCxn id="64" idx="3"/>
            <a:endCxn id="76" idx="1"/>
          </xdr:cNvCxnSpPr>
        </xdr:nvCxnSpPr>
        <xdr:spPr>
          <a:xfrm flipV="1">
            <a:off x="11352763" y="1956320"/>
            <a:ext cx="393749" cy="1500021"/>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80" name="TextBox 179"/>
          <xdr:cNvSpPr txBox="1"/>
        </xdr:nvSpPr>
        <xdr:spPr>
          <a:xfrm>
            <a:off x="9879373" y="3748171"/>
            <a:ext cx="1473390" cy="484632"/>
          </a:xfrm>
          <a:prstGeom prst="rect">
            <a:avLst/>
          </a:prstGeom>
          <a:ln w="9525">
            <a:solidFill>
              <a:srgbClr val="BCBCBC"/>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100"/>
              <a:t>Industrial water supply</a:t>
            </a:r>
          </a:p>
        </xdr:txBody>
      </xdr:sp>
      <xdr:cxnSp macro="">
        <xdr:nvCxnSpPr>
          <xdr:cNvPr id="181" name="Elbow Connector 180"/>
          <xdr:cNvCxnSpPr>
            <a:stCxn id="61" idx="3"/>
            <a:endCxn id="180" idx="1"/>
          </xdr:cNvCxnSpPr>
        </xdr:nvCxnSpPr>
        <xdr:spPr>
          <a:xfrm>
            <a:off x="9484177" y="2850168"/>
            <a:ext cx="395196" cy="1140319"/>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84" name="Elbow Connector 183"/>
          <xdr:cNvCxnSpPr>
            <a:stCxn id="180" idx="3"/>
            <a:endCxn id="76" idx="1"/>
          </xdr:cNvCxnSpPr>
        </xdr:nvCxnSpPr>
        <xdr:spPr>
          <a:xfrm flipV="1">
            <a:off x="11352763" y="1956320"/>
            <a:ext cx="393749" cy="2034167"/>
          </a:xfrm>
          <a:prstGeom prst="bentConnector3">
            <a:avLst>
              <a:gd name="adj1" fmla="val 50000"/>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70" name="TextBox 69"/>
          <xdr:cNvSpPr txBox="1"/>
        </xdr:nvSpPr>
        <xdr:spPr>
          <a:xfrm>
            <a:off x="1120801" y="988272"/>
            <a:ext cx="1325880" cy="10687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Agriculture</a:t>
            </a:r>
          </a:p>
          <a:p>
            <a:r>
              <a:rPr lang="en-US" sz="1100"/>
              <a:t>Industrial Sources</a:t>
            </a:r>
          </a:p>
          <a:p>
            <a:r>
              <a:rPr lang="en-US" sz="1100"/>
              <a:t>Municipal</a:t>
            </a:r>
            <a:r>
              <a:rPr lang="en-US" sz="1100" baseline="0"/>
              <a:t> Sources</a:t>
            </a:r>
          </a:p>
          <a:p>
            <a:r>
              <a:rPr lang="en-US" sz="1100" baseline="0"/>
              <a:t>Septics</a:t>
            </a:r>
          </a:p>
          <a:p>
            <a:r>
              <a:rPr lang="en-US" sz="1100" baseline="0"/>
              <a:t>Urban Runoff</a:t>
            </a:r>
          </a:p>
        </xdr:txBody>
      </xdr:sp>
      <xdr:cxnSp macro="">
        <xdr:nvCxnSpPr>
          <xdr:cNvPr id="22" name="Elbow Connector 21"/>
          <xdr:cNvCxnSpPr>
            <a:stCxn id="70" idx="3"/>
            <a:endCxn id="11" idx="1"/>
          </xdr:cNvCxnSpPr>
        </xdr:nvCxnSpPr>
        <xdr:spPr>
          <a:xfrm>
            <a:off x="2446681" y="1522625"/>
            <a:ext cx="568351" cy="818680"/>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 name="TextBox 10"/>
          <xdr:cNvSpPr txBox="1"/>
        </xdr:nvSpPr>
        <xdr:spPr>
          <a:xfrm>
            <a:off x="3015032" y="2107942"/>
            <a:ext cx="936520" cy="466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Nitrogen</a:t>
            </a:r>
          </a:p>
          <a:p>
            <a:pPr algn="ctr"/>
            <a:r>
              <a:rPr lang="en-US" sz="1100"/>
              <a:t>Phosphorus</a:t>
            </a:r>
          </a:p>
        </xdr:txBody>
      </xdr:sp>
      <xdr:sp macro="" textlink="">
        <xdr:nvSpPr>
          <xdr:cNvPr id="95" name="TextBox 94"/>
          <xdr:cNvSpPr txBox="1"/>
        </xdr:nvSpPr>
        <xdr:spPr>
          <a:xfrm>
            <a:off x="2784793" y="350097"/>
            <a:ext cx="1396999" cy="533400"/>
          </a:xfrm>
          <a:prstGeom prst="rect">
            <a:avLst/>
          </a:prstGeom>
          <a:solidFill>
            <a:schemeClr val="accent1">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Nutrient Loading [1]</a:t>
            </a:r>
          </a:p>
        </xdr:txBody>
      </xdr:sp>
      <xdr:grpSp>
        <xdr:nvGrpSpPr>
          <xdr:cNvPr id="30" name="Group 29"/>
          <xdr:cNvGrpSpPr/>
        </xdr:nvGrpSpPr>
        <xdr:grpSpPr>
          <a:xfrm>
            <a:off x="131656" y="2802584"/>
            <a:ext cx="3288670" cy="2713028"/>
            <a:chOff x="142239" y="3210033"/>
            <a:chExt cx="3301900" cy="2713028"/>
          </a:xfrm>
        </xdr:grpSpPr>
        <xdr:sp macro="" textlink="">
          <xdr:nvSpPr>
            <xdr:cNvPr id="62" name="TextBox 61">
              <a:hlinkClick xmlns:r="http://schemas.openxmlformats.org/officeDocument/2006/relationships" r:id="rId2"/>
            </xdr:cNvPr>
            <xdr:cNvSpPr txBox="1"/>
          </xdr:nvSpPr>
          <xdr:spPr>
            <a:xfrm>
              <a:off x="1277213" y="3917552"/>
              <a:ext cx="1031953" cy="459870"/>
            </a:xfrm>
            <a:prstGeom prst="rect">
              <a:avLst/>
            </a:prstGeom>
            <a:solidFill>
              <a:schemeClr val="accent4">
                <a:lumMod val="20000"/>
                <a:lumOff val="80000"/>
              </a:schemeClr>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Urban</a:t>
              </a:r>
              <a:r>
                <a:rPr lang="en-US" sz="1100" baseline="0"/>
                <a:t> Runoff</a:t>
              </a:r>
              <a:endParaRPr lang="en-US" sz="1100"/>
            </a:p>
          </xdr:txBody>
        </xdr:sp>
        <xdr:sp macro="" textlink="">
          <xdr:nvSpPr>
            <xdr:cNvPr id="67" name="TextBox 66">
              <a:hlinkClick xmlns:r="http://schemas.openxmlformats.org/officeDocument/2006/relationships" r:id="rId3"/>
            </xdr:cNvPr>
            <xdr:cNvSpPr txBox="1"/>
          </xdr:nvSpPr>
          <xdr:spPr>
            <a:xfrm>
              <a:off x="1277213" y="4947977"/>
              <a:ext cx="1031953" cy="459870"/>
            </a:xfrm>
            <a:prstGeom prst="rect">
              <a:avLst/>
            </a:prstGeom>
            <a:solidFill>
              <a:schemeClr val="accent4">
                <a:lumMod val="20000"/>
                <a:lumOff val="80000"/>
              </a:schemeClr>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Livestock Management</a:t>
              </a:r>
            </a:p>
          </xdr:txBody>
        </xdr:sp>
        <xdr:sp macro="" textlink="">
          <xdr:nvSpPr>
            <xdr:cNvPr id="69" name="TextBox 68">
              <a:hlinkClick xmlns:r="http://schemas.openxmlformats.org/officeDocument/2006/relationships" r:id="rId4"/>
            </xdr:cNvPr>
            <xdr:cNvSpPr txBox="1"/>
          </xdr:nvSpPr>
          <xdr:spPr>
            <a:xfrm>
              <a:off x="1277213" y="4432765"/>
              <a:ext cx="1031953" cy="459870"/>
            </a:xfrm>
            <a:prstGeom prst="rect">
              <a:avLst/>
            </a:prstGeom>
            <a:solidFill>
              <a:schemeClr val="accent4">
                <a:lumMod val="20000"/>
                <a:lumOff val="80000"/>
              </a:schemeClr>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baseline="0"/>
                <a:t>Cropland Management</a:t>
              </a:r>
              <a:endParaRPr lang="en-US" sz="1100"/>
            </a:p>
          </xdr:txBody>
        </xdr:sp>
        <xdr:sp macro="" textlink="">
          <xdr:nvSpPr>
            <xdr:cNvPr id="72" name="TextBox 71">
              <a:hlinkClick xmlns:r="http://schemas.openxmlformats.org/officeDocument/2006/relationships" r:id="rId5"/>
            </xdr:cNvPr>
            <xdr:cNvSpPr txBox="1"/>
          </xdr:nvSpPr>
          <xdr:spPr>
            <a:xfrm>
              <a:off x="142239" y="3917552"/>
              <a:ext cx="1031951" cy="459870"/>
            </a:xfrm>
            <a:prstGeom prst="rect">
              <a:avLst/>
            </a:prstGeom>
            <a:solidFill>
              <a:schemeClr val="accent4">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Municipal</a:t>
              </a:r>
              <a:r>
                <a:rPr lang="en-US" sz="1100" baseline="0"/>
                <a:t> Treatment</a:t>
              </a:r>
              <a:endParaRPr lang="en-US" sz="1100"/>
            </a:p>
          </xdr:txBody>
        </xdr:sp>
        <xdr:sp macro="" textlink="">
          <xdr:nvSpPr>
            <xdr:cNvPr id="73" name="TextBox 72">
              <a:hlinkClick xmlns:r="http://schemas.openxmlformats.org/officeDocument/2006/relationships" r:id="rId6"/>
            </xdr:cNvPr>
            <xdr:cNvSpPr txBox="1"/>
          </xdr:nvSpPr>
          <xdr:spPr>
            <a:xfrm>
              <a:off x="142239" y="4947977"/>
              <a:ext cx="1031951" cy="459870"/>
            </a:xfrm>
            <a:prstGeom prst="rect">
              <a:avLst/>
            </a:prstGeom>
            <a:solidFill>
              <a:schemeClr val="accent4">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Decentralized</a:t>
              </a:r>
            </a:p>
          </xdr:txBody>
        </xdr:sp>
        <xdr:sp macro="" textlink="">
          <xdr:nvSpPr>
            <xdr:cNvPr id="78" name="TextBox 77">
              <a:hlinkClick xmlns:r="http://schemas.openxmlformats.org/officeDocument/2006/relationships" r:id="rId7"/>
            </xdr:cNvPr>
            <xdr:cNvSpPr txBox="1"/>
          </xdr:nvSpPr>
          <xdr:spPr>
            <a:xfrm>
              <a:off x="142239" y="4432765"/>
              <a:ext cx="1031951" cy="459870"/>
            </a:xfrm>
            <a:prstGeom prst="rect">
              <a:avLst/>
            </a:prstGeom>
            <a:solidFill>
              <a:schemeClr val="accent4">
                <a:lumMod val="20000"/>
                <a:lumOff val="80000"/>
              </a:schemeClr>
            </a:solidFill>
            <a:ln>
              <a:solidFill>
                <a:schemeClr val="accent6"/>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baseline="0"/>
                <a:t>Industrial Treatment</a:t>
              </a:r>
              <a:endParaRPr lang="en-US" sz="1100"/>
            </a:p>
          </xdr:txBody>
        </xdr:sp>
        <xdr:sp macro="" textlink="">
          <xdr:nvSpPr>
            <xdr:cNvPr id="79" name="TextBox 78">
              <a:hlinkClick xmlns:r="http://schemas.openxmlformats.org/officeDocument/2006/relationships" r:id="rId8"/>
            </xdr:cNvPr>
            <xdr:cNvSpPr txBox="1"/>
          </xdr:nvSpPr>
          <xdr:spPr>
            <a:xfrm>
              <a:off x="2412187" y="3210033"/>
              <a:ext cx="1031952" cy="652177"/>
            </a:xfrm>
            <a:prstGeom prst="rect">
              <a:avLst/>
            </a:prstGeom>
            <a:solidFill>
              <a:schemeClr val="accent4">
                <a:lumMod val="40000"/>
                <a:lumOff val="60000"/>
              </a:schemeClr>
            </a:solidFill>
            <a:ln>
              <a:solidFill>
                <a:schemeClr val="bg2">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Long-Term Restoration</a:t>
              </a:r>
            </a:p>
          </xdr:txBody>
        </xdr:sp>
        <xdr:sp macro="" textlink="">
          <xdr:nvSpPr>
            <xdr:cNvPr id="80" name="TextBox 79">
              <a:hlinkClick xmlns:r="http://schemas.openxmlformats.org/officeDocument/2006/relationships" r:id="rId9"/>
            </xdr:cNvPr>
            <xdr:cNvSpPr txBox="1"/>
          </xdr:nvSpPr>
          <xdr:spPr>
            <a:xfrm>
              <a:off x="142239" y="3210033"/>
              <a:ext cx="1031951" cy="652177"/>
            </a:xfrm>
            <a:prstGeom prst="rect">
              <a:avLst/>
            </a:prstGeom>
            <a:solidFill>
              <a:schemeClr val="accent4">
                <a:lumMod val="40000"/>
                <a:lumOff val="60000"/>
              </a:schemeClr>
            </a:solidFill>
            <a:ln>
              <a:solidFill>
                <a:schemeClr val="accent6"/>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Point Source Controls</a:t>
              </a:r>
            </a:p>
          </xdr:txBody>
        </xdr:sp>
        <xdr:sp macro="" textlink="">
          <xdr:nvSpPr>
            <xdr:cNvPr id="81" name="TextBox 80">
              <a:hlinkClick xmlns:r="http://schemas.openxmlformats.org/officeDocument/2006/relationships" r:id="rId10"/>
            </xdr:cNvPr>
            <xdr:cNvSpPr txBox="1"/>
          </xdr:nvSpPr>
          <xdr:spPr>
            <a:xfrm>
              <a:off x="1277213" y="3210033"/>
              <a:ext cx="1031953" cy="652177"/>
            </a:xfrm>
            <a:prstGeom prst="rect">
              <a:avLst/>
            </a:prstGeom>
            <a:solidFill>
              <a:schemeClr val="accent4">
                <a:lumMod val="40000"/>
                <a:lumOff val="60000"/>
              </a:schemeClr>
            </a:solidFill>
            <a:ln>
              <a:solidFill>
                <a:schemeClr val="accent3"/>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lang="en-US" sz="1100" b="1"/>
                <a:t>Nonpoint Source Controls</a:t>
              </a:r>
            </a:p>
          </xdr:txBody>
        </xdr:sp>
        <xdr:sp macro="" textlink="">
          <xdr:nvSpPr>
            <xdr:cNvPr id="82" name="TextBox 81">
              <a:hlinkClick xmlns:r="http://schemas.openxmlformats.org/officeDocument/2006/relationships" r:id="rId8"/>
            </xdr:cNvPr>
            <xdr:cNvSpPr txBox="1"/>
          </xdr:nvSpPr>
          <xdr:spPr>
            <a:xfrm>
              <a:off x="2412187" y="3917552"/>
              <a:ext cx="1031952" cy="459870"/>
            </a:xfrm>
            <a:prstGeom prst="rect">
              <a:avLst/>
            </a:prstGeom>
            <a:solidFill>
              <a:schemeClr val="accent4">
                <a:lumMod val="20000"/>
                <a:lumOff val="80000"/>
              </a:schemeClr>
            </a:solidFill>
            <a:ln>
              <a:solidFill>
                <a:schemeClr val="bg2">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TMDLs</a:t>
              </a:r>
            </a:p>
          </xdr:txBody>
        </xdr:sp>
        <xdr:sp macro="" textlink="">
          <xdr:nvSpPr>
            <xdr:cNvPr id="83" name="TextBox 82">
              <a:hlinkClick xmlns:r="http://schemas.openxmlformats.org/officeDocument/2006/relationships" r:id="rId8"/>
            </xdr:cNvPr>
            <xdr:cNvSpPr txBox="1"/>
          </xdr:nvSpPr>
          <xdr:spPr>
            <a:xfrm>
              <a:off x="2412187" y="4947977"/>
              <a:ext cx="1031952" cy="459870"/>
            </a:xfrm>
            <a:prstGeom prst="rect">
              <a:avLst/>
            </a:prstGeom>
            <a:solidFill>
              <a:schemeClr val="accent4">
                <a:lumMod val="20000"/>
                <a:lumOff val="80000"/>
              </a:schemeClr>
            </a:solidFill>
            <a:ln>
              <a:solidFill>
                <a:schemeClr val="bg2">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Watershed Planning</a:t>
              </a:r>
            </a:p>
          </xdr:txBody>
        </xdr:sp>
        <xdr:sp macro="" textlink="">
          <xdr:nvSpPr>
            <xdr:cNvPr id="85" name="TextBox 84">
              <a:hlinkClick xmlns:r="http://schemas.openxmlformats.org/officeDocument/2006/relationships" r:id="rId8"/>
            </xdr:cNvPr>
            <xdr:cNvSpPr txBox="1"/>
          </xdr:nvSpPr>
          <xdr:spPr>
            <a:xfrm>
              <a:off x="2412187" y="4432765"/>
              <a:ext cx="1031952" cy="459870"/>
            </a:xfrm>
            <a:prstGeom prst="rect">
              <a:avLst/>
            </a:prstGeom>
            <a:solidFill>
              <a:schemeClr val="accent4">
                <a:lumMod val="20000"/>
                <a:lumOff val="80000"/>
              </a:schemeClr>
            </a:solidFill>
            <a:ln>
              <a:solidFill>
                <a:schemeClr val="bg2">
                  <a:lumMod val="5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Pollutant Trading</a:t>
              </a:r>
            </a:p>
          </xdr:txBody>
        </xdr:sp>
        <xdr:sp macro="" textlink="">
          <xdr:nvSpPr>
            <xdr:cNvPr id="86" name="TextBox 85"/>
            <xdr:cNvSpPr txBox="1"/>
          </xdr:nvSpPr>
          <xdr:spPr>
            <a:xfrm>
              <a:off x="1277213" y="5463191"/>
              <a:ext cx="1031953" cy="459870"/>
            </a:xfrm>
            <a:prstGeom prst="rect">
              <a:avLst/>
            </a:prstGeom>
            <a:solidFill>
              <a:schemeClr val="accent4">
                <a:lumMod val="20000"/>
                <a:lumOff val="80000"/>
              </a:schemeClr>
            </a:solidFill>
            <a:ln>
              <a:solidFill>
                <a:schemeClr val="accent3"/>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r>
                <a:rPr lang="en-US" sz="1100"/>
                <a:t>Forestry</a:t>
              </a:r>
            </a:p>
          </xdr:txBody>
        </xdr:sp>
      </xdr:grpSp>
      <xdr:cxnSp macro="">
        <xdr:nvCxnSpPr>
          <xdr:cNvPr id="50" name="Elbow Connector 49"/>
          <xdr:cNvCxnSpPr>
            <a:stCxn id="80" idx="0"/>
            <a:endCxn id="70" idx="2"/>
          </xdr:cNvCxnSpPr>
        </xdr:nvCxnSpPr>
        <xdr:spPr>
          <a:xfrm rot="5400000" flipH="1" flipV="1">
            <a:off x="841849" y="1860693"/>
            <a:ext cx="745607" cy="1138177"/>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Elbow Connector 51"/>
          <xdr:cNvCxnSpPr>
            <a:stCxn id="81" idx="0"/>
            <a:endCxn id="70" idx="2"/>
          </xdr:cNvCxnSpPr>
        </xdr:nvCxnSpPr>
        <xdr:spPr>
          <a:xfrm rot="5400000" flipH="1" flipV="1">
            <a:off x="1407063" y="2425906"/>
            <a:ext cx="745607" cy="7750"/>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1" name="Elbow Connector 90"/>
          <xdr:cNvCxnSpPr>
            <a:stCxn id="79" idx="0"/>
            <a:endCxn id="70" idx="2"/>
          </xdr:cNvCxnSpPr>
        </xdr:nvCxnSpPr>
        <xdr:spPr>
          <a:xfrm rot="16200000" flipV="1">
            <a:off x="1972277" y="1868442"/>
            <a:ext cx="745607" cy="1122677"/>
          </a:xfrm>
          <a:prstGeom prst="bentConnector3">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Elbow Connector 93"/>
          <xdr:cNvCxnSpPr>
            <a:stCxn id="11" idx="3"/>
            <a:endCxn id="40" idx="1"/>
          </xdr:cNvCxnSpPr>
        </xdr:nvCxnSpPr>
        <xdr:spPr>
          <a:xfrm>
            <a:off x="3951552" y="2341305"/>
            <a:ext cx="2276565" cy="508864"/>
          </a:xfrm>
          <a:prstGeom prst="bentConnector3">
            <a:avLst>
              <a:gd name="adj1" fmla="val 91125"/>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7" name="Elbow Connector 96"/>
          <xdr:cNvCxnSpPr>
            <a:stCxn id="11" idx="3"/>
            <a:endCxn id="37" idx="1"/>
          </xdr:cNvCxnSpPr>
        </xdr:nvCxnSpPr>
        <xdr:spPr>
          <a:xfrm flipV="1">
            <a:off x="3951552" y="1464284"/>
            <a:ext cx="2276565" cy="877021"/>
          </a:xfrm>
          <a:prstGeom prst="bentConnector3">
            <a:avLst>
              <a:gd name="adj1" fmla="val 91125"/>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9" name="Elbow Connector 98"/>
          <xdr:cNvCxnSpPr>
            <a:stCxn id="11" idx="3"/>
            <a:endCxn id="42" idx="1"/>
          </xdr:cNvCxnSpPr>
        </xdr:nvCxnSpPr>
        <xdr:spPr>
          <a:xfrm>
            <a:off x="3951552" y="2341305"/>
            <a:ext cx="2276565" cy="1913798"/>
          </a:xfrm>
          <a:prstGeom prst="bentConnector3">
            <a:avLst>
              <a:gd name="adj1" fmla="val 91125"/>
            </a:avLst>
          </a:prstGeom>
          <a:ln>
            <a:solidFill>
              <a:sysClr val="windowText" lastClr="000000"/>
            </a:solidFill>
            <a:beve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5" name="TextBox 64"/>
          <xdr:cNvSpPr txBox="1"/>
        </xdr:nvSpPr>
        <xdr:spPr>
          <a:xfrm>
            <a:off x="117845" y="5681139"/>
            <a:ext cx="13771516"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chemeClr val="tx1"/>
                </a:solidFill>
                <a:effectLst/>
                <a:latin typeface="+mn-lt"/>
                <a:ea typeface="+mn-ea"/>
                <a:cs typeface="+mn-cs"/>
              </a:rPr>
              <a:t>Source: Based on Weaver (2010)</a:t>
            </a:r>
            <a:endParaRPr lang="en-US" sz="1100" baseline="0">
              <a:solidFill>
                <a:schemeClr val="tx1"/>
              </a:solidFill>
              <a:effectLst/>
              <a:latin typeface="+mn-lt"/>
              <a:ea typeface="+mn-ea"/>
              <a:cs typeface="+mn-cs"/>
            </a:endParaRPr>
          </a:p>
          <a:p>
            <a:r>
              <a:rPr lang="en-US" sz="1100"/>
              <a:t>1. Loads to surface waters. Infiltration throughout the watershed may also contaminate groundwater used for drinking water source water.</a:t>
            </a:r>
          </a:p>
        </xdr:txBody>
      </xdr:sp>
    </xdr:grpSp>
    <xdr:clientData/>
  </xdr:twoCellAnchor>
  <xdr:twoCellAnchor>
    <xdr:from>
      <xdr:col>1</xdr:col>
      <xdr:colOff>315479</xdr:colOff>
      <xdr:row>0</xdr:row>
      <xdr:rowOff>47625</xdr:rowOff>
    </xdr:from>
    <xdr:to>
      <xdr:col>2</xdr:col>
      <xdr:colOff>384064</xdr:colOff>
      <xdr:row>1</xdr:row>
      <xdr:rowOff>101134</xdr:rowOff>
    </xdr:to>
    <xdr:sp macro="" textlink="">
      <xdr:nvSpPr>
        <xdr:cNvPr id="66" name="TextBox 65">
          <a:hlinkClick xmlns:r="http://schemas.openxmlformats.org/officeDocument/2006/relationships" r:id="rId11"/>
        </xdr:cNvPr>
        <xdr:cNvSpPr txBox="1"/>
      </xdr:nvSpPr>
      <xdr:spPr>
        <a:xfrm>
          <a:off x="908146" y="47625"/>
          <a:ext cx="661251" cy="265176"/>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0</xdr:col>
      <xdr:colOff>95249</xdr:colOff>
      <xdr:row>0</xdr:row>
      <xdr:rowOff>47625</xdr:rowOff>
    </xdr:from>
    <xdr:to>
      <xdr:col>1</xdr:col>
      <xdr:colOff>179916</xdr:colOff>
      <xdr:row>1</xdr:row>
      <xdr:rowOff>101134</xdr:rowOff>
    </xdr:to>
    <xdr:sp macro="" textlink="">
      <xdr:nvSpPr>
        <xdr:cNvPr id="68" name="TextBox 67">
          <a:hlinkClick xmlns:r="http://schemas.openxmlformats.org/officeDocument/2006/relationships" r:id="rId12"/>
        </xdr:cNvPr>
        <xdr:cNvSpPr txBox="1"/>
      </xdr:nvSpPr>
      <xdr:spPr>
        <a:xfrm>
          <a:off x="95249" y="47625"/>
          <a:ext cx="677334" cy="265176"/>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747713</xdr:colOff>
      <xdr:row>0</xdr:row>
      <xdr:rowOff>66675</xdr:rowOff>
    </xdr:from>
    <xdr:to>
      <xdr:col>3</xdr:col>
      <xdr:colOff>338138</xdr:colOff>
      <xdr:row>1</xdr:row>
      <xdr:rowOff>142875</xdr:rowOff>
    </xdr:to>
    <xdr:sp macro="" textlink="">
      <xdr:nvSpPr>
        <xdr:cNvPr id="2" name="TextBox 1">
          <a:hlinkClick xmlns:r="http://schemas.openxmlformats.org/officeDocument/2006/relationships" r:id="rId1"/>
        </xdr:cNvPr>
        <xdr:cNvSpPr txBox="1"/>
      </xdr:nvSpPr>
      <xdr:spPr>
        <a:xfrm>
          <a:off x="900113" y="6667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0</xdr:col>
      <xdr:colOff>123825</xdr:colOff>
      <xdr:row>0</xdr:row>
      <xdr:rowOff>66675</xdr:rowOff>
    </xdr:from>
    <xdr:to>
      <xdr:col>1</xdr:col>
      <xdr:colOff>628651</xdr:colOff>
      <xdr:row>1</xdr:row>
      <xdr:rowOff>142875</xdr:rowOff>
    </xdr:to>
    <xdr:sp macro="" textlink="">
      <xdr:nvSpPr>
        <xdr:cNvPr id="3" name="TextBox 2">
          <a:hlinkClick xmlns:r="http://schemas.openxmlformats.org/officeDocument/2006/relationships" r:id="rId2"/>
        </xdr:cNvPr>
        <xdr:cNvSpPr txBox="1"/>
      </xdr:nvSpPr>
      <xdr:spPr>
        <a:xfrm>
          <a:off x="123825" y="6667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1157287"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1</xdr:col>
      <xdr:colOff>885825</xdr:colOff>
      <xdr:row>0</xdr:row>
      <xdr:rowOff>47625</xdr:rowOff>
    </xdr:from>
    <xdr:to>
      <xdr:col>2</xdr:col>
      <xdr:colOff>866775</xdr:colOff>
      <xdr:row>1</xdr:row>
      <xdr:rowOff>104775</xdr:rowOff>
    </xdr:to>
    <xdr:sp macro="" textlink="">
      <xdr:nvSpPr>
        <xdr:cNvPr id="3" name="TextBox 2">
          <a:hlinkClick xmlns:r="http://schemas.openxmlformats.org/officeDocument/2006/relationships" r:id="rId2"/>
        </xdr:cNvPr>
        <xdr:cNvSpPr txBox="1"/>
      </xdr:nvSpPr>
      <xdr:spPr>
        <a:xfrm>
          <a:off x="1781175" y="47625"/>
          <a:ext cx="128587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Point Sources</a:t>
          </a:r>
        </a:p>
      </xdr:txBody>
    </xdr:sp>
    <xdr:clientData/>
  </xdr:twoCellAnchor>
  <xdr:twoCellAnchor>
    <xdr:from>
      <xdr:col>3</xdr:col>
      <xdr:colOff>114300</xdr:colOff>
      <xdr:row>0</xdr:row>
      <xdr:rowOff>47625</xdr:rowOff>
    </xdr:from>
    <xdr:to>
      <xdr:col>4</xdr:col>
      <xdr:colOff>200025</xdr:colOff>
      <xdr:row>1</xdr:row>
      <xdr:rowOff>104775</xdr:rowOff>
    </xdr:to>
    <xdr:sp macro="" textlink="">
      <xdr:nvSpPr>
        <xdr:cNvPr id="4" name="TextBox 3">
          <a:hlinkClick xmlns:r="http://schemas.openxmlformats.org/officeDocument/2006/relationships" r:id="rId3"/>
        </xdr:cNvPr>
        <xdr:cNvSpPr txBox="1"/>
      </xdr:nvSpPr>
      <xdr:spPr>
        <a:xfrm>
          <a:off x="3257550" y="47625"/>
          <a:ext cx="107632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928687"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1</xdr:col>
      <xdr:colOff>885825</xdr:colOff>
      <xdr:row>0</xdr:row>
      <xdr:rowOff>47625</xdr:rowOff>
    </xdr:from>
    <xdr:to>
      <xdr:col>2</xdr:col>
      <xdr:colOff>638175</xdr:colOff>
      <xdr:row>1</xdr:row>
      <xdr:rowOff>104775</xdr:rowOff>
    </xdr:to>
    <xdr:sp macro="" textlink="">
      <xdr:nvSpPr>
        <xdr:cNvPr id="3" name="TextBox 2">
          <a:hlinkClick xmlns:r="http://schemas.openxmlformats.org/officeDocument/2006/relationships" r:id="rId2"/>
        </xdr:cNvPr>
        <xdr:cNvSpPr txBox="1"/>
      </xdr:nvSpPr>
      <xdr:spPr>
        <a:xfrm>
          <a:off x="1781175" y="47625"/>
          <a:ext cx="129540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Point Sources</a:t>
          </a:r>
        </a:p>
      </xdr:txBody>
    </xdr:sp>
    <xdr:clientData/>
  </xdr:twoCellAnchor>
  <xdr:twoCellAnchor>
    <xdr:from>
      <xdr:col>2</xdr:col>
      <xdr:colOff>809625</xdr:colOff>
      <xdr:row>0</xdr:row>
      <xdr:rowOff>47625</xdr:rowOff>
    </xdr:from>
    <xdr:to>
      <xdr:col>3</xdr:col>
      <xdr:colOff>581025</xdr:colOff>
      <xdr:row>1</xdr:row>
      <xdr:rowOff>104775</xdr:rowOff>
    </xdr:to>
    <xdr:sp macro="" textlink="">
      <xdr:nvSpPr>
        <xdr:cNvPr id="4" name="TextBox 3">
          <a:hlinkClick xmlns:r="http://schemas.openxmlformats.org/officeDocument/2006/relationships" r:id="rId3"/>
        </xdr:cNvPr>
        <xdr:cNvSpPr txBox="1"/>
      </xdr:nvSpPr>
      <xdr:spPr>
        <a:xfrm>
          <a:off x="3248025" y="47625"/>
          <a:ext cx="9334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928687"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1</xdr:col>
      <xdr:colOff>885826</xdr:colOff>
      <xdr:row>0</xdr:row>
      <xdr:rowOff>47625</xdr:rowOff>
    </xdr:from>
    <xdr:to>
      <xdr:col>1</xdr:col>
      <xdr:colOff>2105026</xdr:colOff>
      <xdr:row>1</xdr:row>
      <xdr:rowOff>104775</xdr:rowOff>
    </xdr:to>
    <xdr:sp macro="" textlink="">
      <xdr:nvSpPr>
        <xdr:cNvPr id="3" name="TextBox 2">
          <a:hlinkClick xmlns:r="http://schemas.openxmlformats.org/officeDocument/2006/relationships" r:id="rId2"/>
        </xdr:cNvPr>
        <xdr:cNvSpPr txBox="1"/>
      </xdr:nvSpPr>
      <xdr:spPr>
        <a:xfrm>
          <a:off x="1762126" y="47625"/>
          <a:ext cx="121920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Point Sources</a:t>
          </a:r>
        </a:p>
      </xdr:txBody>
    </xdr:sp>
    <xdr:clientData/>
  </xdr:twoCellAnchor>
  <xdr:twoCellAnchor>
    <xdr:from>
      <xdr:col>1</xdr:col>
      <xdr:colOff>2286000</xdr:colOff>
      <xdr:row>0</xdr:row>
      <xdr:rowOff>47625</xdr:rowOff>
    </xdr:from>
    <xdr:to>
      <xdr:col>2</xdr:col>
      <xdr:colOff>266700</xdr:colOff>
      <xdr:row>1</xdr:row>
      <xdr:rowOff>104775</xdr:rowOff>
    </xdr:to>
    <xdr:sp macro="" textlink="">
      <xdr:nvSpPr>
        <xdr:cNvPr id="4" name="TextBox 3">
          <a:hlinkClick xmlns:r="http://schemas.openxmlformats.org/officeDocument/2006/relationships" r:id="rId3"/>
        </xdr:cNvPr>
        <xdr:cNvSpPr txBox="1"/>
      </xdr:nvSpPr>
      <xdr:spPr>
        <a:xfrm>
          <a:off x="3162300" y="47625"/>
          <a:ext cx="102870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61911</xdr:colOff>
      <xdr:row>0</xdr:row>
      <xdr:rowOff>47625</xdr:rowOff>
    </xdr:from>
    <xdr:to>
      <xdr:col>2</xdr:col>
      <xdr:colOff>28574</xdr:colOff>
      <xdr:row>1</xdr:row>
      <xdr:rowOff>104775</xdr:rowOff>
    </xdr:to>
    <xdr:sp macro="" textlink="">
      <xdr:nvSpPr>
        <xdr:cNvPr id="2" name="TextBox 1">
          <a:hlinkClick xmlns:r="http://schemas.openxmlformats.org/officeDocument/2006/relationships" r:id="rId1"/>
        </xdr:cNvPr>
        <xdr:cNvSpPr txBox="1"/>
      </xdr:nvSpPr>
      <xdr:spPr>
        <a:xfrm>
          <a:off x="1547811" y="47625"/>
          <a:ext cx="728663"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2</xdr:col>
      <xdr:colOff>171450</xdr:colOff>
      <xdr:row>0</xdr:row>
      <xdr:rowOff>47625</xdr:rowOff>
    </xdr:from>
    <xdr:to>
      <xdr:col>3</xdr:col>
      <xdr:colOff>95250</xdr:colOff>
      <xdr:row>1</xdr:row>
      <xdr:rowOff>104775</xdr:rowOff>
    </xdr:to>
    <xdr:sp macro="" textlink="">
      <xdr:nvSpPr>
        <xdr:cNvPr id="3" name="TextBox 2">
          <a:hlinkClick xmlns:r="http://schemas.openxmlformats.org/officeDocument/2006/relationships" r:id="rId2"/>
        </xdr:cNvPr>
        <xdr:cNvSpPr txBox="1"/>
      </xdr:nvSpPr>
      <xdr:spPr>
        <a:xfrm>
          <a:off x="2419350" y="47625"/>
          <a:ext cx="101917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Point Sources</a:t>
          </a:r>
        </a:p>
      </xdr:txBody>
    </xdr:sp>
    <xdr:clientData/>
  </xdr:twoCellAnchor>
  <xdr:twoCellAnchor>
    <xdr:from>
      <xdr:col>0</xdr:col>
      <xdr:colOff>371474</xdr:colOff>
      <xdr:row>0</xdr:row>
      <xdr:rowOff>47625</xdr:rowOff>
    </xdr:from>
    <xdr:to>
      <xdr:col>0</xdr:col>
      <xdr:colOff>1028700</xdr:colOff>
      <xdr:row>1</xdr:row>
      <xdr:rowOff>104775</xdr:rowOff>
    </xdr:to>
    <xdr:sp macro="" textlink="">
      <xdr:nvSpPr>
        <xdr:cNvPr id="5" name="TextBox 4">
          <a:hlinkClick xmlns:r="http://schemas.openxmlformats.org/officeDocument/2006/relationships" r:id="rId3"/>
        </xdr:cNvPr>
        <xdr:cNvSpPr txBox="1"/>
      </xdr:nvSpPr>
      <xdr:spPr>
        <a:xfrm>
          <a:off x="371474"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747713</xdr:colOff>
      <xdr:row>0</xdr:row>
      <xdr:rowOff>66675</xdr:rowOff>
    </xdr:from>
    <xdr:to>
      <xdr:col>3</xdr:col>
      <xdr:colOff>338138</xdr:colOff>
      <xdr:row>1</xdr:row>
      <xdr:rowOff>142875</xdr:rowOff>
    </xdr:to>
    <xdr:sp macro="" textlink="">
      <xdr:nvSpPr>
        <xdr:cNvPr id="2" name="TextBox 1">
          <a:hlinkClick xmlns:r="http://schemas.openxmlformats.org/officeDocument/2006/relationships" r:id="rId1"/>
        </xdr:cNvPr>
        <xdr:cNvSpPr txBox="1"/>
      </xdr:nvSpPr>
      <xdr:spPr>
        <a:xfrm>
          <a:off x="900113" y="6667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0</xdr:col>
      <xdr:colOff>123825</xdr:colOff>
      <xdr:row>0</xdr:row>
      <xdr:rowOff>66675</xdr:rowOff>
    </xdr:from>
    <xdr:to>
      <xdr:col>1</xdr:col>
      <xdr:colOff>628651</xdr:colOff>
      <xdr:row>1</xdr:row>
      <xdr:rowOff>142875</xdr:rowOff>
    </xdr:to>
    <xdr:sp macro="" textlink="">
      <xdr:nvSpPr>
        <xdr:cNvPr id="3" name="TextBox 2">
          <a:hlinkClick xmlns:r="http://schemas.openxmlformats.org/officeDocument/2006/relationships" r:id="rId2"/>
        </xdr:cNvPr>
        <xdr:cNvSpPr txBox="1"/>
      </xdr:nvSpPr>
      <xdr:spPr>
        <a:xfrm>
          <a:off x="123825" y="6667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909637"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1</xdr:col>
      <xdr:colOff>885826</xdr:colOff>
      <xdr:row>0</xdr:row>
      <xdr:rowOff>47625</xdr:rowOff>
    </xdr:from>
    <xdr:to>
      <xdr:col>3</xdr:col>
      <xdr:colOff>304800</xdr:colOff>
      <xdr:row>1</xdr:row>
      <xdr:rowOff>104775</xdr:rowOff>
    </xdr:to>
    <xdr:sp macro="" textlink="">
      <xdr:nvSpPr>
        <xdr:cNvPr id="3" name="TextBox 2">
          <a:hlinkClick xmlns:r="http://schemas.openxmlformats.org/officeDocument/2006/relationships" r:id="rId2"/>
        </xdr:cNvPr>
        <xdr:cNvSpPr txBox="1"/>
      </xdr:nvSpPr>
      <xdr:spPr>
        <a:xfrm>
          <a:off x="1762126" y="47625"/>
          <a:ext cx="1438274"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Nonpoint Sources</a:t>
          </a:r>
        </a:p>
      </xdr:txBody>
    </xdr:sp>
    <xdr:clientData/>
  </xdr:twoCellAnchor>
  <xdr:twoCellAnchor>
    <xdr:from>
      <xdr:col>3</xdr:col>
      <xdr:colOff>485775</xdr:colOff>
      <xdr:row>0</xdr:row>
      <xdr:rowOff>47625</xdr:rowOff>
    </xdr:from>
    <xdr:to>
      <xdr:col>4</xdr:col>
      <xdr:colOff>171451</xdr:colOff>
      <xdr:row>1</xdr:row>
      <xdr:rowOff>104775</xdr:rowOff>
    </xdr:to>
    <xdr:sp macro="" textlink="">
      <xdr:nvSpPr>
        <xdr:cNvPr id="4" name="TextBox 3">
          <a:hlinkClick xmlns:r="http://schemas.openxmlformats.org/officeDocument/2006/relationships" r:id="rId3"/>
        </xdr:cNvPr>
        <xdr:cNvSpPr txBox="1"/>
      </xdr:nvSpPr>
      <xdr:spPr>
        <a:xfrm>
          <a:off x="3381375" y="47625"/>
          <a:ext cx="1019176"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747713</xdr:colOff>
      <xdr:row>0</xdr:row>
      <xdr:rowOff>66675</xdr:rowOff>
    </xdr:from>
    <xdr:to>
      <xdr:col>3</xdr:col>
      <xdr:colOff>338138</xdr:colOff>
      <xdr:row>1</xdr:row>
      <xdr:rowOff>142875</xdr:rowOff>
    </xdr:to>
    <xdr:sp macro="" textlink="">
      <xdr:nvSpPr>
        <xdr:cNvPr id="2" name="TextBox 1">
          <a:hlinkClick xmlns:r="http://schemas.openxmlformats.org/officeDocument/2006/relationships" r:id="rId1"/>
        </xdr:cNvPr>
        <xdr:cNvSpPr txBox="1"/>
      </xdr:nvSpPr>
      <xdr:spPr>
        <a:xfrm>
          <a:off x="900113" y="6667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0</xdr:col>
      <xdr:colOff>123825</xdr:colOff>
      <xdr:row>0</xdr:row>
      <xdr:rowOff>66675</xdr:rowOff>
    </xdr:from>
    <xdr:to>
      <xdr:col>1</xdr:col>
      <xdr:colOff>628651</xdr:colOff>
      <xdr:row>1</xdr:row>
      <xdr:rowOff>142875</xdr:rowOff>
    </xdr:to>
    <xdr:sp macro="" textlink="">
      <xdr:nvSpPr>
        <xdr:cNvPr id="3" name="TextBox 2">
          <a:hlinkClick xmlns:r="http://schemas.openxmlformats.org/officeDocument/2006/relationships" r:id="rId2"/>
        </xdr:cNvPr>
        <xdr:cNvSpPr txBox="1"/>
      </xdr:nvSpPr>
      <xdr:spPr>
        <a:xfrm>
          <a:off x="123825" y="6667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985837"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1</xdr:col>
      <xdr:colOff>885825</xdr:colOff>
      <xdr:row>0</xdr:row>
      <xdr:rowOff>47625</xdr:rowOff>
    </xdr:from>
    <xdr:to>
      <xdr:col>3</xdr:col>
      <xdr:colOff>552449</xdr:colOff>
      <xdr:row>1</xdr:row>
      <xdr:rowOff>104775</xdr:rowOff>
    </xdr:to>
    <xdr:sp macro="" textlink="">
      <xdr:nvSpPr>
        <xdr:cNvPr id="3" name="TextBox 2">
          <a:hlinkClick xmlns:r="http://schemas.openxmlformats.org/officeDocument/2006/relationships" r:id="rId2"/>
        </xdr:cNvPr>
        <xdr:cNvSpPr txBox="1"/>
      </xdr:nvSpPr>
      <xdr:spPr>
        <a:xfrm>
          <a:off x="2009775" y="47625"/>
          <a:ext cx="1733549"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Restoration</a:t>
          </a:r>
          <a:r>
            <a:rPr lang="en-US" sz="1100" baseline="0"/>
            <a:t> </a:t>
          </a:r>
          <a:r>
            <a:rPr lang="en-US" sz="1100"/>
            <a:t>and Mitigation</a:t>
          </a:r>
        </a:p>
      </xdr:txBody>
    </xdr:sp>
    <xdr:clientData/>
  </xdr:twoCellAnchor>
  <xdr:twoCellAnchor>
    <xdr:from>
      <xdr:col>3</xdr:col>
      <xdr:colOff>733425</xdr:colOff>
      <xdr:row>0</xdr:row>
      <xdr:rowOff>47625</xdr:rowOff>
    </xdr:from>
    <xdr:to>
      <xdr:col>4</xdr:col>
      <xdr:colOff>38100</xdr:colOff>
      <xdr:row>1</xdr:row>
      <xdr:rowOff>104775</xdr:rowOff>
    </xdr:to>
    <xdr:sp macro="" textlink="">
      <xdr:nvSpPr>
        <xdr:cNvPr id="4" name="TextBox 3">
          <a:hlinkClick xmlns:r="http://schemas.openxmlformats.org/officeDocument/2006/relationships" r:id="rId3"/>
        </xdr:cNvPr>
        <xdr:cNvSpPr txBox="1"/>
      </xdr:nvSpPr>
      <xdr:spPr>
        <a:xfrm>
          <a:off x="3924300" y="47625"/>
          <a:ext cx="128587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919162"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1</xdr:col>
      <xdr:colOff>885825</xdr:colOff>
      <xdr:row>0</xdr:row>
      <xdr:rowOff>47625</xdr:rowOff>
    </xdr:from>
    <xdr:to>
      <xdr:col>3</xdr:col>
      <xdr:colOff>352425</xdr:colOff>
      <xdr:row>1</xdr:row>
      <xdr:rowOff>104775</xdr:rowOff>
    </xdr:to>
    <xdr:sp macro="" textlink="">
      <xdr:nvSpPr>
        <xdr:cNvPr id="3" name="TextBox 2">
          <a:hlinkClick xmlns:r="http://schemas.openxmlformats.org/officeDocument/2006/relationships" r:id="rId2"/>
        </xdr:cNvPr>
        <xdr:cNvSpPr txBox="1"/>
      </xdr:nvSpPr>
      <xdr:spPr>
        <a:xfrm>
          <a:off x="1838325" y="47625"/>
          <a:ext cx="179070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Restoration and Mitigation</a:t>
          </a:r>
        </a:p>
      </xdr:txBody>
    </xdr:sp>
    <xdr:clientData/>
  </xdr:twoCellAnchor>
  <xdr:twoCellAnchor>
    <xdr:from>
      <xdr:col>3</xdr:col>
      <xdr:colOff>533399</xdr:colOff>
      <xdr:row>0</xdr:row>
      <xdr:rowOff>47625</xdr:rowOff>
    </xdr:from>
    <xdr:to>
      <xdr:col>4</xdr:col>
      <xdr:colOff>771524</xdr:colOff>
      <xdr:row>1</xdr:row>
      <xdr:rowOff>104775</xdr:rowOff>
    </xdr:to>
    <xdr:sp macro="" textlink="">
      <xdr:nvSpPr>
        <xdr:cNvPr id="4" name="TextBox 3">
          <a:hlinkClick xmlns:r="http://schemas.openxmlformats.org/officeDocument/2006/relationships" r:id="rId3"/>
        </xdr:cNvPr>
        <xdr:cNvSpPr txBox="1"/>
      </xdr:nvSpPr>
      <xdr:spPr>
        <a:xfrm>
          <a:off x="3809999" y="47625"/>
          <a:ext cx="115252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985837"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1</xdr:col>
      <xdr:colOff>885825</xdr:colOff>
      <xdr:row>0</xdr:row>
      <xdr:rowOff>47625</xdr:rowOff>
    </xdr:from>
    <xdr:to>
      <xdr:col>1</xdr:col>
      <xdr:colOff>2933700</xdr:colOff>
      <xdr:row>1</xdr:row>
      <xdr:rowOff>104775</xdr:rowOff>
    </xdr:to>
    <xdr:sp macro="" textlink="">
      <xdr:nvSpPr>
        <xdr:cNvPr id="3" name="TextBox 2">
          <a:hlinkClick xmlns:r="http://schemas.openxmlformats.org/officeDocument/2006/relationships" r:id="rId2"/>
        </xdr:cNvPr>
        <xdr:cNvSpPr txBox="1"/>
      </xdr:nvSpPr>
      <xdr:spPr>
        <a:xfrm>
          <a:off x="2247900" y="47625"/>
          <a:ext cx="204787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Restoration and Mitigation</a:t>
          </a:r>
        </a:p>
      </xdr:txBody>
    </xdr:sp>
    <xdr:clientData/>
  </xdr:twoCellAnchor>
  <xdr:twoCellAnchor>
    <xdr:from>
      <xdr:col>1</xdr:col>
      <xdr:colOff>3095624</xdr:colOff>
      <xdr:row>0</xdr:row>
      <xdr:rowOff>47625</xdr:rowOff>
    </xdr:from>
    <xdr:to>
      <xdr:col>2</xdr:col>
      <xdr:colOff>1009649</xdr:colOff>
      <xdr:row>1</xdr:row>
      <xdr:rowOff>104775</xdr:rowOff>
    </xdr:to>
    <xdr:sp macro="" textlink="">
      <xdr:nvSpPr>
        <xdr:cNvPr id="4" name="TextBox 3">
          <a:hlinkClick xmlns:r="http://schemas.openxmlformats.org/officeDocument/2006/relationships" r:id="rId3"/>
        </xdr:cNvPr>
        <xdr:cNvSpPr txBox="1"/>
      </xdr:nvSpPr>
      <xdr:spPr>
        <a:xfrm>
          <a:off x="4457699" y="47625"/>
          <a:ext cx="115252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0</xdr:col>
      <xdr:colOff>152399</xdr:colOff>
      <xdr:row>0</xdr:row>
      <xdr:rowOff>47625</xdr:rowOff>
    </xdr:from>
    <xdr:to>
      <xdr:col>0</xdr:col>
      <xdr:colOff>809625</xdr:colOff>
      <xdr:row>1</xdr:row>
      <xdr:rowOff>104775</xdr:rowOff>
    </xdr:to>
    <xdr:sp macro="" textlink="">
      <xdr:nvSpPr>
        <xdr:cNvPr id="5" name="TextBox 4">
          <a:hlinkClick xmlns:r="http://schemas.openxmlformats.org/officeDocument/2006/relationships" r:id="rId4"/>
        </xdr:cNvPr>
        <xdr:cNvSpPr txBox="1"/>
      </xdr:nvSpPr>
      <xdr:spPr>
        <a:xfrm>
          <a:off x="15239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747713</xdr:colOff>
      <xdr:row>0</xdr:row>
      <xdr:rowOff>66675</xdr:rowOff>
    </xdr:from>
    <xdr:to>
      <xdr:col>3</xdr:col>
      <xdr:colOff>338138</xdr:colOff>
      <xdr:row>1</xdr:row>
      <xdr:rowOff>142875</xdr:rowOff>
    </xdr:to>
    <xdr:sp macro="" textlink="">
      <xdr:nvSpPr>
        <xdr:cNvPr id="2" name="TextBox 1">
          <a:hlinkClick xmlns:r="http://schemas.openxmlformats.org/officeDocument/2006/relationships" r:id="rId1"/>
        </xdr:cNvPr>
        <xdr:cNvSpPr txBox="1"/>
      </xdr:nvSpPr>
      <xdr:spPr>
        <a:xfrm>
          <a:off x="900113" y="6667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0</xdr:col>
      <xdr:colOff>123825</xdr:colOff>
      <xdr:row>0</xdr:row>
      <xdr:rowOff>66675</xdr:rowOff>
    </xdr:from>
    <xdr:to>
      <xdr:col>1</xdr:col>
      <xdr:colOff>628651</xdr:colOff>
      <xdr:row>1</xdr:row>
      <xdr:rowOff>142875</xdr:rowOff>
    </xdr:to>
    <xdr:sp macro="" textlink="">
      <xdr:nvSpPr>
        <xdr:cNvPr id="3" name="TextBox 2">
          <a:hlinkClick xmlns:r="http://schemas.openxmlformats.org/officeDocument/2006/relationships" r:id="rId2"/>
        </xdr:cNvPr>
        <xdr:cNvSpPr txBox="1"/>
      </xdr:nvSpPr>
      <xdr:spPr>
        <a:xfrm>
          <a:off x="123825" y="6667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31750</xdr:colOff>
      <xdr:row>0</xdr:row>
      <xdr:rowOff>47625</xdr:rowOff>
    </xdr:from>
    <xdr:to>
      <xdr:col>1</xdr:col>
      <xdr:colOff>736600</xdr:colOff>
      <xdr:row>1</xdr:row>
      <xdr:rowOff>104775</xdr:rowOff>
    </xdr:to>
    <xdr:sp macro="" textlink="">
      <xdr:nvSpPr>
        <xdr:cNvPr id="2" name="TextBox 1">
          <a:hlinkClick xmlns:r="http://schemas.openxmlformats.org/officeDocument/2006/relationships" r:id="rId1"/>
        </xdr:cNvPr>
        <xdr:cNvSpPr txBox="1"/>
      </xdr:nvSpPr>
      <xdr:spPr>
        <a:xfrm>
          <a:off x="898525"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1</xdr:col>
      <xdr:colOff>882650</xdr:colOff>
      <xdr:row>0</xdr:row>
      <xdr:rowOff>47625</xdr:rowOff>
    </xdr:from>
    <xdr:to>
      <xdr:col>3</xdr:col>
      <xdr:colOff>73025</xdr:colOff>
      <xdr:row>1</xdr:row>
      <xdr:rowOff>104775</xdr:rowOff>
    </xdr:to>
    <xdr:sp macro="" textlink="">
      <xdr:nvSpPr>
        <xdr:cNvPr id="3" name="TextBox 2">
          <a:hlinkClick xmlns:r="http://schemas.openxmlformats.org/officeDocument/2006/relationships" r:id="rId2"/>
        </xdr:cNvPr>
        <xdr:cNvSpPr txBox="1"/>
      </xdr:nvSpPr>
      <xdr:spPr>
        <a:xfrm>
          <a:off x="1749425" y="47625"/>
          <a:ext cx="137160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Economic Impact</a:t>
          </a:r>
        </a:p>
      </xdr:txBody>
    </xdr:sp>
    <xdr:clientData/>
  </xdr:twoCellAnchor>
  <xdr:twoCellAnchor>
    <xdr:from>
      <xdr:col>3</xdr:col>
      <xdr:colOff>219075</xdr:colOff>
      <xdr:row>0</xdr:row>
      <xdr:rowOff>47625</xdr:rowOff>
    </xdr:from>
    <xdr:to>
      <xdr:col>4</xdr:col>
      <xdr:colOff>57150</xdr:colOff>
      <xdr:row>1</xdr:row>
      <xdr:rowOff>104775</xdr:rowOff>
    </xdr:to>
    <xdr:sp macro="" textlink="">
      <xdr:nvSpPr>
        <xdr:cNvPr id="4" name="TextBox 3">
          <a:hlinkClick xmlns:r="http://schemas.openxmlformats.org/officeDocument/2006/relationships" r:id="rId3"/>
        </xdr:cNvPr>
        <xdr:cNvSpPr txBox="1"/>
      </xdr:nvSpPr>
      <xdr:spPr>
        <a:xfrm>
          <a:off x="3267075" y="47625"/>
          <a:ext cx="91440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938212"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1</xdr:col>
      <xdr:colOff>885825</xdr:colOff>
      <xdr:row>0</xdr:row>
      <xdr:rowOff>47625</xdr:rowOff>
    </xdr:from>
    <xdr:to>
      <xdr:col>3</xdr:col>
      <xdr:colOff>76200</xdr:colOff>
      <xdr:row>1</xdr:row>
      <xdr:rowOff>104775</xdr:rowOff>
    </xdr:to>
    <xdr:sp macro="" textlink="">
      <xdr:nvSpPr>
        <xdr:cNvPr id="3" name="TextBox 2">
          <a:hlinkClick xmlns:r="http://schemas.openxmlformats.org/officeDocument/2006/relationships" r:id="rId2"/>
        </xdr:cNvPr>
        <xdr:cNvSpPr txBox="1"/>
      </xdr:nvSpPr>
      <xdr:spPr>
        <a:xfrm>
          <a:off x="1771650" y="47625"/>
          <a:ext cx="12382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Economic Impact</a:t>
          </a:r>
        </a:p>
      </xdr:txBody>
    </xdr:sp>
    <xdr:clientData/>
  </xdr:twoCellAnchor>
  <xdr:twoCellAnchor>
    <xdr:from>
      <xdr:col>4</xdr:col>
      <xdr:colOff>542925</xdr:colOff>
      <xdr:row>0</xdr:row>
      <xdr:rowOff>47625</xdr:rowOff>
    </xdr:from>
    <xdr:to>
      <xdr:col>4</xdr:col>
      <xdr:colOff>1847850</xdr:colOff>
      <xdr:row>1</xdr:row>
      <xdr:rowOff>104775</xdr:rowOff>
    </xdr:to>
    <xdr:sp macro="" textlink="">
      <xdr:nvSpPr>
        <xdr:cNvPr id="4" name="TextBox 3">
          <a:hlinkClick xmlns:r="http://schemas.openxmlformats.org/officeDocument/2006/relationships" r:id="rId3"/>
        </xdr:cNvPr>
        <xdr:cNvSpPr txBox="1"/>
      </xdr:nvSpPr>
      <xdr:spPr>
        <a:xfrm>
          <a:off x="4505325" y="47625"/>
          <a:ext cx="130492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3</xdr:col>
      <xdr:colOff>204788</xdr:colOff>
      <xdr:row>0</xdr:row>
      <xdr:rowOff>47625</xdr:rowOff>
    </xdr:from>
    <xdr:to>
      <xdr:col>4</xdr:col>
      <xdr:colOff>414338</xdr:colOff>
      <xdr:row>1</xdr:row>
      <xdr:rowOff>104775</xdr:rowOff>
    </xdr:to>
    <xdr:sp macro="" textlink="">
      <xdr:nvSpPr>
        <xdr:cNvPr id="6" name="TextBox 5">
          <a:hlinkClick xmlns:r="http://schemas.openxmlformats.org/officeDocument/2006/relationships" r:id="rId5"/>
        </xdr:cNvPr>
        <xdr:cNvSpPr txBox="1"/>
      </xdr:nvSpPr>
      <xdr:spPr>
        <a:xfrm>
          <a:off x="3138488" y="47625"/>
          <a:ext cx="12382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Impact Index</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881062" y="47625"/>
          <a:ext cx="65722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2</xdr:col>
      <xdr:colOff>85725</xdr:colOff>
      <xdr:row>0</xdr:row>
      <xdr:rowOff>47625</xdr:rowOff>
    </xdr:from>
    <xdr:to>
      <xdr:col>3</xdr:col>
      <xdr:colOff>295275</xdr:colOff>
      <xdr:row>1</xdr:row>
      <xdr:rowOff>104775</xdr:rowOff>
    </xdr:to>
    <xdr:sp macro="" textlink="">
      <xdr:nvSpPr>
        <xdr:cNvPr id="3" name="TextBox 2">
          <a:hlinkClick xmlns:r="http://schemas.openxmlformats.org/officeDocument/2006/relationships" r:id="rId2"/>
        </xdr:cNvPr>
        <xdr:cNvSpPr txBox="1"/>
      </xdr:nvSpPr>
      <xdr:spPr>
        <a:xfrm>
          <a:off x="1619250" y="47625"/>
          <a:ext cx="12001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Economic Impact</a:t>
          </a:r>
        </a:p>
      </xdr:txBody>
    </xdr:sp>
    <xdr:clientData/>
  </xdr:twoCellAnchor>
  <xdr:twoCellAnchor>
    <xdr:from>
      <xdr:col>4</xdr:col>
      <xdr:colOff>762000</xdr:colOff>
      <xdr:row>0</xdr:row>
      <xdr:rowOff>47625</xdr:rowOff>
    </xdr:from>
    <xdr:to>
      <xdr:col>5</xdr:col>
      <xdr:colOff>866775</xdr:colOff>
      <xdr:row>1</xdr:row>
      <xdr:rowOff>104775</xdr:rowOff>
    </xdr:to>
    <xdr:sp macro="" textlink="">
      <xdr:nvSpPr>
        <xdr:cNvPr id="4" name="TextBox 3">
          <a:hlinkClick xmlns:r="http://schemas.openxmlformats.org/officeDocument/2006/relationships" r:id="rId3"/>
        </xdr:cNvPr>
        <xdr:cNvSpPr txBox="1"/>
      </xdr:nvSpPr>
      <xdr:spPr>
        <a:xfrm>
          <a:off x="4667250" y="47625"/>
          <a:ext cx="101917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3</xdr:col>
      <xdr:colOff>423863</xdr:colOff>
      <xdr:row>0</xdr:row>
      <xdr:rowOff>47625</xdr:rowOff>
    </xdr:from>
    <xdr:to>
      <xdr:col>4</xdr:col>
      <xdr:colOff>633413</xdr:colOff>
      <xdr:row>1</xdr:row>
      <xdr:rowOff>104775</xdr:rowOff>
    </xdr:to>
    <xdr:sp macro="" textlink="">
      <xdr:nvSpPr>
        <xdr:cNvPr id="6" name="TextBox 5">
          <a:hlinkClick xmlns:r="http://schemas.openxmlformats.org/officeDocument/2006/relationships" r:id="rId5"/>
        </xdr:cNvPr>
        <xdr:cNvSpPr txBox="1"/>
      </xdr:nvSpPr>
      <xdr:spPr>
        <a:xfrm>
          <a:off x="2947988" y="47625"/>
          <a:ext cx="12001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Impact Index</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871537"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2</xdr:col>
      <xdr:colOff>85725</xdr:colOff>
      <xdr:row>0</xdr:row>
      <xdr:rowOff>47625</xdr:rowOff>
    </xdr:from>
    <xdr:to>
      <xdr:col>3</xdr:col>
      <xdr:colOff>295275</xdr:colOff>
      <xdr:row>1</xdr:row>
      <xdr:rowOff>104775</xdr:rowOff>
    </xdr:to>
    <xdr:sp macro="" textlink="">
      <xdr:nvSpPr>
        <xdr:cNvPr id="3" name="TextBox 2">
          <a:hlinkClick xmlns:r="http://schemas.openxmlformats.org/officeDocument/2006/relationships" r:id="rId2"/>
        </xdr:cNvPr>
        <xdr:cNvSpPr txBox="1"/>
      </xdr:nvSpPr>
      <xdr:spPr>
        <a:xfrm>
          <a:off x="1704975" y="47625"/>
          <a:ext cx="12763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Economic Impact</a:t>
          </a:r>
        </a:p>
      </xdr:txBody>
    </xdr:sp>
    <xdr:clientData/>
  </xdr:twoCellAnchor>
  <xdr:twoCellAnchor>
    <xdr:from>
      <xdr:col>4</xdr:col>
      <xdr:colOff>762000</xdr:colOff>
      <xdr:row>0</xdr:row>
      <xdr:rowOff>47625</xdr:rowOff>
    </xdr:from>
    <xdr:to>
      <xdr:col>5</xdr:col>
      <xdr:colOff>561975</xdr:colOff>
      <xdr:row>1</xdr:row>
      <xdr:rowOff>104775</xdr:rowOff>
    </xdr:to>
    <xdr:sp macro="" textlink="">
      <xdr:nvSpPr>
        <xdr:cNvPr id="4" name="TextBox 3">
          <a:hlinkClick xmlns:r="http://schemas.openxmlformats.org/officeDocument/2006/relationships" r:id="rId3"/>
        </xdr:cNvPr>
        <xdr:cNvSpPr txBox="1"/>
      </xdr:nvSpPr>
      <xdr:spPr>
        <a:xfrm>
          <a:off x="4276725" y="47625"/>
          <a:ext cx="106680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3</xdr:col>
      <xdr:colOff>423863</xdr:colOff>
      <xdr:row>0</xdr:row>
      <xdr:rowOff>47625</xdr:rowOff>
    </xdr:from>
    <xdr:to>
      <xdr:col>4</xdr:col>
      <xdr:colOff>633413</xdr:colOff>
      <xdr:row>1</xdr:row>
      <xdr:rowOff>104775</xdr:rowOff>
    </xdr:to>
    <xdr:sp macro="" textlink="">
      <xdr:nvSpPr>
        <xdr:cNvPr id="6" name="TextBox 5">
          <a:hlinkClick xmlns:r="http://schemas.openxmlformats.org/officeDocument/2006/relationships" r:id="rId5"/>
        </xdr:cNvPr>
        <xdr:cNvSpPr txBox="1"/>
      </xdr:nvSpPr>
      <xdr:spPr>
        <a:xfrm>
          <a:off x="3109913" y="47625"/>
          <a:ext cx="12763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Impact Index</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871537"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2</xdr:col>
      <xdr:colOff>85725</xdr:colOff>
      <xdr:row>0</xdr:row>
      <xdr:rowOff>47625</xdr:rowOff>
    </xdr:from>
    <xdr:to>
      <xdr:col>3</xdr:col>
      <xdr:colOff>295275</xdr:colOff>
      <xdr:row>1</xdr:row>
      <xdr:rowOff>104775</xdr:rowOff>
    </xdr:to>
    <xdr:sp macro="" textlink="">
      <xdr:nvSpPr>
        <xdr:cNvPr id="3" name="TextBox 2">
          <a:hlinkClick xmlns:r="http://schemas.openxmlformats.org/officeDocument/2006/relationships" r:id="rId2"/>
        </xdr:cNvPr>
        <xdr:cNvSpPr txBox="1"/>
      </xdr:nvSpPr>
      <xdr:spPr>
        <a:xfrm>
          <a:off x="1704975" y="47625"/>
          <a:ext cx="12763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Economic Impact</a:t>
          </a:r>
        </a:p>
      </xdr:txBody>
    </xdr:sp>
    <xdr:clientData/>
  </xdr:twoCellAnchor>
  <xdr:twoCellAnchor>
    <xdr:from>
      <xdr:col>4</xdr:col>
      <xdr:colOff>762000</xdr:colOff>
      <xdr:row>0</xdr:row>
      <xdr:rowOff>47625</xdr:rowOff>
    </xdr:from>
    <xdr:to>
      <xdr:col>5</xdr:col>
      <xdr:colOff>628650</xdr:colOff>
      <xdr:row>1</xdr:row>
      <xdr:rowOff>104775</xdr:rowOff>
    </xdr:to>
    <xdr:sp macro="" textlink="">
      <xdr:nvSpPr>
        <xdr:cNvPr id="4" name="TextBox 3">
          <a:hlinkClick xmlns:r="http://schemas.openxmlformats.org/officeDocument/2006/relationships" r:id="rId3"/>
        </xdr:cNvPr>
        <xdr:cNvSpPr txBox="1"/>
      </xdr:nvSpPr>
      <xdr:spPr>
        <a:xfrm>
          <a:off x="4562475" y="47625"/>
          <a:ext cx="9334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3</xdr:col>
      <xdr:colOff>423863</xdr:colOff>
      <xdr:row>0</xdr:row>
      <xdr:rowOff>47625</xdr:rowOff>
    </xdr:from>
    <xdr:to>
      <xdr:col>4</xdr:col>
      <xdr:colOff>633413</xdr:colOff>
      <xdr:row>1</xdr:row>
      <xdr:rowOff>104775</xdr:rowOff>
    </xdr:to>
    <xdr:sp macro="" textlink="">
      <xdr:nvSpPr>
        <xdr:cNvPr id="6" name="TextBox 5">
          <a:hlinkClick xmlns:r="http://schemas.openxmlformats.org/officeDocument/2006/relationships" r:id="rId5"/>
        </xdr:cNvPr>
        <xdr:cNvSpPr txBox="1"/>
      </xdr:nvSpPr>
      <xdr:spPr>
        <a:xfrm>
          <a:off x="3109913" y="47625"/>
          <a:ext cx="12763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Impact Index</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1357312"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2</xdr:col>
      <xdr:colOff>85725</xdr:colOff>
      <xdr:row>0</xdr:row>
      <xdr:rowOff>47625</xdr:rowOff>
    </xdr:from>
    <xdr:to>
      <xdr:col>3</xdr:col>
      <xdr:colOff>295275</xdr:colOff>
      <xdr:row>1</xdr:row>
      <xdr:rowOff>104775</xdr:rowOff>
    </xdr:to>
    <xdr:sp macro="" textlink="">
      <xdr:nvSpPr>
        <xdr:cNvPr id="3" name="TextBox 2">
          <a:hlinkClick xmlns:r="http://schemas.openxmlformats.org/officeDocument/2006/relationships" r:id="rId2"/>
        </xdr:cNvPr>
        <xdr:cNvSpPr txBox="1"/>
      </xdr:nvSpPr>
      <xdr:spPr>
        <a:xfrm>
          <a:off x="2190750" y="47625"/>
          <a:ext cx="12763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Economic Impact</a:t>
          </a:r>
        </a:p>
      </xdr:txBody>
    </xdr:sp>
    <xdr:clientData/>
  </xdr:twoCellAnchor>
  <xdr:twoCellAnchor>
    <xdr:from>
      <xdr:col>4</xdr:col>
      <xdr:colOff>762000</xdr:colOff>
      <xdr:row>0</xdr:row>
      <xdr:rowOff>47625</xdr:rowOff>
    </xdr:from>
    <xdr:to>
      <xdr:col>4</xdr:col>
      <xdr:colOff>1695450</xdr:colOff>
      <xdr:row>1</xdr:row>
      <xdr:rowOff>104775</xdr:rowOff>
    </xdr:to>
    <xdr:sp macro="" textlink="">
      <xdr:nvSpPr>
        <xdr:cNvPr id="4" name="TextBox 3">
          <a:hlinkClick xmlns:r="http://schemas.openxmlformats.org/officeDocument/2006/relationships" r:id="rId3"/>
        </xdr:cNvPr>
        <xdr:cNvSpPr txBox="1"/>
      </xdr:nvSpPr>
      <xdr:spPr>
        <a:xfrm>
          <a:off x="5000625" y="47625"/>
          <a:ext cx="9334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3</xdr:col>
      <xdr:colOff>423863</xdr:colOff>
      <xdr:row>0</xdr:row>
      <xdr:rowOff>47625</xdr:rowOff>
    </xdr:from>
    <xdr:to>
      <xdr:col>4</xdr:col>
      <xdr:colOff>633413</xdr:colOff>
      <xdr:row>1</xdr:row>
      <xdr:rowOff>104775</xdr:rowOff>
    </xdr:to>
    <xdr:sp macro="" textlink="">
      <xdr:nvSpPr>
        <xdr:cNvPr id="6" name="TextBox 5">
          <a:hlinkClick xmlns:r="http://schemas.openxmlformats.org/officeDocument/2006/relationships" r:id="rId5"/>
        </xdr:cNvPr>
        <xdr:cNvSpPr txBox="1"/>
      </xdr:nvSpPr>
      <xdr:spPr>
        <a:xfrm>
          <a:off x="3595688" y="47625"/>
          <a:ext cx="12763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Impact Index</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871537"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1</xdr:col>
      <xdr:colOff>865187</xdr:colOff>
      <xdr:row>0</xdr:row>
      <xdr:rowOff>47625</xdr:rowOff>
    </xdr:from>
    <xdr:to>
      <xdr:col>3</xdr:col>
      <xdr:colOff>46037</xdr:colOff>
      <xdr:row>1</xdr:row>
      <xdr:rowOff>104775</xdr:rowOff>
    </xdr:to>
    <xdr:sp macro="" textlink="">
      <xdr:nvSpPr>
        <xdr:cNvPr id="3" name="TextBox 2">
          <a:hlinkClick xmlns:r="http://schemas.openxmlformats.org/officeDocument/2006/relationships" r:id="rId2"/>
        </xdr:cNvPr>
        <xdr:cNvSpPr txBox="1"/>
      </xdr:nvSpPr>
      <xdr:spPr>
        <a:xfrm>
          <a:off x="2151062" y="47625"/>
          <a:ext cx="15430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Economic Impact</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3"/>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3</xdr:col>
      <xdr:colOff>173037</xdr:colOff>
      <xdr:row>0</xdr:row>
      <xdr:rowOff>47625</xdr:rowOff>
    </xdr:from>
    <xdr:to>
      <xdr:col>4</xdr:col>
      <xdr:colOff>382587</xdr:colOff>
      <xdr:row>1</xdr:row>
      <xdr:rowOff>104775</xdr:rowOff>
    </xdr:to>
    <xdr:sp macro="" textlink="">
      <xdr:nvSpPr>
        <xdr:cNvPr id="6" name="TextBox 5">
          <a:hlinkClick xmlns:r="http://schemas.openxmlformats.org/officeDocument/2006/relationships" r:id="rId4"/>
        </xdr:cNvPr>
        <xdr:cNvSpPr txBox="1"/>
      </xdr:nvSpPr>
      <xdr:spPr>
        <a:xfrm>
          <a:off x="3821112" y="47625"/>
          <a:ext cx="115252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Impact Index</a:t>
          </a:r>
        </a:p>
      </xdr:txBody>
    </xdr:sp>
    <xdr:clientData/>
  </xdr:twoCellAnchor>
  <xdr:twoCellAnchor>
    <xdr:from>
      <xdr:col>4</xdr:col>
      <xdr:colOff>509588</xdr:colOff>
      <xdr:row>0</xdr:row>
      <xdr:rowOff>47625</xdr:rowOff>
    </xdr:from>
    <xdr:to>
      <xdr:col>6</xdr:col>
      <xdr:colOff>471488</xdr:colOff>
      <xdr:row>1</xdr:row>
      <xdr:rowOff>104775</xdr:rowOff>
    </xdr:to>
    <xdr:sp macro="" textlink="">
      <xdr:nvSpPr>
        <xdr:cNvPr id="7" name="TextBox 6">
          <a:hlinkClick xmlns:r="http://schemas.openxmlformats.org/officeDocument/2006/relationships" r:id="rId5"/>
        </xdr:cNvPr>
        <xdr:cNvSpPr txBox="1"/>
      </xdr:nvSpPr>
      <xdr:spPr>
        <a:xfrm>
          <a:off x="5100638" y="47625"/>
          <a:ext cx="115252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33337</xdr:colOff>
      <xdr:row>0</xdr:row>
      <xdr:rowOff>47625</xdr:rowOff>
    </xdr:from>
    <xdr:to>
      <xdr:col>1</xdr:col>
      <xdr:colOff>738187</xdr:colOff>
      <xdr:row>1</xdr:row>
      <xdr:rowOff>104775</xdr:rowOff>
    </xdr:to>
    <xdr:sp macro="" textlink="">
      <xdr:nvSpPr>
        <xdr:cNvPr id="2" name="TextBox 1">
          <a:hlinkClick xmlns:r="http://schemas.openxmlformats.org/officeDocument/2006/relationships" r:id="rId1"/>
        </xdr:cNvPr>
        <xdr:cNvSpPr txBox="1"/>
      </xdr:nvSpPr>
      <xdr:spPr>
        <a:xfrm>
          <a:off x="1319212"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1</xdr:col>
      <xdr:colOff>865187</xdr:colOff>
      <xdr:row>0</xdr:row>
      <xdr:rowOff>47625</xdr:rowOff>
    </xdr:from>
    <xdr:to>
      <xdr:col>3</xdr:col>
      <xdr:colOff>46037</xdr:colOff>
      <xdr:row>1</xdr:row>
      <xdr:rowOff>104775</xdr:rowOff>
    </xdr:to>
    <xdr:sp macro="" textlink="">
      <xdr:nvSpPr>
        <xdr:cNvPr id="3" name="TextBox 2">
          <a:hlinkClick xmlns:r="http://schemas.openxmlformats.org/officeDocument/2006/relationships" r:id="rId2"/>
        </xdr:cNvPr>
        <xdr:cNvSpPr txBox="1"/>
      </xdr:nvSpPr>
      <xdr:spPr>
        <a:xfrm>
          <a:off x="2151062" y="47625"/>
          <a:ext cx="15430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Economic Impact</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4" name="TextBox 3">
          <a:hlinkClick xmlns:r="http://schemas.openxmlformats.org/officeDocument/2006/relationships" r:id="rId3"/>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3</xdr:col>
      <xdr:colOff>173037</xdr:colOff>
      <xdr:row>0</xdr:row>
      <xdr:rowOff>47625</xdr:rowOff>
    </xdr:from>
    <xdr:to>
      <xdr:col>4</xdr:col>
      <xdr:colOff>382587</xdr:colOff>
      <xdr:row>1</xdr:row>
      <xdr:rowOff>104775</xdr:rowOff>
    </xdr:to>
    <xdr:sp macro="" textlink="">
      <xdr:nvSpPr>
        <xdr:cNvPr id="5" name="TextBox 4">
          <a:hlinkClick xmlns:r="http://schemas.openxmlformats.org/officeDocument/2006/relationships" r:id="rId4"/>
        </xdr:cNvPr>
        <xdr:cNvSpPr txBox="1"/>
      </xdr:nvSpPr>
      <xdr:spPr>
        <a:xfrm>
          <a:off x="3821112" y="47625"/>
          <a:ext cx="115252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Impact Index</a:t>
          </a:r>
        </a:p>
      </xdr:txBody>
    </xdr:sp>
    <xdr:clientData/>
  </xdr:twoCellAnchor>
  <xdr:twoCellAnchor>
    <xdr:from>
      <xdr:col>4</xdr:col>
      <xdr:colOff>509589</xdr:colOff>
      <xdr:row>0</xdr:row>
      <xdr:rowOff>47625</xdr:rowOff>
    </xdr:from>
    <xdr:to>
      <xdr:col>6</xdr:col>
      <xdr:colOff>104776</xdr:colOff>
      <xdr:row>1</xdr:row>
      <xdr:rowOff>104775</xdr:rowOff>
    </xdr:to>
    <xdr:sp macro="" textlink="">
      <xdr:nvSpPr>
        <xdr:cNvPr id="6" name="TextBox 5">
          <a:hlinkClick xmlns:r="http://schemas.openxmlformats.org/officeDocument/2006/relationships" r:id="rId5"/>
        </xdr:cNvPr>
        <xdr:cNvSpPr txBox="1"/>
      </xdr:nvSpPr>
      <xdr:spPr>
        <a:xfrm>
          <a:off x="4271964" y="47625"/>
          <a:ext cx="1128712"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2</xdr:col>
      <xdr:colOff>3586366</xdr:colOff>
      <xdr:row>0</xdr:row>
      <xdr:rowOff>47625</xdr:rowOff>
    </xdr:from>
    <xdr:to>
      <xdr:col>3</xdr:col>
      <xdr:colOff>1255105</xdr:colOff>
      <xdr:row>1</xdr:row>
      <xdr:rowOff>104775</xdr:rowOff>
    </xdr:to>
    <xdr:sp macro="" textlink="">
      <xdr:nvSpPr>
        <xdr:cNvPr id="3" name="TextBox 2">
          <a:hlinkClick xmlns:r="http://schemas.openxmlformats.org/officeDocument/2006/relationships" r:id="rId1"/>
        </xdr:cNvPr>
        <xdr:cNvSpPr txBox="1"/>
      </xdr:nvSpPr>
      <xdr:spPr>
        <a:xfrm>
          <a:off x="6129541" y="47625"/>
          <a:ext cx="1326339"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Economic Impact</a:t>
          </a:r>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2"/>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1</xdr:col>
      <xdr:colOff>949551</xdr:colOff>
      <xdr:row>0</xdr:row>
      <xdr:rowOff>47625</xdr:rowOff>
    </xdr:from>
    <xdr:to>
      <xdr:col>2</xdr:col>
      <xdr:colOff>286611</xdr:colOff>
      <xdr:row>1</xdr:row>
      <xdr:rowOff>104775</xdr:rowOff>
    </xdr:to>
    <xdr:sp macro="" textlink="">
      <xdr:nvSpPr>
        <xdr:cNvPr id="6" name="TextBox 5">
          <a:hlinkClick xmlns:r="http://schemas.openxmlformats.org/officeDocument/2006/relationships" r:id="rId3"/>
        </xdr:cNvPr>
        <xdr:cNvSpPr txBox="1"/>
      </xdr:nvSpPr>
      <xdr:spPr>
        <a:xfrm>
          <a:off x="1835376" y="47625"/>
          <a:ext cx="99441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Point</a:t>
          </a:r>
          <a:r>
            <a:rPr lang="en-US" sz="1100" baseline="0"/>
            <a:t> Sources</a:t>
          </a:r>
          <a:endParaRPr lang="en-US" sz="1100"/>
        </a:p>
      </xdr:txBody>
    </xdr:sp>
    <xdr:clientData/>
  </xdr:twoCellAnchor>
  <xdr:twoCellAnchor>
    <xdr:from>
      <xdr:col>2</xdr:col>
      <xdr:colOff>1867006</xdr:colOff>
      <xdr:row>0</xdr:row>
      <xdr:rowOff>47625</xdr:rowOff>
    </xdr:from>
    <xdr:to>
      <xdr:col>2</xdr:col>
      <xdr:colOff>3455965</xdr:colOff>
      <xdr:row>1</xdr:row>
      <xdr:rowOff>104775</xdr:rowOff>
    </xdr:to>
    <xdr:sp macro="" textlink="">
      <xdr:nvSpPr>
        <xdr:cNvPr id="7" name="TextBox 6">
          <a:hlinkClick xmlns:r="http://schemas.openxmlformats.org/officeDocument/2006/relationships" r:id="rId4"/>
        </xdr:cNvPr>
        <xdr:cNvSpPr txBox="1"/>
      </xdr:nvSpPr>
      <xdr:spPr>
        <a:xfrm>
          <a:off x="4410181" y="47625"/>
          <a:ext cx="1588959"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Planning and Mitigation</a:t>
          </a:r>
        </a:p>
      </xdr:txBody>
    </xdr:sp>
    <xdr:clientData/>
  </xdr:twoCellAnchor>
  <xdr:twoCellAnchor>
    <xdr:from>
      <xdr:col>2</xdr:col>
      <xdr:colOff>417012</xdr:colOff>
      <xdr:row>0</xdr:row>
      <xdr:rowOff>47625</xdr:rowOff>
    </xdr:from>
    <xdr:to>
      <xdr:col>2</xdr:col>
      <xdr:colOff>1736605</xdr:colOff>
      <xdr:row>1</xdr:row>
      <xdr:rowOff>104775</xdr:rowOff>
    </xdr:to>
    <xdr:sp macro="" textlink="">
      <xdr:nvSpPr>
        <xdr:cNvPr id="8" name="TextBox 7">
          <a:hlinkClick xmlns:r="http://schemas.openxmlformats.org/officeDocument/2006/relationships" r:id="rId5"/>
        </xdr:cNvPr>
        <xdr:cNvSpPr txBox="1"/>
      </xdr:nvSpPr>
      <xdr:spPr>
        <a:xfrm>
          <a:off x="2960187" y="47625"/>
          <a:ext cx="1319593"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Nonoint</a:t>
          </a:r>
          <a:r>
            <a:rPr lang="en-US" sz="1100" baseline="0"/>
            <a:t> Sources</a:t>
          </a:r>
          <a:endParaRPr lang="en-US" sz="1100"/>
        </a:p>
      </xdr:txBody>
    </xdr:sp>
    <xdr:clientData/>
  </xdr:twoCellAnchor>
  <xdr:twoCellAnchor>
    <xdr:from>
      <xdr:col>3</xdr:col>
      <xdr:colOff>1385507</xdr:colOff>
      <xdr:row>0</xdr:row>
      <xdr:rowOff>47625</xdr:rowOff>
    </xdr:from>
    <xdr:to>
      <xdr:col>3</xdr:col>
      <xdr:colOff>2438401</xdr:colOff>
      <xdr:row>1</xdr:row>
      <xdr:rowOff>104775</xdr:rowOff>
    </xdr:to>
    <xdr:sp macro="" textlink="">
      <xdr:nvSpPr>
        <xdr:cNvPr id="9" name="TextBox 8">
          <a:hlinkClick xmlns:r="http://schemas.openxmlformats.org/officeDocument/2006/relationships" r:id="rId6"/>
        </xdr:cNvPr>
        <xdr:cNvSpPr txBox="1"/>
      </xdr:nvSpPr>
      <xdr:spPr>
        <a:xfrm>
          <a:off x="7586282" y="47625"/>
          <a:ext cx="1052894"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twoCellAnchor>
    <xdr:from>
      <xdr:col>1</xdr:col>
      <xdr:colOff>71057</xdr:colOff>
      <xdr:row>0</xdr:row>
      <xdr:rowOff>47625</xdr:rowOff>
    </xdr:from>
    <xdr:to>
      <xdr:col>1</xdr:col>
      <xdr:colOff>819150</xdr:colOff>
      <xdr:row>1</xdr:row>
      <xdr:rowOff>104775</xdr:rowOff>
    </xdr:to>
    <xdr:sp macro="" textlink="">
      <xdr:nvSpPr>
        <xdr:cNvPr id="10" name="TextBox 9">
          <a:hlinkClick xmlns:r="http://schemas.openxmlformats.org/officeDocument/2006/relationships" r:id="rId7"/>
        </xdr:cNvPr>
        <xdr:cNvSpPr txBox="1"/>
      </xdr:nvSpPr>
      <xdr:spPr>
        <a:xfrm>
          <a:off x="956882" y="47625"/>
          <a:ext cx="748093"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902970</xdr:colOff>
      <xdr:row>0</xdr:row>
      <xdr:rowOff>47625</xdr:rowOff>
    </xdr:from>
    <xdr:to>
      <xdr:col>0</xdr:col>
      <xdr:colOff>1607820</xdr:colOff>
      <xdr:row>1</xdr:row>
      <xdr:rowOff>104775</xdr:rowOff>
    </xdr:to>
    <xdr:sp macro="" textlink="">
      <xdr:nvSpPr>
        <xdr:cNvPr id="2" name="TextBox 1">
          <a:hlinkClick xmlns:r="http://schemas.openxmlformats.org/officeDocument/2006/relationships" r:id="rId1"/>
        </xdr:cNvPr>
        <xdr:cNvSpPr txBox="1"/>
      </xdr:nvSpPr>
      <xdr:spPr>
        <a:xfrm>
          <a:off x="902970"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1</xdr:col>
      <xdr:colOff>4565715</xdr:colOff>
      <xdr:row>0</xdr:row>
      <xdr:rowOff>47625</xdr:rowOff>
    </xdr:from>
    <xdr:to>
      <xdr:col>1</xdr:col>
      <xdr:colOff>5803965</xdr:colOff>
      <xdr:row>1</xdr:row>
      <xdr:rowOff>104775</xdr:rowOff>
    </xdr:to>
    <xdr:sp macro="" textlink="">
      <xdr:nvSpPr>
        <xdr:cNvPr id="3" name="TextBox 2">
          <a:hlinkClick xmlns:r="http://schemas.openxmlformats.org/officeDocument/2006/relationships" r:id="rId2"/>
        </xdr:cNvPr>
        <xdr:cNvSpPr txBox="1"/>
      </xdr:nvSpPr>
      <xdr:spPr>
        <a:xfrm>
          <a:off x="6213540" y="47625"/>
          <a:ext cx="12382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Economic Impact</a:t>
          </a:r>
        </a:p>
      </xdr:txBody>
    </xdr:sp>
    <xdr:clientData/>
  </xdr:twoCellAnchor>
  <xdr:twoCellAnchor>
    <xdr:from>
      <xdr:col>1</xdr:col>
      <xdr:colOff>1252729</xdr:colOff>
      <xdr:row>0</xdr:row>
      <xdr:rowOff>47625</xdr:rowOff>
    </xdr:from>
    <xdr:to>
      <xdr:col>1</xdr:col>
      <xdr:colOff>2519554</xdr:colOff>
      <xdr:row>1</xdr:row>
      <xdr:rowOff>104775</xdr:rowOff>
    </xdr:to>
    <xdr:sp macro="" textlink="">
      <xdr:nvSpPr>
        <xdr:cNvPr id="4" name="TextBox 3">
          <a:hlinkClick xmlns:r="http://schemas.openxmlformats.org/officeDocument/2006/relationships" r:id="rId3"/>
        </xdr:cNvPr>
        <xdr:cNvSpPr txBox="1"/>
      </xdr:nvSpPr>
      <xdr:spPr>
        <a:xfrm>
          <a:off x="2900554" y="47625"/>
          <a:ext cx="126682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Nonpoint Source</a:t>
          </a:r>
          <a:r>
            <a:rPr lang="en-US" sz="1100" baseline="0"/>
            <a:t>s</a:t>
          </a:r>
          <a:endParaRPr lang="en-US" sz="1100"/>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1</xdr:col>
      <xdr:colOff>109157</xdr:colOff>
      <xdr:row>0</xdr:row>
      <xdr:rowOff>47625</xdr:rowOff>
    </xdr:from>
    <xdr:to>
      <xdr:col>1</xdr:col>
      <xdr:colOff>1103567</xdr:colOff>
      <xdr:row>1</xdr:row>
      <xdr:rowOff>104775</xdr:rowOff>
    </xdr:to>
    <xdr:sp macro="" textlink="">
      <xdr:nvSpPr>
        <xdr:cNvPr id="6" name="TextBox 5">
          <a:hlinkClick xmlns:r="http://schemas.openxmlformats.org/officeDocument/2006/relationships" r:id="rId5"/>
        </xdr:cNvPr>
        <xdr:cNvSpPr txBox="1"/>
      </xdr:nvSpPr>
      <xdr:spPr>
        <a:xfrm>
          <a:off x="1756982" y="47625"/>
          <a:ext cx="99441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Point</a:t>
          </a:r>
          <a:r>
            <a:rPr lang="en-US" sz="1100" baseline="0"/>
            <a:t> Sources</a:t>
          </a:r>
          <a:endParaRPr lang="en-US" sz="1100"/>
        </a:p>
      </xdr:txBody>
    </xdr:sp>
    <xdr:clientData/>
  </xdr:twoCellAnchor>
  <xdr:twoCellAnchor>
    <xdr:from>
      <xdr:col>1</xdr:col>
      <xdr:colOff>2668716</xdr:colOff>
      <xdr:row>0</xdr:row>
      <xdr:rowOff>47625</xdr:rowOff>
    </xdr:from>
    <xdr:to>
      <xdr:col>1</xdr:col>
      <xdr:colOff>4416553</xdr:colOff>
      <xdr:row>1</xdr:row>
      <xdr:rowOff>104775</xdr:rowOff>
    </xdr:to>
    <xdr:sp macro="" textlink="">
      <xdr:nvSpPr>
        <xdr:cNvPr id="7" name="TextBox 6">
          <a:hlinkClick xmlns:r="http://schemas.openxmlformats.org/officeDocument/2006/relationships" r:id="rId6"/>
        </xdr:cNvPr>
        <xdr:cNvSpPr txBox="1"/>
      </xdr:nvSpPr>
      <xdr:spPr>
        <a:xfrm>
          <a:off x="4316541" y="47625"/>
          <a:ext cx="1747837"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Planning and Mitigation</a:t>
          </a:r>
        </a:p>
      </xdr:txBody>
    </xdr:sp>
    <xdr:clientData/>
  </xdr:twoCellAnchor>
  <xdr:twoCellAnchor>
    <xdr:from>
      <xdr:col>1</xdr:col>
      <xdr:colOff>5962650</xdr:colOff>
      <xdr:row>0</xdr:row>
      <xdr:rowOff>47625</xdr:rowOff>
    </xdr:from>
    <xdr:to>
      <xdr:col>1</xdr:col>
      <xdr:colOff>7015544</xdr:colOff>
      <xdr:row>1</xdr:row>
      <xdr:rowOff>104775</xdr:rowOff>
    </xdr:to>
    <xdr:sp macro="" textlink="">
      <xdr:nvSpPr>
        <xdr:cNvPr id="9" name="TextBox 8">
          <a:hlinkClick xmlns:r="http://schemas.openxmlformats.org/officeDocument/2006/relationships" r:id="rId7"/>
        </xdr:cNvPr>
        <xdr:cNvSpPr txBox="1"/>
      </xdr:nvSpPr>
      <xdr:spPr>
        <a:xfrm>
          <a:off x="7610475" y="47625"/>
          <a:ext cx="1052894"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References</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902970</xdr:colOff>
      <xdr:row>0</xdr:row>
      <xdr:rowOff>47625</xdr:rowOff>
    </xdr:from>
    <xdr:to>
      <xdr:col>0</xdr:col>
      <xdr:colOff>1607820</xdr:colOff>
      <xdr:row>1</xdr:row>
      <xdr:rowOff>104775</xdr:rowOff>
    </xdr:to>
    <xdr:sp macro="" textlink="">
      <xdr:nvSpPr>
        <xdr:cNvPr id="2" name="TextBox 1">
          <a:hlinkClick xmlns:r="http://schemas.openxmlformats.org/officeDocument/2006/relationships" r:id="rId1"/>
        </xdr:cNvPr>
        <xdr:cNvSpPr txBox="1"/>
      </xdr:nvSpPr>
      <xdr:spPr>
        <a:xfrm>
          <a:off x="902970"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1</xdr:col>
      <xdr:colOff>3581400</xdr:colOff>
      <xdr:row>0</xdr:row>
      <xdr:rowOff>47625</xdr:rowOff>
    </xdr:from>
    <xdr:to>
      <xdr:col>1</xdr:col>
      <xdr:colOff>4819650</xdr:colOff>
      <xdr:row>1</xdr:row>
      <xdr:rowOff>104775</xdr:rowOff>
    </xdr:to>
    <xdr:sp macro="" textlink="">
      <xdr:nvSpPr>
        <xdr:cNvPr id="3" name="TextBox 2">
          <a:hlinkClick xmlns:r="http://schemas.openxmlformats.org/officeDocument/2006/relationships" r:id="rId2"/>
        </xdr:cNvPr>
        <xdr:cNvSpPr txBox="1"/>
      </xdr:nvSpPr>
      <xdr:spPr>
        <a:xfrm>
          <a:off x="6257925" y="47625"/>
          <a:ext cx="12382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Economic Impact</a:t>
          </a:r>
        </a:p>
      </xdr:txBody>
    </xdr:sp>
    <xdr:clientData/>
  </xdr:twoCellAnchor>
  <xdr:twoCellAnchor>
    <xdr:from>
      <xdr:col>1</xdr:col>
      <xdr:colOff>265747</xdr:colOff>
      <xdr:row>0</xdr:row>
      <xdr:rowOff>47625</xdr:rowOff>
    </xdr:from>
    <xdr:to>
      <xdr:col>1</xdr:col>
      <xdr:colOff>1532572</xdr:colOff>
      <xdr:row>1</xdr:row>
      <xdr:rowOff>104775</xdr:rowOff>
    </xdr:to>
    <xdr:sp macro="" textlink="">
      <xdr:nvSpPr>
        <xdr:cNvPr id="4" name="TextBox 3">
          <a:hlinkClick xmlns:r="http://schemas.openxmlformats.org/officeDocument/2006/relationships" r:id="rId3"/>
        </xdr:cNvPr>
        <xdr:cNvSpPr txBox="1"/>
      </xdr:nvSpPr>
      <xdr:spPr>
        <a:xfrm>
          <a:off x="2942272" y="47625"/>
          <a:ext cx="126682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Nonpoint Source</a:t>
          </a:r>
          <a:r>
            <a:rPr lang="en-US" sz="1100" baseline="0"/>
            <a:t>s</a:t>
          </a:r>
          <a:endParaRPr lang="en-US" sz="1100"/>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0</xdr:col>
      <xdr:colOff>1758315</xdr:colOff>
      <xdr:row>0</xdr:row>
      <xdr:rowOff>47625</xdr:rowOff>
    </xdr:from>
    <xdr:to>
      <xdr:col>1</xdr:col>
      <xdr:colOff>115252</xdr:colOff>
      <xdr:row>1</xdr:row>
      <xdr:rowOff>104775</xdr:rowOff>
    </xdr:to>
    <xdr:sp macro="" textlink="">
      <xdr:nvSpPr>
        <xdr:cNvPr id="6" name="TextBox 5">
          <a:hlinkClick xmlns:r="http://schemas.openxmlformats.org/officeDocument/2006/relationships" r:id="rId5"/>
        </xdr:cNvPr>
        <xdr:cNvSpPr txBox="1"/>
      </xdr:nvSpPr>
      <xdr:spPr>
        <a:xfrm>
          <a:off x="1758315" y="47625"/>
          <a:ext cx="1033462"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Point</a:t>
          </a:r>
          <a:r>
            <a:rPr lang="en-US" sz="1100" baseline="0"/>
            <a:t> Sources</a:t>
          </a:r>
          <a:endParaRPr lang="en-US" sz="1100"/>
        </a:p>
      </xdr:txBody>
    </xdr:sp>
    <xdr:clientData/>
  </xdr:twoCellAnchor>
  <xdr:twoCellAnchor>
    <xdr:from>
      <xdr:col>1</xdr:col>
      <xdr:colOff>1683067</xdr:colOff>
      <xdr:row>0</xdr:row>
      <xdr:rowOff>47625</xdr:rowOff>
    </xdr:from>
    <xdr:to>
      <xdr:col>1</xdr:col>
      <xdr:colOff>3430904</xdr:colOff>
      <xdr:row>1</xdr:row>
      <xdr:rowOff>104775</xdr:rowOff>
    </xdr:to>
    <xdr:sp macro="" textlink="">
      <xdr:nvSpPr>
        <xdr:cNvPr id="7" name="TextBox 6">
          <a:hlinkClick xmlns:r="http://schemas.openxmlformats.org/officeDocument/2006/relationships" r:id="rId6"/>
        </xdr:cNvPr>
        <xdr:cNvSpPr txBox="1"/>
      </xdr:nvSpPr>
      <xdr:spPr>
        <a:xfrm>
          <a:off x="4359592" y="47625"/>
          <a:ext cx="1747837"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Planning and Mitigation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66675</xdr:colOff>
      <xdr:row>0</xdr:row>
      <xdr:rowOff>47625</xdr:rowOff>
    </xdr:from>
    <xdr:to>
      <xdr:col>1</xdr:col>
      <xdr:colOff>771525</xdr:colOff>
      <xdr:row>1</xdr:row>
      <xdr:rowOff>104775</xdr:rowOff>
    </xdr:to>
    <xdr:sp macro="" textlink="">
      <xdr:nvSpPr>
        <xdr:cNvPr id="2" name="TextBox 1">
          <a:hlinkClick xmlns:r="http://schemas.openxmlformats.org/officeDocument/2006/relationships" r:id="rId1"/>
        </xdr:cNvPr>
        <xdr:cNvSpPr txBox="1"/>
      </xdr:nvSpPr>
      <xdr:spPr>
        <a:xfrm>
          <a:off x="904875" y="47625"/>
          <a:ext cx="7048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7</xdr:col>
      <xdr:colOff>9525</xdr:colOff>
      <xdr:row>0</xdr:row>
      <xdr:rowOff>47625</xdr:rowOff>
    </xdr:from>
    <xdr:to>
      <xdr:col>9</xdr:col>
      <xdr:colOff>28575</xdr:colOff>
      <xdr:row>1</xdr:row>
      <xdr:rowOff>104775</xdr:rowOff>
    </xdr:to>
    <xdr:sp macro="" textlink="">
      <xdr:nvSpPr>
        <xdr:cNvPr id="3" name="TextBox 2">
          <a:hlinkClick xmlns:r="http://schemas.openxmlformats.org/officeDocument/2006/relationships" r:id="rId2"/>
        </xdr:cNvPr>
        <xdr:cNvSpPr txBox="1"/>
      </xdr:nvSpPr>
      <xdr:spPr>
        <a:xfrm>
          <a:off x="6286500" y="47625"/>
          <a:ext cx="12382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Economic Impact</a:t>
          </a:r>
        </a:p>
      </xdr:txBody>
    </xdr:sp>
    <xdr:clientData/>
  </xdr:twoCellAnchor>
  <xdr:twoCellAnchor>
    <xdr:from>
      <xdr:col>3</xdr:col>
      <xdr:colOff>242887</xdr:colOff>
      <xdr:row>0</xdr:row>
      <xdr:rowOff>47625</xdr:rowOff>
    </xdr:from>
    <xdr:to>
      <xdr:col>5</xdr:col>
      <xdr:colOff>157162</xdr:colOff>
      <xdr:row>1</xdr:row>
      <xdr:rowOff>104775</xdr:rowOff>
    </xdr:to>
    <xdr:sp macro="" textlink="">
      <xdr:nvSpPr>
        <xdr:cNvPr id="4" name="TextBox 3">
          <a:hlinkClick xmlns:r="http://schemas.openxmlformats.org/officeDocument/2006/relationships" r:id="rId3"/>
        </xdr:cNvPr>
        <xdr:cNvSpPr txBox="1"/>
      </xdr:nvSpPr>
      <xdr:spPr>
        <a:xfrm>
          <a:off x="2967037" y="47625"/>
          <a:ext cx="126682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Nonpoint Source</a:t>
          </a:r>
          <a:r>
            <a:rPr lang="en-US" sz="1100" baseline="0"/>
            <a:t>s</a:t>
          </a:r>
          <a:endParaRPr lang="en-US" sz="1100"/>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1</xdr:col>
      <xdr:colOff>923925</xdr:colOff>
      <xdr:row>0</xdr:row>
      <xdr:rowOff>47625</xdr:rowOff>
    </xdr:from>
    <xdr:to>
      <xdr:col>3</xdr:col>
      <xdr:colOff>90487</xdr:colOff>
      <xdr:row>1</xdr:row>
      <xdr:rowOff>104775</xdr:rowOff>
    </xdr:to>
    <xdr:sp macro="" textlink="">
      <xdr:nvSpPr>
        <xdr:cNvPr id="6" name="TextBox 5">
          <a:hlinkClick xmlns:r="http://schemas.openxmlformats.org/officeDocument/2006/relationships" r:id="rId5"/>
        </xdr:cNvPr>
        <xdr:cNvSpPr txBox="1"/>
      </xdr:nvSpPr>
      <xdr:spPr>
        <a:xfrm>
          <a:off x="1762125" y="47625"/>
          <a:ext cx="1052512"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Point</a:t>
          </a:r>
          <a:r>
            <a:rPr lang="en-US" sz="1100" baseline="0"/>
            <a:t> Sources</a:t>
          </a:r>
          <a:endParaRPr lang="en-US" sz="1100"/>
        </a:p>
      </xdr:txBody>
    </xdr:sp>
    <xdr:clientData/>
  </xdr:twoCellAnchor>
  <xdr:twoCellAnchor>
    <xdr:from>
      <xdr:col>5</xdr:col>
      <xdr:colOff>309562</xdr:colOff>
      <xdr:row>0</xdr:row>
      <xdr:rowOff>47625</xdr:rowOff>
    </xdr:from>
    <xdr:to>
      <xdr:col>6</xdr:col>
      <xdr:colOff>466724</xdr:colOff>
      <xdr:row>1</xdr:row>
      <xdr:rowOff>104775</xdr:rowOff>
    </xdr:to>
    <xdr:sp macro="" textlink="">
      <xdr:nvSpPr>
        <xdr:cNvPr id="7" name="TextBox 6">
          <a:hlinkClick xmlns:r="http://schemas.openxmlformats.org/officeDocument/2006/relationships" r:id="rId6"/>
        </xdr:cNvPr>
        <xdr:cNvSpPr txBox="1"/>
      </xdr:nvSpPr>
      <xdr:spPr>
        <a:xfrm>
          <a:off x="4386262" y="47625"/>
          <a:ext cx="1747837"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Planning and Mitigation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152400</xdr:colOff>
      <xdr:row>0</xdr:row>
      <xdr:rowOff>47625</xdr:rowOff>
    </xdr:from>
    <xdr:to>
      <xdr:col>2</xdr:col>
      <xdr:colOff>133350</xdr:colOff>
      <xdr:row>1</xdr:row>
      <xdr:rowOff>104775</xdr:rowOff>
    </xdr:to>
    <xdr:sp macro="" textlink="">
      <xdr:nvSpPr>
        <xdr:cNvPr id="2" name="TextBox 1">
          <a:hlinkClick xmlns:r="http://schemas.openxmlformats.org/officeDocument/2006/relationships" r:id="rId1"/>
        </xdr:cNvPr>
        <xdr:cNvSpPr txBox="1"/>
      </xdr:nvSpPr>
      <xdr:spPr>
        <a:xfrm>
          <a:off x="857250" y="47625"/>
          <a:ext cx="77152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File Info</a:t>
          </a:r>
        </a:p>
      </xdr:txBody>
    </xdr:sp>
    <xdr:clientData/>
  </xdr:twoCellAnchor>
  <xdr:twoCellAnchor>
    <xdr:from>
      <xdr:col>7</xdr:col>
      <xdr:colOff>266700</xdr:colOff>
      <xdr:row>0</xdr:row>
      <xdr:rowOff>47625</xdr:rowOff>
    </xdr:from>
    <xdr:to>
      <xdr:col>9</xdr:col>
      <xdr:colOff>285750</xdr:colOff>
      <xdr:row>1</xdr:row>
      <xdr:rowOff>104775</xdr:rowOff>
    </xdr:to>
    <xdr:sp macro="" textlink="">
      <xdr:nvSpPr>
        <xdr:cNvPr id="3" name="TextBox 2">
          <a:hlinkClick xmlns:r="http://schemas.openxmlformats.org/officeDocument/2006/relationships" r:id="rId2"/>
        </xdr:cNvPr>
        <xdr:cNvSpPr txBox="1"/>
      </xdr:nvSpPr>
      <xdr:spPr>
        <a:xfrm>
          <a:off x="6343650" y="47625"/>
          <a:ext cx="1238250"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Economic Impact</a:t>
          </a:r>
        </a:p>
      </xdr:txBody>
    </xdr:sp>
    <xdr:clientData/>
  </xdr:twoCellAnchor>
  <xdr:twoCellAnchor>
    <xdr:from>
      <xdr:col>3</xdr:col>
      <xdr:colOff>590550</xdr:colOff>
      <xdr:row>0</xdr:row>
      <xdr:rowOff>47625</xdr:rowOff>
    </xdr:from>
    <xdr:to>
      <xdr:col>5</xdr:col>
      <xdr:colOff>377969</xdr:colOff>
      <xdr:row>1</xdr:row>
      <xdr:rowOff>104775</xdr:rowOff>
    </xdr:to>
    <xdr:sp macro="" textlink="">
      <xdr:nvSpPr>
        <xdr:cNvPr id="4" name="TextBox 3">
          <a:hlinkClick xmlns:r="http://schemas.openxmlformats.org/officeDocument/2006/relationships" r:id="rId3"/>
        </xdr:cNvPr>
        <xdr:cNvSpPr txBox="1"/>
      </xdr:nvSpPr>
      <xdr:spPr>
        <a:xfrm>
          <a:off x="2876550" y="47625"/>
          <a:ext cx="1206644"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Nonpoint Source</a:t>
          </a:r>
          <a:r>
            <a:rPr lang="en-US" sz="1100" baseline="0"/>
            <a:t>s</a:t>
          </a:r>
          <a:endParaRPr lang="en-US" sz="1100"/>
        </a:p>
      </xdr:txBody>
    </xdr:sp>
    <xdr:clientData/>
  </xdr:twoCellAnchor>
  <xdr:twoCellAnchor>
    <xdr:from>
      <xdr:col>0</xdr:col>
      <xdr:colOff>95249</xdr:colOff>
      <xdr:row>0</xdr:row>
      <xdr:rowOff>47625</xdr:rowOff>
    </xdr:from>
    <xdr:to>
      <xdr:col>0</xdr:col>
      <xdr:colOff>752475</xdr:colOff>
      <xdr:row>1</xdr:row>
      <xdr:rowOff>104775</xdr:rowOff>
    </xdr:to>
    <xdr:sp macro="" textlink="">
      <xdr:nvSpPr>
        <xdr:cNvPr id="5" name="TextBox 4">
          <a:hlinkClick xmlns:r="http://schemas.openxmlformats.org/officeDocument/2006/relationships" r:id="rId4"/>
        </xdr:cNvPr>
        <xdr:cNvSpPr txBox="1"/>
      </xdr:nvSpPr>
      <xdr:spPr>
        <a:xfrm>
          <a:off x="95249" y="47625"/>
          <a:ext cx="657226" cy="266700"/>
        </a:xfrm>
        <a:prstGeom prst="rect">
          <a:avLst/>
        </a:prstGeom>
        <a:solidFill>
          <a:schemeClr val="accent4">
            <a:lumMod val="60000"/>
            <a:lumOff val="4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b="1"/>
            <a:t>GO TO</a:t>
          </a:r>
        </a:p>
      </xdr:txBody>
    </xdr:sp>
    <xdr:clientData/>
  </xdr:twoCellAnchor>
  <xdr:twoCellAnchor>
    <xdr:from>
      <xdr:col>2</xdr:col>
      <xdr:colOff>257175</xdr:colOff>
      <xdr:row>0</xdr:row>
      <xdr:rowOff>47625</xdr:rowOff>
    </xdr:from>
    <xdr:to>
      <xdr:col>3</xdr:col>
      <xdr:colOff>485775</xdr:colOff>
      <xdr:row>1</xdr:row>
      <xdr:rowOff>104775</xdr:rowOff>
    </xdr:to>
    <xdr:sp macro="" textlink="">
      <xdr:nvSpPr>
        <xdr:cNvPr id="6" name="TextBox 5">
          <a:hlinkClick xmlns:r="http://schemas.openxmlformats.org/officeDocument/2006/relationships" r:id="rId5"/>
        </xdr:cNvPr>
        <xdr:cNvSpPr txBox="1"/>
      </xdr:nvSpPr>
      <xdr:spPr>
        <a:xfrm>
          <a:off x="1752600" y="47625"/>
          <a:ext cx="1019175"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Point</a:t>
          </a:r>
          <a:r>
            <a:rPr lang="en-US" sz="1100" baseline="0"/>
            <a:t> Sources</a:t>
          </a:r>
          <a:endParaRPr lang="en-US" sz="1100"/>
        </a:p>
      </xdr:txBody>
    </xdr:sp>
    <xdr:clientData/>
  </xdr:twoCellAnchor>
  <xdr:twoCellAnchor>
    <xdr:from>
      <xdr:col>5</xdr:col>
      <xdr:colOff>566737</xdr:colOff>
      <xdr:row>0</xdr:row>
      <xdr:rowOff>47625</xdr:rowOff>
    </xdr:from>
    <xdr:to>
      <xdr:col>7</xdr:col>
      <xdr:colOff>114299</xdr:colOff>
      <xdr:row>1</xdr:row>
      <xdr:rowOff>104775</xdr:rowOff>
    </xdr:to>
    <xdr:sp macro="" textlink="">
      <xdr:nvSpPr>
        <xdr:cNvPr id="7" name="TextBox 6">
          <a:hlinkClick xmlns:r="http://schemas.openxmlformats.org/officeDocument/2006/relationships" r:id="rId6"/>
        </xdr:cNvPr>
        <xdr:cNvSpPr txBox="1"/>
      </xdr:nvSpPr>
      <xdr:spPr>
        <a:xfrm>
          <a:off x="4519612" y="47625"/>
          <a:ext cx="1671637" cy="2667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pPr algn="ctr"/>
          <a:r>
            <a:rPr lang="en-US" sz="1100"/>
            <a:t>Planning and Mitigation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tt.reusswig/AppData/Local/Microsoft/Windows/Temporary%20Internet%20Files/Content.Outlook/QSXK09E2/C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Info"/>
      <sheetName val="Rates"/>
      <sheetName val="DataPull"/>
    </sheetNames>
    <sheetDataSet>
      <sheetData sheetId="0" refreshError="1"/>
      <sheetData sheetId="1" refreshError="1"/>
      <sheetData sheetId="2">
        <row r="1">
          <cell r="A1" t="str">
            <v>Construction Cost Index History</v>
          </cell>
        </row>
        <row r="2">
          <cell r="A2" t="str">
            <v>Text size: A A</v>
          </cell>
        </row>
        <row r="3">
          <cell r="A3" t="str">
            <v>HOW ENR BUILDS THE INDEX: 200 hours of common labor at the 20-city average of common labor rates, plus 25 cwt of standard structural steel shapes at the mill price prior to 1996 and the fabricated 20-city price from 1996, plus 1.128 tons of portland cement at the 20-city price, plus 1,088 board ft of 2 x 4 lumber at the 20-city price.</v>
          </cell>
        </row>
        <row r="4">
          <cell r="A4" t="str">
            <v>Accessed on February 13, 2011</v>
          </cell>
        </row>
        <row r="5">
          <cell r="A5">
            <v>1</v>
          </cell>
          <cell r="B5">
            <v>2</v>
          </cell>
          <cell r="C5">
            <v>3</v>
          </cell>
          <cell r="D5">
            <v>4</v>
          </cell>
          <cell r="E5">
            <v>5</v>
          </cell>
          <cell r="F5">
            <v>6</v>
          </cell>
          <cell r="G5">
            <v>7</v>
          </cell>
          <cell r="H5">
            <v>8</v>
          </cell>
          <cell r="I5">
            <v>9</v>
          </cell>
          <cell r="J5">
            <v>10</v>
          </cell>
          <cell r="K5">
            <v>11</v>
          </cell>
          <cell r="L5">
            <v>12</v>
          </cell>
          <cell r="M5">
            <v>13</v>
          </cell>
          <cell r="N5">
            <v>14</v>
          </cell>
        </row>
        <row r="6">
          <cell r="A6" t="str">
            <v>ENR's Construction Cost Index History (1990-2012)</v>
          </cell>
        </row>
        <row r="7">
          <cell r="A7" t="str">
            <v>1913=100</v>
          </cell>
          <cell r="B7" t="str">
            <v>JAN</v>
          </cell>
          <cell r="C7" t="str">
            <v>FEB</v>
          </cell>
          <cell r="D7" t="str">
            <v>MAR</v>
          </cell>
          <cell r="E7" t="str">
            <v>APR</v>
          </cell>
          <cell r="F7" t="str">
            <v>MAY</v>
          </cell>
          <cell r="G7" t="str">
            <v>JUN</v>
          </cell>
          <cell r="H7" t="str">
            <v>JUL</v>
          </cell>
          <cell r="I7" t="str">
            <v>AUG</v>
          </cell>
          <cell r="J7" t="str">
            <v>SEP</v>
          </cell>
          <cell r="K7" t="str">
            <v>OCT</v>
          </cell>
          <cell r="L7" t="str">
            <v>NOV</v>
          </cell>
          <cell r="M7" t="str">
            <v>DEC</v>
          </cell>
          <cell r="N7" t="str">
            <v>ANNUAL AVERAGE</v>
          </cell>
        </row>
        <row r="8">
          <cell r="A8" t="str">
            <v>* Revised</v>
          </cell>
        </row>
        <row r="9">
          <cell r="A9">
            <v>1990</v>
          </cell>
          <cell r="B9">
            <v>4680</v>
          </cell>
          <cell r="C9">
            <v>4685</v>
          </cell>
          <cell r="D9">
            <v>4691</v>
          </cell>
          <cell r="E9">
            <v>4693</v>
          </cell>
          <cell r="F9">
            <v>4707</v>
          </cell>
          <cell r="G9">
            <v>4732</v>
          </cell>
          <cell r="H9">
            <v>4734</v>
          </cell>
          <cell r="I9">
            <v>4752</v>
          </cell>
          <cell r="J9">
            <v>4774</v>
          </cell>
          <cell r="K9">
            <v>4771</v>
          </cell>
          <cell r="L9">
            <v>4787</v>
          </cell>
          <cell r="M9">
            <v>4777</v>
          </cell>
          <cell r="N9">
            <v>4732</v>
          </cell>
        </row>
        <row r="10">
          <cell r="A10">
            <v>1991</v>
          </cell>
          <cell r="B10">
            <v>4777</v>
          </cell>
          <cell r="C10">
            <v>4773</v>
          </cell>
          <cell r="D10">
            <v>4772</v>
          </cell>
          <cell r="E10">
            <v>4766</v>
          </cell>
          <cell r="F10">
            <v>4801</v>
          </cell>
          <cell r="G10">
            <v>4818</v>
          </cell>
          <cell r="H10">
            <v>4854</v>
          </cell>
          <cell r="I10">
            <v>4892</v>
          </cell>
          <cell r="J10">
            <v>4891</v>
          </cell>
          <cell r="K10">
            <v>4892</v>
          </cell>
          <cell r="L10">
            <v>4896</v>
          </cell>
          <cell r="M10">
            <v>4889</v>
          </cell>
          <cell r="N10">
            <v>4835</v>
          </cell>
        </row>
        <row r="11">
          <cell r="A11">
            <v>1992</v>
          </cell>
          <cell r="B11">
            <v>4888</v>
          </cell>
          <cell r="C11">
            <v>4884</v>
          </cell>
          <cell r="D11">
            <v>4927</v>
          </cell>
          <cell r="E11">
            <v>4946</v>
          </cell>
          <cell r="F11">
            <v>4965</v>
          </cell>
          <cell r="G11">
            <v>4973</v>
          </cell>
          <cell r="H11">
            <v>4992</v>
          </cell>
          <cell r="I11">
            <v>5032</v>
          </cell>
          <cell r="J11">
            <v>5042</v>
          </cell>
          <cell r="K11">
            <v>5052</v>
          </cell>
          <cell r="L11">
            <v>5058</v>
          </cell>
          <cell r="M11">
            <v>5059</v>
          </cell>
          <cell r="N11">
            <v>4985</v>
          </cell>
        </row>
        <row r="12">
          <cell r="A12">
            <v>1993</v>
          </cell>
          <cell r="B12">
            <v>5071</v>
          </cell>
          <cell r="C12">
            <v>5070</v>
          </cell>
          <cell r="D12">
            <v>5106</v>
          </cell>
          <cell r="E12">
            <v>5167</v>
          </cell>
          <cell r="F12">
            <v>5262</v>
          </cell>
          <cell r="G12">
            <v>5260</v>
          </cell>
          <cell r="H12">
            <v>5252</v>
          </cell>
          <cell r="I12">
            <v>5230</v>
          </cell>
          <cell r="J12">
            <v>5255</v>
          </cell>
          <cell r="K12">
            <v>5264</v>
          </cell>
          <cell r="L12">
            <v>5278</v>
          </cell>
          <cell r="M12">
            <v>5310</v>
          </cell>
          <cell r="N12">
            <v>5210</v>
          </cell>
        </row>
        <row r="13">
          <cell r="A13">
            <v>1994</v>
          </cell>
          <cell r="B13">
            <v>5336</v>
          </cell>
          <cell r="C13">
            <v>5371</v>
          </cell>
          <cell r="D13">
            <v>5381</v>
          </cell>
          <cell r="E13">
            <v>5405</v>
          </cell>
          <cell r="F13">
            <v>5405</v>
          </cell>
          <cell r="G13">
            <v>5408</v>
          </cell>
          <cell r="H13">
            <v>5409</v>
          </cell>
          <cell r="I13">
            <v>5424</v>
          </cell>
          <cell r="J13">
            <v>5437</v>
          </cell>
          <cell r="K13">
            <v>5437</v>
          </cell>
          <cell r="L13">
            <v>5439</v>
          </cell>
          <cell r="M13">
            <v>5439</v>
          </cell>
          <cell r="N13">
            <v>5408</v>
          </cell>
        </row>
        <row r="14">
          <cell r="A14">
            <v>1995</v>
          </cell>
          <cell r="B14">
            <v>5443</v>
          </cell>
          <cell r="C14">
            <v>5444</v>
          </cell>
          <cell r="D14">
            <v>5435</v>
          </cell>
          <cell r="E14">
            <v>5432</v>
          </cell>
          <cell r="F14">
            <v>5433</v>
          </cell>
          <cell r="G14">
            <v>5432</v>
          </cell>
          <cell r="H14">
            <v>5484</v>
          </cell>
          <cell r="I14">
            <v>5506</v>
          </cell>
          <cell r="J14">
            <v>5491</v>
          </cell>
          <cell r="K14">
            <v>5511</v>
          </cell>
          <cell r="L14">
            <v>5519</v>
          </cell>
          <cell r="M14">
            <v>5524</v>
          </cell>
          <cell r="N14">
            <v>5471</v>
          </cell>
        </row>
        <row r="15">
          <cell r="A15">
            <v>1996</v>
          </cell>
          <cell r="B15">
            <v>5523</v>
          </cell>
          <cell r="C15">
            <v>5532</v>
          </cell>
          <cell r="D15">
            <v>5537</v>
          </cell>
          <cell r="E15">
            <v>5550</v>
          </cell>
          <cell r="F15">
            <v>5572</v>
          </cell>
          <cell r="G15">
            <v>5597</v>
          </cell>
          <cell r="H15">
            <v>5617</v>
          </cell>
          <cell r="I15">
            <v>5652</v>
          </cell>
          <cell r="J15">
            <v>5683</v>
          </cell>
          <cell r="K15">
            <v>5719</v>
          </cell>
          <cell r="L15">
            <v>5740</v>
          </cell>
          <cell r="M15">
            <v>5744</v>
          </cell>
          <cell r="N15">
            <v>5620</v>
          </cell>
        </row>
        <row r="16">
          <cell r="A16">
            <v>1997</v>
          </cell>
          <cell r="B16">
            <v>5765</v>
          </cell>
          <cell r="C16">
            <v>5769</v>
          </cell>
          <cell r="D16">
            <v>5759</v>
          </cell>
          <cell r="E16">
            <v>5799</v>
          </cell>
          <cell r="F16">
            <v>5837</v>
          </cell>
          <cell r="G16">
            <v>5860</v>
          </cell>
          <cell r="H16">
            <v>5863</v>
          </cell>
          <cell r="I16">
            <v>5854</v>
          </cell>
          <cell r="J16">
            <v>5851</v>
          </cell>
          <cell r="K16">
            <v>5848</v>
          </cell>
          <cell r="L16">
            <v>5838</v>
          </cell>
          <cell r="M16">
            <v>5858</v>
          </cell>
          <cell r="N16">
            <v>5826</v>
          </cell>
        </row>
        <row r="17">
          <cell r="A17">
            <v>1998</v>
          </cell>
          <cell r="B17">
            <v>5852</v>
          </cell>
          <cell r="C17">
            <v>5874</v>
          </cell>
          <cell r="D17">
            <v>5875</v>
          </cell>
          <cell r="E17">
            <v>5883</v>
          </cell>
          <cell r="F17">
            <v>5881</v>
          </cell>
          <cell r="G17">
            <v>5895</v>
          </cell>
          <cell r="H17">
            <v>5921</v>
          </cell>
          <cell r="I17">
            <v>5929</v>
          </cell>
          <cell r="J17">
            <v>5963</v>
          </cell>
          <cell r="K17">
            <v>5986</v>
          </cell>
          <cell r="L17">
            <v>5995</v>
          </cell>
          <cell r="M17">
            <v>5991</v>
          </cell>
          <cell r="N17">
            <v>5920</v>
          </cell>
        </row>
        <row r="18">
          <cell r="A18">
            <v>1999</v>
          </cell>
          <cell r="B18">
            <v>6000</v>
          </cell>
          <cell r="C18">
            <v>5992</v>
          </cell>
          <cell r="D18">
            <v>5986</v>
          </cell>
          <cell r="E18">
            <v>6008</v>
          </cell>
          <cell r="F18">
            <v>6006</v>
          </cell>
          <cell r="G18">
            <v>6039</v>
          </cell>
          <cell r="H18">
            <v>6076</v>
          </cell>
          <cell r="I18">
            <v>6091</v>
          </cell>
          <cell r="J18">
            <v>6128</v>
          </cell>
          <cell r="K18">
            <v>6134</v>
          </cell>
          <cell r="L18">
            <v>6127</v>
          </cell>
          <cell r="M18">
            <v>6127</v>
          </cell>
          <cell r="N18">
            <v>6059</v>
          </cell>
        </row>
        <row r="19">
          <cell r="A19">
            <v>2000</v>
          </cell>
          <cell r="B19">
            <v>6130</v>
          </cell>
          <cell r="C19">
            <v>6160</v>
          </cell>
          <cell r="D19">
            <v>6202</v>
          </cell>
          <cell r="E19">
            <v>6201</v>
          </cell>
          <cell r="F19">
            <v>6233</v>
          </cell>
          <cell r="G19">
            <v>6238</v>
          </cell>
          <cell r="H19">
            <v>6225</v>
          </cell>
          <cell r="I19">
            <v>6233</v>
          </cell>
          <cell r="J19">
            <v>6224</v>
          </cell>
          <cell r="K19">
            <v>6259</v>
          </cell>
          <cell r="L19">
            <v>6266</v>
          </cell>
          <cell r="M19">
            <v>6283</v>
          </cell>
          <cell r="N19">
            <v>6221</v>
          </cell>
        </row>
        <row r="20">
          <cell r="A20">
            <v>2001</v>
          </cell>
          <cell r="B20">
            <v>6281</v>
          </cell>
          <cell r="C20">
            <v>6272</v>
          </cell>
          <cell r="D20">
            <v>6279</v>
          </cell>
          <cell r="E20">
            <v>6286</v>
          </cell>
          <cell r="F20">
            <v>6288</v>
          </cell>
          <cell r="G20">
            <v>6318</v>
          </cell>
          <cell r="H20">
            <v>6404</v>
          </cell>
          <cell r="I20">
            <v>6389</v>
          </cell>
          <cell r="J20">
            <v>6391</v>
          </cell>
          <cell r="K20">
            <v>6397</v>
          </cell>
          <cell r="L20">
            <v>6410</v>
          </cell>
          <cell r="M20">
            <v>6390</v>
          </cell>
          <cell r="N20">
            <v>6343</v>
          </cell>
        </row>
        <row r="21">
          <cell r="A21">
            <v>2002</v>
          </cell>
          <cell r="B21">
            <v>6462</v>
          </cell>
          <cell r="C21">
            <v>6462</v>
          </cell>
          <cell r="D21">
            <v>6502</v>
          </cell>
          <cell r="E21">
            <v>6480</v>
          </cell>
          <cell r="F21">
            <v>6512</v>
          </cell>
          <cell r="G21">
            <v>6532</v>
          </cell>
          <cell r="H21">
            <v>6605</v>
          </cell>
          <cell r="I21">
            <v>6592</v>
          </cell>
          <cell r="J21">
            <v>6589</v>
          </cell>
          <cell r="K21">
            <v>6579</v>
          </cell>
          <cell r="L21">
            <v>6578</v>
          </cell>
          <cell r="M21">
            <v>6563</v>
          </cell>
          <cell r="N21">
            <v>6538</v>
          </cell>
        </row>
        <row r="22">
          <cell r="A22">
            <v>2003</v>
          </cell>
          <cell r="B22">
            <v>6581</v>
          </cell>
          <cell r="C22">
            <v>6640</v>
          </cell>
          <cell r="D22">
            <v>6627</v>
          </cell>
          <cell r="E22">
            <v>6635</v>
          </cell>
          <cell r="F22">
            <v>6642</v>
          </cell>
          <cell r="G22">
            <v>6694</v>
          </cell>
          <cell r="H22">
            <v>6695</v>
          </cell>
          <cell r="I22">
            <v>6733</v>
          </cell>
          <cell r="J22">
            <v>6741</v>
          </cell>
          <cell r="K22">
            <v>6771</v>
          </cell>
          <cell r="L22">
            <v>6794</v>
          </cell>
          <cell r="M22">
            <v>6782</v>
          </cell>
          <cell r="N22">
            <v>6694</v>
          </cell>
        </row>
        <row r="23">
          <cell r="A23">
            <v>2004</v>
          </cell>
          <cell r="B23">
            <v>6825</v>
          </cell>
          <cell r="C23">
            <v>6862</v>
          </cell>
          <cell r="D23">
            <v>6957</v>
          </cell>
          <cell r="E23">
            <v>7017</v>
          </cell>
          <cell r="F23">
            <v>7065</v>
          </cell>
          <cell r="G23">
            <v>7109</v>
          </cell>
          <cell r="H23">
            <v>7126</v>
          </cell>
          <cell r="I23">
            <v>7188</v>
          </cell>
          <cell r="J23">
            <v>7298</v>
          </cell>
          <cell r="K23">
            <v>7314</v>
          </cell>
          <cell r="L23">
            <v>7312</v>
          </cell>
          <cell r="M23">
            <v>7308</v>
          </cell>
          <cell r="N23">
            <v>7115</v>
          </cell>
        </row>
        <row r="24">
          <cell r="A24">
            <v>2005</v>
          </cell>
          <cell r="B24">
            <v>7297</v>
          </cell>
          <cell r="C24">
            <v>7298</v>
          </cell>
          <cell r="D24">
            <v>7309</v>
          </cell>
          <cell r="E24">
            <v>7355</v>
          </cell>
          <cell r="F24">
            <v>7398</v>
          </cell>
          <cell r="G24">
            <v>7415</v>
          </cell>
          <cell r="H24">
            <v>7422</v>
          </cell>
          <cell r="I24">
            <v>7479</v>
          </cell>
          <cell r="J24">
            <v>7540</v>
          </cell>
          <cell r="K24">
            <v>7563</v>
          </cell>
          <cell r="L24">
            <v>7630</v>
          </cell>
          <cell r="M24">
            <v>7647</v>
          </cell>
          <cell r="N24">
            <v>7446</v>
          </cell>
        </row>
        <row r="25">
          <cell r="A25">
            <v>2006</v>
          </cell>
          <cell r="B25">
            <v>7660</v>
          </cell>
          <cell r="C25">
            <v>7689</v>
          </cell>
          <cell r="D25">
            <v>7692</v>
          </cell>
          <cell r="E25">
            <v>7695</v>
          </cell>
          <cell r="F25">
            <v>7691</v>
          </cell>
          <cell r="G25">
            <v>7700</v>
          </cell>
          <cell r="H25">
            <v>7721</v>
          </cell>
          <cell r="I25">
            <v>7722</v>
          </cell>
          <cell r="J25">
            <v>7763</v>
          </cell>
          <cell r="K25">
            <v>7883</v>
          </cell>
          <cell r="L25">
            <v>7911</v>
          </cell>
          <cell r="M25">
            <v>7888</v>
          </cell>
          <cell r="N25">
            <v>7751</v>
          </cell>
        </row>
        <row r="26">
          <cell r="A26">
            <v>2007</v>
          </cell>
          <cell r="B26">
            <v>7880</v>
          </cell>
          <cell r="C26">
            <v>7880</v>
          </cell>
          <cell r="D26">
            <v>7856</v>
          </cell>
          <cell r="E26">
            <v>7865</v>
          </cell>
          <cell r="F26">
            <v>7942</v>
          </cell>
          <cell r="G26">
            <v>7939</v>
          </cell>
          <cell r="H26">
            <v>7959</v>
          </cell>
          <cell r="I26">
            <v>8007</v>
          </cell>
          <cell r="J26">
            <v>8050</v>
          </cell>
          <cell r="K26">
            <v>8045</v>
          </cell>
          <cell r="L26">
            <v>8092</v>
          </cell>
          <cell r="M26">
            <v>8089</v>
          </cell>
          <cell r="N26">
            <v>7966</v>
          </cell>
        </row>
        <row r="27">
          <cell r="A27">
            <v>2008</v>
          </cell>
          <cell r="B27">
            <v>8090</v>
          </cell>
          <cell r="C27">
            <v>8094</v>
          </cell>
          <cell r="D27">
            <v>8109</v>
          </cell>
          <cell r="E27">
            <v>8112</v>
          </cell>
          <cell r="F27">
            <v>8141</v>
          </cell>
          <cell r="G27">
            <v>8185</v>
          </cell>
          <cell r="H27">
            <v>8293</v>
          </cell>
          <cell r="I27">
            <v>8362</v>
          </cell>
          <cell r="J27">
            <v>8557</v>
          </cell>
          <cell r="K27">
            <v>8623</v>
          </cell>
          <cell r="L27">
            <v>8602</v>
          </cell>
          <cell r="M27">
            <v>8551</v>
          </cell>
          <cell r="N27">
            <v>8310</v>
          </cell>
        </row>
        <row r="28">
          <cell r="A28">
            <v>2009</v>
          </cell>
          <cell r="B28">
            <v>8549</v>
          </cell>
          <cell r="C28">
            <v>8533</v>
          </cell>
          <cell r="D28">
            <v>8534</v>
          </cell>
          <cell r="E28">
            <v>8528</v>
          </cell>
          <cell r="F28">
            <v>8574</v>
          </cell>
          <cell r="G28">
            <v>8578</v>
          </cell>
          <cell r="H28">
            <v>8566</v>
          </cell>
          <cell r="I28">
            <v>8564</v>
          </cell>
          <cell r="J28">
            <v>8586</v>
          </cell>
          <cell r="K28">
            <v>8596</v>
          </cell>
          <cell r="L28">
            <v>8592</v>
          </cell>
          <cell r="M28">
            <v>8641</v>
          </cell>
          <cell r="N28">
            <v>8570</v>
          </cell>
        </row>
        <row r="29">
          <cell r="A29">
            <v>2010</v>
          </cell>
          <cell r="B29">
            <v>8660</v>
          </cell>
          <cell r="C29">
            <v>8672</v>
          </cell>
          <cell r="D29">
            <v>8671</v>
          </cell>
          <cell r="E29">
            <v>8677</v>
          </cell>
          <cell r="F29">
            <v>8761</v>
          </cell>
          <cell r="G29">
            <v>8805</v>
          </cell>
          <cell r="H29">
            <v>8844</v>
          </cell>
          <cell r="I29">
            <v>8837</v>
          </cell>
          <cell r="J29">
            <v>8836</v>
          </cell>
          <cell r="K29">
            <v>8921</v>
          </cell>
          <cell r="L29">
            <v>8951</v>
          </cell>
          <cell r="M29">
            <v>8952</v>
          </cell>
          <cell r="N29">
            <v>8799</v>
          </cell>
        </row>
        <row r="30">
          <cell r="A30">
            <v>2011</v>
          </cell>
          <cell r="B30">
            <v>8938</v>
          </cell>
          <cell r="C30">
            <v>8998</v>
          </cell>
          <cell r="D30">
            <v>9011</v>
          </cell>
          <cell r="E30">
            <v>9027</v>
          </cell>
          <cell r="F30">
            <v>9035</v>
          </cell>
          <cell r="G30">
            <v>9053</v>
          </cell>
          <cell r="H30">
            <v>9080</v>
          </cell>
          <cell r="I30">
            <v>9088</v>
          </cell>
          <cell r="J30">
            <v>9116</v>
          </cell>
          <cell r="K30">
            <v>9147</v>
          </cell>
          <cell r="L30">
            <v>9173</v>
          </cell>
          <cell r="M30">
            <v>9172</v>
          </cell>
          <cell r="N30">
            <v>9070</v>
          </cell>
        </row>
        <row r="31">
          <cell r="A31">
            <v>2012</v>
          </cell>
          <cell r="B31">
            <v>9176</v>
          </cell>
          <cell r="C31">
            <v>9198</v>
          </cell>
          <cell r="D31">
            <v>9268</v>
          </cell>
          <cell r="E31">
            <v>9273</v>
          </cell>
          <cell r="F31">
            <v>9290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abSelected="1" workbookViewId="0">
      <pane ySplit="2" topLeftCell="A3" activePane="bottomLeft" state="frozen"/>
      <selection pane="bottomLeft"/>
    </sheetView>
  </sheetViews>
  <sheetFormatPr defaultColWidth="9.140625" defaultRowHeight="15" x14ac:dyDescent="0.25"/>
  <cols>
    <col min="1" max="1" width="115" style="1" customWidth="1"/>
    <col min="2" max="2" width="9.140625" style="1" customWidth="1"/>
    <col min="3" max="16384" width="9.140625" style="1"/>
  </cols>
  <sheetData>
    <row r="1" spans="1:3" s="165" customFormat="1" x14ac:dyDescent="0.25">
      <c r="C1" s="166"/>
    </row>
    <row r="2" spans="1:3" s="165" customFormat="1" ht="16.5" customHeight="1" x14ac:dyDescent="0.25">
      <c r="C2" s="166"/>
    </row>
    <row r="3" spans="1:3" ht="333.75" customHeight="1" x14ac:dyDescent="0.25">
      <c r="A3" s="165" t="s">
        <v>1888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zoomScaleNormal="100" workbookViewId="0">
      <pane ySplit="2" topLeftCell="A3" activePane="bottomLeft" state="frozen"/>
      <selection pane="bottomLeft" activeCell="A10" sqref="A10"/>
    </sheetView>
  </sheetViews>
  <sheetFormatPr defaultColWidth="8.85546875" defaultRowHeight="15" x14ac:dyDescent="0.25"/>
  <cols>
    <col min="1" max="1" width="24.85546875" style="3" customWidth="1"/>
    <col min="2" max="2" width="33.7109375" style="3" customWidth="1"/>
    <col min="3" max="3" width="69.5703125" style="3" customWidth="1"/>
    <col min="4" max="16384" width="8.85546875" style="3"/>
  </cols>
  <sheetData>
    <row r="1" spans="1:3" s="165" customFormat="1" x14ac:dyDescent="0.25">
      <c r="C1" s="166"/>
    </row>
    <row r="2" spans="1:3" s="165" customFormat="1" ht="16.5" customHeight="1" x14ac:dyDescent="0.25">
      <c r="C2" s="166"/>
    </row>
    <row r="3" spans="1:3" x14ac:dyDescent="0.25">
      <c r="A3" s="193" t="s">
        <v>1869</v>
      </c>
      <c r="B3" s="194"/>
      <c r="C3" s="195"/>
    </row>
    <row r="4" spans="1:3" ht="124.5" customHeight="1" x14ac:dyDescent="0.25">
      <c r="A4" s="188" t="s">
        <v>1889</v>
      </c>
      <c r="B4" s="189"/>
      <c r="C4" s="190"/>
    </row>
    <row r="5" spans="1:3" x14ac:dyDescent="0.25">
      <c r="A5" s="55" t="s">
        <v>6</v>
      </c>
      <c r="B5" s="196" t="s">
        <v>0</v>
      </c>
      <c r="C5" s="196"/>
    </row>
    <row r="6" spans="1:3" ht="32.25" customHeight="1" x14ac:dyDescent="0.25">
      <c r="A6" s="186" t="s">
        <v>1867</v>
      </c>
      <c r="B6" s="191" t="s">
        <v>1868</v>
      </c>
      <c r="C6" s="192"/>
    </row>
    <row r="7" spans="1:3" ht="63.75" customHeight="1" x14ac:dyDescent="0.25">
      <c r="A7" s="66" t="s">
        <v>8</v>
      </c>
      <c r="B7" s="191" t="s">
        <v>108</v>
      </c>
      <c r="C7" s="192"/>
    </row>
    <row r="8" spans="1:3" ht="62.25" customHeight="1" x14ac:dyDescent="0.25">
      <c r="A8" s="66" t="s">
        <v>7</v>
      </c>
      <c r="B8" s="191" t="s">
        <v>107</v>
      </c>
      <c r="C8" s="192"/>
    </row>
    <row r="9" spans="1:3" ht="29.25" customHeight="1" x14ac:dyDescent="0.25">
      <c r="A9" s="67" t="s">
        <v>687</v>
      </c>
      <c r="B9" s="199" t="s">
        <v>1840</v>
      </c>
      <c r="C9" s="200"/>
    </row>
    <row r="10" spans="1:3" ht="43.5" customHeight="1" x14ac:dyDescent="0.25">
      <c r="A10" s="67" t="s">
        <v>688</v>
      </c>
      <c r="B10" s="199" t="s">
        <v>689</v>
      </c>
      <c r="C10" s="200"/>
    </row>
    <row r="11" spans="1:3" ht="46.5" customHeight="1" x14ac:dyDescent="0.25">
      <c r="A11" s="67" t="s">
        <v>690</v>
      </c>
      <c r="B11" s="199" t="s">
        <v>691</v>
      </c>
      <c r="C11" s="200"/>
    </row>
    <row r="12" spans="1:3" ht="45.75" customHeight="1" x14ac:dyDescent="0.25">
      <c r="A12" s="67" t="s">
        <v>692</v>
      </c>
      <c r="B12" s="199" t="s">
        <v>693</v>
      </c>
      <c r="C12" s="200"/>
    </row>
    <row r="13" spans="1:3" ht="45.75" customHeight="1" x14ac:dyDescent="0.25">
      <c r="A13" s="144" t="s">
        <v>1712</v>
      </c>
      <c r="B13" s="199" t="s">
        <v>1841</v>
      </c>
      <c r="C13" s="200"/>
    </row>
    <row r="14" spans="1:3" ht="27.75" customHeight="1" x14ac:dyDescent="0.25">
      <c r="A14" s="144" t="s">
        <v>694</v>
      </c>
      <c r="B14" s="199" t="s">
        <v>1896</v>
      </c>
      <c r="C14" s="200"/>
    </row>
    <row r="15" spans="1:3" ht="44.25" customHeight="1" x14ac:dyDescent="0.25">
      <c r="A15" s="67" t="s">
        <v>695</v>
      </c>
      <c r="B15" s="199" t="s">
        <v>696</v>
      </c>
      <c r="C15" s="200"/>
    </row>
    <row r="16" spans="1:3" ht="35.25" customHeight="1" x14ac:dyDescent="0.25">
      <c r="A16" s="187" t="s">
        <v>1890</v>
      </c>
      <c r="B16" s="197" t="s">
        <v>1895</v>
      </c>
      <c r="C16" s="198"/>
    </row>
    <row r="17" spans="1:3" ht="45" customHeight="1" x14ac:dyDescent="0.25">
      <c r="A17" s="187" t="s">
        <v>1894</v>
      </c>
      <c r="B17" s="191" t="s">
        <v>1454</v>
      </c>
      <c r="C17" s="192"/>
    </row>
    <row r="18" spans="1:3" ht="60" customHeight="1" x14ac:dyDescent="0.25">
      <c r="A18" s="67" t="s">
        <v>686</v>
      </c>
      <c r="B18" s="191" t="s">
        <v>1455</v>
      </c>
      <c r="C18" s="192"/>
    </row>
    <row r="19" spans="1:3" ht="46.5" customHeight="1" x14ac:dyDescent="0.25">
      <c r="A19" s="172" t="s">
        <v>1816</v>
      </c>
      <c r="B19" s="191" t="s">
        <v>1837</v>
      </c>
      <c r="C19" s="192"/>
    </row>
    <row r="20" spans="1:3" ht="32.25" customHeight="1" x14ac:dyDescent="0.25">
      <c r="A20" s="67" t="s">
        <v>697</v>
      </c>
      <c r="B20" s="197" t="s">
        <v>1846</v>
      </c>
      <c r="C20" s="198"/>
    </row>
    <row r="21" spans="1:3" ht="29.25" customHeight="1" x14ac:dyDescent="0.25">
      <c r="A21" s="122" t="s">
        <v>1732</v>
      </c>
      <c r="B21" s="197" t="s">
        <v>434</v>
      </c>
      <c r="C21" s="198"/>
    </row>
    <row r="22" spans="1:3" ht="43.5" customHeight="1" x14ac:dyDescent="0.25">
      <c r="A22" s="67" t="s">
        <v>87</v>
      </c>
      <c r="B22" s="197" t="s">
        <v>1733</v>
      </c>
      <c r="C22" s="198"/>
    </row>
    <row r="23" spans="1:3" ht="43.5" customHeight="1" x14ac:dyDescent="0.25">
      <c r="A23" s="67" t="s">
        <v>84</v>
      </c>
      <c r="B23" s="197" t="s">
        <v>443</v>
      </c>
      <c r="C23" s="198"/>
    </row>
    <row r="24" spans="1:3" ht="49.5" customHeight="1" x14ac:dyDescent="0.25">
      <c r="A24" s="67" t="s">
        <v>83</v>
      </c>
      <c r="B24" s="197" t="s">
        <v>444</v>
      </c>
      <c r="C24" s="198"/>
    </row>
    <row r="25" spans="1:3" ht="47.25" customHeight="1" x14ac:dyDescent="0.25">
      <c r="A25" s="67" t="s">
        <v>86</v>
      </c>
      <c r="B25" s="197" t="s">
        <v>445</v>
      </c>
      <c r="C25" s="198"/>
    </row>
    <row r="26" spans="1:3" ht="48" customHeight="1" x14ac:dyDescent="0.25">
      <c r="A26" s="67" t="s">
        <v>85</v>
      </c>
      <c r="B26" s="197" t="s">
        <v>1734</v>
      </c>
      <c r="C26" s="198"/>
    </row>
    <row r="27" spans="1:3" x14ac:dyDescent="0.25">
      <c r="A27" s="181" t="s">
        <v>1736</v>
      </c>
      <c r="B27" s="197" t="s">
        <v>436</v>
      </c>
      <c r="C27" s="198"/>
    </row>
    <row r="28" spans="1:3" ht="30.75" customHeight="1" x14ac:dyDescent="0.25">
      <c r="A28" s="125" t="s">
        <v>684</v>
      </c>
      <c r="B28" s="197" t="s">
        <v>420</v>
      </c>
      <c r="C28" s="198"/>
    </row>
    <row r="29" spans="1:3" x14ac:dyDescent="0.25">
      <c r="A29" s="181" t="s">
        <v>1737</v>
      </c>
      <c r="B29" s="197" t="s">
        <v>435</v>
      </c>
      <c r="C29" s="198"/>
    </row>
    <row r="30" spans="1:3" x14ac:dyDescent="0.25">
      <c r="A30" s="181" t="s">
        <v>1723</v>
      </c>
      <c r="B30" s="197" t="s">
        <v>685</v>
      </c>
      <c r="C30" s="198"/>
    </row>
    <row r="31" spans="1:3" x14ac:dyDescent="0.25">
      <c r="A31" s="67" t="s">
        <v>419</v>
      </c>
      <c r="B31" s="197" t="s">
        <v>421</v>
      </c>
      <c r="C31" s="198"/>
    </row>
    <row r="32" spans="1:3" x14ac:dyDescent="0.25">
      <c r="A32" s="67" t="s">
        <v>418</v>
      </c>
      <c r="B32" s="197" t="s">
        <v>1735</v>
      </c>
      <c r="C32" s="198"/>
    </row>
    <row r="33" spans="1:3" ht="45" customHeight="1" x14ac:dyDescent="0.25">
      <c r="A33" s="160" t="s">
        <v>1738</v>
      </c>
      <c r="B33" s="197" t="s">
        <v>1858</v>
      </c>
      <c r="C33" s="198"/>
    </row>
    <row r="35" spans="1:3" x14ac:dyDescent="0.25">
      <c r="A35" s="56" t="s">
        <v>2</v>
      </c>
      <c r="B35" s="2" t="s">
        <v>1869</v>
      </c>
    </row>
    <row r="36" spans="1:3" x14ac:dyDescent="0.25">
      <c r="A36" s="56" t="s">
        <v>3</v>
      </c>
      <c r="B36" s="2" t="s">
        <v>5</v>
      </c>
    </row>
    <row r="37" spans="1:3" x14ac:dyDescent="0.25">
      <c r="A37" s="56" t="s">
        <v>4</v>
      </c>
      <c r="B37" s="4">
        <v>41765</v>
      </c>
    </row>
  </sheetData>
  <mergeCells count="31">
    <mergeCell ref="B33:C33"/>
    <mergeCell ref="B16:C16"/>
    <mergeCell ref="B31:C31"/>
    <mergeCell ref="B24:C24"/>
    <mergeCell ref="B23:C23"/>
    <mergeCell ref="B26:C26"/>
    <mergeCell ref="B25:C25"/>
    <mergeCell ref="B32:C32"/>
    <mergeCell ref="B30:C30"/>
    <mergeCell ref="B28:C28"/>
    <mergeCell ref="B29:C29"/>
    <mergeCell ref="B27:C27"/>
    <mergeCell ref="B22:C22"/>
    <mergeCell ref="B21:C21"/>
    <mergeCell ref="B20:C20"/>
    <mergeCell ref="B18:C18"/>
    <mergeCell ref="B17:C17"/>
    <mergeCell ref="B9:C9"/>
    <mergeCell ref="B10:C10"/>
    <mergeCell ref="B11:C11"/>
    <mergeCell ref="B12:C12"/>
    <mergeCell ref="B13:C13"/>
    <mergeCell ref="B14:C14"/>
    <mergeCell ref="B15:C15"/>
    <mergeCell ref="A4:C4"/>
    <mergeCell ref="B19:C19"/>
    <mergeCell ref="A3:C3"/>
    <mergeCell ref="B5:C5"/>
    <mergeCell ref="B8:C8"/>
    <mergeCell ref="B7:C7"/>
    <mergeCell ref="B6:C6"/>
  </mergeCells>
  <hyperlinks>
    <hyperlink ref="A8" location="'Estuaries and Coasts'!A1" display="Estuaries and Coasts"/>
    <hyperlink ref="A7" location="'Lakes and Flowing Waters'!A1" display="Lakes and Flowing Waters"/>
    <hyperlink ref="A20" location="'Economic Impacts --&gt;'!A1" display="Economic Impacts"/>
    <hyperlink ref="A22" location="Tourism!A1" display="Tourism"/>
    <hyperlink ref="A23" location="Fisheries!A2" display="Fisheries"/>
    <hyperlink ref="A24" location="'Property Value'!A2" display="Property Value"/>
    <hyperlink ref="A25" location="'Health Effects'!A2" display="Health Effects"/>
    <hyperlink ref="A26" location="'Drinking Water Treatment'!A2" display="Drinking Water Treatment"/>
    <hyperlink ref="A32" location="Regions!A1" display="Regions"/>
    <hyperlink ref="A30" location="'Benefits Studies'!A1" display="Benefits Studies"/>
    <hyperlink ref="A27" location="'Anecdotal Impacts'!A1" display="Anecdotal Impacts"/>
    <hyperlink ref="A29" location="CBAs!A1" display="CBAs"/>
    <hyperlink ref="A31" location="References!A1" display="References"/>
    <hyperlink ref="A28" location="'Additional Studies'!A1" display="Additional Studies"/>
    <hyperlink ref="A18" location="Mitigation!A1" display="Mitigation"/>
    <hyperlink ref="A17" location="Planning!A1" display="Planning"/>
    <hyperlink ref="A9" location="'Point Sources --&gt;'!A1" display="Point Sources"/>
    <hyperlink ref="A10" location="Municipal!A1" display="Municipal"/>
    <hyperlink ref="A11" location="Industrial!A1" display="Industrial"/>
    <hyperlink ref="A12" location="Decentralized!A1" display="Decentralized"/>
    <hyperlink ref="A13" location="'Point Source Anecdotal'!A1" display="Point Source Anecdotal"/>
    <hyperlink ref="A15" location="'Urban Runoff'!A1" display="Urban Runoff"/>
    <hyperlink ref="A16" location="'Planning and Mitigation --&gt;'!A1" display="Planning and Mitigation"/>
    <hyperlink ref="A21" location="Index!A1" display="Index"/>
    <hyperlink ref="A14" location="'Nonpoint Sources --&gt;'!A1" display="Nonpoint Sources"/>
    <hyperlink ref="A33" location="'Dollar Adjustments'!A1" display="Dollar Adjustments"/>
    <hyperlink ref="A19" location="'Mitigation Anecdotal'!A1" display="Mitigation Anecdotal"/>
    <hyperlink ref="A6" location="Instructions!A1" display="Instructions"/>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zoomScale="85" zoomScaleNormal="85" workbookViewId="0">
      <selection activeCell="A3" sqref="A3"/>
    </sheetView>
  </sheetViews>
  <sheetFormatPr defaultColWidth="8.85546875" defaultRowHeight="15" x14ac:dyDescent="0.25"/>
  <cols>
    <col min="1" max="2" width="8.85546875" style="1" customWidth="1"/>
    <col min="3" max="16384" width="8.85546875" style="1"/>
  </cols>
  <sheetData>
    <row r="1" spans="1:25" s="5" customFormat="1" ht="16.5" customHeight="1" x14ac:dyDescent="0.2">
      <c r="A1" s="158"/>
      <c r="B1" s="11"/>
      <c r="C1" s="11"/>
      <c r="D1" s="11"/>
      <c r="E1" s="11"/>
    </row>
    <row r="2" spans="1:25" ht="21.75" customHeight="1" x14ac:dyDescent="0.25">
      <c r="A2" s="201" t="s">
        <v>10</v>
      </c>
      <c r="B2" s="201"/>
      <c r="C2" s="201"/>
      <c r="D2" s="201"/>
      <c r="E2" s="201"/>
      <c r="F2" s="201"/>
      <c r="G2" s="201"/>
      <c r="H2" s="201"/>
      <c r="I2" s="201"/>
      <c r="J2" s="201"/>
      <c r="K2" s="201"/>
      <c r="L2" s="201"/>
      <c r="M2" s="201"/>
      <c r="N2" s="201"/>
      <c r="O2" s="201"/>
      <c r="P2" s="201"/>
      <c r="Q2" s="201"/>
      <c r="R2" s="201"/>
      <c r="S2" s="201"/>
      <c r="T2" s="201"/>
      <c r="U2" s="201"/>
      <c r="V2" s="201"/>
      <c r="W2" s="201"/>
      <c r="X2" s="201"/>
      <c r="Y2" s="201"/>
    </row>
    <row r="32" spans="1:24" x14ac:dyDescent="0.2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row>
    <row r="33" spans="1:24" x14ac:dyDescent="0.2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row>
    <row r="34" spans="1:24" x14ac:dyDescent="0.25">
      <c r="A34" s="180"/>
      <c r="B34" s="180"/>
      <c r="C34" s="180"/>
      <c r="D34" s="180"/>
      <c r="E34" s="180"/>
      <c r="F34" s="180"/>
      <c r="G34" s="180"/>
      <c r="H34" s="180"/>
      <c r="I34" s="180"/>
      <c r="J34" s="180"/>
      <c r="K34" s="180"/>
      <c r="L34" s="180"/>
      <c r="M34" s="180"/>
      <c r="N34" s="180"/>
      <c r="O34" s="180"/>
      <c r="P34" s="180"/>
      <c r="Q34" s="180"/>
    </row>
    <row r="35" spans="1:24" x14ac:dyDescent="0.25">
      <c r="A35" s="180"/>
      <c r="B35" s="180"/>
      <c r="C35" s="180"/>
      <c r="D35" s="180"/>
      <c r="E35" s="180"/>
      <c r="F35" s="180"/>
      <c r="G35" s="180"/>
      <c r="H35" s="180"/>
      <c r="I35" s="180"/>
      <c r="J35" s="180"/>
      <c r="K35" s="180"/>
      <c r="L35" s="180"/>
      <c r="M35" s="180"/>
      <c r="N35" s="180"/>
      <c r="O35" s="180"/>
      <c r="P35" s="180"/>
      <c r="Q35" s="180"/>
    </row>
  </sheetData>
  <mergeCells count="3">
    <mergeCell ref="A2:Y2"/>
    <mergeCell ref="A32:X32"/>
    <mergeCell ref="A33:X3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
  <sheetViews>
    <sheetView showGridLines="0" zoomScale="85" zoomScaleNormal="85" workbookViewId="0">
      <selection activeCell="A3" sqref="A3"/>
    </sheetView>
  </sheetViews>
  <sheetFormatPr defaultColWidth="8.85546875" defaultRowHeight="15" x14ac:dyDescent="0.25"/>
  <cols>
    <col min="1" max="2" width="8.85546875" style="1" customWidth="1"/>
    <col min="3" max="16384" width="8.85546875" style="1"/>
  </cols>
  <sheetData>
    <row r="1" spans="1:25" s="5" customFormat="1" ht="16.5" customHeight="1" x14ac:dyDescent="0.2">
      <c r="A1" s="158"/>
      <c r="B1" s="11"/>
      <c r="C1" s="11"/>
      <c r="D1" s="11"/>
      <c r="E1" s="11"/>
    </row>
    <row r="2" spans="1:25" ht="19.5" customHeight="1" x14ac:dyDescent="0.25">
      <c r="A2" s="201" t="s">
        <v>10</v>
      </c>
      <c r="B2" s="201"/>
      <c r="C2" s="201"/>
      <c r="D2" s="201"/>
      <c r="E2" s="201"/>
      <c r="F2" s="201"/>
      <c r="G2" s="201"/>
      <c r="H2" s="201"/>
      <c r="I2" s="201"/>
      <c r="J2" s="201"/>
      <c r="K2" s="201"/>
      <c r="L2" s="201"/>
      <c r="M2" s="201"/>
      <c r="N2" s="201"/>
      <c r="O2" s="201"/>
      <c r="P2" s="201"/>
      <c r="Q2" s="201"/>
      <c r="R2" s="201"/>
      <c r="S2" s="201"/>
      <c r="T2" s="201"/>
      <c r="U2" s="201"/>
      <c r="V2" s="201"/>
      <c r="W2" s="201"/>
      <c r="X2" s="201"/>
      <c r="Y2" s="201"/>
    </row>
    <row r="32" spans="1:24" ht="15" customHeight="1" x14ac:dyDescent="0.25">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row>
    <row r="33" spans="1:24" ht="15" customHeight="1" x14ac:dyDescent="0.25">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row>
  </sheetData>
  <mergeCells count="3">
    <mergeCell ref="A2:Y2"/>
    <mergeCell ref="A32:X32"/>
    <mergeCell ref="A33:X33"/>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D70"/>
  <sheetViews>
    <sheetView showGridLines="0" workbookViewId="0">
      <pane ySplit="2" topLeftCell="A3" activePane="bottomLeft" state="frozen"/>
      <selection pane="bottomLeft" activeCell="B4" sqref="B4:D4"/>
    </sheetView>
  </sheetViews>
  <sheetFormatPr defaultColWidth="9.140625" defaultRowHeight="15" x14ac:dyDescent="0.25"/>
  <cols>
    <col min="1" max="1" width="2.28515625" style="21" customWidth="1"/>
    <col min="2" max="2" width="13.7109375" style="21" customWidth="1"/>
    <col min="3" max="3" width="3" style="25" customWidth="1"/>
    <col min="4" max="4" width="69" style="21" customWidth="1"/>
    <col min="5" max="16384" width="9.140625" style="21"/>
  </cols>
  <sheetData>
    <row r="1" spans="2:4" s="36" customFormat="1" x14ac:dyDescent="0.25">
      <c r="C1" s="97"/>
    </row>
    <row r="2" spans="2:4" s="36" customFormat="1" ht="16.5" customHeight="1" x14ac:dyDescent="0.25">
      <c r="C2" s="97"/>
    </row>
    <row r="3" spans="2:4" x14ac:dyDescent="0.25">
      <c r="B3" s="208" t="s">
        <v>698</v>
      </c>
      <c r="C3" s="208"/>
      <c r="D3" s="208"/>
    </row>
    <row r="4" spans="2:4" s="3" customFormat="1" ht="33.75" customHeight="1" x14ac:dyDescent="0.25">
      <c r="B4" s="188" t="s">
        <v>1456</v>
      </c>
      <c r="C4" s="189"/>
      <c r="D4" s="190"/>
    </row>
    <row r="5" spans="2:4" s="3" customFormat="1" x14ac:dyDescent="0.25">
      <c r="B5" s="196" t="s">
        <v>6</v>
      </c>
      <c r="C5" s="196"/>
      <c r="D5" s="68" t="s">
        <v>0</v>
      </c>
    </row>
    <row r="6" spans="2:4" s="3" customFormat="1" ht="81.75" customHeight="1" x14ac:dyDescent="0.25">
      <c r="B6" s="209" t="s">
        <v>688</v>
      </c>
      <c r="C6" s="209"/>
      <c r="D6" s="59" t="s">
        <v>1859</v>
      </c>
    </row>
    <row r="7" spans="2:4" s="3" customFormat="1" ht="80.25" customHeight="1" x14ac:dyDescent="0.25">
      <c r="B7" s="209" t="s">
        <v>690</v>
      </c>
      <c r="C7" s="209"/>
      <c r="D7" s="59" t="s">
        <v>1860</v>
      </c>
    </row>
    <row r="8" spans="2:4" s="3" customFormat="1" ht="78.75" customHeight="1" x14ac:dyDescent="0.25">
      <c r="B8" s="209" t="s">
        <v>692</v>
      </c>
      <c r="C8" s="209"/>
      <c r="D8" s="65" t="s">
        <v>1861</v>
      </c>
    </row>
    <row r="9" spans="2:4" s="3" customFormat="1" ht="61.5" customHeight="1" x14ac:dyDescent="0.25">
      <c r="B9" s="209" t="s">
        <v>1712</v>
      </c>
      <c r="C9" s="209"/>
      <c r="D9" s="59" t="s">
        <v>1841</v>
      </c>
    </row>
    <row r="10" spans="2:4" s="3" customFormat="1" x14ac:dyDescent="0.25"/>
    <row r="11" spans="2:4" x14ac:dyDescent="0.25">
      <c r="B11" s="208" t="s">
        <v>446</v>
      </c>
      <c r="C11" s="208"/>
      <c r="D11" s="208"/>
    </row>
    <row r="12" spans="2:4" s="3" customFormat="1" ht="15" customHeight="1" x14ac:dyDescent="0.25">
      <c r="B12" s="204" t="s">
        <v>1818</v>
      </c>
      <c r="C12" s="204"/>
      <c r="D12" s="204"/>
    </row>
    <row r="13" spans="2:4" s="3" customFormat="1" ht="15" customHeight="1" x14ac:dyDescent="0.25">
      <c r="B13" s="205" t="s">
        <v>1830</v>
      </c>
      <c r="C13" s="205"/>
      <c r="D13" s="205"/>
    </row>
    <row r="14" spans="2:4" s="3" customFormat="1" ht="45.75" customHeight="1" x14ac:dyDescent="0.25">
      <c r="B14" s="203" t="s">
        <v>1825</v>
      </c>
      <c r="C14" s="203"/>
      <c r="D14" s="203"/>
    </row>
    <row r="15" spans="2:4" s="3" customFormat="1" ht="30" customHeight="1" x14ac:dyDescent="0.25">
      <c r="B15" s="204" t="s">
        <v>1831</v>
      </c>
      <c r="C15" s="204"/>
      <c r="D15" s="204"/>
    </row>
    <row r="16" spans="2:4" s="3" customFormat="1" x14ac:dyDescent="0.25">
      <c r="B16" s="205" t="s">
        <v>1832</v>
      </c>
      <c r="C16" s="205"/>
      <c r="D16" s="205"/>
    </row>
    <row r="17" spans="1:4" s="3" customFormat="1" ht="30" customHeight="1" x14ac:dyDescent="0.25">
      <c r="B17" s="204" t="s">
        <v>1833</v>
      </c>
      <c r="C17" s="204"/>
      <c r="D17" s="204"/>
    </row>
    <row r="18" spans="1:4" s="3" customFormat="1" x14ac:dyDescent="0.25">
      <c r="B18" s="204" t="s">
        <v>1834</v>
      </c>
      <c r="C18" s="204"/>
      <c r="D18" s="204"/>
    </row>
    <row r="19" spans="1:4" s="3" customFormat="1" ht="15" customHeight="1" x14ac:dyDescent="0.25">
      <c r="B19" s="204" t="s">
        <v>1835</v>
      </c>
      <c r="C19" s="204"/>
      <c r="D19" s="204"/>
    </row>
    <row r="20" spans="1:4" s="3" customFormat="1" ht="52.5" customHeight="1" x14ac:dyDescent="0.25">
      <c r="B20" s="210" t="s">
        <v>1817</v>
      </c>
      <c r="C20" s="210"/>
      <c r="D20" s="210"/>
    </row>
    <row r="21" spans="1:4" s="3" customFormat="1" x14ac:dyDescent="0.25"/>
    <row r="22" spans="1:4" x14ac:dyDescent="0.25">
      <c r="B22" s="206" t="s">
        <v>699</v>
      </c>
      <c r="C22" s="206"/>
      <c r="D22" s="206"/>
    </row>
    <row r="23" spans="1:4" x14ac:dyDescent="0.25">
      <c r="B23" s="69" t="s">
        <v>700</v>
      </c>
      <c r="C23" s="69" t="s">
        <v>701</v>
      </c>
      <c r="D23" s="59" t="s">
        <v>702</v>
      </c>
    </row>
    <row r="24" spans="1:4" x14ac:dyDescent="0.25">
      <c r="B24" s="69" t="s">
        <v>703</v>
      </c>
      <c r="C24" s="69" t="s">
        <v>701</v>
      </c>
      <c r="D24" s="59" t="s">
        <v>704</v>
      </c>
    </row>
    <row r="25" spans="1:4" x14ac:dyDescent="0.25">
      <c r="B25" s="69" t="s">
        <v>72</v>
      </c>
      <c r="C25" s="69" t="s">
        <v>701</v>
      </c>
      <c r="D25" s="59" t="s">
        <v>705</v>
      </c>
    </row>
    <row r="26" spans="1:4" x14ac:dyDescent="0.25">
      <c r="B26" s="69" t="s">
        <v>706</v>
      </c>
      <c r="C26" s="69" t="s">
        <v>701</v>
      </c>
      <c r="D26" s="59" t="s">
        <v>707</v>
      </c>
    </row>
    <row r="28" spans="1:4" x14ac:dyDescent="0.25">
      <c r="B28" s="206" t="s">
        <v>708</v>
      </c>
      <c r="C28" s="206"/>
      <c r="D28" s="206"/>
    </row>
    <row r="29" spans="1:4" x14ac:dyDescent="0.25">
      <c r="A29" s="70"/>
      <c r="B29" s="207" t="s">
        <v>709</v>
      </c>
      <c r="C29" s="207"/>
      <c r="D29" s="207"/>
    </row>
    <row r="30" spans="1:4" x14ac:dyDescent="0.25">
      <c r="B30" s="69" t="s">
        <v>710</v>
      </c>
      <c r="C30" s="71" t="s">
        <v>701</v>
      </c>
      <c r="D30" s="59" t="s">
        <v>711</v>
      </c>
    </row>
    <row r="31" spans="1:4" x14ac:dyDescent="0.25">
      <c r="B31" s="69" t="s">
        <v>712</v>
      </c>
      <c r="C31" s="69" t="s">
        <v>701</v>
      </c>
      <c r="D31" s="59" t="s">
        <v>713</v>
      </c>
    </row>
    <row r="32" spans="1:4" x14ac:dyDescent="0.25">
      <c r="B32" s="69" t="s">
        <v>714</v>
      </c>
      <c r="C32" s="69" t="s">
        <v>701</v>
      </c>
      <c r="D32" s="59" t="s">
        <v>715</v>
      </c>
    </row>
    <row r="33" spans="2:4" x14ac:dyDescent="0.25">
      <c r="B33" s="69" t="s">
        <v>104</v>
      </c>
      <c r="C33" s="69" t="s">
        <v>701</v>
      </c>
      <c r="D33" s="59" t="s">
        <v>716</v>
      </c>
    </row>
    <row r="34" spans="2:4" x14ac:dyDescent="0.25">
      <c r="B34" s="69" t="s">
        <v>717</v>
      </c>
      <c r="C34" s="69" t="s">
        <v>701</v>
      </c>
      <c r="D34" s="59" t="s">
        <v>718</v>
      </c>
    </row>
    <row r="35" spans="2:4" x14ac:dyDescent="0.25">
      <c r="B35" s="69" t="s">
        <v>719</v>
      </c>
      <c r="C35" s="69" t="s">
        <v>701</v>
      </c>
      <c r="D35" s="59" t="s">
        <v>720</v>
      </c>
    </row>
    <row r="36" spans="2:4" x14ac:dyDescent="0.25">
      <c r="B36" s="69" t="s">
        <v>721</v>
      </c>
      <c r="C36" s="69" t="s">
        <v>701</v>
      </c>
      <c r="D36" s="59" t="s">
        <v>722</v>
      </c>
    </row>
    <row r="37" spans="2:4" x14ac:dyDescent="0.25">
      <c r="B37" s="69" t="s">
        <v>723</v>
      </c>
      <c r="C37" s="71" t="s">
        <v>701</v>
      </c>
      <c r="D37" s="59" t="s">
        <v>724</v>
      </c>
    </row>
    <row r="38" spans="2:4" x14ac:dyDescent="0.25">
      <c r="B38" s="69" t="s">
        <v>725</v>
      </c>
      <c r="C38" s="69" t="s">
        <v>701</v>
      </c>
      <c r="D38" s="59" t="s">
        <v>726</v>
      </c>
    </row>
    <row r="39" spans="2:4" x14ac:dyDescent="0.25">
      <c r="B39" s="69" t="s">
        <v>727</v>
      </c>
      <c r="C39" s="69" t="s">
        <v>701</v>
      </c>
      <c r="D39" s="59" t="s">
        <v>728</v>
      </c>
    </row>
    <row r="40" spans="2:4" x14ac:dyDescent="0.25">
      <c r="B40" s="69" t="s">
        <v>105</v>
      </c>
      <c r="C40" s="71" t="s">
        <v>701</v>
      </c>
      <c r="D40" s="59" t="s">
        <v>729</v>
      </c>
    </row>
    <row r="41" spans="2:4" x14ac:dyDescent="0.25">
      <c r="B41" s="69" t="s">
        <v>730</v>
      </c>
      <c r="C41" s="69" t="s">
        <v>701</v>
      </c>
      <c r="D41" s="59" t="s">
        <v>731</v>
      </c>
    </row>
    <row r="42" spans="2:4" x14ac:dyDescent="0.25">
      <c r="B42" s="69" t="s">
        <v>732</v>
      </c>
      <c r="C42" s="69" t="s">
        <v>701</v>
      </c>
      <c r="D42" s="59" t="s">
        <v>733</v>
      </c>
    </row>
    <row r="43" spans="2:4" x14ac:dyDescent="0.25">
      <c r="B43" s="69" t="s">
        <v>734</v>
      </c>
      <c r="C43" s="71" t="s">
        <v>701</v>
      </c>
      <c r="D43" s="59" t="s">
        <v>735</v>
      </c>
    </row>
    <row r="44" spans="2:4" x14ac:dyDescent="0.25">
      <c r="B44" s="69" t="s">
        <v>736</v>
      </c>
      <c r="C44" s="71" t="s">
        <v>701</v>
      </c>
      <c r="D44" s="59" t="s">
        <v>737</v>
      </c>
    </row>
    <row r="45" spans="2:4" x14ac:dyDescent="0.25">
      <c r="B45" s="69" t="s">
        <v>1255</v>
      </c>
      <c r="C45" s="71" t="s">
        <v>701</v>
      </c>
      <c r="D45" s="59" t="s">
        <v>1256</v>
      </c>
    </row>
    <row r="46" spans="2:4" x14ac:dyDescent="0.25">
      <c r="B46" s="69" t="s">
        <v>738</v>
      </c>
      <c r="C46" s="69" t="s">
        <v>701</v>
      </c>
      <c r="D46" s="59" t="s">
        <v>739</v>
      </c>
    </row>
    <row r="47" spans="2:4" x14ac:dyDescent="0.25">
      <c r="B47" s="69" t="s">
        <v>213</v>
      </c>
      <c r="C47" s="71" t="s">
        <v>701</v>
      </c>
      <c r="D47" s="59" t="s">
        <v>740</v>
      </c>
    </row>
    <row r="48" spans="2:4" x14ac:dyDescent="0.25">
      <c r="B48" s="69" t="s">
        <v>741</v>
      </c>
      <c r="C48" s="71" t="s">
        <v>701</v>
      </c>
      <c r="D48" s="59" t="s">
        <v>742</v>
      </c>
    </row>
    <row r="49" spans="2:4" x14ac:dyDescent="0.25">
      <c r="B49" s="69" t="s">
        <v>743</v>
      </c>
      <c r="C49" s="69" t="s">
        <v>701</v>
      </c>
      <c r="D49" s="59" t="s">
        <v>744</v>
      </c>
    </row>
    <row r="50" spans="2:4" x14ac:dyDescent="0.25">
      <c r="B50" s="69" t="s">
        <v>745</v>
      </c>
      <c r="C50" s="69" t="s">
        <v>701</v>
      </c>
      <c r="D50" s="59" t="s">
        <v>746</v>
      </c>
    </row>
    <row r="51" spans="2:4" x14ac:dyDescent="0.25">
      <c r="B51" s="69" t="s">
        <v>747</v>
      </c>
      <c r="C51" s="69" t="s">
        <v>701</v>
      </c>
      <c r="D51" s="59" t="s">
        <v>748</v>
      </c>
    </row>
    <row r="52" spans="2:4" x14ac:dyDescent="0.25">
      <c r="B52" s="69" t="s">
        <v>749</v>
      </c>
      <c r="C52" s="69" t="s">
        <v>701</v>
      </c>
      <c r="D52" s="59" t="s">
        <v>750</v>
      </c>
    </row>
    <row r="53" spans="2:4" x14ac:dyDescent="0.25">
      <c r="B53" s="69" t="s">
        <v>751</v>
      </c>
      <c r="C53" s="69" t="s">
        <v>701</v>
      </c>
      <c r="D53" s="59" t="s">
        <v>752</v>
      </c>
    </row>
    <row r="54" spans="2:4" x14ac:dyDescent="0.25">
      <c r="B54" s="69" t="s">
        <v>1257</v>
      </c>
      <c r="C54" s="71" t="s">
        <v>701</v>
      </c>
      <c r="D54" s="59" t="s">
        <v>1258</v>
      </c>
    </row>
    <row r="55" spans="2:4" x14ac:dyDescent="0.25">
      <c r="B55" s="69" t="s">
        <v>753</v>
      </c>
      <c r="C55" s="69" t="s">
        <v>701</v>
      </c>
      <c r="D55" s="59" t="s">
        <v>754</v>
      </c>
    </row>
    <row r="56" spans="2:4" x14ac:dyDescent="0.25">
      <c r="B56" s="69" t="s">
        <v>755</v>
      </c>
      <c r="C56" s="69" t="s">
        <v>701</v>
      </c>
      <c r="D56" s="59" t="s">
        <v>756</v>
      </c>
    </row>
    <row r="57" spans="2:4" x14ac:dyDescent="0.25">
      <c r="B57" s="69" t="s">
        <v>757</v>
      </c>
      <c r="C57" s="69" t="s">
        <v>701</v>
      </c>
      <c r="D57" s="59" t="s">
        <v>758</v>
      </c>
    </row>
    <row r="58" spans="2:4" x14ac:dyDescent="0.25">
      <c r="B58" s="69" t="s">
        <v>759</v>
      </c>
      <c r="C58" s="69" t="s">
        <v>701</v>
      </c>
      <c r="D58" s="59" t="s">
        <v>760</v>
      </c>
    </row>
    <row r="59" spans="2:4" x14ac:dyDescent="0.25">
      <c r="B59" s="69" t="s">
        <v>761</v>
      </c>
      <c r="C59" s="69" t="s">
        <v>701</v>
      </c>
      <c r="D59" s="59" t="s">
        <v>762</v>
      </c>
    </row>
    <row r="60" spans="2:4" x14ac:dyDescent="0.25">
      <c r="B60" s="69" t="s">
        <v>763</v>
      </c>
      <c r="C60" s="69" t="s">
        <v>701</v>
      </c>
      <c r="D60" s="59" t="s">
        <v>764</v>
      </c>
    </row>
    <row r="61" spans="2:4" x14ac:dyDescent="0.25">
      <c r="B61" s="69" t="s">
        <v>765</v>
      </c>
      <c r="C61" s="69" t="s">
        <v>701</v>
      </c>
      <c r="D61" s="59" t="s">
        <v>766</v>
      </c>
    </row>
    <row r="62" spans="2:4" x14ac:dyDescent="0.25">
      <c r="B62" s="69" t="s">
        <v>767</v>
      </c>
      <c r="C62" s="71" t="s">
        <v>701</v>
      </c>
      <c r="D62" s="59" t="s">
        <v>768</v>
      </c>
    </row>
    <row r="63" spans="2:4" x14ac:dyDescent="0.25">
      <c r="B63" s="69" t="s">
        <v>769</v>
      </c>
      <c r="C63" s="69" t="s">
        <v>701</v>
      </c>
      <c r="D63" s="59" t="s">
        <v>770</v>
      </c>
    </row>
    <row r="64" spans="2:4" ht="30" x14ac:dyDescent="0.25">
      <c r="B64" s="69" t="s">
        <v>771</v>
      </c>
      <c r="C64" s="69"/>
      <c r="D64" s="59" t="s">
        <v>1862</v>
      </c>
    </row>
    <row r="65" spans="2:4" x14ac:dyDescent="0.25">
      <c r="B65" s="25"/>
    </row>
    <row r="66" spans="2:4" x14ac:dyDescent="0.25">
      <c r="B66" s="206" t="s">
        <v>772</v>
      </c>
      <c r="C66" s="206"/>
      <c r="D66" s="206"/>
    </row>
    <row r="67" spans="2:4" ht="46.5" customHeight="1" x14ac:dyDescent="0.25">
      <c r="B67" s="69" t="s">
        <v>773</v>
      </c>
      <c r="C67" s="69" t="s">
        <v>701</v>
      </c>
      <c r="D67" s="59" t="s">
        <v>774</v>
      </c>
    </row>
    <row r="68" spans="2:4" x14ac:dyDescent="0.25">
      <c r="B68" s="69" t="s">
        <v>775</v>
      </c>
      <c r="C68" s="71" t="s">
        <v>701</v>
      </c>
      <c r="D68" s="59" t="s">
        <v>776</v>
      </c>
    </row>
    <row r="69" spans="2:4" x14ac:dyDescent="0.25">
      <c r="B69" s="25"/>
    </row>
    <row r="70" spans="2:4" x14ac:dyDescent="0.25">
      <c r="B70" s="25"/>
    </row>
  </sheetData>
  <mergeCells count="21">
    <mergeCell ref="B22:D22"/>
    <mergeCell ref="B28:D28"/>
    <mergeCell ref="B29:D29"/>
    <mergeCell ref="B66:D66"/>
    <mergeCell ref="B3:D3"/>
    <mergeCell ref="B5:C5"/>
    <mergeCell ref="B6:C6"/>
    <mergeCell ref="B7:C7"/>
    <mergeCell ref="B8:C8"/>
    <mergeCell ref="B9:C9"/>
    <mergeCell ref="B4:D4"/>
    <mergeCell ref="B11:D11"/>
    <mergeCell ref="B12:D12"/>
    <mergeCell ref="B13:D13"/>
    <mergeCell ref="B19:D19"/>
    <mergeCell ref="B20:D20"/>
    <mergeCell ref="B14:D14"/>
    <mergeCell ref="B15:D15"/>
    <mergeCell ref="B16:D16"/>
    <mergeCell ref="B17:D17"/>
    <mergeCell ref="B18:D18"/>
  </mergeCells>
  <hyperlinks>
    <hyperlink ref="B6:C6" location="Municipal!A1" display="Municipal"/>
    <hyperlink ref="B7:C7" location="Industrial!A1" display="Industrial"/>
    <hyperlink ref="B8:C8" location="Decentralized!A1" display="Decentralized"/>
    <hyperlink ref="B9:C9" location="'Point Source Anecdotal'!A1" display="Point Source Anecdotal"/>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S374"/>
  <sheetViews>
    <sheetView showGridLines="0" zoomScaleNormal="100" workbookViewId="0">
      <pane xSplit="1" ySplit="4" topLeftCell="B5" activePane="bottomRight" state="frozen"/>
      <selection activeCell="B5" sqref="B5:C7"/>
      <selection pane="topRight" activeCell="B5" sqref="B5:C7"/>
      <selection pane="bottomLeft" activeCell="B5" sqref="B5:C7"/>
      <selection pane="bottomRight"/>
    </sheetView>
  </sheetViews>
  <sheetFormatPr defaultColWidth="8.85546875" defaultRowHeight="12.75" x14ac:dyDescent="0.2"/>
  <cols>
    <col min="1" max="1" width="13.42578125" style="84" customWidth="1"/>
    <col min="2" max="2" width="19.5703125" style="84" customWidth="1"/>
    <col min="3" max="3" width="14.140625" style="84" customWidth="1"/>
    <col min="4" max="4" width="14.85546875" style="84" customWidth="1"/>
    <col min="5" max="5" width="14.140625" style="84" customWidth="1"/>
    <col min="6" max="7" width="10.85546875" style="84" customWidth="1"/>
    <col min="8" max="8" width="12.7109375" style="84" customWidth="1"/>
    <col min="9" max="9" width="12.42578125" style="84" customWidth="1"/>
    <col min="10" max="10" width="10.85546875" style="84" customWidth="1"/>
    <col min="11" max="11" width="15.140625" style="84" customWidth="1"/>
    <col min="12" max="12" width="12.42578125" style="84" customWidth="1"/>
    <col min="13" max="13" width="8.85546875" style="84"/>
    <col min="14" max="14" width="12.28515625" style="84" customWidth="1"/>
    <col min="15" max="15" width="13.28515625" style="84" customWidth="1"/>
    <col min="16" max="16" width="18.5703125" style="84" bestFit="1" customWidth="1"/>
    <col min="17" max="17" width="12.85546875" style="84" bestFit="1" customWidth="1"/>
    <col min="18" max="18" width="12.85546875" style="84" customWidth="1"/>
    <col min="19" max="19" width="62.42578125" style="11" bestFit="1" customWidth="1"/>
    <col min="20" max="16384" width="8.85546875" style="11"/>
  </cols>
  <sheetData>
    <row r="1" spans="1:19" s="5" customFormat="1" ht="16.5" customHeight="1" x14ac:dyDescent="0.2">
      <c r="A1" s="158"/>
      <c r="B1" s="11"/>
      <c r="C1" s="11"/>
      <c r="D1" s="11"/>
      <c r="E1" s="11"/>
    </row>
    <row r="2" spans="1:19" s="5" customFormat="1" ht="16.5" customHeight="1" x14ac:dyDescent="0.2">
      <c r="A2" s="123"/>
      <c r="B2" s="123"/>
      <c r="C2" s="123"/>
      <c r="D2" s="123"/>
      <c r="E2" s="11"/>
    </row>
    <row r="3" spans="1:19" ht="14.45" customHeight="1" x14ac:dyDescent="0.2">
      <c r="A3" s="211" t="s">
        <v>778</v>
      </c>
      <c r="B3" s="211" t="s">
        <v>788</v>
      </c>
      <c r="C3" s="212" t="s">
        <v>1259</v>
      </c>
      <c r="D3" s="213"/>
      <c r="E3" s="213"/>
      <c r="F3" s="214"/>
      <c r="G3" s="212" t="s">
        <v>1260</v>
      </c>
      <c r="H3" s="213"/>
      <c r="I3" s="213"/>
      <c r="J3" s="214"/>
      <c r="K3" s="211" t="s">
        <v>782</v>
      </c>
      <c r="L3" s="211" t="s">
        <v>783</v>
      </c>
      <c r="M3" s="211" t="s">
        <v>784</v>
      </c>
      <c r="N3" s="211" t="s">
        <v>785</v>
      </c>
      <c r="O3" s="211" t="s">
        <v>786</v>
      </c>
      <c r="P3" s="211" t="s">
        <v>787</v>
      </c>
      <c r="Q3" s="211" t="s">
        <v>1261</v>
      </c>
      <c r="R3" s="215" t="s">
        <v>1262</v>
      </c>
      <c r="S3" s="211" t="s">
        <v>789</v>
      </c>
    </row>
    <row r="4" spans="1:19" ht="38.25" x14ac:dyDescent="0.2">
      <c r="A4" s="211"/>
      <c r="B4" s="211"/>
      <c r="C4" s="57" t="s">
        <v>777</v>
      </c>
      <c r="D4" s="57" t="s">
        <v>779</v>
      </c>
      <c r="E4" s="57" t="s">
        <v>780</v>
      </c>
      <c r="F4" s="57" t="s">
        <v>781</v>
      </c>
      <c r="G4" s="57" t="s">
        <v>777</v>
      </c>
      <c r="H4" s="57" t="s">
        <v>779</v>
      </c>
      <c r="I4" s="57" t="s">
        <v>780</v>
      </c>
      <c r="J4" s="57" t="s">
        <v>781</v>
      </c>
      <c r="K4" s="211"/>
      <c r="L4" s="211"/>
      <c r="M4" s="211"/>
      <c r="N4" s="211"/>
      <c r="O4" s="211"/>
      <c r="P4" s="211"/>
      <c r="Q4" s="211"/>
      <c r="R4" s="216"/>
      <c r="S4" s="211"/>
    </row>
    <row r="5" spans="1:19" s="37" customFormat="1" ht="27" customHeight="1" x14ac:dyDescent="0.25">
      <c r="A5" s="22" t="s">
        <v>105</v>
      </c>
      <c r="B5" s="22" t="s">
        <v>793</v>
      </c>
      <c r="C5" s="22" t="s">
        <v>72</v>
      </c>
      <c r="D5" s="22">
        <v>9600</v>
      </c>
      <c r="E5" s="22">
        <v>5100</v>
      </c>
      <c r="F5" s="72">
        <v>0.46875</v>
      </c>
      <c r="G5" s="72" t="s">
        <v>817</v>
      </c>
      <c r="H5" s="72" t="s">
        <v>817</v>
      </c>
      <c r="I5" s="72" t="s">
        <v>817</v>
      </c>
      <c r="J5" s="72" t="s">
        <v>817</v>
      </c>
      <c r="K5" s="73">
        <v>0.25793169595450965</v>
      </c>
      <c r="L5" s="73">
        <v>5.3597077221151652E-2</v>
      </c>
      <c r="M5" s="22" t="s">
        <v>804</v>
      </c>
      <c r="N5" s="80">
        <v>2006</v>
      </c>
      <c r="O5" s="22" t="s">
        <v>773</v>
      </c>
      <c r="P5" s="22" t="s">
        <v>792</v>
      </c>
      <c r="Q5" s="22" t="s">
        <v>1230</v>
      </c>
      <c r="R5" s="22">
        <v>1</v>
      </c>
      <c r="S5" s="33" t="s">
        <v>1263</v>
      </c>
    </row>
    <row r="6" spans="1:19" s="37" customFormat="1" ht="27" customHeight="1" x14ac:dyDescent="0.25">
      <c r="A6" s="22" t="s">
        <v>837</v>
      </c>
      <c r="B6" s="22" t="s">
        <v>793</v>
      </c>
      <c r="C6" s="22" t="s">
        <v>72</v>
      </c>
      <c r="D6" s="22">
        <v>7000</v>
      </c>
      <c r="E6" s="22">
        <v>5000</v>
      </c>
      <c r="F6" s="72">
        <v>0.2857142857142857</v>
      </c>
      <c r="G6" s="72" t="s">
        <v>817</v>
      </c>
      <c r="H6" s="72" t="s">
        <v>817</v>
      </c>
      <c r="I6" s="72" t="s">
        <v>817</v>
      </c>
      <c r="J6" s="72" t="s">
        <v>817</v>
      </c>
      <c r="K6" s="73">
        <v>2.1279364916247041</v>
      </c>
      <c r="L6" s="73">
        <v>6.5668491009699237E-2</v>
      </c>
      <c r="M6" s="22" t="s">
        <v>838</v>
      </c>
      <c r="N6" s="80">
        <v>2006</v>
      </c>
      <c r="O6" s="22" t="s">
        <v>773</v>
      </c>
      <c r="P6" s="22" t="s">
        <v>792</v>
      </c>
      <c r="Q6" s="22" t="s">
        <v>1230</v>
      </c>
      <c r="R6" s="22">
        <v>1</v>
      </c>
      <c r="S6" s="33" t="s">
        <v>1263</v>
      </c>
    </row>
    <row r="7" spans="1:19" s="37" customFormat="1" ht="27" customHeight="1" x14ac:dyDescent="0.25">
      <c r="A7" s="22" t="s">
        <v>825</v>
      </c>
      <c r="B7" s="22" t="s">
        <v>793</v>
      </c>
      <c r="C7" s="22" t="s">
        <v>72</v>
      </c>
      <c r="D7" s="8" t="s">
        <v>817</v>
      </c>
      <c r="E7" s="22">
        <v>5000</v>
      </c>
      <c r="F7" s="8" t="s">
        <v>817</v>
      </c>
      <c r="G7" s="72" t="s">
        <v>817</v>
      </c>
      <c r="H7" s="72" t="s">
        <v>817</v>
      </c>
      <c r="I7" s="72" t="s">
        <v>817</v>
      </c>
      <c r="J7" s="72" t="s">
        <v>817</v>
      </c>
      <c r="K7" s="73">
        <v>0.62450780555109031</v>
      </c>
      <c r="L7" s="76">
        <v>1.482407941113433E-2</v>
      </c>
      <c r="M7" s="22" t="s">
        <v>830</v>
      </c>
      <c r="N7" s="80">
        <v>2000</v>
      </c>
      <c r="O7" s="22" t="s">
        <v>773</v>
      </c>
      <c r="P7" s="22" t="s">
        <v>827</v>
      </c>
      <c r="Q7" s="22" t="s">
        <v>828</v>
      </c>
      <c r="R7" s="22">
        <v>3</v>
      </c>
      <c r="S7" s="16"/>
    </row>
    <row r="8" spans="1:19" s="37" customFormat="1" ht="27" customHeight="1" x14ac:dyDescent="0.25">
      <c r="A8" s="22" t="s">
        <v>825</v>
      </c>
      <c r="B8" s="22" t="s">
        <v>793</v>
      </c>
      <c r="C8" s="22" t="s">
        <v>72</v>
      </c>
      <c r="D8" s="8" t="s">
        <v>817</v>
      </c>
      <c r="E8" s="22">
        <v>5000</v>
      </c>
      <c r="F8" s="8" t="s">
        <v>817</v>
      </c>
      <c r="G8" s="72" t="s">
        <v>817</v>
      </c>
      <c r="H8" s="72" t="s">
        <v>817</v>
      </c>
      <c r="I8" s="72" t="s">
        <v>817</v>
      </c>
      <c r="J8" s="72" t="s">
        <v>817</v>
      </c>
      <c r="K8" s="73">
        <v>0.74544535846326954</v>
      </c>
      <c r="L8" s="79">
        <v>2.3824748356373573E-2</v>
      </c>
      <c r="M8" s="22" t="s">
        <v>808</v>
      </c>
      <c r="N8" s="80">
        <v>2000</v>
      </c>
      <c r="O8" s="22" t="s">
        <v>773</v>
      </c>
      <c r="P8" s="22" t="s">
        <v>827</v>
      </c>
      <c r="Q8" s="22" t="s">
        <v>828</v>
      </c>
      <c r="R8" s="22">
        <v>3</v>
      </c>
      <c r="S8" s="16"/>
    </row>
    <row r="9" spans="1:19" s="37" customFormat="1" ht="27" customHeight="1" x14ac:dyDescent="0.25">
      <c r="A9" s="22" t="s">
        <v>825</v>
      </c>
      <c r="B9" s="22" t="s">
        <v>793</v>
      </c>
      <c r="C9" s="22" t="s">
        <v>72</v>
      </c>
      <c r="D9" s="8" t="s">
        <v>817</v>
      </c>
      <c r="E9" s="22">
        <v>5000</v>
      </c>
      <c r="F9" s="8" t="s">
        <v>817</v>
      </c>
      <c r="G9" s="72" t="s">
        <v>817</v>
      </c>
      <c r="H9" s="72" t="s">
        <v>817</v>
      </c>
      <c r="I9" s="72" t="s">
        <v>817</v>
      </c>
      <c r="J9" s="72" t="s">
        <v>817</v>
      </c>
      <c r="K9" s="73">
        <v>1.6824340138241438</v>
      </c>
      <c r="L9" s="79">
        <v>4.4206256309275035E-2</v>
      </c>
      <c r="M9" s="22" t="s">
        <v>829</v>
      </c>
      <c r="N9" s="80">
        <v>2000</v>
      </c>
      <c r="O9" s="22" t="s">
        <v>773</v>
      </c>
      <c r="P9" s="22" t="s">
        <v>827</v>
      </c>
      <c r="Q9" s="22" t="s">
        <v>828</v>
      </c>
      <c r="R9" s="22">
        <v>3</v>
      </c>
      <c r="S9" s="16"/>
    </row>
    <row r="10" spans="1:19" s="37" customFormat="1" ht="27" customHeight="1" x14ac:dyDescent="0.25">
      <c r="A10" s="22" t="s">
        <v>825</v>
      </c>
      <c r="B10" s="22" t="s">
        <v>793</v>
      </c>
      <c r="C10" s="22" t="s">
        <v>72</v>
      </c>
      <c r="D10" s="8" t="s">
        <v>817</v>
      </c>
      <c r="E10" s="22">
        <v>3000</v>
      </c>
      <c r="F10" s="8" t="s">
        <v>817</v>
      </c>
      <c r="G10" s="72" t="s">
        <v>817</v>
      </c>
      <c r="H10" s="72" t="s">
        <v>817</v>
      </c>
      <c r="I10" s="72" t="s">
        <v>817</v>
      </c>
      <c r="J10" s="72" t="s">
        <v>817</v>
      </c>
      <c r="K10" s="73">
        <v>2.0477981651376149</v>
      </c>
      <c r="L10" s="76">
        <v>4.2419930986443768E-2</v>
      </c>
      <c r="M10" s="22" t="s">
        <v>830</v>
      </c>
      <c r="N10" s="74">
        <v>2000</v>
      </c>
      <c r="O10" s="22" t="s">
        <v>773</v>
      </c>
      <c r="P10" s="22" t="s">
        <v>827</v>
      </c>
      <c r="Q10" s="22" t="s">
        <v>828</v>
      </c>
      <c r="R10" s="22">
        <v>3</v>
      </c>
      <c r="S10" s="16"/>
    </row>
    <row r="11" spans="1:19" s="37" customFormat="1" ht="27" customHeight="1" x14ac:dyDescent="0.25">
      <c r="A11" s="22" t="s">
        <v>825</v>
      </c>
      <c r="B11" s="22" t="s">
        <v>793</v>
      </c>
      <c r="C11" s="22" t="s">
        <v>72</v>
      </c>
      <c r="D11" s="8" t="s">
        <v>817</v>
      </c>
      <c r="E11" s="22">
        <v>3000</v>
      </c>
      <c r="F11" s="8" t="s">
        <v>817</v>
      </c>
      <c r="G11" s="72" t="s">
        <v>817</v>
      </c>
      <c r="H11" s="72" t="s">
        <v>817</v>
      </c>
      <c r="I11" s="72" t="s">
        <v>817</v>
      </c>
      <c r="J11" s="72" t="s">
        <v>817</v>
      </c>
      <c r="K11" s="73">
        <v>2.2284862385321103</v>
      </c>
      <c r="L11" s="79">
        <v>4.7149608045330332E-2</v>
      </c>
      <c r="M11" s="22" t="s">
        <v>808</v>
      </c>
      <c r="N11" s="74">
        <v>2000</v>
      </c>
      <c r="O11" s="22" t="s">
        <v>773</v>
      </c>
      <c r="P11" s="22" t="s">
        <v>827</v>
      </c>
      <c r="Q11" s="22" t="s">
        <v>828</v>
      </c>
      <c r="R11" s="22">
        <v>3</v>
      </c>
      <c r="S11" s="16"/>
    </row>
    <row r="12" spans="1:19" s="37" customFormat="1" ht="27" customHeight="1" x14ac:dyDescent="0.25">
      <c r="A12" s="22" t="s">
        <v>825</v>
      </c>
      <c r="B12" s="22" t="s">
        <v>793</v>
      </c>
      <c r="C12" s="22" t="s">
        <v>72</v>
      </c>
      <c r="D12" s="8" t="s">
        <v>817</v>
      </c>
      <c r="E12" s="22">
        <v>3000</v>
      </c>
      <c r="F12" s="8" t="s">
        <v>817</v>
      </c>
      <c r="G12" s="72" t="s">
        <v>817</v>
      </c>
      <c r="H12" s="72" t="s">
        <v>817</v>
      </c>
      <c r="I12" s="72" t="s">
        <v>817</v>
      </c>
      <c r="J12" s="72" t="s">
        <v>817</v>
      </c>
      <c r="K12" s="73">
        <v>2.9373394495412848</v>
      </c>
      <c r="L12" s="78">
        <v>0.10579514246101912</v>
      </c>
      <c r="M12" s="22" t="s">
        <v>829</v>
      </c>
      <c r="N12" s="74">
        <v>2000</v>
      </c>
      <c r="O12" s="22" t="s">
        <v>773</v>
      </c>
      <c r="P12" s="22" t="s">
        <v>827</v>
      </c>
      <c r="Q12" s="22" t="s">
        <v>828</v>
      </c>
      <c r="R12" s="22">
        <v>3</v>
      </c>
      <c r="S12" s="16"/>
    </row>
    <row r="13" spans="1:19" s="37" customFormat="1" ht="27" customHeight="1" x14ac:dyDescent="0.25">
      <c r="A13" s="22" t="s">
        <v>825</v>
      </c>
      <c r="B13" s="22" t="s">
        <v>793</v>
      </c>
      <c r="C13" s="22" t="s">
        <v>72</v>
      </c>
      <c r="D13" s="8" t="s">
        <v>817</v>
      </c>
      <c r="E13" s="22">
        <v>5000</v>
      </c>
      <c r="F13" s="8" t="s">
        <v>817</v>
      </c>
      <c r="G13" s="72" t="s">
        <v>817</v>
      </c>
      <c r="H13" s="72" t="s">
        <v>817</v>
      </c>
      <c r="I13" s="72" t="s">
        <v>817</v>
      </c>
      <c r="J13" s="72" t="s">
        <v>817</v>
      </c>
      <c r="K13" s="73">
        <v>3.6462823501044848</v>
      </c>
      <c r="L13" s="78">
        <v>0.10660458688313776</v>
      </c>
      <c r="M13" s="22" t="s">
        <v>826</v>
      </c>
      <c r="N13" s="80">
        <v>2000</v>
      </c>
      <c r="O13" s="22" t="s">
        <v>773</v>
      </c>
      <c r="P13" s="22" t="s">
        <v>827</v>
      </c>
      <c r="Q13" s="22" t="s">
        <v>828</v>
      </c>
      <c r="R13" s="22">
        <v>3</v>
      </c>
      <c r="S13" s="16"/>
    </row>
    <row r="14" spans="1:19" s="37" customFormat="1" ht="27" customHeight="1" x14ac:dyDescent="0.25">
      <c r="A14" s="22" t="s">
        <v>825</v>
      </c>
      <c r="B14" s="22" t="s">
        <v>793</v>
      </c>
      <c r="C14" s="22" t="s">
        <v>72</v>
      </c>
      <c r="D14" s="8" t="s">
        <v>817</v>
      </c>
      <c r="E14" s="22">
        <v>3000</v>
      </c>
      <c r="F14" s="8" t="s">
        <v>817</v>
      </c>
      <c r="G14" s="72" t="s">
        <v>817</v>
      </c>
      <c r="H14" s="72" t="s">
        <v>817</v>
      </c>
      <c r="I14" s="72" t="s">
        <v>817</v>
      </c>
      <c r="J14" s="72" t="s">
        <v>817</v>
      </c>
      <c r="K14" s="73">
        <v>4.7204983121684609</v>
      </c>
      <c r="L14" s="78">
        <v>0.34787954388361997</v>
      </c>
      <c r="M14" s="22" t="s">
        <v>826</v>
      </c>
      <c r="N14" s="74">
        <v>2000</v>
      </c>
      <c r="O14" s="22" t="s">
        <v>773</v>
      </c>
      <c r="P14" s="22" t="s">
        <v>827</v>
      </c>
      <c r="Q14" s="22" t="s">
        <v>828</v>
      </c>
      <c r="R14" s="22">
        <v>3</v>
      </c>
      <c r="S14" s="16"/>
    </row>
    <row r="15" spans="1:19" s="37" customFormat="1" ht="27" customHeight="1" x14ac:dyDescent="0.25">
      <c r="A15" s="22" t="s">
        <v>719</v>
      </c>
      <c r="B15" s="22" t="s">
        <v>944</v>
      </c>
      <c r="C15" s="22" t="s">
        <v>72</v>
      </c>
      <c r="D15" s="22">
        <v>37800</v>
      </c>
      <c r="E15" s="22">
        <v>16400</v>
      </c>
      <c r="F15" s="72">
        <v>0.56613756613756616</v>
      </c>
      <c r="G15" s="22" t="s">
        <v>706</v>
      </c>
      <c r="H15" s="22">
        <v>5900</v>
      </c>
      <c r="I15" s="22">
        <v>1500</v>
      </c>
      <c r="J15" s="72">
        <v>0.74576271186440679</v>
      </c>
      <c r="K15" s="73">
        <v>3.5891463895638083</v>
      </c>
      <c r="L15" s="73">
        <v>0.10680429559247455</v>
      </c>
      <c r="M15" s="22" t="s">
        <v>960</v>
      </c>
      <c r="N15" s="80">
        <v>2010</v>
      </c>
      <c r="O15" s="22" t="s">
        <v>773</v>
      </c>
      <c r="P15" s="22" t="s">
        <v>607</v>
      </c>
      <c r="Q15" s="22" t="s">
        <v>956</v>
      </c>
      <c r="R15" s="22">
        <v>4</v>
      </c>
      <c r="S15" s="33"/>
    </row>
    <row r="16" spans="1:19" s="37" customFormat="1" ht="27" customHeight="1" x14ac:dyDescent="0.25">
      <c r="A16" s="22" t="s">
        <v>719</v>
      </c>
      <c r="B16" s="22" t="s">
        <v>944</v>
      </c>
      <c r="C16" s="22" t="s">
        <v>72</v>
      </c>
      <c r="D16" s="22">
        <v>37800</v>
      </c>
      <c r="E16" s="22">
        <v>16400</v>
      </c>
      <c r="F16" s="72">
        <v>0.56613756613756616</v>
      </c>
      <c r="G16" s="22" t="s">
        <v>706</v>
      </c>
      <c r="H16" s="22">
        <v>5900</v>
      </c>
      <c r="I16" s="22">
        <v>1500</v>
      </c>
      <c r="J16" s="72">
        <v>0.74576271186440679</v>
      </c>
      <c r="K16" s="73">
        <v>3.7753601370480645</v>
      </c>
      <c r="L16" s="73">
        <v>0.10915091839263012</v>
      </c>
      <c r="M16" s="22" t="s">
        <v>959</v>
      </c>
      <c r="N16" s="80">
        <v>2010</v>
      </c>
      <c r="O16" s="22" t="s">
        <v>773</v>
      </c>
      <c r="P16" s="22" t="s">
        <v>607</v>
      </c>
      <c r="Q16" s="22" t="s">
        <v>956</v>
      </c>
      <c r="R16" s="22">
        <v>4</v>
      </c>
      <c r="S16" s="33"/>
    </row>
    <row r="17" spans="1:19" s="37" customFormat="1" ht="27" customHeight="1" x14ac:dyDescent="0.25">
      <c r="A17" s="22" t="s">
        <v>719</v>
      </c>
      <c r="B17" s="22" t="s">
        <v>944</v>
      </c>
      <c r="C17" s="22" t="s">
        <v>72</v>
      </c>
      <c r="D17" s="22">
        <v>37800</v>
      </c>
      <c r="E17" s="22">
        <v>16400</v>
      </c>
      <c r="F17" s="72">
        <v>0.56613756613756616</v>
      </c>
      <c r="G17" s="22" t="s">
        <v>706</v>
      </c>
      <c r="H17" s="22">
        <v>5900</v>
      </c>
      <c r="I17" s="22">
        <v>1500</v>
      </c>
      <c r="J17" s="72">
        <v>0.74576271186440679</v>
      </c>
      <c r="K17" s="73">
        <v>3.9671548039259492</v>
      </c>
      <c r="L17" s="73">
        <v>0.11270644743309056</v>
      </c>
      <c r="M17" s="22" t="s">
        <v>958</v>
      </c>
      <c r="N17" s="80">
        <v>2010</v>
      </c>
      <c r="O17" s="22" t="s">
        <v>773</v>
      </c>
      <c r="P17" s="22" t="s">
        <v>607</v>
      </c>
      <c r="Q17" s="22" t="s">
        <v>956</v>
      </c>
      <c r="R17" s="22">
        <v>4</v>
      </c>
      <c r="S17" s="33"/>
    </row>
    <row r="18" spans="1:19" s="37" customFormat="1" ht="27" customHeight="1" x14ac:dyDescent="0.25">
      <c r="A18" s="22" t="s">
        <v>719</v>
      </c>
      <c r="B18" s="22" t="s">
        <v>944</v>
      </c>
      <c r="C18" s="22" t="s">
        <v>72</v>
      </c>
      <c r="D18" s="22">
        <v>37800</v>
      </c>
      <c r="E18" s="22">
        <v>16400</v>
      </c>
      <c r="F18" s="72">
        <v>0.56613756613756616</v>
      </c>
      <c r="G18" s="22" t="s">
        <v>706</v>
      </c>
      <c r="H18" s="22">
        <v>5900</v>
      </c>
      <c r="I18" s="22">
        <v>1500</v>
      </c>
      <c r="J18" s="72">
        <v>0.74576271186440679</v>
      </c>
      <c r="K18" s="73">
        <v>4.4157376792815342</v>
      </c>
      <c r="L18" s="73">
        <v>0.11959289548054153</v>
      </c>
      <c r="M18" s="22" t="s">
        <v>957</v>
      </c>
      <c r="N18" s="80">
        <v>2010</v>
      </c>
      <c r="O18" s="22" t="s">
        <v>773</v>
      </c>
      <c r="P18" s="22" t="s">
        <v>607</v>
      </c>
      <c r="Q18" s="22" t="s">
        <v>956</v>
      </c>
      <c r="R18" s="22">
        <v>4</v>
      </c>
      <c r="S18" s="33"/>
    </row>
    <row r="19" spans="1:19" s="37" customFormat="1" ht="27" customHeight="1" x14ac:dyDescent="0.25">
      <c r="A19" s="22" t="s">
        <v>719</v>
      </c>
      <c r="B19" s="22" t="s">
        <v>944</v>
      </c>
      <c r="C19" s="22" t="s">
        <v>72</v>
      </c>
      <c r="D19" s="22">
        <v>37800</v>
      </c>
      <c r="E19" s="22">
        <v>16400</v>
      </c>
      <c r="F19" s="72">
        <v>0.56613756613756616</v>
      </c>
      <c r="G19" s="22" t="s">
        <v>706</v>
      </c>
      <c r="H19" s="22">
        <v>5900</v>
      </c>
      <c r="I19" s="22">
        <v>1500</v>
      </c>
      <c r="J19" s="72">
        <v>0.74576271186440679</v>
      </c>
      <c r="K19" s="73">
        <v>6.2661420401233192</v>
      </c>
      <c r="L19" s="73">
        <v>0.19282054532862697</v>
      </c>
      <c r="M19" s="22" t="s">
        <v>814</v>
      </c>
      <c r="N19" s="80">
        <v>2010</v>
      </c>
      <c r="O19" s="22" t="s">
        <v>773</v>
      </c>
      <c r="P19" s="22" t="s">
        <v>607</v>
      </c>
      <c r="Q19" s="22" t="s">
        <v>956</v>
      </c>
      <c r="R19" s="22">
        <v>4</v>
      </c>
      <c r="S19" s="33"/>
    </row>
    <row r="20" spans="1:19" s="37" customFormat="1" ht="27" customHeight="1" x14ac:dyDescent="0.25">
      <c r="A20" s="22" t="s">
        <v>833</v>
      </c>
      <c r="B20" s="22" t="s">
        <v>793</v>
      </c>
      <c r="C20" s="22" t="s">
        <v>72</v>
      </c>
      <c r="D20" s="22">
        <v>30500</v>
      </c>
      <c r="E20" s="22">
        <v>9800</v>
      </c>
      <c r="F20" s="72">
        <v>0.67868852459016393</v>
      </c>
      <c r="G20" s="22" t="s">
        <v>706</v>
      </c>
      <c r="H20" s="22">
        <v>3400</v>
      </c>
      <c r="I20" s="22">
        <v>1330</v>
      </c>
      <c r="J20" s="72">
        <v>0.60882352941176465</v>
      </c>
      <c r="K20" s="73">
        <v>1.3762788314469256</v>
      </c>
      <c r="L20" s="73">
        <v>6.3919226063016213E-2</v>
      </c>
      <c r="M20" s="22" t="s">
        <v>953</v>
      </c>
      <c r="N20" s="80">
        <v>2002</v>
      </c>
      <c r="O20" s="22" t="s">
        <v>775</v>
      </c>
      <c r="P20" s="22" t="s">
        <v>835</v>
      </c>
      <c r="Q20" s="22" t="s">
        <v>836</v>
      </c>
      <c r="R20" s="22">
        <v>5</v>
      </c>
      <c r="S20" s="33"/>
    </row>
    <row r="21" spans="1:19" s="37" customFormat="1" ht="27" customHeight="1" x14ac:dyDescent="0.25">
      <c r="A21" s="22" t="s">
        <v>833</v>
      </c>
      <c r="B21" s="22" t="s">
        <v>793</v>
      </c>
      <c r="C21" s="22" t="s">
        <v>72</v>
      </c>
      <c r="D21" s="22">
        <v>35600</v>
      </c>
      <c r="E21" s="22">
        <v>9200</v>
      </c>
      <c r="F21" s="72">
        <v>0.7415730337078652</v>
      </c>
      <c r="G21" s="22" t="s">
        <v>706</v>
      </c>
      <c r="H21" s="22">
        <v>7100</v>
      </c>
      <c r="I21" s="22">
        <v>3200</v>
      </c>
      <c r="J21" s="72">
        <v>0.54929577464788737</v>
      </c>
      <c r="K21" s="73">
        <v>1.5246631829757356</v>
      </c>
      <c r="L21" s="73">
        <v>0.10387147581229116</v>
      </c>
      <c r="M21" s="22" t="s">
        <v>952</v>
      </c>
      <c r="N21" s="80">
        <v>2002</v>
      </c>
      <c r="O21" s="22" t="s">
        <v>775</v>
      </c>
      <c r="P21" s="22" t="s">
        <v>835</v>
      </c>
      <c r="Q21" s="22" t="s">
        <v>836</v>
      </c>
      <c r="R21" s="22">
        <v>5</v>
      </c>
      <c r="S21" s="33"/>
    </row>
    <row r="22" spans="1:19" s="37" customFormat="1" ht="27" customHeight="1" x14ac:dyDescent="0.25">
      <c r="A22" s="22" t="s">
        <v>833</v>
      </c>
      <c r="B22" s="22" t="s">
        <v>793</v>
      </c>
      <c r="C22" s="22" t="s">
        <v>72</v>
      </c>
      <c r="D22" s="22">
        <v>47000</v>
      </c>
      <c r="E22" s="22">
        <v>10800</v>
      </c>
      <c r="F22" s="72">
        <v>0.77021276595744681</v>
      </c>
      <c r="G22" s="22" t="s">
        <v>706</v>
      </c>
      <c r="H22" s="22">
        <v>6200</v>
      </c>
      <c r="I22" s="22">
        <v>1250</v>
      </c>
      <c r="J22" s="72">
        <v>0.79838709677419351</v>
      </c>
      <c r="K22" s="73">
        <v>1.7916235392862629</v>
      </c>
      <c r="L22" s="73">
        <v>8.2203903567252073E-2</v>
      </c>
      <c r="M22" s="22" t="s">
        <v>954</v>
      </c>
      <c r="N22" s="80">
        <v>2002</v>
      </c>
      <c r="O22" s="22" t="s">
        <v>775</v>
      </c>
      <c r="P22" s="22" t="s">
        <v>835</v>
      </c>
      <c r="Q22" s="22" t="s">
        <v>836</v>
      </c>
      <c r="R22" s="22">
        <v>5</v>
      </c>
      <c r="S22" s="33"/>
    </row>
    <row r="23" spans="1:19" s="37" customFormat="1" ht="27" customHeight="1" x14ac:dyDescent="0.25">
      <c r="A23" s="22" t="s">
        <v>833</v>
      </c>
      <c r="B23" s="22" t="s">
        <v>793</v>
      </c>
      <c r="C23" s="22" t="s">
        <v>72</v>
      </c>
      <c r="D23" s="22">
        <v>46700</v>
      </c>
      <c r="E23" s="22">
        <v>15400</v>
      </c>
      <c r="F23" s="72">
        <v>0.67023554603854385</v>
      </c>
      <c r="G23" s="22" t="s">
        <v>706</v>
      </c>
      <c r="H23" s="22">
        <v>7000</v>
      </c>
      <c r="I23" s="22">
        <v>3140</v>
      </c>
      <c r="J23" s="72">
        <v>0.55142857142857138</v>
      </c>
      <c r="K23" s="73">
        <v>2.4921191174542625</v>
      </c>
      <c r="L23" s="73">
        <v>0.14940617039106865</v>
      </c>
      <c r="M23" s="22" t="s">
        <v>951</v>
      </c>
      <c r="N23" s="80">
        <v>2002</v>
      </c>
      <c r="O23" s="22" t="s">
        <v>775</v>
      </c>
      <c r="P23" s="22" t="s">
        <v>835</v>
      </c>
      <c r="Q23" s="22" t="s">
        <v>836</v>
      </c>
      <c r="R23" s="22">
        <v>5</v>
      </c>
      <c r="S23" s="33"/>
    </row>
    <row r="24" spans="1:19" s="37" customFormat="1" ht="27" customHeight="1" x14ac:dyDescent="0.25">
      <c r="A24" s="22" t="s">
        <v>833</v>
      </c>
      <c r="B24" s="22" t="s">
        <v>793</v>
      </c>
      <c r="C24" s="22" t="s">
        <v>72</v>
      </c>
      <c r="D24" s="22">
        <v>45500</v>
      </c>
      <c r="E24" s="22">
        <v>11000</v>
      </c>
      <c r="F24" s="72">
        <v>0.75824175824175821</v>
      </c>
      <c r="G24" s="22" t="s">
        <v>706</v>
      </c>
      <c r="H24" s="22">
        <v>5300</v>
      </c>
      <c r="I24" s="22">
        <v>2790</v>
      </c>
      <c r="J24" s="72">
        <v>0.47358490566037736</v>
      </c>
      <c r="K24" s="73">
        <v>3.801447396862129</v>
      </c>
      <c r="L24" s="73">
        <v>0.2551897558078744</v>
      </c>
      <c r="M24" s="22" t="s">
        <v>955</v>
      </c>
      <c r="N24" s="80">
        <v>2002</v>
      </c>
      <c r="O24" s="22" t="s">
        <v>775</v>
      </c>
      <c r="P24" s="22" t="s">
        <v>835</v>
      </c>
      <c r="Q24" s="22" t="s">
        <v>836</v>
      </c>
      <c r="R24" s="22">
        <v>5</v>
      </c>
      <c r="S24" s="33"/>
    </row>
    <row r="25" spans="1:19" s="37" customFormat="1" ht="27" customHeight="1" x14ac:dyDescent="0.25">
      <c r="A25" s="22" t="s">
        <v>833</v>
      </c>
      <c r="B25" s="22" t="s">
        <v>793</v>
      </c>
      <c r="C25" s="22" t="s">
        <v>72</v>
      </c>
      <c r="D25" s="22">
        <v>42600</v>
      </c>
      <c r="E25" s="22">
        <v>16000</v>
      </c>
      <c r="F25" s="72">
        <v>0.62441314553990612</v>
      </c>
      <c r="G25" s="22" t="s">
        <v>706</v>
      </c>
      <c r="H25" s="22">
        <v>5500</v>
      </c>
      <c r="I25" s="22">
        <v>2690</v>
      </c>
      <c r="J25" s="72">
        <v>0.51090909090909087</v>
      </c>
      <c r="K25" s="73">
        <v>4.0468642730975102</v>
      </c>
      <c r="L25" s="73">
        <v>0.26337788793765765</v>
      </c>
      <c r="M25" s="22" t="s">
        <v>950</v>
      </c>
      <c r="N25" s="80">
        <v>2002</v>
      </c>
      <c r="O25" s="22" t="s">
        <v>775</v>
      </c>
      <c r="P25" s="22" t="s">
        <v>835</v>
      </c>
      <c r="Q25" s="22" t="s">
        <v>836</v>
      </c>
      <c r="R25" s="22">
        <v>5</v>
      </c>
      <c r="S25" s="33"/>
    </row>
    <row r="26" spans="1:19" s="37" customFormat="1" ht="27" customHeight="1" x14ac:dyDescent="0.25">
      <c r="A26" s="22" t="s">
        <v>833</v>
      </c>
      <c r="B26" s="22" t="s">
        <v>793</v>
      </c>
      <c r="C26" s="22" t="s">
        <v>72</v>
      </c>
      <c r="D26" s="22">
        <v>35500</v>
      </c>
      <c r="E26" s="22">
        <v>7500</v>
      </c>
      <c r="F26" s="72">
        <v>0.78873239436619713</v>
      </c>
      <c r="G26" s="22" t="s">
        <v>706</v>
      </c>
      <c r="H26" s="22">
        <v>4100</v>
      </c>
      <c r="I26" s="22">
        <v>850</v>
      </c>
      <c r="J26" s="72">
        <v>0.79268292682926833</v>
      </c>
      <c r="K26" s="73">
        <v>4.1981797341383311</v>
      </c>
      <c r="L26" s="73">
        <v>0.14654836854281647</v>
      </c>
      <c r="M26" s="22" t="s">
        <v>834</v>
      </c>
      <c r="N26" s="80">
        <v>1999</v>
      </c>
      <c r="O26" s="22" t="s">
        <v>775</v>
      </c>
      <c r="P26" s="22" t="s">
        <v>835</v>
      </c>
      <c r="Q26" s="22" t="s">
        <v>836</v>
      </c>
      <c r="R26" s="22">
        <v>5</v>
      </c>
      <c r="S26" s="33"/>
    </row>
    <row r="27" spans="1:19" s="37" customFormat="1" ht="27" customHeight="1" x14ac:dyDescent="0.25">
      <c r="A27" s="22" t="s">
        <v>845</v>
      </c>
      <c r="B27" s="22" t="s">
        <v>793</v>
      </c>
      <c r="C27" s="22" t="s">
        <v>72</v>
      </c>
      <c r="D27" s="22">
        <v>29400</v>
      </c>
      <c r="E27" s="22">
        <v>8000</v>
      </c>
      <c r="F27" s="77">
        <v>0.72789115646258506</v>
      </c>
      <c r="G27" s="72" t="s">
        <v>817</v>
      </c>
      <c r="H27" s="72" t="s">
        <v>817</v>
      </c>
      <c r="I27" s="72" t="s">
        <v>817</v>
      </c>
      <c r="J27" s="72" t="s">
        <v>817</v>
      </c>
      <c r="K27" s="73">
        <v>2.5825822124112894</v>
      </c>
      <c r="L27" s="73" t="s">
        <v>817</v>
      </c>
      <c r="M27" s="22" t="s">
        <v>846</v>
      </c>
      <c r="N27" s="80">
        <v>1999</v>
      </c>
      <c r="O27" s="22" t="s">
        <v>773</v>
      </c>
      <c r="P27" s="22" t="s">
        <v>819</v>
      </c>
      <c r="Q27" s="22" t="s">
        <v>820</v>
      </c>
      <c r="R27" s="22">
        <v>3</v>
      </c>
      <c r="S27" s="33" t="s">
        <v>847</v>
      </c>
    </row>
    <row r="28" spans="1:19" s="37" customFormat="1" ht="72.599999999999994" customHeight="1" x14ac:dyDescent="0.25">
      <c r="A28" s="22" t="s">
        <v>857</v>
      </c>
      <c r="B28" s="22" t="s">
        <v>793</v>
      </c>
      <c r="C28" s="22" t="s">
        <v>72</v>
      </c>
      <c r="D28" s="22">
        <v>28100</v>
      </c>
      <c r="E28" s="22">
        <v>7800</v>
      </c>
      <c r="F28" s="77">
        <v>0.72241992882562278</v>
      </c>
      <c r="G28" s="72" t="s">
        <v>817</v>
      </c>
      <c r="H28" s="72" t="s">
        <v>817</v>
      </c>
      <c r="I28" s="72" t="s">
        <v>817</v>
      </c>
      <c r="J28" s="72" t="s">
        <v>817</v>
      </c>
      <c r="K28" s="73">
        <v>2.6233469667475129</v>
      </c>
      <c r="L28" s="73" t="s">
        <v>817</v>
      </c>
      <c r="M28" s="22" t="s">
        <v>858</v>
      </c>
      <c r="N28" s="80">
        <v>1999</v>
      </c>
      <c r="O28" s="22" t="s">
        <v>773</v>
      </c>
      <c r="P28" s="22" t="s">
        <v>819</v>
      </c>
      <c r="Q28" s="22" t="s">
        <v>820</v>
      </c>
      <c r="R28" s="22">
        <v>3</v>
      </c>
      <c r="S28" s="33" t="s">
        <v>859</v>
      </c>
    </row>
    <row r="29" spans="1:19" s="37" customFormat="1" ht="27" customHeight="1" x14ac:dyDescent="0.25">
      <c r="A29" s="22" t="s">
        <v>854</v>
      </c>
      <c r="B29" s="22" t="s">
        <v>793</v>
      </c>
      <c r="C29" s="22" t="s">
        <v>72</v>
      </c>
      <c r="D29" s="22" t="s">
        <v>817</v>
      </c>
      <c r="E29" s="22">
        <v>5500</v>
      </c>
      <c r="F29" s="22" t="s">
        <v>817</v>
      </c>
      <c r="G29" s="72" t="s">
        <v>817</v>
      </c>
      <c r="H29" s="72" t="s">
        <v>817</v>
      </c>
      <c r="I29" s="72" t="s">
        <v>817</v>
      </c>
      <c r="J29" s="72" t="s">
        <v>817</v>
      </c>
      <c r="K29" s="73">
        <v>3.2263606586514659</v>
      </c>
      <c r="L29" s="73" t="s">
        <v>817</v>
      </c>
      <c r="M29" s="22" t="s">
        <v>855</v>
      </c>
      <c r="N29" s="80">
        <v>1999</v>
      </c>
      <c r="O29" s="22" t="s">
        <v>773</v>
      </c>
      <c r="P29" s="22" t="s">
        <v>819</v>
      </c>
      <c r="Q29" s="22" t="s">
        <v>820</v>
      </c>
      <c r="R29" s="22">
        <v>3</v>
      </c>
      <c r="S29" s="33" t="s">
        <v>856</v>
      </c>
    </row>
    <row r="30" spans="1:19" s="37" customFormat="1" ht="27" customHeight="1" x14ac:dyDescent="0.25">
      <c r="A30" s="22" t="s">
        <v>848</v>
      </c>
      <c r="B30" s="22" t="s">
        <v>793</v>
      </c>
      <c r="C30" s="22" t="s">
        <v>72</v>
      </c>
      <c r="D30" s="22">
        <v>33900</v>
      </c>
      <c r="E30" s="22">
        <v>8000</v>
      </c>
      <c r="F30" s="77">
        <v>0.7640117994100295</v>
      </c>
      <c r="G30" s="72" t="s">
        <v>817</v>
      </c>
      <c r="H30" s="72" t="s">
        <v>817</v>
      </c>
      <c r="I30" s="72" t="s">
        <v>817</v>
      </c>
      <c r="J30" s="72" t="s">
        <v>817</v>
      </c>
      <c r="K30" s="73">
        <v>3.9194307260654844</v>
      </c>
      <c r="L30" s="73" t="s">
        <v>817</v>
      </c>
      <c r="M30" s="22" t="s">
        <v>849</v>
      </c>
      <c r="N30" s="80">
        <v>1999</v>
      </c>
      <c r="O30" s="22" t="s">
        <v>773</v>
      </c>
      <c r="P30" s="22" t="s">
        <v>819</v>
      </c>
      <c r="Q30" s="22" t="s">
        <v>820</v>
      </c>
      <c r="R30" s="22">
        <v>3</v>
      </c>
      <c r="S30" s="33" t="s">
        <v>850</v>
      </c>
    </row>
    <row r="31" spans="1:19" s="37" customFormat="1" ht="27" customHeight="1" x14ac:dyDescent="0.25">
      <c r="A31" s="22" t="s">
        <v>851</v>
      </c>
      <c r="B31" s="22" t="s">
        <v>793</v>
      </c>
      <c r="C31" s="22" t="s">
        <v>72</v>
      </c>
      <c r="D31" s="22">
        <v>29100</v>
      </c>
      <c r="E31" s="22">
        <v>8000</v>
      </c>
      <c r="F31" s="77">
        <v>0.72508591065292094</v>
      </c>
      <c r="G31" s="72" t="s">
        <v>817</v>
      </c>
      <c r="H31" s="72" t="s">
        <v>817</v>
      </c>
      <c r="I31" s="72" t="s">
        <v>817</v>
      </c>
      <c r="J31" s="72" t="s">
        <v>817</v>
      </c>
      <c r="K31" s="73">
        <v>4.1267714518628589</v>
      </c>
      <c r="L31" s="73" t="s">
        <v>817</v>
      </c>
      <c r="M31" s="22" t="s">
        <v>852</v>
      </c>
      <c r="N31" s="80">
        <v>1999</v>
      </c>
      <c r="O31" s="22" t="s">
        <v>773</v>
      </c>
      <c r="P31" s="22" t="s">
        <v>819</v>
      </c>
      <c r="Q31" s="22" t="s">
        <v>820</v>
      </c>
      <c r="R31" s="22">
        <v>3</v>
      </c>
      <c r="S31" s="33" t="s">
        <v>853</v>
      </c>
    </row>
    <row r="32" spans="1:19" s="37" customFormat="1" ht="27" customHeight="1" x14ac:dyDescent="0.25">
      <c r="A32" s="22" t="s">
        <v>822</v>
      </c>
      <c r="B32" s="22" t="s">
        <v>793</v>
      </c>
      <c r="C32" s="22" t="s">
        <v>72</v>
      </c>
      <c r="D32" s="22">
        <v>27800</v>
      </c>
      <c r="E32" s="22">
        <v>3000</v>
      </c>
      <c r="F32" s="77">
        <v>0.8920863309352518</v>
      </c>
      <c r="G32" s="72" t="s">
        <v>817</v>
      </c>
      <c r="H32" s="72" t="s">
        <v>817</v>
      </c>
      <c r="I32" s="72" t="s">
        <v>817</v>
      </c>
      <c r="J32" s="72" t="s">
        <v>817</v>
      </c>
      <c r="K32" s="73">
        <v>4.3087920123650294</v>
      </c>
      <c r="L32" s="73" t="s">
        <v>817</v>
      </c>
      <c r="M32" s="22" t="s">
        <v>823</v>
      </c>
      <c r="N32" s="74">
        <v>1999</v>
      </c>
      <c r="O32" s="22" t="s">
        <v>773</v>
      </c>
      <c r="P32" s="22" t="s">
        <v>819</v>
      </c>
      <c r="Q32" s="22" t="s">
        <v>820</v>
      </c>
      <c r="R32" s="22">
        <v>3</v>
      </c>
      <c r="S32" s="33" t="s">
        <v>824</v>
      </c>
    </row>
    <row r="33" spans="1:19" s="37" customFormat="1" ht="27" customHeight="1" x14ac:dyDescent="0.25">
      <c r="A33" s="22" t="s">
        <v>816</v>
      </c>
      <c r="B33" s="22" t="s">
        <v>793</v>
      </c>
      <c r="C33" s="22" t="s">
        <v>72</v>
      </c>
      <c r="D33" s="22">
        <v>40000</v>
      </c>
      <c r="E33" s="22">
        <v>3000</v>
      </c>
      <c r="F33" s="77">
        <v>0.92500000000000004</v>
      </c>
      <c r="G33" s="72" t="s">
        <v>817</v>
      </c>
      <c r="H33" s="72" t="s">
        <v>817</v>
      </c>
      <c r="I33" s="72" t="s">
        <v>817</v>
      </c>
      <c r="J33" s="72" t="s">
        <v>817</v>
      </c>
      <c r="K33" s="73">
        <v>6.5805144092351142</v>
      </c>
      <c r="L33" s="73" t="s">
        <v>817</v>
      </c>
      <c r="M33" s="22" t="s">
        <v>818</v>
      </c>
      <c r="N33" s="74">
        <v>1999</v>
      </c>
      <c r="O33" s="22" t="s">
        <v>773</v>
      </c>
      <c r="P33" s="22" t="s">
        <v>819</v>
      </c>
      <c r="Q33" s="22" t="s">
        <v>820</v>
      </c>
      <c r="R33" s="22">
        <v>3</v>
      </c>
      <c r="S33" s="33" t="s">
        <v>821</v>
      </c>
    </row>
    <row r="34" spans="1:19" s="37" customFormat="1" ht="27" customHeight="1" x14ac:dyDescent="0.25">
      <c r="A34" s="22" t="s">
        <v>845</v>
      </c>
      <c r="B34" s="22" t="s">
        <v>793</v>
      </c>
      <c r="C34" s="22" t="s">
        <v>72</v>
      </c>
      <c r="D34" s="22">
        <v>25100</v>
      </c>
      <c r="E34" s="22">
        <v>9600</v>
      </c>
      <c r="F34" s="77">
        <v>0.61752988047808766</v>
      </c>
      <c r="G34" s="72" t="s">
        <v>817</v>
      </c>
      <c r="H34" s="72" t="s">
        <v>817</v>
      </c>
      <c r="I34" s="72" t="s">
        <v>817</v>
      </c>
      <c r="J34" s="72" t="s">
        <v>817</v>
      </c>
      <c r="K34" s="73">
        <v>11.180278570249689</v>
      </c>
      <c r="L34" s="73" t="s">
        <v>817</v>
      </c>
      <c r="M34" s="22" t="s">
        <v>961</v>
      </c>
      <c r="N34" s="80">
        <v>1999</v>
      </c>
      <c r="O34" s="22" t="s">
        <v>773</v>
      </c>
      <c r="P34" s="22" t="s">
        <v>819</v>
      </c>
      <c r="Q34" s="22" t="s">
        <v>820</v>
      </c>
      <c r="R34" s="22">
        <v>3</v>
      </c>
      <c r="S34" s="33" t="s">
        <v>962</v>
      </c>
    </row>
    <row r="35" spans="1:19" s="37" customFormat="1" ht="27" customHeight="1" x14ac:dyDescent="0.25">
      <c r="A35" s="22" t="s">
        <v>842</v>
      </c>
      <c r="B35" s="22" t="s">
        <v>793</v>
      </c>
      <c r="C35" s="22" t="s">
        <v>72</v>
      </c>
      <c r="D35" s="22">
        <v>25000</v>
      </c>
      <c r="E35" s="22">
        <v>8000</v>
      </c>
      <c r="F35" s="77">
        <v>0.68</v>
      </c>
      <c r="G35" s="72" t="s">
        <v>817</v>
      </c>
      <c r="H35" s="72" t="s">
        <v>817</v>
      </c>
      <c r="I35" s="72" t="s">
        <v>817</v>
      </c>
      <c r="J35" s="72" t="s">
        <v>817</v>
      </c>
      <c r="K35" s="73">
        <v>14.498707157396712</v>
      </c>
      <c r="L35" s="73" t="s">
        <v>817</v>
      </c>
      <c r="M35" s="22" t="s">
        <v>843</v>
      </c>
      <c r="N35" s="80">
        <v>1999</v>
      </c>
      <c r="O35" s="22" t="s">
        <v>773</v>
      </c>
      <c r="P35" s="22" t="s">
        <v>819</v>
      </c>
      <c r="Q35" s="22" t="s">
        <v>820</v>
      </c>
      <c r="R35" s="22">
        <v>3</v>
      </c>
      <c r="S35" s="33" t="s">
        <v>844</v>
      </c>
    </row>
    <row r="36" spans="1:19" s="37" customFormat="1" ht="27" customHeight="1" x14ac:dyDescent="0.25">
      <c r="A36" s="22" t="s">
        <v>989</v>
      </c>
      <c r="B36" s="22" t="s">
        <v>793</v>
      </c>
      <c r="C36" s="72" t="s">
        <v>817</v>
      </c>
      <c r="D36" s="72" t="s">
        <v>817</v>
      </c>
      <c r="E36" s="72" t="s">
        <v>817</v>
      </c>
      <c r="F36" s="72" t="s">
        <v>817</v>
      </c>
      <c r="G36" s="22" t="s">
        <v>706</v>
      </c>
      <c r="H36" s="22">
        <v>5200</v>
      </c>
      <c r="I36" s="22">
        <v>750</v>
      </c>
      <c r="J36" s="72">
        <v>0.85576923076923073</v>
      </c>
      <c r="K36" s="73">
        <v>3.0622561614783557E-2</v>
      </c>
      <c r="L36" s="73">
        <v>5.7815396328711362E-2</v>
      </c>
      <c r="M36" s="22" t="s">
        <v>988</v>
      </c>
      <c r="N36" s="80">
        <v>2004</v>
      </c>
      <c r="O36" s="22" t="s">
        <v>773</v>
      </c>
      <c r="P36" s="22" t="s">
        <v>972</v>
      </c>
      <c r="Q36" s="22" t="s">
        <v>973</v>
      </c>
      <c r="R36" s="22">
        <v>5</v>
      </c>
      <c r="S36" s="33"/>
    </row>
    <row r="37" spans="1:19" s="37" customFormat="1" ht="27" customHeight="1" x14ac:dyDescent="0.25">
      <c r="A37" s="22" t="s">
        <v>992</v>
      </c>
      <c r="B37" s="22" t="s">
        <v>793</v>
      </c>
      <c r="C37" s="72" t="s">
        <v>817</v>
      </c>
      <c r="D37" s="72" t="s">
        <v>817</v>
      </c>
      <c r="E37" s="72" t="s">
        <v>817</v>
      </c>
      <c r="F37" s="72" t="s">
        <v>817</v>
      </c>
      <c r="G37" s="22" t="s">
        <v>706</v>
      </c>
      <c r="H37" s="22">
        <v>9400</v>
      </c>
      <c r="I37" s="22">
        <v>750</v>
      </c>
      <c r="J37" s="72">
        <v>0.92021276595744683</v>
      </c>
      <c r="K37" s="73">
        <v>3.2070173618391505E-2</v>
      </c>
      <c r="L37" s="73">
        <v>0.15894779799615291</v>
      </c>
      <c r="M37" s="22" t="s">
        <v>991</v>
      </c>
      <c r="N37" s="80">
        <v>2004</v>
      </c>
      <c r="O37" s="22" t="s">
        <v>773</v>
      </c>
      <c r="P37" s="22" t="s">
        <v>972</v>
      </c>
      <c r="Q37" s="22" t="s">
        <v>973</v>
      </c>
      <c r="R37" s="22">
        <v>5</v>
      </c>
      <c r="S37" s="33"/>
    </row>
    <row r="38" spans="1:19" s="37" customFormat="1" ht="27" customHeight="1" x14ac:dyDescent="0.25">
      <c r="A38" s="22" t="s">
        <v>1005</v>
      </c>
      <c r="B38" s="22" t="s">
        <v>793</v>
      </c>
      <c r="C38" s="72" t="s">
        <v>817</v>
      </c>
      <c r="D38" s="72" t="s">
        <v>817</v>
      </c>
      <c r="E38" s="72" t="s">
        <v>817</v>
      </c>
      <c r="F38" s="72" t="s">
        <v>817</v>
      </c>
      <c r="G38" s="22" t="s">
        <v>706</v>
      </c>
      <c r="H38" s="22">
        <v>5200</v>
      </c>
      <c r="I38" s="22">
        <v>1250</v>
      </c>
      <c r="J38" s="72">
        <v>0.75961538461538458</v>
      </c>
      <c r="K38" s="73">
        <v>5.2180844991591188E-2</v>
      </c>
      <c r="L38" s="75">
        <v>2.9397659150192214E-3</v>
      </c>
      <c r="M38" s="22" t="s">
        <v>988</v>
      </c>
      <c r="N38" s="80">
        <v>2004</v>
      </c>
      <c r="O38" s="22" t="s">
        <v>773</v>
      </c>
      <c r="P38" s="22" t="s">
        <v>972</v>
      </c>
      <c r="Q38" s="22" t="s">
        <v>973</v>
      </c>
      <c r="R38" s="22">
        <v>5</v>
      </c>
      <c r="S38" s="33"/>
    </row>
    <row r="39" spans="1:19" s="37" customFormat="1" ht="27" customHeight="1" x14ac:dyDescent="0.25">
      <c r="A39" s="22" t="s">
        <v>987</v>
      </c>
      <c r="B39" s="22" t="s">
        <v>793</v>
      </c>
      <c r="C39" s="72" t="s">
        <v>817</v>
      </c>
      <c r="D39" s="72" t="s">
        <v>817</v>
      </c>
      <c r="E39" s="72" t="s">
        <v>817</v>
      </c>
      <c r="F39" s="72" t="s">
        <v>817</v>
      </c>
      <c r="G39" s="22" t="s">
        <v>706</v>
      </c>
      <c r="H39" s="22">
        <v>5200</v>
      </c>
      <c r="I39" s="22">
        <v>750</v>
      </c>
      <c r="J39" s="72">
        <v>0.85576923076923073</v>
      </c>
      <c r="K39" s="73">
        <v>5.2180844991591188E-2</v>
      </c>
      <c r="L39" s="73">
        <v>1.3596417356963899E-2</v>
      </c>
      <c r="M39" s="22" t="s">
        <v>988</v>
      </c>
      <c r="N39" s="80">
        <v>2004</v>
      </c>
      <c r="O39" s="22" t="s">
        <v>773</v>
      </c>
      <c r="P39" s="22" t="s">
        <v>972</v>
      </c>
      <c r="Q39" s="22" t="s">
        <v>973</v>
      </c>
      <c r="R39" s="22">
        <v>5</v>
      </c>
      <c r="S39" s="33"/>
    </row>
    <row r="40" spans="1:19" s="37" customFormat="1" ht="27" customHeight="1" x14ac:dyDescent="0.25">
      <c r="A40" s="22" t="s">
        <v>992</v>
      </c>
      <c r="B40" s="22" t="s">
        <v>793</v>
      </c>
      <c r="C40" s="72" t="s">
        <v>817</v>
      </c>
      <c r="D40" s="72" t="s">
        <v>817</v>
      </c>
      <c r="E40" s="72" t="s">
        <v>817</v>
      </c>
      <c r="F40" s="72" t="s">
        <v>817</v>
      </c>
      <c r="G40" s="22" t="s">
        <v>706</v>
      </c>
      <c r="H40" s="22">
        <v>6300</v>
      </c>
      <c r="I40" s="22">
        <v>750</v>
      </c>
      <c r="J40" s="72">
        <v>0.88095238095238093</v>
      </c>
      <c r="K40" s="73">
        <v>6.1056676696553062E-2</v>
      </c>
      <c r="L40" s="73">
        <v>2.3250875873333843E-2</v>
      </c>
      <c r="M40" s="22" t="s">
        <v>1002</v>
      </c>
      <c r="N40" s="80">
        <v>2004</v>
      </c>
      <c r="O40" s="22" t="s">
        <v>773</v>
      </c>
      <c r="P40" s="22" t="s">
        <v>972</v>
      </c>
      <c r="Q40" s="22" t="s">
        <v>973</v>
      </c>
      <c r="R40" s="22">
        <v>5</v>
      </c>
      <c r="S40" s="33"/>
    </row>
    <row r="41" spans="1:19" s="37" customFormat="1" ht="27" customHeight="1" x14ac:dyDescent="0.25">
      <c r="A41" s="22" t="s">
        <v>981</v>
      </c>
      <c r="B41" s="22" t="s">
        <v>793</v>
      </c>
      <c r="C41" s="72" t="s">
        <v>817</v>
      </c>
      <c r="D41" s="72" t="s">
        <v>817</v>
      </c>
      <c r="E41" s="72" t="s">
        <v>817</v>
      </c>
      <c r="F41" s="72" t="s">
        <v>817</v>
      </c>
      <c r="G41" s="22" t="s">
        <v>706</v>
      </c>
      <c r="H41" s="22">
        <v>7600</v>
      </c>
      <c r="I41" s="22">
        <v>750</v>
      </c>
      <c r="J41" s="72">
        <v>0.90131578947368418</v>
      </c>
      <c r="K41" s="73">
        <v>6.1627531803878567E-2</v>
      </c>
      <c r="L41" s="73">
        <v>0.148422327904629</v>
      </c>
      <c r="M41" s="22" t="s">
        <v>1003</v>
      </c>
      <c r="N41" s="80">
        <v>2004</v>
      </c>
      <c r="O41" s="22" t="s">
        <v>773</v>
      </c>
      <c r="P41" s="22" t="s">
        <v>972</v>
      </c>
      <c r="Q41" s="22" t="s">
        <v>973</v>
      </c>
      <c r="R41" s="22">
        <v>5</v>
      </c>
      <c r="S41" s="33"/>
    </row>
    <row r="42" spans="1:19" s="37" customFormat="1" ht="27" customHeight="1" x14ac:dyDescent="0.25">
      <c r="A42" s="22" t="s">
        <v>999</v>
      </c>
      <c r="B42" s="22" t="s">
        <v>793</v>
      </c>
      <c r="C42" s="72" t="s">
        <v>817</v>
      </c>
      <c r="D42" s="72" t="s">
        <v>817</v>
      </c>
      <c r="E42" s="72" t="s">
        <v>817</v>
      </c>
      <c r="F42" s="72" t="s">
        <v>817</v>
      </c>
      <c r="G42" s="22" t="s">
        <v>706</v>
      </c>
      <c r="H42" s="22">
        <v>5600</v>
      </c>
      <c r="I42" s="22">
        <v>750</v>
      </c>
      <c r="J42" s="72">
        <v>0.8660714285714286</v>
      </c>
      <c r="K42" s="73">
        <v>7.7042141221193391E-2</v>
      </c>
      <c r="L42" s="73">
        <v>8.6165552681597868E-2</v>
      </c>
      <c r="M42" s="22" t="s">
        <v>1000</v>
      </c>
      <c r="N42" s="80">
        <v>2004</v>
      </c>
      <c r="O42" s="22" t="s">
        <v>773</v>
      </c>
      <c r="P42" s="22" t="s">
        <v>972</v>
      </c>
      <c r="Q42" s="22" t="s">
        <v>973</v>
      </c>
      <c r="R42" s="22">
        <v>5</v>
      </c>
      <c r="S42" s="33"/>
    </row>
    <row r="43" spans="1:19" s="37" customFormat="1" ht="27" customHeight="1" x14ac:dyDescent="0.25">
      <c r="A43" s="22" t="s">
        <v>996</v>
      </c>
      <c r="B43" s="22" t="s">
        <v>793</v>
      </c>
      <c r="C43" s="72" t="s">
        <v>817</v>
      </c>
      <c r="D43" s="72" t="s">
        <v>817</v>
      </c>
      <c r="E43" s="72" t="s">
        <v>817</v>
      </c>
      <c r="F43" s="72" t="s">
        <v>817</v>
      </c>
      <c r="G43" s="22" t="s">
        <v>706</v>
      </c>
      <c r="H43" s="22">
        <v>6600</v>
      </c>
      <c r="I43" s="22">
        <v>750</v>
      </c>
      <c r="J43" s="72">
        <v>0.88636363636363635</v>
      </c>
      <c r="K43" s="73">
        <v>7.8356068427243103E-2</v>
      </c>
      <c r="L43" s="73">
        <v>9.2093820683967528E-2</v>
      </c>
      <c r="M43" s="22" t="s">
        <v>998</v>
      </c>
      <c r="N43" s="80">
        <v>2004</v>
      </c>
      <c r="O43" s="22" t="s">
        <v>773</v>
      </c>
      <c r="P43" s="22" t="s">
        <v>972</v>
      </c>
      <c r="Q43" s="22" t="s">
        <v>973</v>
      </c>
      <c r="R43" s="22">
        <v>5</v>
      </c>
      <c r="S43" s="33"/>
    </row>
    <row r="44" spans="1:19" s="37" customFormat="1" ht="27" customHeight="1" x14ac:dyDescent="0.25">
      <c r="A44" s="22" t="s">
        <v>996</v>
      </c>
      <c r="B44" s="22" t="s">
        <v>793</v>
      </c>
      <c r="C44" s="72" t="s">
        <v>817</v>
      </c>
      <c r="D44" s="72" t="s">
        <v>817</v>
      </c>
      <c r="E44" s="72" t="s">
        <v>817</v>
      </c>
      <c r="F44" s="72" t="s">
        <v>817</v>
      </c>
      <c r="G44" s="22" t="s">
        <v>706</v>
      </c>
      <c r="H44" s="22">
        <v>8900</v>
      </c>
      <c r="I44" s="22">
        <v>750</v>
      </c>
      <c r="J44" s="72">
        <v>0.9157303370786517</v>
      </c>
      <c r="K44" s="73">
        <v>0.10053999429365737</v>
      </c>
      <c r="L44" s="73">
        <v>0.34606924351606277</v>
      </c>
      <c r="M44" s="22" t="s">
        <v>995</v>
      </c>
      <c r="N44" s="80">
        <v>2004</v>
      </c>
      <c r="O44" s="22" t="s">
        <v>773</v>
      </c>
      <c r="P44" s="22" t="s">
        <v>972</v>
      </c>
      <c r="Q44" s="22" t="s">
        <v>973</v>
      </c>
      <c r="R44" s="22">
        <v>5</v>
      </c>
      <c r="S44" s="33"/>
    </row>
    <row r="45" spans="1:19" s="37" customFormat="1" ht="27" customHeight="1" x14ac:dyDescent="0.25">
      <c r="A45" s="22" t="s">
        <v>981</v>
      </c>
      <c r="B45" s="22" t="s">
        <v>793</v>
      </c>
      <c r="C45" s="72" t="s">
        <v>817</v>
      </c>
      <c r="D45" s="72" t="s">
        <v>817</v>
      </c>
      <c r="E45" s="72" t="s">
        <v>817</v>
      </c>
      <c r="F45" s="72" t="s">
        <v>817</v>
      </c>
      <c r="G45" s="22" t="s">
        <v>706</v>
      </c>
      <c r="H45" s="22">
        <v>13700</v>
      </c>
      <c r="I45" s="22">
        <v>750</v>
      </c>
      <c r="J45" s="72">
        <v>0.94525547445255476</v>
      </c>
      <c r="K45" s="73">
        <v>0.10079197422923045</v>
      </c>
      <c r="L45" s="73">
        <v>0.33135361527859508</v>
      </c>
      <c r="M45" s="22" t="s">
        <v>994</v>
      </c>
      <c r="N45" s="80">
        <v>2004</v>
      </c>
      <c r="O45" s="22" t="s">
        <v>773</v>
      </c>
      <c r="P45" s="22" t="s">
        <v>972</v>
      </c>
      <c r="Q45" s="22" t="s">
        <v>973</v>
      </c>
      <c r="R45" s="22">
        <v>5</v>
      </c>
      <c r="S45" s="33"/>
    </row>
    <row r="46" spans="1:19" s="37" customFormat="1" ht="27" customHeight="1" x14ac:dyDescent="0.25">
      <c r="A46" s="22" t="s">
        <v>997</v>
      </c>
      <c r="B46" s="22" t="s">
        <v>793</v>
      </c>
      <c r="C46" s="72" t="s">
        <v>817</v>
      </c>
      <c r="D46" s="72" t="s">
        <v>817</v>
      </c>
      <c r="E46" s="72" t="s">
        <v>817</v>
      </c>
      <c r="F46" s="72" t="s">
        <v>817</v>
      </c>
      <c r="G46" s="22" t="s">
        <v>706</v>
      </c>
      <c r="H46" s="22">
        <v>8900</v>
      </c>
      <c r="I46" s="22">
        <v>1500</v>
      </c>
      <c r="J46" s="72">
        <v>0.8314606741573034</v>
      </c>
      <c r="K46" s="73">
        <v>0.10583157294069198</v>
      </c>
      <c r="L46" s="73">
        <v>1.5874735941103797E-2</v>
      </c>
      <c r="M46" s="22" t="s">
        <v>995</v>
      </c>
      <c r="N46" s="80">
        <v>2004</v>
      </c>
      <c r="O46" s="22" t="s">
        <v>773</v>
      </c>
      <c r="P46" s="22" t="s">
        <v>972</v>
      </c>
      <c r="Q46" s="22" t="s">
        <v>973</v>
      </c>
      <c r="R46" s="22">
        <v>5</v>
      </c>
      <c r="S46" s="33"/>
    </row>
    <row r="47" spans="1:19" s="37" customFormat="1" ht="27" customHeight="1" x14ac:dyDescent="0.25">
      <c r="A47" s="22" t="s">
        <v>986</v>
      </c>
      <c r="B47" s="22" t="s">
        <v>793</v>
      </c>
      <c r="C47" s="72" t="s">
        <v>817</v>
      </c>
      <c r="D47" s="72" t="s">
        <v>817</v>
      </c>
      <c r="E47" s="72" t="s">
        <v>817</v>
      </c>
      <c r="F47" s="72" t="s">
        <v>817</v>
      </c>
      <c r="G47" s="22" t="s">
        <v>706</v>
      </c>
      <c r="H47" s="22">
        <v>3500</v>
      </c>
      <c r="I47" s="22">
        <v>750</v>
      </c>
      <c r="J47" s="72">
        <v>0.7857142857142857</v>
      </c>
      <c r="K47" s="73">
        <v>0.12787981730333614</v>
      </c>
      <c r="L47" s="73">
        <v>8.0255609480024748E-2</v>
      </c>
      <c r="M47" s="22" t="s">
        <v>985</v>
      </c>
      <c r="N47" s="80">
        <v>2004</v>
      </c>
      <c r="O47" s="22" t="s">
        <v>773</v>
      </c>
      <c r="P47" s="22" t="s">
        <v>972</v>
      </c>
      <c r="Q47" s="22" t="s">
        <v>973</v>
      </c>
      <c r="R47" s="22">
        <v>5</v>
      </c>
      <c r="S47" s="33"/>
    </row>
    <row r="48" spans="1:19" s="37" customFormat="1" ht="27" customHeight="1" x14ac:dyDescent="0.25">
      <c r="A48" s="22" t="s">
        <v>976</v>
      </c>
      <c r="B48" s="22" t="s">
        <v>793</v>
      </c>
      <c r="C48" s="72" t="s">
        <v>817</v>
      </c>
      <c r="D48" s="72" t="s">
        <v>817</v>
      </c>
      <c r="E48" s="72" t="s">
        <v>817</v>
      </c>
      <c r="F48" s="72" t="s">
        <v>817</v>
      </c>
      <c r="G48" s="22" t="s">
        <v>706</v>
      </c>
      <c r="H48" s="22">
        <v>11100</v>
      </c>
      <c r="I48" s="22">
        <v>750</v>
      </c>
      <c r="J48" s="72">
        <v>0.93243243243243246</v>
      </c>
      <c r="K48" s="73">
        <v>0.13890393948465821</v>
      </c>
      <c r="L48" s="73">
        <v>9.7327250115100655E-2</v>
      </c>
      <c r="M48" s="22" t="s">
        <v>984</v>
      </c>
      <c r="N48" s="80">
        <v>2004</v>
      </c>
      <c r="O48" s="22" t="s">
        <v>773</v>
      </c>
      <c r="P48" s="22" t="s">
        <v>972</v>
      </c>
      <c r="Q48" s="22" t="s">
        <v>973</v>
      </c>
      <c r="R48" s="22">
        <v>5</v>
      </c>
      <c r="S48" s="33"/>
    </row>
    <row r="49" spans="1:19" s="37" customFormat="1" ht="27" customHeight="1" x14ac:dyDescent="0.25">
      <c r="A49" s="22" t="s">
        <v>976</v>
      </c>
      <c r="B49" s="22" t="s">
        <v>793</v>
      </c>
      <c r="C49" s="72" t="s">
        <v>817</v>
      </c>
      <c r="D49" s="72" t="s">
        <v>817</v>
      </c>
      <c r="E49" s="72" t="s">
        <v>817</v>
      </c>
      <c r="F49" s="72" t="s">
        <v>817</v>
      </c>
      <c r="G49" s="22" t="s">
        <v>706</v>
      </c>
      <c r="H49" s="22">
        <v>4000</v>
      </c>
      <c r="I49" s="22">
        <v>750</v>
      </c>
      <c r="J49" s="72">
        <v>0.8125</v>
      </c>
      <c r="K49" s="73">
        <v>0.15665857836615588</v>
      </c>
      <c r="L49" s="73">
        <v>8.0069940053813016E-2</v>
      </c>
      <c r="M49" s="22" t="s">
        <v>977</v>
      </c>
      <c r="N49" s="80">
        <v>2004</v>
      </c>
      <c r="O49" s="22" t="s">
        <v>773</v>
      </c>
      <c r="P49" s="22" t="s">
        <v>972</v>
      </c>
      <c r="Q49" s="22" t="s">
        <v>973</v>
      </c>
      <c r="R49" s="22">
        <v>5</v>
      </c>
      <c r="S49" s="33"/>
    </row>
    <row r="50" spans="1:19" s="37" customFormat="1" ht="27" customHeight="1" x14ac:dyDescent="0.25">
      <c r="A50" s="22" t="s">
        <v>982</v>
      </c>
      <c r="B50" s="22" t="s">
        <v>793</v>
      </c>
      <c r="C50" s="72" t="s">
        <v>817</v>
      </c>
      <c r="D50" s="72" t="s">
        <v>817</v>
      </c>
      <c r="E50" s="72" t="s">
        <v>817</v>
      </c>
      <c r="F50" s="72" t="s">
        <v>817</v>
      </c>
      <c r="G50" s="22" t="s">
        <v>706</v>
      </c>
      <c r="H50" s="22">
        <v>5500</v>
      </c>
      <c r="I50" s="22">
        <v>750</v>
      </c>
      <c r="J50" s="72">
        <v>0.86363636363636365</v>
      </c>
      <c r="K50" s="73">
        <v>0.17472193645868958</v>
      </c>
      <c r="L50" s="73">
        <v>0.25459482169694769</v>
      </c>
      <c r="M50" s="22" t="s">
        <v>983</v>
      </c>
      <c r="N50" s="80">
        <v>2004</v>
      </c>
      <c r="O50" s="22" t="s">
        <v>773</v>
      </c>
      <c r="P50" s="22" t="s">
        <v>972</v>
      </c>
      <c r="Q50" s="22" t="s">
        <v>973</v>
      </c>
      <c r="R50" s="22">
        <v>5</v>
      </c>
      <c r="S50" s="33"/>
    </row>
    <row r="51" spans="1:19" s="37" customFormat="1" ht="27" customHeight="1" x14ac:dyDescent="0.25">
      <c r="A51" s="22" t="s">
        <v>993</v>
      </c>
      <c r="B51" s="22" t="s">
        <v>793</v>
      </c>
      <c r="C51" s="72" t="s">
        <v>817</v>
      </c>
      <c r="D51" s="72" t="s">
        <v>817</v>
      </c>
      <c r="E51" s="72" t="s">
        <v>817</v>
      </c>
      <c r="F51" s="72" t="s">
        <v>817</v>
      </c>
      <c r="G51" s="22" t="s">
        <v>706</v>
      </c>
      <c r="H51" s="22">
        <v>8900</v>
      </c>
      <c r="I51" s="22">
        <v>750</v>
      </c>
      <c r="J51" s="72">
        <v>0.9157303370786517</v>
      </c>
      <c r="K51" s="73">
        <v>0.20637156723434935</v>
      </c>
      <c r="L51" s="73">
        <v>7.2494627464374004E-2</v>
      </c>
      <c r="M51" s="22" t="s">
        <v>995</v>
      </c>
      <c r="N51" s="80">
        <v>2004</v>
      </c>
      <c r="O51" s="22" t="s">
        <v>773</v>
      </c>
      <c r="P51" s="22" t="s">
        <v>972</v>
      </c>
      <c r="Q51" s="22" t="s">
        <v>973</v>
      </c>
      <c r="R51" s="22">
        <v>5</v>
      </c>
      <c r="S51" s="33"/>
    </row>
    <row r="52" spans="1:19" s="37" customFormat="1" ht="27" customHeight="1" x14ac:dyDescent="0.25">
      <c r="A52" s="22" t="s">
        <v>980</v>
      </c>
      <c r="B52" s="22" t="s">
        <v>793</v>
      </c>
      <c r="C52" s="72" t="s">
        <v>817</v>
      </c>
      <c r="D52" s="72" t="s">
        <v>817</v>
      </c>
      <c r="E52" s="72" t="s">
        <v>817</v>
      </c>
      <c r="F52" s="72" t="s">
        <v>817</v>
      </c>
      <c r="G52" s="22" t="s">
        <v>706</v>
      </c>
      <c r="H52" s="22">
        <v>15100</v>
      </c>
      <c r="I52" s="22">
        <v>750</v>
      </c>
      <c r="J52" s="72">
        <v>0.95033112582781454</v>
      </c>
      <c r="K52" s="73">
        <v>0.21166314588138394</v>
      </c>
      <c r="L52" s="73">
        <v>0.15047926777504639</v>
      </c>
      <c r="M52" s="22" t="s">
        <v>979</v>
      </c>
      <c r="N52" s="80">
        <v>2004</v>
      </c>
      <c r="O52" s="22" t="s">
        <v>773</v>
      </c>
      <c r="P52" s="22" t="s">
        <v>972</v>
      </c>
      <c r="Q52" s="22" t="s">
        <v>973</v>
      </c>
      <c r="R52" s="22">
        <v>5</v>
      </c>
      <c r="S52" s="33"/>
    </row>
    <row r="53" spans="1:19" s="37" customFormat="1" ht="27" customHeight="1" x14ac:dyDescent="0.25">
      <c r="A53" s="22" t="s">
        <v>981</v>
      </c>
      <c r="B53" s="22" t="s">
        <v>793</v>
      </c>
      <c r="C53" s="72" t="s">
        <v>817</v>
      </c>
      <c r="D53" s="72" t="s">
        <v>817</v>
      </c>
      <c r="E53" s="72" t="s">
        <v>817</v>
      </c>
      <c r="F53" s="72" t="s">
        <v>817</v>
      </c>
      <c r="G53" s="22" t="s">
        <v>706</v>
      </c>
      <c r="H53" s="22">
        <v>15100</v>
      </c>
      <c r="I53" s="22">
        <v>750</v>
      </c>
      <c r="J53" s="72">
        <v>0.95033112582781454</v>
      </c>
      <c r="K53" s="73">
        <v>0.22654571082616876</v>
      </c>
      <c r="L53" s="73">
        <v>0.6300285826625569</v>
      </c>
      <c r="M53" s="22" t="s">
        <v>979</v>
      </c>
      <c r="N53" s="80">
        <v>2004</v>
      </c>
      <c r="O53" s="22" t="s">
        <v>773</v>
      </c>
      <c r="P53" s="22" t="s">
        <v>972</v>
      </c>
      <c r="Q53" s="22" t="s">
        <v>973</v>
      </c>
      <c r="R53" s="22">
        <v>5</v>
      </c>
      <c r="S53" s="33"/>
    </row>
    <row r="54" spans="1:19" s="38" customFormat="1" ht="27" customHeight="1" x14ac:dyDescent="0.25">
      <c r="A54" s="22" t="s">
        <v>971</v>
      </c>
      <c r="B54" s="22" t="s">
        <v>793</v>
      </c>
      <c r="C54" s="72" t="s">
        <v>817</v>
      </c>
      <c r="D54" s="72" t="s">
        <v>817</v>
      </c>
      <c r="E54" s="72" t="s">
        <v>817</v>
      </c>
      <c r="F54" s="72" t="s">
        <v>817</v>
      </c>
      <c r="G54" s="22" t="s">
        <v>706</v>
      </c>
      <c r="H54" s="22">
        <v>10400</v>
      </c>
      <c r="I54" s="22">
        <v>750</v>
      </c>
      <c r="J54" s="72">
        <v>0.92788461538461542</v>
      </c>
      <c r="K54" s="73">
        <v>0.25856577479828152</v>
      </c>
      <c r="L54" s="73">
        <v>0.13830262372931337</v>
      </c>
      <c r="M54" s="22" t="s">
        <v>975</v>
      </c>
      <c r="N54" s="80">
        <v>2004</v>
      </c>
      <c r="O54" s="22" t="s">
        <v>773</v>
      </c>
      <c r="P54" s="22" t="s">
        <v>972</v>
      </c>
      <c r="Q54" s="22" t="s">
        <v>973</v>
      </c>
      <c r="R54" s="22">
        <v>5</v>
      </c>
      <c r="S54" s="33"/>
    </row>
    <row r="55" spans="1:19" s="38" customFormat="1" ht="27" customHeight="1" x14ac:dyDescent="0.25">
      <c r="A55" s="22" t="s">
        <v>1001</v>
      </c>
      <c r="B55" s="22" t="s">
        <v>793</v>
      </c>
      <c r="C55" s="72" t="s">
        <v>817</v>
      </c>
      <c r="D55" s="72" t="s">
        <v>817</v>
      </c>
      <c r="E55" s="72" t="s">
        <v>817</v>
      </c>
      <c r="F55" s="72" t="s">
        <v>817</v>
      </c>
      <c r="G55" s="22" t="s">
        <v>706</v>
      </c>
      <c r="H55" s="22">
        <v>9400</v>
      </c>
      <c r="I55" s="22">
        <v>1500</v>
      </c>
      <c r="J55" s="72">
        <v>0.84042553191489366</v>
      </c>
      <c r="K55" s="73">
        <v>0.37582234709052548</v>
      </c>
      <c r="L55" s="73">
        <v>1.6536183271983119E-2</v>
      </c>
      <c r="M55" s="22" t="s">
        <v>991</v>
      </c>
      <c r="N55" s="80">
        <v>2004</v>
      </c>
      <c r="O55" s="22" t="s">
        <v>773</v>
      </c>
      <c r="P55" s="22" t="s">
        <v>972</v>
      </c>
      <c r="Q55" s="22" t="s">
        <v>973</v>
      </c>
      <c r="R55" s="22">
        <v>5</v>
      </c>
      <c r="S55" s="33"/>
    </row>
    <row r="56" spans="1:19" s="81" customFormat="1" ht="27" customHeight="1" x14ac:dyDescent="0.25">
      <c r="A56" s="22" t="s">
        <v>1001</v>
      </c>
      <c r="B56" s="22" t="s">
        <v>793</v>
      </c>
      <c r="C56" s="72" t="s">
        <v>817</v>
      </c>
      <c r="D56" s="72" t="s">
        <v>817</v>
      </c>
      <c r="E56" s="72" t="s">
        <v>817</v>
      </c>
      <c r="F56" s="72" t="s">
        <v>817</v>
      </c>
      <c r="G56" s="22" t="s">
        <v>706</v>
      </c>
      <c r="H56" s="22">
        <v>6300</v>
      </c>
      <c r="I56" s="22">
        <v>750</v>
      </c>
      <c r="J56" s="72">
        <v>0.88095238095238093</v>
      </c>
      <c r="K56" s="73">
        <v>0.39890362108414662</v>
      </c>
      <c r="L56" s="73">
        <v>1.0176112782758843E-2</v>
      </c>
      <c r="M56" s="22" t="s">
        <v>1002</v>
      </c>
      <c r="N56" s="80">
        <v>2004</v>
      </c>
      <c r="O56" s="22" t="s">
        <v>773</v>
      </c>
      <c r="P56" s="22" t="s">
        <v>972</v>
      </c>
      <c r="Q56" s="22" t="s">
        <v>973</v>
      </c>
      <c r="R56" s="22">
        <v>5</v>
      </c>
      <c r="S56" s="33"/>
    </row>
    <row r="57" spans="1:19" s="81" customFormat="1" ht="27" customHeight="1" x14ac:dyDescent="0.25">
      <c r="A57" s="22" t="s">
        <v>990</v>
      </c>
      <c r="B57" s="22" t="s">
        <v>793</v>
      </c>
      <c r="C57" s="72" t="s">
        <v>817</v>
      </c>
      <c r="D57" s="72" t="s">
        <v>817</v>
      </c>
      <c r="E57" s="72" t="s">
        <v>817</v>
      </c>
      <c r="F57" s="72" t="s">
        <v>817</v>
      </c>
      <c r="G57" s="22" t="s">
        <v>706</v>
      </c>
      <c r="H57" s="22">
        <v>9400</v>
      </c>
      <c r="I57" s="22">
        <v>750</v>
      </c>
      <c r="J57" s="72">
        <v>0.92021276595744683</v>
      </c>
      <c r="K57" s="73">
        <v>0.40789252070891702</v>
      </c>
      <c r="L57" s="73">
        <v>7.3560960737185516E-2</v>
      </c>
      <c r="M57" s="22" t="s">
        <v>991</v>
      </c>
      <c r="N57" s="80">
        <v>2004</v>
      </c>
      <c r="O57" s="22" t="s">
        <v>773</v>
      </c>
      <c r="P57" s="22" t="s">
        <v>972</v>
      </c>
      <c r="Q57" s="22" t="s">
        <v>973</v>
      </c>
      <c r="R57" s="22">
        <v>5</v>
      </c>
      <c r="S57" s="33"/>
    </row>
    <row r="58" spans="1:19" s="81" customFormat="1" ht="27" customHeight="1" x14ac:dyDescent="0.25">
      <c r="A58" s="22" t="s">
        <v>971</v>
      </c>
      <c r="B58" s="22" t="s">
        <v>793</v>
      </c>
      <c r="C58" s="72" t="s">
        <v>817</v>
      </c>
      <c r="D58" s="72" t="s">
        <v>817</v>
      </c>
      <c r="E58" s="72" t="s">
        <v>817</v>
      </c>
      <c r="F58" s="72" t="s">
        <v>817</v>
      </c>
      <c r="G58" s="22" t="s">
        <v>706</v>
      </c>
      <c r="H58" s="22">
        <v>6900</v>
      </c>
      <c r="I58" s="22">
        <v>750</v>
      </c>
      <c r="J58" s="72">
        <v>0.89130434782608692</v>
      </c>
      <c r="K58" s="73">
        <v>0.42580671925356539</v>
      </c>
      <c r="L58" s="73">
        <v>0.16536183271983121</v>
      </c>
      <c r="M58" s="22" t="s">
        <v>846</v>
      </c>
      <c r="N58" s="80">
        <v>2004</v>
      </c>
      <c r="O58" s="22" t="s">
        <v>773</v>
      </c>
      <c r="P58" s="22" t="s">
        <v>972</v>
      </c>
      <c r="Q58" s="22" t="s">
        <v>973</v>
      </c>
      <c r="R58" s="22">
        <v>5</v>
      </c>
      <c r="S58" s="33"/>
    </row>
    <row r="59" spans="1:19" s="81" customFormat="1" ht="27" customHeight="1" x14ac:dyDescent="0.25">
      <c r="A59" s="22" t="s">
        <v>993</v>
      </c>
      <c r="B59" s="22" t="s">
        <v>793</v>
      </c>
      <c r="C59" s="72" t="s">
        <v>817</v>
      </c>
      <c r="D59" s="72" t="s">
        <v>817</v>
      </c>
      <c r="E59" s="72" t="s">
        <v>817</v>
      </c>
      <c r="F59" s="72" t="s">
        <v>817</v>
      </c>
      <c r="G59" s="22" t="s">
        <v>706</v>
      </c>
      <c r="H59" s="22">
        <v>6600</v>
      </c>
      <c r="I59" s="22">
        <v>875</v>
      </c>
      <c r="J59" s="72">
        <v>0.86742424242424243</v>
      </c>
      <c r="K59" s="73">
        <v>0.47013641056345856</v>
      </c>
      <c r="L59" s="73">
        <v>4.6810118800690685E-2</v>
      </c>
      <c r="M59" s="22" t="s">
        <v>998</v>
      </c>
      <c r="N59" s="80">
        <v>2004</v>
      </c>
      <c r="O59" s="22" t="s">
        <v>773</v>
      </c>
      <c r="P59" s="22" t="s">
        <v>972</v>
      </c>
      <c r="Q59" s="22" t="s">
        <v>973</v>
      </c>
      <c r="R59" s="22">
        <v>5</v>
      </c>
      <c r="S59" s="33"/>
    </row>
    <row r="60" spans="1:19" s="81" customFormat="1" ht="27" customHeight="1" x14ac:dyDescent="0.25">
      <c r="A60" s="22" t="s">
        <v>997</v>
      </c>
      <c r="B60" s="22" t="s">
        <v>793</v>
      </c>
      <c r="C60" s="72" t="s">
        <v>817</v>
      </c>
      <c r="D60" s="72" t="s">
        <v>817</v>
      </c>
      <c r="E60" s="72" t="s">
        <v>817</v>
      </c>
      <c r="F60" s="72" t="s">
        <v>817</v>
      </c>
      <c r="G60" s="22" t="s">
        <v>706</v>
      </c>
      <c r="H60" s="22">
        <v>6600</v>
      </c>
      <c r="I60" s="22">
        <v>1000</v>
      </c>
      <c r="J60" s="72">
        <v>0.84848484848484851</v>
      </c>
      <c r="K60" s="73">
        <v>0.49455908124207976</v>
      </c>
      <c r="L60" s="73">
        <v>1.0684918421896786E-2</v>
      </c>
      <c r="M60" s="22" t="s">
        <v>998</v>
      </c>
      <c r="N60" s="80">
        <v>2004</v>
      </c>
      <c r="O60" s="22" t="s">
        <v>773</v>
      </c>
      <c r="P60" s="22" t="s">
        <v>972</v>
      </c>
      <c r="Q60" s="22" t="s">
        <v>973</v>
      </c>
      <c r="R60" s="22">
        <v>5</v>
      </c>
      <c r="S60" s="33"/>
    </row>
    <row r="61" spans="1:19" s="81" customFormat="1" ht="27" customHeight="1" x14ac:dyDescent="0.25">
      <c r="A61" s="22" t="s">
        <v>1004</v>
      </c>
      <c r="B61" s="22" t="s">
        <v>793</v>
      </c>
      <c r="C61" s="72" t="s">
        <v>817</v>
      </c>
      <c r="D61" s="72" t="s">
        <v>817</v>
      </c>
      <c r="E61" s="72" t="s">
        <v>817</v>
      </c>
      <c r="F61" s="72" t="s">
        <v>817</v>
      </c>
      <c r="G61" s="22" t="s">
        <v>706</v>
      </c>
      <c r="H61" s="22">
        <v>10400</v>
      </c>
      <c r="I61" s="22">
        <v>1600</v>
      </c>
      <c r="J61" s="72">
        <v>0.84615384615384615</v>
      </c>
      <c r="K61" s="73">
        <v>0.5211403212988619</v>
      </c>
      <c r="L61" s="73">
        <v>1.3629823787816391E-2</v>
      </c>
      <c r="M61" s="22" t="s">
        <v>975</v>
      </c>
      <c r="N61" s="80">
        <v>2004</v>
      </c>
      <c r="O61" s="22" t="s">
        <v>773</v>
      </c>
      <c r="P61" s="22" t="s">
        <v>972</v>
      </c>
      <c r="Q61" s="22" t="s">
        <v>973</v>
      </c>
      <c r="R61" s="22">
        <v>5</v>
      </c>
      <c r="S61" s="33"/>
    </row>
    <row r="62" spans="1:19" s="81" customFormat="1" ht="27" customHeight="1" x14ac:dyDescent="0.25">
      <c r="A62" s="22" t="s">
        <v>974</v>
      </c>
      <c r="B62" s="22" t="s">
        <v>793</v>
      </c>
      <c r="C62" s="72" t="s">
        <v>817</v>
      </c>
      <c r="D62" s="72" t="s">
        <v>817</v>
      </c>
      <c r="E62" s="72" t="s">
        <v>817</v>
      </c>
      <c r="F62" s="72" t="s">
        <v>817</v>
      </c>
      <c r="G62" s="22" t="s">
        <v>706</v>
      </c>
      <c r="H62" s="22">
        <v>10400</v>
      </c>
      <c r="I62" s="22">
        <v>750</v>
      </c>
      <c r="J62" s="72">
        <v>0.92788461538461542</v>
      </c>
      <c r="K62" s="73">
        <v>0.77970609609714359</v>
      </c>
      <c r="L62" s="73">
        <v>2.6057016064943098E-2</v>
      </c>
      <c r="M62" s="22" t="s">
        <v>975</v>
      </c>
      <c r="N62" s="80">
        <v>2004</v>
      </c>
      <c r="O62" s="22" t="s">
        <v>773</v>
      </c>
      <c r="P62" s="22" t="s">
        <v>972</v>
      </c>
      <c r="Q62" s="22" t="s">
        <v>973</v>
      </c>
      <c r="R62" s="22">
        <v>5</v>
      </c>
      <c r="S62" s="33"/>
    </row>
    <row r="63" spans="1:19" s="81" customFormat="1" ht="27" customHeight="1" x14ac:dyDescent="0.25">
      <c r="A63" s="22" t="s">
        <v>978</v>
      </c>
      <c r="B63" s="22" t="s">
        <v>793</v>
      </c>
      <c r="C63" s="72" t="s">
        <v>817</v>
      </c>
      <c r="D63" s="72" t="s">
        <v>817</v>
      </c>
      <c r="E63" s="72" t="s">
        <v>817</v>
      </c>
      <c r="F63" s="72" t="s">
        <v>817</v>
      </c>
      <c r="G63" s="22" t="s">
        <v>706</v>
      </c>
      <c r="H63" s="22">
        <v>15100</v>
      </c>
      <c r="I63" s="22">
        <v>750</v>
      </c>
      <c r="J63" s="72">
        <v>0.95033112582781454</v>
      </c>
      <c r="K63" s="73">
        <v>0.80696574367277629</v>
      </c>
      <c r="L63" s="73">
        <v>5.7876641451940922E-2</v>
      </c>
      <c r="M63" s="22" t="s">
        <v>979</v>
      </c>
      <c r="N63" s="80">
        <v>2004</v>
      </c>
      <c r="O63" s="22" t="s">
        <v>773</v>
      </c>
      <c r="P63" s="22" t="s">
        <v>972</v>
      </c>
      <c r="Q63" s="22" t="s">
        <v>973</v>
      </c>
      <c r="R63" s="22">
        <v>5</v>
      </c>
      <c r="S63" s="33"/>
    </row>
    <row r="64" spans="1:19" s="81" customFormat="1" ht="27" customHeight="1" x14ac:dyDescent="0.25">
      <c r="A64" s="22" t="s">
        <v>993</v>
      </c>
      <c r="B64" s="22" t="s">
        <v>793</v>
      </c>
      <c r="C64" s="72" t="s">
        <v>817</v>
      </c>
      <c r="D64" s="72" t="s">
        <v>817</v>
      </c>
      <c r="E64" s="72" t="s">
        <v>817</v>
      </c>
      <c r="F64" s="72" t="s">
        <v>817</v>
      </c>
      <c r="G64" s="22" t="s">
        <v>706</v>
      </c>
      <c r="H64" s="22">
        <v>13700</v>
      </c>
      <c r="I64" s="22">
        <v>750</v>
      </c>
      <c r="J64" s="72">
        <v>0.94525547445255476</v>
      </c>
      <c r="K64" s="73">
        <v>0.86303127933778578</v>
      </c>
      <c r="L64" s="73">
        <v>0.17512605522328792</v>
      </c>
      <c r="M64" s="22" t="s">
        <v>994</v>
      </c>
      <c r="N64" s="80">
        <v>2004</v>
      </c>
      <c r="O64" s="22" t="s">
        <v>773</v>
      </c>
      <c r="P64" s="22" t="s">
        <v>972</v>
      </c>
      <c r="Q64" s="22" t="s">
        <v>973</v>
      </c>
      <c r="R64" s="22">
        <v>5</v>
      </c>
      <c r="S64" s="33"/>
    </row>
    <row r="65" spans="1:19" s="81" customFormat="1" ht="27" customHeight="1" x14ac:dyDescent="0.25">
      <c r="A65" s="22" t="s">
        <v>981</v>
      </c>
      <c r="B65" s="22" t="s">
        <v>793</v>
      </c>
      <c r="C65" s="72" t="s">
        <v>817</v>
      </c>
      <c r="D65" s="72" t="s">
        <v>817</v>
      </c>
      <c r="E65" s="72" t="s">
        <v>817</v>
      </c>
      <c r="F65" s="72" t="s">
        <v>817</v>
      </c>
      <c r="G65" s="22" t="s">
        <v>706</v>
      </c>
      <c r="H65" s="22">
        <v>3500</v>
      </c>
      <c r="I65" s="22">
        <v>750</v>
      </c>
      <c r="J65" s="72">
        <v>0.7857142857142857</v>
      </c>
      <c r="K65" s="73">
        <v>0.96130345421128549</v>
      </c>
      <c r="L65" s="73">
        <v>1.2347016843080729E-2</v>
      </c>
      <c r="M65" s="22" t="s">
        <v>985</v>
      </c>
      <c r="N65" s="80">
        <v>2004</v>
      </c>
      <c r="O65" s="22" t="s">
        <v>773</v>
      </c>
      <c r="P65" s="22" t="s">
        <v>972</v>
      </c>
      <c r="Q65" s="22" t="s">
        <v>973</v>
      </c>
      <c r="R65" s="22">
        <v>5</v>
      </c>
      <c r="S65" s="33"/>
    </row>
    <row r="66" spans="1:19" s="81" customFormat="1" ht="27" customHeight="1" x14ac:dyDescent="0.25">
      <c r="A66" s="22" t="s">
        <v>790</v>
      </c>
      <c r="B66" s="22" t="s">
        <v>793</v>
      </c>
      <c r="C66" s="22" t="s">
        <v>700</v>
      </c>
      <c r="D66" s="22">
        <v>24000</v>
      </c>
      <c r="E66" s="22">
        <v>1400</v>
      </c>
      <c r="F66" s="72">
        <v>0.94166666666666665</v>
      </c>
      <c r="G66" s="22" t="s">
        <v>706</v>
      </c>
      <c r="H66" s="22">
        <v>4000</v>
      </c>
      <c r="I66" s="22">
        <v>1000</v>
      </c>
      <c r="J66" s="72">
        <v>0.75</v>
      </c>
      <c r="K66" s="73">
        <v>3.5831773287918209</v>
      </c>
      <c r="L66" s="73">
        <v>5.2148507566525913E-2</v>
      </c>
      <c r="M66" s="22" t="s">
        <v>791</v>
      </c>
      <c r="N66" s="74">
        <v>2006</v>
      </c>
      <c r="O66" s="22" t="s">
        <v>773</v>
      </c>
      <c r="P66" s="22" t="s">
        <v>792</v>
      </c>
      <c r="Q66" s="22" t="s">
        <v>794</v>
      </c>
      <c r="R66" s="22">
        <v>8</v>
      </c>
      <c r="S66" s="33" t="s">
        <v>1263</v>
      </c>
    </row>
    <row r="67" spans="1:19" s="81" customFormat="1" ht="27" customHeight="1" x14ac:dyDescent="0.25">
      <c r="A67" s="22" t="s">
        <v>795</v>
      </c>
      <c r="B67" s="22" t="s">
        <v>793</v>
      </c>
      <c r="C67" s="22" t="s">
        <v>700</v>
      </c>
      <c r="D67" s="22">
        <v>27000</v>
      </c>
      <c r="E67" s="22">
        <v>600</v>
      </c>
      <c r="F67" s="72">
        <v>0.97777777777777775</v>
      </c>
      <c r="G67" s="22" t="s">
        <v>706</v>
      </c>
      <c r="H67" s="22">
        <v>5800</v>
      </c>
      <c r="I67" s="22">
        <v>200</v>
      </c>
      <c r="J67" s="72">
        <v>0.96551724137931039</v>
      </c>
      <c r="K67" s="73">
        <v>2.3769592181094259</v>
      </c>
      <c r="L67" s="73">
        <v>8.8362748932169041E-2</v>
      </c>
      <c r="M67" s="22" t="s">
        <v>796</v>
      </c>
      <c r="N67" s="74">
        <v>2006</v>
      </c>
      <c r="O67" s="22" t="s">
        <v>773</v>
      </c>
      <c r="P67" s="22" t="s">
        <v>792</v>
      </c>
      <c r="Q67" s="22" t="s">
        <v>797</v>
      </c>
      <c r="R67" s="22">
        <v>9</v>
      </c>
      <c r="S67" s="33" t="s">
        <v>1263</v>
      </c>
    </row>
    <row r="68" spans="1:19" s="81" customFormat="1" ht="27" customHeight="1" x14ac:dyDescent="0.25">
      <c r="A68" s="22" t="s">
        <v>860</v>
      </c>
      <c r="B68" s="22" t="s">
        <v>793</v>
      </c>
      <c r="C68" s="22" t="s">
        <v>72</v>
      </c>
      <c r="D68" s="22">
        <v>14500</v>
      </c>
      <c r="E68" s="22">
        <v>8000</v>
      </c>
      <c r="F68" s="77">
        <v>0.44827586206896552</v>
      </c>
      <c r="G68" s="72" t="s">
        <v>817</v>
      </c>
      <c r="H68" s="72" t="s">
        <v>817</v>
      </c>
      <c r="I68" s="72" t="s">
        <v>817</v>
      </c>
      <c r="J68" s="72" t="s">
        <v>817</v>
      </c>
      <c r="K68" s="73">
        <v>1.908850873041597</v>
      </c>
      <c r="L68" s="73" t="s">
        <v>817</v>
      </c>
      <c r="M68" s="22" t="s">
        <v>861</v>
      </c>
      <c r="N68" s="80">
        <v>1999</v>
      </c>
      <c r="O68" s="22" t="s">
        <v>773</v>
      </c>
      <c r="P68" s="22" t="s">
        <v>819</v>
      </c>
      <c r="Q68" s="22" t="s">
        <v>862</v>
      </c>
      <c r="R68" s="22">
        <v>2</v>
      </c>
      <c r="S68" s="33" t="s">
        <v>863</v>
      </c>
    </row>
    <row r="69" spans="1:19" s="81" customFormat="1" ht="27" customHeight="1" x14ac:dyDescent="0.25">
      <c r="A69" s="22" t="s">
        <v>864</v>
      </c>
      <c r="B69" s="22" t="s">
        <v>793</v>
      </c>
      <c r="C69" s="22" t="s">
        <v>72</v>
      </c>
      <c r="D69" s="22">
        <v>19300</v>
      </c>
      <c r="E69" s="22">
        <v>8000</v>
      </c>
      <c r="F69" s="77">
        <v>0.58549222797927458</v>
      </c>
      <c r="G69" s="72" t="s">
        <v>817</v>
      </c>
      <c r="H69" s="72" t="s">
        <v>817</v>
      </c>
      <c r="I69" s="72" t="s">
        <v>817</v>
      </c>
      <c r="J69" s="72" t="s">
        <v>817</v>
      </c>
      <c r="K69" s="73">
        <v>6.8628521835688359</v>
      </c>
      <c r="L69" s="73" t="s">
        <v>817</v>
      </c>
      <c r="M69" s="22" t="s">
        <v>865</v>
      </c>
      <c r="N69" s="80">
        <v>1999</v>
      </c>
      <c r="O69" s="22" t="s">
        <v>773</v>
      </c>
      <c r="P69" s="22" t="s">
        <v>819</v>
      </c>
      <c r="Q69" s="22" t="s">
        <v>862</v>
      </c>
      <c r="R69" s="22">
        <v>2</v>
      </c>
      <c r="S69" s="33" t="s">
        <v>866</v>
      </c>
    </row>
    <row r="70" spans="1:19" s="81" customFormat="1" ht="27" customHeight="1" x14ac:dyDescent="0.25">
      <c r="A70" s="22" t="s">
        <v>816</v>
      </c>
      <c r="B70" s="22" t="s">
        <v>793</v>
      </c>
      <c r="C70" s="22" t="s">
        <v>72</v>
      </c>
      <c r="D70" s="22">
        <v>31200</v>
      </c>
      <c r="E70" s="22">
        <v>3700</v>
      </c>
      <c r="F70" s="72">
        <v>0.88141025641025639</v>
      </c>
      <c r="G70" s="22" t="s">
        <v>706</v>
      </c>
      <c r="H70" s="22">
        <v>5800</v>
      </c>
      <c r="I70" s="22">
        <v>1000</v>
      </c>
      <c r="J70" s="72">
        <v>0.82758620689655171</v>
      </c>
      <c r="K70" s="73">
        <v>0.68588872960371494</v>
      </c>
      <c r="L70" s="73">
        <v>0.10671129789076161</v>
      </c>
      <c r="M70" s="22" t="s">
        <v>839</v>
      </c>
      <c r="N70" s="80">
        <v>2006</v>
      </c>
      <c r="O70" s="22" t="s">
        <v>773</v>
      </c>
      <c r="P70" s="22" t="s">
        <v>792</v>
      </c>
      <c r="Q70" s="22" t="s">
        <v>840</v>
      </c>
      <c r="R70" s="22">
        <v>4</v>
      </c>
      <c r="S70" s="33" t="s">
        <v>1263</v>
      </c>
    </row>
    <row r="71" spans="1:19" s="81" customFormat="1" ht="27" customHeight="1" x14ac:dyDescent="0.25">
      <c r="A71" s="69" t="s">
        <v>725</v>
      </c>
      <c r="B71" s="22" t="s">
        <v>793</v>
      </c>
      <c r="C71" s="32" t="s">
        <v>72</v>
      </c>
      <c r="D71" s="32">
        <v>40000</v>
      </c>
      <c r="E71" s="32">
        <v>3000</v>
      </c>
      <c r="F71" s="99">
        <f>(D71-E71)/D71</f>
        <v>0.92500000000000004</v>
      </c>
      <c r="G71" s="32" t="s">
        <v>706</v>
      </c>
      <c r="H71" s="32">
        <v>5000</v>
      </c>
      <c r="I71" s="32">
        <v>100</v>
      </c>
      <c r="J71" s="99">
        <f t="shared" ref="J71:J78" si="0">(H71-I71)/H71</f>
        <v>0.98</v>
      </c>
      <c r="K71" s="101">
        <v>1.5512822625836438</v>
      </c>
      <c r="L71" s="101">
        <f>256*(10^-6*365)</f>
        <v>9.3439999999999995E-2</v>
      </c>
      <c r="M71" s="32" t="s">
        <v>808</v>
      </c>
      <c r="N71" s="32">
        <v>2006</v>
      </c>
      <c r="O71" s="22" t="s">
        <v>773</v>
      </c>
      <c r="P71" s="22" t="s">
        <v>792</v>
      </c>
      <c r="Q71" s="32" t="s">
        <v>817</v>
      </c>
      <c r="R71" s="32" t="s">
        <v>817</v>
      </c>
      <c r="S71" s="33" t="s">
        <v>1263</v>
      </c>
    </row>
    <row r="72" spans="1:19" s="81" customFormat="1" ht="27" customHeight="1" x14ac:dyDescent="0.25">
      <c r="A72" s="32" t="s">
        <v>1257</v>
      </c>
      <c r="B72" s="22" t="s">
        <v>793</v>
      </c>
      <c r="C72" s="32" t="s">
        <v>72</v>
      </c>
      <c r="D72" s="32">
        <v>40000</v>
      </c>
      <c r="E72" s="32">
        <v>3000</v>
      </c>
      <c r="F72" s="99">
        <f>(D72-E72)/D72</f>
        <v>0.92500000000000004</v>
      </c>
      <c r="G72" s="32" t="s">
        <v>706</v>
      </c>
      <c r="H72" s="32">
        <v>5000</v>
      </c>
      <c r="I72" s="32">
        <v>100</v>
      </c>
      <c r="J72" s="99">
        <f t="shared" si="0"/>
        <v>0.98</v>
      </c>
      <c r="K72" s="101">
        <v>1.0620317028457253</v>
      </c>
      <c r="L72" s="101">
        <f>199*(10^-6*365)</f>
        <v>7.2634999999999991E-2</v>
      </c>
      <c r="M72" s="32" t="s">
        <v>808</v>
      </c>
      <c r="N72" s="32">
        <v>2006</v>
      </c>
      <c r="O72" s="22" t="s">
        <v>773</v>
      </c>
      <c r="P72" s="22" t="s">
        <v>792</v>
      </c>
      <c r="Q72" s="32" t="s">
        <v>817</v>
      </c>
      <c r="R72" s="32" t="s">
        <v>817</v>
      </c>
      <c r="S72" s="33" t="s">
        <v>1263</v>
      </c>
    </row>
    <row r="73" spans="1:19" s="81" customFormat="1" ht="27" customHeight="1" x14ac:dyDescent="0.2">
      <c r="A73" s="32" t="s">
        <v>1264</v>
      </c>
      <c r="B73" s="22" t="s">
        <v>793</v>
      </c>
      <c r="C73" s="32" t="s">
        <v>72</v>
      </c>
      <c r="D73" s="32">
        <v>40000</v>
      </c>
      <c r="E73" s="32">
        <v>3000</v>
      </c>
      <c r="F73" s="99">
        <f>(D73-E73)/D73</f>
        <v>0.92500000000000004</v>
      </c>
      <c r="G73" s="32" t="s">
        <v>706</v>
      </c>
      <c r="H73" s="32">
        <v>5000</v>
      </c>
      <c r="I73" s="32">
        <v>100</v>
      </c>
      <c r="J73" s="99">
        <f t="shared" si="0"/>
        <v>0.98</v>
      </c>
      <c r="K73" s="101">
        <v>0.89497053610594834</v>
      </c>
      <c r="L73" s="101">
        <f>448*(10^-6*365)</f>
        <v>0.16352</v>
      </c>
      <c r="M73" s="32" t="s">
        <v>808</v>
      </c>
      <c r="N73" s="32">
        <v>2006</v>
      </c>
      <c r="O73" s="22" t="s">
        <v>773</v>
      </c>
      <c r="P73" s="22" t="s">
        <v>792</v>
      </c>
      <c r="Q73" s="32" t="s">
        <v>817</v>
      </c>
      <c r="R73" s="32" t="s">
        <v>817</v>
      </c>
      <c r="S73" s="110" t="s">
        <v>1265</v>
      </c>
    </row>
    <row r="74" spans="1:19" s="81" customFormat="1" ht="27" customHeight="1" x14ac:dyDescent="0.25">
      <c r="A74" s="32" t="s">
        <v>732</v>
      </c>
      <c r="B74" s="22" t="s">
        <v>793</v>
      </c>
      <c r="C74" s="32" t="s">
        <v>817</v>
      </c>
      <c r="D74" s="32" t="s">
        <v>817</v>
      </c>
      <c r="E74" s="32" t="s">
        <v>817</v>
      </c>
      <c r="F74" s="32" t="s">
        <v>817</v>
      </c>
      <c r="G74" s="32" t="s">
        <v>706</v>
      </c>
      <c r="H74" s="32">
        <v>5000</v>
      </c>
      <c r="I74" s="32">
        <v>500</v>
      </c>
      <c r="J74" s="99">
        <f t="shared" si="0"/>
        <v>0.9</v>
      </c>
      <c r="K74" s="101">
        <v>3.5798821444237933E-2</v>
      </c>
      <c r="L74" s="101">
        <f>91*(10^-6*365)</f>
        <v>3.3215000000000001E-2</v>
      </c>
      <c r="M74" s="32" t="s">
        <v>808</v>
      </c>
      <c r="N74" s="32">
        <v>2006</v>
      </c>
      <c r="O74" s="22" t="s">
        <v>773</v>
      </c>
      <c r="P74" s="22" t="s">
        <v>792</v>
      </c>
      <c r="Q74" s="32" t="s">
        <v>817</v>
      </c>
      <c r="R74" s="32" t="s">
        <v>817</v>
      </c>
      <c r="S74" s="33" t="s">
        <v>1266</v>
      </c>
    </row>
    <row r="75" spans="1:19" s="81" customFormat="1" ht="27" customHeight="1" x14ac:dyDescent="0.25">
      <c r="A75" s="32" t="s">
        <v>1255</v>
      </c>
      <c r="B75" s="22" t="s">
        <v>793</v>
      </c>
      <c r="C75" s="32" t="s">
        <v>817</v>
      </c>
      <c r="D75" s="32" t="s">
        <v>817</v>
      </c>
      <c r="E75" s="32" t="s">
        <v>817</v>
      </c>
      <c r="F75" s="32" t="s">
        <v>817</v>
      </c>
      <c r="G75" s="32" t="s">
        <v>706</v>
      </c>
      <c r="H75" s="32">
        <v>5000</v>
      </c>
      <c r="I75" s="32">
        <v>500</v>
      </c>
      <c r="J75" s="99">
        <f t="shared" si="0"/>
        <v>0.9</v>
      </c>
      <c r="K75" s="101">
        <v>0.21479292866542757</v>
      </c>
      <c r="L75" s="111">
        <f>7*(10^-6*365)</f>
        <v>2.555E-3</v>
      </c>
      <c r="M75" s="32" t="s">
        <v>808</v>
      </c>
      <c r="N75" s="32">
        <v>2006</v>
      </c>
      <c r="O75" s="22" t="s">
        <v>773</v>
      </c>
      <c r="P75" s="22" t="s">
        <v>792</v>
      </c>
      <c r="Q75" s="32" t="s">
        <v>817</v>
      </c>
      <c r="R75" s="32" t="s">
        <v>817</v>
      </c>
      <c r="S75" s="33" t="s">
        <v>1263</v>
      </c>
    </row>
    <row r="76" spans="1:19" s="81" customFormat="1" ht="27" customHeight="1" x14ac:dyDescent="0.25">
      <c r="A76" s="32" t="s">
        <v>1267</v>
      </c>
      <c r="B76" s="22" t="s">
        <v>793</v>
      </c>
      <c r="C76" s="32" t="s">
        <v>817</v>
      </c>
      <c r="D76" s="32" t="s">
        <v>817</v>
      </c>
      <c r="E76" s="32" t="s">
        <v>817</v>
      </c>
      <c r="F76" s="32" t="s">
        <v>817</v>
      </c>
      <c r="G76" s="32" t="s">
        <v>706</v>
      </c>
      <c r="H76" s="32">
        <v>5000</v>
      </c>
      <c r="I76" s="32">
        <v>500</v>
      </c>
      <c r="J76" s="99">
        <f t="shared" si="0"/>
        <v>0.9</v>
      </c>
      <c r="K76" s="101">
        <v>0.52504938118215638</v>
      </c>
      <c r="L76" s="101">
        <f>25*(10^-6*365)</f>
        <v>9.1249999999999994E-3</v>
      </c>
      <c r="M76" s="32" t="s">
        <v>808</v>
      </c>
      <c r="N76" s="32">
        <v>2006</v>
      </c>
      <c r="O76" s="22" t="s">
        <v>773</v>
      </c>
      <c r="P76" s="22" t="s">
        <v>792</v>
      </c>
      <c r="Q76" s="32" t="s">
        <v>817</v>
      </c>
      <c r="R76" s="32" t="s">
        <v>817</v>
      </c>
      <c r="S76" s="33" t="s">
        <v>1263</v>
      </c>
    </row>
    <row r="77" spans="1:19" s="81" customFormat="1" ht="27" customHeight="1" x14ac:dyDescent="0.25">
      <c r="A77" s="32" t="s">
        <v>1268</v>
      </c>
      <c r="B77" s="22" t="s">
        <v>793</v>
      </c>
      <c r="C77" s="32" t="s">
        <v>817</v>
      </c>
      <c r="D77" s="32" t="s">
        <v>817</v>
      </c>
      <c r="E77" s="32" t="s">
        <v>817</v>
      </c>
      <c r="F77" s="32" t="s">
        <v>817</v>
      </c>
      <c r="G77" s="32" t="s">
        <v>706</v>
      </c>
      <c r="H77" s="32">
        <v>5000</v>
      </c>
      <c r="I77" s="32">
        <v>100</v>
      </c>
      <c r="J77" s="99">
        <f t="shared" si="0"/>
        <v>0.98</v>
      </c>
      <c r="K77" s="101">
        <v>0.56084820262639423</v>
      </c>
      <c r="L77" s="101">
        <f>106*(10^-6*365)</f>
        <v>3.8689999999999995E-2</v>
      </c>
      <c r="M77" s="32" t="s">
        <v>808</v>
      </c>
      <c r="N77" s="32">
        <v>2006</v>
      </c>
      <c r="O77" s="22" t="s">
        <v>773</v>
      </c>
      <c r="P77" s="22" t="s">
        <v>792</v>
      </c>
      <c r="Q77" s="32" t="s">
        <v>817</v>
      </c>
      <c r="R77" s="32" t="s">
        <v>817</v>
      </c>
      <c r="S77" s="33" t="s">
        <v>1269</v>
      </c>
    </row>
    <row r="78" spans="1:19" s="81" customFormat="1" ht="27" customHeight="1" x14ac:dyDescent="0.25">
      <c r="A78" s="32" t="s">
        <v>1270</v>
      </c>
      <c r="B78" s="22" t="s">
        <v>793</v>
      </c>
      <c r="C78" s="32" t="s">
        <v>817</v>
      </c>
      <c r="D78" s="32" t="s">
        <v>817</v>
      </c>
      <c r="E78" s="32" t="s">
        <v>817</v>
      </c>
      <c r="F78" s="32" t="s">
        <v>817</v>
      </c>
      <c r="G78" s="32" t="s">
        <v>706</v>
      </c>
      <c r="H78" s="32">
        <v>5000</v>
      </c>
      <c r="I78" s="32">
        <v>100</v>
      </c>
      <c r="J78" s="99">
        <f t="shared" si="0"/>
        <v>0.98</v>
      </c>
      <c r="K78" s="101">
        <v>0.34605527396096664</v>
      </c>
      <c r="L78" s="101">
        <f>215*(10^-6*365)</f>
        <v>7.8474999999999989E-2</v>
      </c>
      <c r="M78" s="32" t="s">
        <v>808</v>
      </c>
      <c r="N78" s="32">
        <v>2006</v>
      </c>
      <c r="O78" s="22" t="s">
        <v>773</v>
      </c>
      <c r="P78" s="22" t="s">
        <v>792</v>
      </c>
      <c r="Q78" s="32" t="s">
        <v>817</v>
      </c>
      <c r="R78" s="32" t="s">
        <v>817</v>
      </c>
      <c r="S78" s="33" t="s">
        <v>1271</v>
      </c>
    </row>
    <row r="79" spans="1:19" s="81" customFormat="1" ht="27" customHeight="1" x14ac:dyDescent="0.25">
      <c r="A79" s="32" t="s">
        <v>1257</v>
      </c>
      <c r="B79" s="22" t="s">
        <v>793</v>
      </c>
      <c r="C79" s="32" t="s">
        <v>72</v>
      </c>
      <c r="D79" s="32">
        <v>40000</v>
      </c>
      <c r="E79" s="32">
        <v>3000</v>
      </c>
      <c r="F79" s="99">
        <f t="shared" ref="F79:F85" si="1">(D79-E79)/D79</f>
        <v>0.92500000000000004</v>
      </c>
      <c r="G79" s="32" t="s">
        <v>817</v>
      </c>
      <c r="H79" s="32" t="s">
        <v>817</v>
      </c>
      <c r="I79" s="32" t="s">
        <v>817</v>
      </c>
      <c r="J79" s="32" t="s">
        <v>817</v>
      </c>
      <c r="K79" s="101">
        <v>0.56084820262639423</v>
      </c>
      <c r="L79" s="101">
        <f>44*(10^-6*365)</f>
        <v>1.6059999999999998E-2</v>
      </c>
      <c r="M79" s="32" t="s">
        <v>808</v>
      </c>
      <c r="N79" s="32">
        <v>2006</v>
      </c>
      <c r="O79" s="22" t="s">
        <v>773</v>
      </c>
      <c r="P79" s="22" t="s">
        <v>792</v>
      </c>
      <c r="Q79" s="32" t="s">
        <v>817</v>
      </c>
      <c r="R79" s="32" t="s">
        <v>817</v>
      </c>
      <c r="S79" s="33" t="s">
        <v>1263</v>
      </c>
    </row>
    <row r="80" spans="1:19" s="81" customFormat="1" ht="27" customHeight="1" x14ac:dyDescent="0.25">
      <c r="A80" s="32" t="s">
        <v>751</v>
      </c>
      <c r="B80" s="22" t="s">
        <v>793</v>
      </c>
      <c r="C80" s="32" t="s">
        <v>72</v>
      </c>
      <c r="D80" s="32">
        <v>40000</v>
      </c>
      <c r="E80" s="32">
        <v>3000</v>
      </c>
      <c r="F80" s="99">
        <f t="shared" si="1"/>
        <v>0.92500000000000004</v>
      </c>
      <c r="G80" s="32" t="s">
        <v>817</v>
      </c>
      <c r="H80" s="32" t="s">
        <v>817</v>
      </c>
      <c r="I80" s="32" t="s">
        <v>817</v>
      </c>
      <c r="J80" s="32" t="s">
        <v>817</v>
      </c>
      <c r="K80" s="101">
        <v>0.84723877418029769</v>
      </c>
      <c r="L80" s="101">
        <f>82*(10^-6*365)</f>
        <v>2.9929999999999998E-2</v>
      </c>
      <c r="M80" s="32" t="s">
        <v>808</v>
      </c>
      <c r="N80" s="32">
        <v>2006</v>
      </c>
      <c r="O80" s="22" t="s">
        <v>773</v>
      </c>
      <c r="P80" s="22" t="s">
        <v>792</v>
      </c>
      <c r="Q80" s="32" t="s">
        <v>817</v>
      </c>
      <c r="R80" s="32" t="s">
        <v>817</v>
      </c>
      <c r="S80" s="33" t="s">
        <v>1272</v>
      </c>
    </row>
    <row r="81" spans="1:19" s="81" customFormat="1" ht="27" customHeight="1" x14ac:dyDescent="0.25">
      <c r="A81" s="112" t="s">
        <v>734</v>
      </c>
      <c r="B81" s="22" t="s">
        <v>793</v>
      </c>
      <c r="C81" s="32" t="s">
        <v>72</v>
      </c>
      <c r="D81" s="32">
        <v>40000</v>
      </c>
      <c r="E81" s="32">
        <v>3000</v>
      </c>
      <c r="F81" s="99">
        <f t="shared" si="1"/>
        <v>0.92500000000000004</v>
      </c>
      <c r="G81" s="32" t="s">
        <v>817</v>
      </c>
      <c r="H81" s="32" t="s">
        <v>817</v>
      </c>
      <c r="I81" s="32" t="s">
        <v>817</v>
      </c>
      <c r="J81" s="32" t="s">
        <v>817</v>
      </c>
      <c r="K81" s="101">
        <v>0.84723877418029769</v>
      </c>
      <c r="L81" s="101">
        <f>156*(10^-6*365)</f>
        <v>5.6939999999999998E-2</v>
      </c>
      <c r="M81" s="32" t="s">
        <v>808</v>
      </c>
      <c r="N81" s="32">
        <v>2006</v>
      </c>
      <c r="O81" s="22" t="s">
        <v>773</v>
      </c>
      <c r="P81" s="22" t="s">
        <v>792</v>
      </c>
      <c r="Q81" s="32" t="s">
        <v>817</v>
      </c>
      <c r="R81" s="32" t="s">
        <v>817</v>
      </c>
      <c r="S81" s="33" t="s">
        <v>1263</v>
      </c>
    </row>
    <row r="82" spans="1:19" s="81" customFormat="1" ht="78.599999999999994" customHeight="1" x14ac:dyDescent="0.2">
      <c r="A82" s="32" t="s">
        <v>1257</v>
      </c>
      <c r="B82" s="22" t="s">
        <v>793</v>
      </c>
      <c r="C82" s="32" t="s">
        <v>72</v>
      </c>
      <c r="D82" s="32">
        <v>40000</v>
      </c>
      <c r="E82" s="32">
        <v>5000</v>
      </c>
      <c r="F82" s="99">
        <f t="shared" si="1"/>
        <v>0.875</v>
      </c>
      <c r="G82" s="32" t="s">
        <v>817</v>
      </c>
      <c r="H82" s="32" t="s">
        <v>817</v>
      </c>
      <c r="I82" s="32" t="s">
        <v>817</v>
      </c>
      <c r="J82" s="32" t="s">
        <v>817</v>
      </c>
      <c r="K82" s="101">
        <v>0.75177525032899661</v>
      </c>
      <c r="L82" s="101">
        <f>122*(10^-6*365)</f>
        <v>4.453E-2</v>
      </c>
      <c r="M82" s="32" t="s">
        <v>808</v>
      </c>
      <c r="N82" s="32">
        <v>2006</v>
      </c>
      <c r="O82" s="22" t="s">
        <v>773</v>
      </c>
      <c r="P82" s="22" t="s">
        <v>792</v>
      </c>
      <c r="Q82" s="32" t="s">
        <v>817</v>
      </c>
      <c r="R82" s="32" t="s">
        <v>817</v>
      </c>
      <c r="S82" s="110" t="s">
        <v>1273</v>
      </c>
    </row>
    <row r="83" spans="1:19" s="81" customFormat="1" ht="27" customHeight="1" x14ac:dyDescent="0.2">
      <c r="A83" s="32" t="s">
        <v>751</v>
      </c>
      <c r="B83" s="22" t="s">
        <v>793</v>
      </c>
      <c r="C83" s="32" t="s">
        <v>72</v>
      </c>
      <c r="D83" s="32">
        <v>40000</v>
      </c>
      <c r="E83" s="32">
        <v>5000</v>
      </c>
      <c r="F83" s="99">
        <f t="shared" si="1"/>
        <v>0.875</v>
      </c>
      <c r="G83" s="32" t="s">
        <v>817</v>
      </c>
      <c r="H83" s="32" t="s">
        <v>817</v>
      </c>
      <c r="I83" s="32" t="s">
        <v>817</v>
      </c>
      <c r="J83" s="32" t="s">
        <v>817</v>
      </c>
      <c r="K83" s="101">
        <v>1.9212034175074357</v>
      </c>
      <c r="L83" s="101">
        <f>309*(10^-6*365)</f>
        <v>0.112785</v>
      </c>
      <c r="M83" s="32" t="s">
        <v>808</v>
      </c>
      <c r="N83" s="32">
        <v>2006</v>
      </c>
      <c r="O83" s="22" t="s">
        <v>773</v>
      </c>
      <c r="P83" s="22" t="s">
        <v>792</v>
      </c>
      <c r="Q83" s="32" t="s">
        <v>817</v>
      </c>
      <c r="R83" s="32" t="s">
        <v>817</v>
      </c>
      <c r="S83" s="110" t="s">
        <v>1273</v>
      </c>
    </row>
    <row r="84" spans="1:19" s="81" customFormat="1" ht="27" customHeight="1" x14ac:dyDescent="0.2">
      <c r="A84" s="32" t="s">
        <v>725</v>
      </c>
      <c r="B84" s="22" t="s">
        <v>793</v>
      </c>
      <c r="C84" s="32" t="s">
        <v>72</v>
      </c>
      <c r="D84" s="32">
        <v>40000</v>
      </c>
      <c r="E84" s="32">
        <v>5000</v>
      </c>
      <c r="F84" s="99">
        <f t="shared" si="1"/>
        <v>0.875</v>
      </c>
      <c r="G84" s="32" t="s">
        <v>817</v>
      </c>
      <c r="H84" s="32" t="s">
        <v>817</v>
      </c>
      <c r="I84" s="32" t="s">
        <v>817</v>
      </c>
      <c r="J84" s="32" t="s">
        <v>817</v>
      </c>
      <c r="K84" s="101">
        <v>2.5894480844665435</v>
      </c>
      <c r="L84" s="101">
        <f>453*(10^-6*365)</f>
        <v>0.16534499999999999</v>
      </c>
      <c r="M84" s="32" t="s">
        <v>808</v>
      </c>
      <c r="N84" s="32">
        <v>2006</v>
      </c>
      <c r="O84" s="22" t="s">
        <v>773</v>
      </c>
      <c r="P84" s="22" t="s">
        <v>792</v>
      </c>
      <c r="Q84" s="32" t="s">
        <v>817</v>
      </c>
      <c r="R84" s="32" t="s">
        <v>817</v>
      </c>
      <c r="S84" s="110" t="s">
        <v>1273</v>
      </c>
    </row>
    <row r="85" spans="1:19" s="81" customFormat="1" ht="27" customHeight="1" x14ac:dyDescent="0.2">
      <c r="A85" s="112" t="s">
        <v>734</v>
      </c>
      <c r="B85" s="22" t="s">
        <v>793</v>
      </c>
      <c r="C85" s="32" t="s">
        <v>72</v>
      </c>
      <c r="D85" s="32">
        <v>40000</v>
      </c>
      <c r="E85" s="32">
        <v>5000</v>
      </c>
      <c r="F85" s="99">
        <f t="shared" si="1"/>
        <v>0.875</v>
      </c>
      <c r="G85" s="32" t="s">
        <v>817</v>
      </c>
      <c r="H85" s="32" t="s">
        <v>817</v>
      </c>
      <c r="I85" s="32" t="s">
        <v>817</v>
      </c>
      <c r="J85" s="32" t="s">
        <v>817</v>
      </c>
      <c r="K85" s="101">
        <v>0.84723877418029769</v>
      </c>
      <c r="L85" s="101">
        <f>156*(10^-6*365)</f>
        <v>5.6939999999999998E-2</v>
      </c>
      <c r="M85" s="32" t="s">
        <v>808</v>
      </c>
      <c r="N85" s="32">
        <v>2006</v>
      </c>
      <c r="O85" s="22" t="s">
        <v>773</v>
      </c>
      <c r="P85" s="22" t="s">
        <v>792</v>
      </c>
      <c r="Q85" s="32" t="s">
        <v>817</v>
      </c>
      <c r="R85" s="32" t="s">
        <v>817</v>
      </c>
      <c r="S85" s="110" t="s">
        <v>1273</v>
      </c>
    </row>
    <row r="86" spans="1:19" s="81" customFormat="1" ht="27" customHeight="1" x14ac:dyDescent="0.2">
      <c r="A86" s="32" t="s">
        <v>717</v>
      </c>
      <c r="B86" s="32" t="s">
        <v>793</v>
      </c>
      <c r="C86" s="32" t="s">
        <v>817</v>
      </c>
      <c r="D86" s="32" t="s">
        <v>817</v>
      </c>
      <c r="E86" s="32" t="s">
        <v>817</v>
      </c>
      <c r="F86" s="32" t="s">
        <v>817</v>
      </c>
      <c r="G86" s="32" t="s">
        <v>706</v>
      </c>
      <c r="H86" s="32">
        <v>5000</v>
      </c>
      <c r="I86" s="32">
        <v>1000</v>
      </c>
      <c r="J86" s="99">
        <f t="shared" ref="J86:J100" si="2">(H86-I86)/H86</f>
        <v>0.8</v>
      </c>
      <c r="K86" s="101">
        <v>1.4438857982509299</v>
      </c>
      <c r="L86" s="101">
        <f>280*(10^-6*365)</f>
        <v>0.1022</v>
      </c>
      <c r="M86" s="32" t="s">
        <v>808</v>
      </c>
      <c r="N86" s="32">
        <v>2006</v>
      </c>
      <c r="O86" s="22" t="s">
        <v>773</v>
      </c>
      <c r="P86" s="22" t="s">
        <v>792</v>
      </c>
      <c r="Q86" s="32" t="s">
        <v>817</v>
      </c>
      <c r="R86" s="32" t="s">
        <v>817</v>
      </c>
      <c r="S86" s="110" t="s">
        <v>1273</v>
      </c>
    </row>
    <row r="87" spans="1:19" s="81" customFormat="1" ht="27" customHeight="1" x14ac:dyDescent="0.2">
      <c r="A87" s="32" t="s">
        <v>732</v>
      </c>
      <c r="B87" s="32" t="s">
        <v>793</v>
      </c>
      <c r="C87" s="32" t="s">
        <v>817</v>
      </c>
      <c r="D87" s="32" t="s">
        <v>817</v>
      </c>
      <c r="E87" s="32" t="s">
        <v>817</v>
      </c>
      <c r="F87" s="32" t="s">
        <v>817</v>
      </c>
      <c r="G87" s="32" t="s">
        <v>706</v>
      </c>
      <c r="H87" s="32">
        <v>5000</v>
      </c>
      <c r="I87" s="32">
        <v>500</v>
      </c>
      <c r="J87" s="99">
        <f t="shared" si="2"/>
        <v>0.9</v>
      </c>
      <c r="K87" s="101">
        <v>3.5798821444237933E-2</v>
      </c>
      <c r="L87" s="101">
        <f>91*(10^-6*365)</f>
        <v>3.3215000000000001E-2</v>
      </c>
      <c r="M87" s="32" t="s">
        <v>808</v>
      </c>
      <c r="N87" s="32">
        <v>2006</v>
      </c>
      <c r="O87" s="22" t="s">
        <v>773</v>
      </c>
      <c r="P87" s="22" t="s">
        <v>792</v>
      </c>
      <c r="Q87" s="32" t="s">
        <v>817</v>
      </c>
      <c r="R87" s="32" t="s">
        <v>817</v>
      </c>
      <c r="S87" s="110" t="s">
        <v>1273</v>
      </c>
    </row>
    <row r="88" spans="1:19" s="81" customFormat="1" ht="27" customHeight="1" x14ac:dyDescent="0.2">
      <c r="A88" s="32" t="s">
        <v>1274</v>
      </c>
      <c r="B88" s="32" t="s">
        <v>793</v>
      </c>
      <c r="C88" s="32" t="s">
        <v>817</v>
      </c>
      <c r="D88" s="32" t="s">
        <v>817</v>
      </c>
      <c r="E88" s="32" t="s">
        <v>817</v>
      </c>
      <c r="F88" s="32" t="s">
        <v>817</v>
      </c>
      <c r="G88" s="32" t="s">
        <v>706</v>
      </c>
      <c r="H88" s="32">
        <v>5000</v>
      </c>
      <c r="I88" s="32">
        <v>500</v>
      </c>
      <c r="J88" s="99">
        <f t="shared" si="2"/>
        <v>0.9</v>
      </c>
      <c r="K88" s="101">
        <v>1.5035505006579932</v>
      </c>
      <c r="L88" s="101">
        <f>290*(10^-6*365)</f>
        <v>0.10585</v>
      </c>
      <c r="M88" s="32" t="s">
        <v>808</v>
      </c>
      <c r="N88" s="32">
        <v>2006</v>
      </c>
      <c r="O88" s="22" t="s">
        <v>773</v>
      </c>
      <c r="P88" s="22" t="s">
        <v>792</v>
      </c>
      <c r="Q88" s="32" t="s">
        <v>817</v>
      </c>
      <c r="R88" s="32" t="s">
        <v>817</v>
      </c>
      <c r="S88" s="110" t="s">
        <v>1273</v>
      </c>
    </row>
    <row r="89" spans="1:19" s="81" customFormat="1" ht="27" customHeight="1" x14ac:dyDescent="0.2">
      <c r="A89" s="32" t="s">
        <v>1275</v>
      </c>
      <c r="B89" s="32" t="s">
        <v>793</v>
      </c>
      <c r="C89" s="32" t="s">
        <v>817</v>
      </c>
      <c r="D89" s="32" t="s">
        <v>817</v>
      </c>
      <c r="E89" s="32" t="s">
        <v>817</v>
      </c>
      <c r="F89" s="32" t="s">
        <v>817</v>
      </c>
      <c r="G89" s="32" t="s">
        <v>706</v>
      </c>
      <c r="H89" s="32">
        <v>5000</v>
      </c>
      <c r="I89" s="32">
        <v>500</v>
      </c>
      <c r="J89" s="99">
        <f t="shared" si="2"/>
        <v>0.9</v>
      </c>
      <c r="K89" s="101">
        <v>1.8138069531747218</v>
      </c>
      <c r="L89" s="101">
        <f>308*(10^-6*365)</f>
        <v>0.11241999999999999</v>
      </c>
      <c r="M89" s="32" t="s">
        <v>808</v>
      </c>
      <c r="N89" s="32">
        <v>2006</v>
      </c>
      <c r="O89" s="22" t="s">
        <v>773</v>
      </c>
      <c r="P89" s="22" t="s">
        <v>792</v>
      </c>
      <c r="Q89" s="32" t="s">
        <v>817</v>
      </c>
      <c r="R89" s="32" t="s">
        <v>817</v>
      </c>
      <c r="S89" s="110" t="s">
        <v>1273</v>
      </c>
    </row>
    <row r="90" spans="1:19" s="81" customFormat="1" ht="27" customHeight="1" x14ac:dyDescent="0.2">
      <c r="A90" s="32" t="s">
        <v>1270</v>
      </c>
      <c r="B90" s="32" t="s">
        <v>793</v>
      </c>
      <c r="C90" s="32" t="s">
        <v>817</v>
      </c>
      <c r="D90" s="32" t="s">
        <v>817</v>
      </c>
      <c r="E90" s="32" t="s">
        <v>817</v>
      </c>
      <c r="F90" s="32" t="s">
        <v>817</v>
      </c>
      <c r="G90" s="32" t="s">
        <v>706</v>
      </c>
      <c r="H90" s="32">
        <v>5000</v>
      </c>
      <c r="I90" s="32">
        <v>100</v>
      </c>
      <c r="J90" s="99">
        <f t="shared" si="2"/>
        <v>0.98</v>
      </c>
      <c r="K90" s="101">
        <v>0.34605527396096664</v>
      </c>
      <c r="L90" s="101">
        <f>215*(10^-6*365)</f>
        <v>7.8474999999999989E-2</v>
      </c>
      <c r="M90" s="32" t="s">
        <v>808</v>
      </c>
      <c r="N90" s="32">
        <v>2006</v>
      </c>
      <c r="O90" s="22" t="s">
        <v>773</v>
      </c>
      <c r="P90" s="22" t="s">
        <v>792</v>
      </c>
      <c r="Q90" s="32" t="s">
        <v>817</v>
      </c>
      <c r="R90" s="32" t="s">
        <v>817</v>
      </c>
      <c r="S90" s="110" t="s">
        <v>1273</v>
      </c>
    </row>
    <row r="91" spans="1:19" s="81" customFormat="1" ht="27" customHeight="1" x14ac:dyDescent="0.2">
      <c r="A91" s="32" t="s">
        <v>1276</v>
      </c>
      <c r="B91" s="32" t="s">
        <v>793</v>
      </c>
      <c r="C91" s="32" t="s">
        <v>817</v>
      </c>
      <c r="D91" s="32" t="s">
        <v>817</v>
      </c>
      <c r="E91" s="32" t="s">
        <v>817</v>
      </c>
      <c r="F91" s="32" t="s">
        <v>817</v>
      </c>
      <c r="G91" s="32" t="s">
        <v>706</v>
      </c>
      <c r="H91" s="32">
        <v>5000</v>
      </c>
      <c r="I91" s="32">
        <v>100</v>
      </c>
      <c r="J91" s="99">
        <f t="shared" si="2"/>
        <v>0.98</v>
      </c>
      <c r="K91" s="101">
        <v>1.8496057746189598</v>
      </c>
      <c r="L91" s="101">
        <f>389*(10^-6*365)</f>
        <v>0.141985</v>
      </c>
      <c r="M91" s="32" t="s">
        <v>808</v>
      </c>
      <c r="N91" s="32">
        <v>2006</v>
      </c>
      <c r="O91" s="22" t="s">
        <v>773</v>
      </c>
      <c r="P91" s="22" t="s">
        <v>792</v>
      </c>
      <c r="Q91" s="32" t="s">
        <v>817</v>
      </c>
      <c r="R91" s="32" t="s">
        <v>817</v>
      </c>
      <c r="S91" s="110" t="s">
        <v>1273</v>
      </c>
    </row>
    <row r="92" spans="1:19" s="81" customFormat="1" ht="27" customHeight="1" x14ac:dyDescent="0.2">
      <c r="A92" s="32" t="s">
        <v>759</v>
      </c>
      <c r="B92" s="32" t="s">
        <v>793</v>
      </c>
      <c r="C92" s="32" t="s">
        <v>72</v>
      </c>
      <c r="D92" s="32">
        <v>40000</v>
      </c>
      <c r="E92" s="32">
        <v>5000</v>
      </c>
      <c r="F92" s="99">
        <f t="shared" ref="F92:F100" si="3">(D92-E92)/D92</f>
        <v>0.875</v>
      </c>
      <c r="G92" s="32" t="s">
        <v>706</v>
      </c>
      <c r="H92" s="32">
        <v>5000</v>
      </c>
      <c r="I92" s="32">
        <v>1000</v>
      </c>
      <c r="J92" s="99">
        <f t="shared" si="2"/>
        <v>0.8</v>
      </c>
      <c r="K92" s="101">
        <v>2.3149904533940528</v>
      </c>
      <c r="L92" s="101">
        <f>302*(10^-6*365)</f>
        <v>0.11022999999999999</v>
      </c>
      <c r="M92" s="32" t="s">
        <v>808</v>
      </c>
      <c r="N92" s="32">
        <v>2006</v>
      </c>
      <c r="O92" s="22" t="s">
        <v>773</v>
      </c>
      <c r="P92" s="22" t="s">
        <v>792</v>
      </c>
      <c r="Q92" s="32" t="s">
        <v>817</v>
      </c>
      <c r="R92" s="32" t="s">
        <v>817</v>
      </c>
      <c r="S92" s="110" t="s">
        <v>1273</v>
      </c>
    </row>
    <row r="93" spans="1:19" s="81" customFormat="1" ht="27" customHeight="1" x14ac:dyDescent="0.2">
      <c r="A93" s="32" t="s">
        <v>767</v>
      </c>
      <c r="B93" s="32" t="s">
        <v>793</v>
      </c>
      <c r="C93" s="32" t="s">
        <v>72</v>
      </c>
      <c r="D93" s="32">
        <v>40000</v>
      </c>
      <c r="E93" s="32">
        <v>5000</v>
      </c>
      <c r="F93" s="99">
        <f t="shared" si="3"/>
        <v>0.875</v>
      </c>
      <c r="G93" s="32" t="s">
        <v>706</v>
      </c>
      <c r="H93" s="32">
        <v>5000</v>
      </c>
      <c r="I93" s="32">
        <v>1000</v>
      </c>
      <c r="J93" s="99">
        <f t="shared" si="2"/>
        <v>0.8</v>
      </c>
      <c r="K93" s="101">
        <v>2.4462527986895917</v>
      </c>
      <c r="L93" s="101">
        <f>436*(10^-6*365)</f>
        <v>0.15914</v>
      </c>
      <c r="M93" s="32" t="s">
        <v>808</v>
      </c>
      <c r="N93" s="32">
        <v>2006</v>
      </c>
      <c r="O93" s="22" t="s">
        <v>773</v>
      </c>
      <c r="P93" s="22" t="s">
        <v>792</v>
      </c>
      <c r="Q93" s="32" t="s">
        <v>817</v>
      </c>
      <c r="R93" s="32" t="s">
        <v>817</v>
      </c>
      <c r="S93" s="110" t="s">
        <v>1273</v>
      </c>
    </row>
    <row r="94" spans="1:19" s="81" customFormat="1" ht="27" customHeight="1" x14ac:dyDescent="0.2">
      <c r="A94" s="32" t="s">
        <v>725</v>
      </c>
      <c r="B94" s="32" t="s">
        <v>793</v>
      </c>
      <c r="C94" s="32" t="s">
        <v>72</v>
      </c>
      <c r="D94" s="32">
        <v>40000</v>
      </c>
      <c r="E94" s="32">
        <v>5000</v>
      </c>
      <c r="F94" s="99">
        <f t="shared" si="3"/>
        <v>0.875</v>
      </c>
      <c r="G94" s="32" t="s">
        <v>706</v>
      </c>
      <c r="H94" s="32">
        <v>5000</v>
      </c>
      <c r="I94" s="32">
        <v>500</v>
      </c>
      <c r="J94" s="99">
        <f t="shared" si="2"/>
        <v>0.9</v>
      </c>
      <c r="K94" s="101">
        <v>2.6133139654293691</v>
      </c>
      <c r="L94" s="101">
        <f>452*(10^-6*365)</f>
        <v>0.16497999999999999</v>
      </c>
      <c r="M94" s="32" t="s">
        <v>808</v>
      </c>
      <c r="N94" s="32">
        <v>2006</v>
      </c>
      <c r="O94" s="22" t="s">
        <v>773</v>
      </c>
      <c r="P94" s="22" t="s">
        <v>792</v>
      </c>
      <c r="Q94" s="32" t="s">
        <v>817</v>
      </c>
      <c r="R94" s="32" t="s">
        <v>817</v>
      </c>
      <c r="S94" s="110" t="s">
        <v>1273</v>
      </c>
    </row>
    <row r="95" spans="1:19" s="81" customFormat="1" ht="27" customHeight="1" x14ac:dyDescent="0.2">
      <c r="A95" s="32" t="s">
        <v>1277</v>
      </c>
      <c r="B95" s="32" t="s">
        <v>793</v>
      </c>
      <c r="C95" s="32" t="s">
        <v>72</v>
      </c>
      <c r="D95" s="32">
        <v>40000</v>
      </c>
      <c r="E95" s="32">
        <v>5000</v>
      </c>
      <c r="F95" s="99">
        <f t="shared" si="3"/>
        <v>0.875</v>
      </c>
      <c r="G95" s="32" t="s">
        <v>706</v>
      </c>
      <c r="H95" s="32">
        <v>5000</v>
      </c>
      <c r="I95" s="32">
        <v>500</v>
      </c>
      <c r="J95" s="99">
        <f t="shared" si="2"/>
        <v>0.9</v>
      </c>
      <c r="K95" s="101">
        <v>2.7803751321691461</v>
      </c>
      <c r="L95" s="101">
        <f>456*(10^-6*365)</f>
        <v>0.16644</v>
      </c>
      <c r="M95" s="32" t="s">
        <v>808</v>
      </c>
      <c r="N95" s="32">
        <v>2006</v>
      </c>
      <c r="O95" s="22" t="s">
        <v>773</v>
      </c>
      <c r="P95" s="22" t="s">
        <v>792</v>
      </c>
      <c r="Q95" s="32" t="s">
        <v>817</v>
      </c>
      <c r="R95" s="32" t="s">
        <v>817</v>
      </c>
      <c r="S95" s="110" t="s">
        <v>1273</v>
      </c>
    </row>
    <row r="96" spans="1:19" s="81" customFormat="1" ht="27" customHeight="1" x14ac:dyDescent="0.2">
      <c r="A96" s="32" t="s">
        <v>1278</v>
      </c>
      <c r="B96" s="32" t="s">
        <v>793</v>
      </c>
      <c r="C96" s="32" t="s">
        <v>72</v>
      </c>
      <c r="D96" s="32">
        <v>40000</v>
      </c>
      <c r="E96" s="32">
        <v>5000</v>
      </c>
      <c r="F96" s="99">
        <f t="shared" si="3"/>
        <v>0.875</v>
      </c>
      <c r="G96" s="32" t="s">
        <v>706</v>
      </c>
      <c r="H96" s="32">
        <v>5000</v>
      </c>
      <c r="I96" s="32">
        <v>500</v>
      </c>
      <c r="J96" s="99">
        <f t="shared" si="2"/>
        <v>0.9</v>
      </c>
      <c r="K96" s="101">
        <v>2.923570417946098</v>
      </c>
      <c r="L96" s="101">
        <f>455*(10^-6*365)</f>
        <v>0.166075</v>
      </c>
      <c r="M96" s="32" t="s">
        <v>808</v>
      </c>
      <c r="N96" s="32">
        <v>2006</v>
      </c>
      <c r="O96" s="22" t="s">
        <v>773</v>
      </c>
      <c r="P96" s="22" t="s">
        <v>792</v>
      </c>
      <c r="Q96" s="32" t="s">
        <v>817</v>
      </c>
      <c r="R96" s="32" t="s">
        <v>817</v>
      </c>
      <c r="S96" s="110" t="s">
        <v>1273</v>
      </c>
    </row>
    <row r="97" spans="1:19" s="81" customFormat="1" ht="72.599999999999994" customHeight="1" x14ac:dyDescent="0.2">
      <c r="A97" s="32" t="s">
        <v>1279</v>
      </c>
      <c r="B97" s="32" t="s">
        <v>793</v>
      </c>
      <c r="C97" s="32" t="s">
        <v>72</v>
      </c>
      <c r="D97" s="32">
        <v>40000</v>
      </c>
      <c r="E97" s="32">
        <v>5000</v>
      </c>
      <c r="F97" s="99">
        <f t="shared" si="3"/>
        <v>0.875</v>
      </c>
      <c r="G97" s="32" t="s">
        <v>706</v>
      </c>
      <c r="H97" s="32">
        <v>5000</v>
      </c>
      <c r="I97" s="32">
        <v>100</v>
      </c>
      <c r="J97" s="99">
        <f t="shared" si="2"/>
        <v>0.98</v>
      </c>
      <c r="K97" s="101">
        <v>0.99043405995724942</v>
      </c>
      <c r="L97" s="101">
        <f>259*(10^-6*365)</f>
        <v>9.4534999999999994E-2</v>
      </c>
      <c r="M97" s="32" t="s">
        <v>808</v>
      </c>
      <c r="N97" s="32">
        <v>2006</v>
      </c>
      <c r="O97" s="22" t="s">
        <v>773</v>
      </c>
      <c r="P97" s="22" t="s">
        <v>792</v>
      </c>
      <c r="Q97" s="32" t="s">
        <v>817</v>
      </c>
      <c r="R97" s="32" t="s">
        <v>817</v>
      </c>
      <c r="S97" s="110" t="s">
        <v>1273</v>
      </c>
    </row>
    <row r="98" spans="1:19" s="81" customFormat="1" ht="27" customHeight="1" x14ac:dyDescent="0.2">
      <c r="A98" s="32" t="s">
        <v>1280</v>
      </c>
      <c r="B98" s="32" t="s">
        <v>793</v>
      </c>
      <c r="C98" s="32" t="s">
        <v>72</v>
      </c>
      <c r="D98" s="32">
        <v>40000</v>
      </c>
      <c r="E98" s="32">
        <v>5000</v>
      </c>
      <c r="F98" s="99">
        <f t="shared" si="3"/>
        <v>0.875</v>
      </c>
      <c r="G98" s="32" t="s">
        <v>706</v>
      </c>
      <c r="H98" s="32">
        <v>5000</v>
      </c>
      <c r="I98" s="32">
        <v>100</v>
      </c>
      <c r="J98" s="99">
        <f t="shared" si="2"/>
        <v>0.98</v>
      </c>
      <c r="K98" s="101">
        <v>2.2314598700241643</v>
      </c>
      <c r="L98" s="101">
        <f>387*(10^-6*365)</f>
        <v>0.14125499999999999</v>
      </c>
      <c r="M98" s="32" t="s">
        <v>808</v>
      </c>
      <c r="N98" s="32">
        <v>2006</v>
      </c>
      <c r="O98" s="22" t="s">
        <v>773</v>
      </c>
      <c r="P98" s="22" t="s">
        <v>792</v>
      </c>
      <c r="Q98" s="32" t="s">
        <v>817</v>
      </c>
      <c r="R98" s="32" t="s">
        <v>817</v>
      </c>
      <c r="S98" s="110" t="s">
        <v>1273</v>
      </c>
    </row>
    <row r="99" spans="1:19" s="81" customFormat="1" ht="27" customHeight="1" x14ac:dyDescent="0.2">
      <c r="A99" s="32" t="s">
        <v>1264</v>
      </c>
      <c r="B99" s="32" t="s">
        <v>793</v>
      </c>
      <c r="C99" s="32" t="s">
        <v>72</v>
      </c>
      <c r="D99" s="32">
        <v>40000</v>
      </c>
      <c r="E99" s="32">
        <v>3000</v>
      </c>
      <c r="F99" s="99">
        <f t="shared" si="3"/>
        <v>0.92500000000000004</v>
      </c>
      <c r="G99" s="32" t="s">
        <v>706</v>
      </c>
      <c r="H99" s="32">
        <v>5000</v>
      </c>
      <c r="I99" s="32">
        <v>100</v>
      </c>
      <c r="J99" s="99">
        <f t="shared" si="2"/>
        <v>0.98</v>
      </c>
      <c r="K99" s="101">
        <v>0.89497053610594834</v>
      </c>
      <c r="L99" s="101">
        <f>448*(10^-6*365)</f>
        <v>0.16352</v>
      </c>
      <c r="M99" s="32" t="s">
        <v>808</v>
      </c>
      <c r="N99" s="32">
        <v>2006</v>
      </c>
      <c r="O99" s="22" t="s">
        <v>773</v>
      </c>
      <c r="P99" s="22" t="s">
        <v>792</v>
      </c>
      <c r="Q99" s="32" t="s">
        <v>817</v>
      </c>
      <c r="R99" s="32" t="s">
        <v>817</v>
      </c>
      <c r="S99" s="110" t="s">
        <v>1273</v>
      </c>
    </row>
    <row r="100" spans="1:19" s="81" customFormat="1" ht="27" customHeight="1" x14ac:dyDescent="0.2">
      <c r="A100" s="32" t="s">
        <v>1281</v>
      </c>
      <c r="B100" s="32" t="s">
        <v>793</v>
      </c>
      <c r="C100" s="32" t="s">
        <v>72</v>
      </c>
      <c r="D100" s="32">
        <v>40000</v>
      </c>
      <c r="E100" s="32">
        <v>3000</v>
      </c>
      <c r="F100" s="99">
        <f t="shared" si="3"/>
        <v>0.92500000000000004</v>
      </c>
      <c r="G100" s="32" t="s">
        <v>706</v>
      </c>
      <c r="H100" s="32">
        <v>5000</v>
      </c>
      <c r="I100" s="32">
        <v>100</v>
      </c>
      <c r="J100" s="99">
        <f t="shared" si="2"/>
        <v>0.98</v>
      </c>
      <c r="K100" s="101">
        <v>2.9593692393903357</v>
      </c>
      <c r="L100" s="101">
        <f>477*(10^-6*365)</f>
        <v>0.17410499999999998</v>
      </c>
      <c r="M100" s="32" t="s">
        <v>808</v>
      </c>
      <c r="N100" s="32">
        <v>2006</v>
      </c>
      <c r="O100" s="22" t="s">
        <v>773</v>
      </c>
      <c r="P100" s="22" t="s">
        <v>792</v>
      </c>
      <c r="Q100" s="32" t="s">
        <v>817</v>
      </c>
      <c r="R100" s="32" t="s">
        <v>817</v>
      </c>
      <c r="S100" s="110" t="s">
        <v>1273</v>
      </c>
    </row>
    <row r="101" spans="1:19" s="81" customFormat="1" ht="27" customHeight="1" x14ac:dyDescent="0.25">
      <c r="A101" s="8" t="s">
        <v>719</v>
      </c>
      <c r="B101" s="22" t="s">
        <v>793</v>
      </c>
      <c r="C101" s="22" t="s">
        <v>72</v>
      </c>
      <c r="D101" s="8" t="s">
        <v>817</v>
      </c>
      <c r="E101" s="22">
        <v>8000</v>
      </c>
      <c r="F101" s="8" t="s">
        <v>817</v>
      </c>
      <c r="G101" s="22" t="s">
        <v>706</v>
      </c>
      <c r="H101" s="8" t="s">
        <v>817</v>
      </c>
      <c r="I101" s="22">
        <v>1000</v>
      </c>
      <c r="J101" s="8" t="s">
        <v>817</v>
      </c>
      <c r="K101" s="73">
        <v>13.648780001155725</v>
      </c>
      <c r="L101" s="73">
        <v>0.12997640834935173</v>
      </c>
      <c r="M101" s="22" t="s">
        <v>808</v>
      </c>
      <c r="N101" s="80">
        <v>2010</v>
      </c>
      <c r="O101" s="22" t="s">
        <v>773</v>
      </c>
      <c r="P101" s="22" t="s">
        <v>609</v>
      </c>
      <c r="Q101" s="32" t="s">
        <v>817</v>
      </c>
      <c r="R101" s="32" t="s">
        <v>817</v>
      </c>
      <c r="S101" s="8"/>
    </row>
    <row r="102" spans="1:19" s="81" customFormat="1" ht="27" customHeight="1" x14ac:dyDescent="0.25">
      <c r="A102" s="22" t="s">
        <v>857</v>
      </c>
      <c r="B102" s="22" t="s">
        <v>793</v>
      </c>
      <c r="C102" s="22" t="s">
        <v>72</v>
      </c>
      <c r="D102" s="8" t="s">
        <v>817</v>
      </c>
      <c r="E102" s="22">
        <v>6000</v>
      </c>
      <c r="F102" s="8" t="s">
        <v>817</v>
      </c>
      <c r="G102" s="22" t="s">
        <v>706</v>
      </c>
      <c r="H102" s="8" t="s">
        <v>817</v>
      </c>
      <c r="I102" s="22">
        <v>300</v>
      </c>
      <c r="J102" s="8" t="s">
        <v>817</v>
      </c>
      <c r="K102" s="73">
        <v>14.777626467416725</v>
      </c>
      <c r="L102" s="73">
        <v>0.24084965581738665</v>
      </c>
      <c r="M102" s="22" t="s">
        <v>808</v>
      </c>
      <c r="N102" s="80">
        <v>2010</v>
      </c>
      <c r="O102" s="22" t="s">
        <v>773</v>
      </c>
      <c r="P102" s="22" t="s">
        <v>609</v>
      </c>
      <c r="Q102" s="32" t="s">
        <v>817</v>
      </c>
      <c r="R102" s="32" t="s">
        <v>817</v>
      </c>
      <c r="S102" s="8"/>
    </row>
    <row r="103" spans="1:19" s="81" customFormat="1" ht="27" customHeight="1" x14ac:dyDescent="0.25">
      <c r="A103" s="22" t="s">
        <v>832</v>
      </c>
      <c r="B103" s="22" t="s">
        <v>793</v>
      </c>
      <c r="C103" s="22" t="s">
        <v>72</v>
      </c>
      <c r="D103" s="8" t="s">
        <v>817</v>
      </c>
      <c r="E103" s="22">
        <v>3000</v>
      </c>
      <c r="F103" s="8" t="s">
        <v>817</v>
      </c>
      <c r="G103" s="22" t="s">
        <v>706</v>
      </c>
      <c r="H103" s="8" t="s">
        <v>817</v>
      </c>
      <c r="I103" s="22">
        <v>100</v>
      </c>
      <c r="J103" s="8" t="s">
        <v>817</v>
      </c>
      <c r="K103" s="73">
        <v>16.830074587891268</v>
      </c>
      <c r="L103" s="73">
        <v>0.32812488102026549</v>
      </c>
      <c r="M103" s="22" t="s">
        <v>808</v>
      </c>
      <c r="N103" s="74">
        <v>2010</v>
      </c>
      <c r="O103" s="22" t="s">
        <v>773</v>
      </c>
      <c r="P103" s="22" t="s">
        <v>609</v>
      </c>
      <c r="Q103" s="32" t="s">
        <v>817</v>
      </c>
      <c r="R103" s="32" t="s">
        <v>817</v>
      </c>
      <c r="S103" s="8"/>
    </row>
    <row r="104" spans="1:19" s="81" customFormat="1" ht="27" customHeight="1" x14ac:dyDescent="0.25">
      <c r="A104" s="22" t="s">
        <v>831</v>
      </c>
      <c r="B104" s="22" t="s">
        <v>793</v>
      </c>
      <c r="C104" s="22" t="s">
        <v>72</v>
      </c>
      <c r="D104" s="8" t="s">
        <v>817</v>
      </c>
      <c r="E104" s="22">
        <v>2000</v>
      </c>
      <c r="F104" s="8" t="s">
        <v>817</v>
      </c>
      <c r="G104" s="22" t="s">
        <v>706</v>
      </c>
      <c r="H104" s="8" t="s">
        <v>817</v>
      </c>
      <c r="I104" s="22">
        <v>20</v>
      </c>
      <c r="J104" s="8" t="s">
        <v>817</v>
      </c>
      <c r="K104" s="73">
        <v>22.166439701125089</v>
      </c>
      <c r="L104" s="78">
        <v>0.51129048241171504</v>
      </c>
      <c r="M104" s="22" t="s">
        <v>808</v>
      </c>
      <c r="N104" s="74">
        <v>2010</v>
      </c>
      <c r="O104" s="22" t="s">
        <v>773</v>
      </c>
      <c r="P104" s="22" t="s">
        <v>609</v>
      </c>
      <c r="Q104" s="32" t="s">
        <v>817</v>
      </c>
      <c r="R104" s="32" t="s">
        <v>817</v>
      </c>
      <c r="S104" s="8"/>
    </row>
    <row r="105" spans="1:19" s="81" customFormat="1" ht="27" customHeight="1" x14ac:dyDescent="0.25">
      <c r="A105" s="22" t="s">
        <v>719</v>
      </c>
      <c r="B105" s="22" t="s">
        <v>944</v>
      </c>
      <c r="C105" s="72" t="s">
        <v>817</v>
      </c>
      <c r="D105" s="72" t="s">
        <v>817</v>
      </c>
      <c r="E105" s="72" t="s">
        <v>817</v>
      </c>
      <c r="F105" s="72" t="s">
        <v>817</v>
      </c>
      <c r="G105" s="22" t="s">
        <v>706</v>
      </c>
      <c r="H105" s="22">
        <v>7500</v>
      </c>
      <c r="I105" s="22">
        <v>5860</v>
      </c>
      <c r="J105" s="72">
        <v>0.21866666666666668</v>
      </c>
      <c r="K105" s="73">
        <v>2.8082407879812616</v>
      </c>
      <c r="L105" s="73">
        <v>0.30638240366330327</v>
      </c>
      <c r="M105" s="22" t="s">
        <v>796</v>
      </c>
      <c r="N105" s="80">
        <v>2004</v>
      </c>
      <c r="O105" s="22" t="s">
        <v>773</v>
      </c>
      <c r="P105" s="22" t="s">
        <v>608</v>
      </c>
      <c r="Q105" s="32" t="s">
        <v>817</v>
      </c>
      <c r="R105" s="32" t="s">
        <v>817</v>
      </c>
      <c r="S105" s="33"/>
    </row>
    <row r="106" spans="1:19" s="81" customFormat="1" ht="27" customHeight="1" x14ac:dyDescent="0.25">
      <c r="A106" s="22" t="s">
        <v>717</v>
      </c>
      <c r="B106" s="22" t="s">
        <v>944</v>
      </c>
      <c r="C106" s="72" t="s">
        <v>817</v>
      </c>
      <c r="D106" s="72" t="s">
        <v>817</v>
      </c>
      <c r="E106" s="72" t="s">
        <v>817</v>
      </c>
      <c r="F106" s="72" t="s">
        <v>817</v>
      </c>
      <c r="G106" s="22" t="s">
        <v>706</v>
      </c>
      <c r="H106" s="22">
        <v>7500</v>
      </c>
      <c r="I106" s="22">
        <v>4120</v>
      </c>
      <c r="J106" s="72">
        <v>0.45066666666666666</v>
      </c>
      <c r="K106" s="73">
        <v>3.2846151556805516</v>
      </c>
      <c r="L106" s="73">
        <v>0.35519721668219745</v>
      </c>
      <c r="M106" s="22" t="s">
        <v>796</v>
      </c>
      <c r="N106" s="80">
        <v>2004</v>
      </c>
      <c r="O106" s="22" t="s">
        <v>773</v>
      </c>
      <c r="P106" s="22" t="s">
        <v>608</v>
      </c>
      <c r="Q106" s="32" t="s">
        <v>817</v>
      </c>
      <c r="R106" s="32" t="s">
        <v>817</v>
      </c>
      <c r="S106" s="33"/>
    </row>
    <row r="107" spans="1:19" s="81" customFormat="1" ht="27" customHeight="1" x14ac:dyDescent="0.25">
      <c r="A107" s="22" t="s">
        <v>719</v>
      </c>
      <c r="B107" s="22" t="s">
        <v>944</v>
      </c>
      <c r="C107" s="72" t="s">
        <v>817</v>
      </c>
      <c r="D107" s="72" t="s">
        <v>817</v>
      </c>
      <c r="E107" s="72" t="s">
        <v>817</v>
      </c>
      <c r="F107" s="72" t="s">
        <v>817</v>
      </c>
      <c r="G107" s="22" t="s">
        <v>706</v>
      </c>
      <c r="H107" s="22">
        <v>7500</v>
      </c>
      <c r="I107" s="22">
        <v>5860</v>
      </c>
      <c r="J107" s="72">
        <v>0.21866666666666668</v>
      </c>
      <c r="K107" s="73">
        <v>3.3863457551697915</v>
      </c>
      <c r="L107" s="73">
        <v>0.35903361120129751</v>
      </c>
      <c r="M107" s="22" t="s">
        <v>815</v>
      </c>
      <c r="N107" s="80">
        <v>2004</v>
      </c>
      <c r="O107" s="22" t="s">
        <v>773</v>
      </c>
      <c r="P107" s="22" t="s">
        <v>608</v>
      </c>
      <c r="Q107" s="32" t="s">
        <v>817</v>
      </c>
      <c r="R107" s="32" t="s">
        <v>817</v>
      </c>
      <c r="S107" s="33"/>
    </row>
    <row r="108" spans="1:19" s="81" customFormat="1" ht="27" customHeight="1" x14ac:dyDescent="0.25">
      <c r="A108" s="22" t="s">
        <v>717</v>
      </c>
      <c r="B108" s="22" t="s">
        <v>944</v>
      </c>
      <c r="C108" s="72" t="s">
        <v>817</v>
      </c>
      <c r="D108" s="72" t="s">
        <v>817</v>
      </c>
      <c r="E108" s="72" t="s">
        <v>817</v>
      </c>
      <c r="F108" s="72" t="s">
        <v>817</v>
      </c>
      <c r="G108" s="22" t="s">
        <v>706</v>
      </c>
      <c r="H108" s="22">
        <v>7500</v>
      </c>
      <c r="I108" s="22">
        <v>4120</v>
      </c>
      <c r="J108" s="72">
        <v>0.45066666666666666</v>
      </c>
      <c r="K108" s="73">
        <v>3.954132143996604</v>
      </c>
      <c r="L108" s="73">
        <v>0.41618266058927117</v>
      </c>
      <c r="M108" s="22" t="s">
        <v>815</v>
      </c>
      <c r="N108" s="80">
        <v>2004</v>
      </c>
      <c r="O108" s="22" t="s">
        <v>773</v>
      </c>
      <c r="P108" s="22" t="s">
        <v>608</v>
      </c>
      <c r="Q108" s="32" t="s">
        <v>817</v>
      </c>
      <c r="R108" s="32" t="s">
        <v>817</v>
      </c>
      <c r="S108" s="33"/>
    </row>
    <row r="109" spans="1:19" s="81" customFormat="1" ht="27" customHeight="1" x14ac:dyDescent="0.25">
      <c r="A109" s="22" t="s">
        <v>712</v>
      </c>
      <c r="B109" s="22" t="s">
        <v>944</v>
      </c>
      <c r="C109" s="72" t="s">
        <v>817</v>
      </c>
      <c r="D109" s="72" t="s">
        <v>817</v>
      </c>
      <c r="E109" s="72" t="s">
        <v>817</v>
      </c>
      <c r="F109" s="72" t="s">
        <v>817</v>
      </c>
      <c r="G109" s="22" t="s">
        <v>706</v>
      </c>
      <c r="H109" s="22">
        <v>7500</v>
      </c>
      <c r="I109" s="22">
        <v>2950</v>
      </c>
      <c r="J109" s="72">
        <v>0.60666666666666669</v>
      </c>
      <c r="K109" s="73">
        <v>4.055333585621141</v>
      </c>
      <c r="L109" s="73">
        <v>0.41763784471720566</v>
      </c>
      <c r="M109" s="22" t="s">
        <v>796</v>
      </c>
      <c r="N109" s="80">
        <v>2004</v>
      </c>
      <c r="O109" s="22" t="s">
        <v>773</v>
      </c>
      <c r="P109" s="22" t="s">
        <v>608</v>
      </c>
      <c r="Q109" s="32" t="s">
        <v>817</v>
      </c>
      <c r="R109" s="32" t="s">
        <v>817</v>
      </c>
      <c r="S109" s="33"/>
    </row>
    <row r="110" spans="1:19" s="81" customFormat="1" ht="27" customHeight="1" x14ac:dyDescent="0.25">
      <c r="A110" s="22" t="s">
        <v>970</v>
      </c>
      <c r="B110" s="22" t="s">
        <v>944</v>
      </c>
      <c r="C110" s="72" t="s">
        <v>817</v>
      </c>
      <c r="D110" s="72" t="s">
        <v>817</v>
      </c>
      <c r="E110" s="72" t="s">
        <v>817</v>
      </c>
      <c r="F110" s="72" t="s">
        <v>817</v>
      </c>
      <c r="G110" s="22" t="s">
        <v>706</v>
      </c>
      <c r="H110" s="22">
        <v>7500</v>
      </c>
      <c r="I110" s="22">
        <v>1000</v>
      </c>
      <c r="J110" s="72">
        <v>0.8666666666666667</v>
      </c>
      <c r="K110" s="73">
        <v>4.0610220326667026</v>
      </c>
      <c r="L110" s="73">
        <v>0.63723835856914157</v>
      </c>
      <c r="M110" s="22" t="s">
        <v>796</v>
      </c>
      <c r="N110" s="80">
        <v>2004</v>
      </c>
      <c r="O110" s="22" t="s">
        <v>773</v>
      </c>
      <c r="P110" s="22" t="s">
        <v>608</v>
      </c>
      <c r="Q110" s="32" t="s">
        <v>817</v>
      </c>
      <c r="R110" s="32" t="s">
        <v>817</v>
      </c>
      <c r="S110" s="33"/>
    </row>
    <row r="111" spans="1:19" s="81" customFormat="1" ht="27" customHeight="1" x14ac:dyDescent="0.25">
      <c r="A111" s="22" t="s">
        <v>966</v>
      </c>
      <c r="B111" s="22" t="s">
        <v>944</v>
      </c>
      <c r="C111" s="72" t="s">
        <v>817</v>
      </c>
      <c r="D111" s="72" t="s">
        <v>817</v>
      </c>
      <c r="E111" s="72" t="s">
        <v>817</v>
      </c>
      <c r="F111" s="72" t="s">
        <v>817</v>
      </c>
      <c r="G111" s="22" t="s">
        <v>706</v>
      </c>
      <c r="H111" s="22">
        <v>7500</v>
      </c>
      <c r="I111" s="22">
        <v>325</v>
      </c>
      <c r="J111" s="72">
        <v>0.95666666666666667</v>
      </c>
      <c r="K111" s="73">
        <v>4.2192402342130375</v>
      </c>
      <c r="L111" s="73">
        <v>0.68737606624979442</v>
      </c>
      <c r="M111" s="22" t="s">
        <v>796</v>
      </c>
      <c r="N111" s="80">
        <v>2004</v>
      </c>
      <c r="O111" s="22" t="s">
        <v>773</v>
      </c>
      <c r="P111" s="22" t="s">
        <v>608</v>
      </c>
      <c r="Q111" s="32" t="s">
        <v>817</v>
      </c>
      <c r="R111" s="32" t="s">
        <v>817</v>
      </c>
      <c r="S111" s="33"/>
    </row>
    <row r="112" spans="1:19" s="81" customFormat="1" ht="27" customHeight="1" x14ac:dyDescent="0.25">
      <c r="A112" s="22" t="s">
        <v>719</v>
      </c>
      <c r="B112" s="22" t="s">
        <v>944</v>
      </c>
      <c r="C112" s="72" t="s">
        <v>817</v>
      </c>
      <c r="D112" s="72" t="s">
        <v>817</v>
      </c>
      <c r="E112" s="72" t="s">
        <v>817</v>
      </c>
      <c r="F112" s="72" t="s">
        <v>817</v>
      </c>
      <c r="G112" s="22" t="s">
        <v>706</v>
      </c>
      <c r="H112" s="22">
        <v>7500</v>
      </c>
      <c r="I112" s="22">
        <v>5860</v>
      </c>
      <c r="J112" s="72">
        <v>0.21866666666666668</v>
      </c>
      <c r="K112" s="73">
        <v>4.3364487012448532</v>
      </c>
      <c r="L112" s="73">
        <v>0.45242997432145821</v>
      </c>
      <c r="M112" s="22" t="s">
        <v>811</v>
      </c>
      <c r="N112" s="80">
        <v>2004</v>
      </c>
      <c r="O112" s="22" t="s">
        <v>773</v>
      </c>
      <c r="P112" s="22" t="s">
        <v>608</v>
      </c>
      <c r="Q112" s="32" t="s">
        <v>817</v>
      </c>
      <c r="R112" s="32" t="s">
        <v>817</v>
      </c>
      <c r="S112" s="33"/>
    </row>
    <row r="113" spans="1:19" s="81" customFormat="1" ht="27" customHeight="1" x14ac:dyDescent="0.25">
      <c r="A113" s="22" t="s">
        <v>967</v>
      </c>
      <c r="B113" s="22" t="s">
        <v>944</v>
      </c>
      <c r="C113" s="72" t="s">
        <v>817</v>
      </c>
      <c r="D113" s="72" t="s">
        <v>817</v>
      </c>
      <c r="E113" s="72" t="s">
        <v>817</v>
      </c>
      <c r="F113" s="72" t="s">
        <v>817</v>
      </c>
      <c r="G113" s="22" t="s">
        <v>706</v>
      </c>
      <c r="H113" s="22">
        <v>7500</v>
      </c>
      <c r="I113" s="22">
        <v>145</v>
      </c>
      <c r="J113" s="72">
        <v>0.98066666666666669</v>
      </c>
      <c r="K113" s="73">
        <v>4.5561815045629652</v>
      </c>
      <c r="L113" s="73">
        <v>0.72798893236578499</v>
      </c>
      <c r="M113" s="22" t="s">
        <v>796</v>
      </c>
      <c r="N113" s="80">
        <v>2004</v>
      </c>
      <c r="O113" s="22" t="s">
        <v>773</v>
      </c>
      <c r="P113" s="22" t="s">
        <v>608</v>
      </c>
      <c r="Q113" s="32" t="s">
        <v>817</v>
      </c>
      <c r="R113" s="32" t="s">
        <v>817</v>
      </c>
      <c r="S113" s="33"/>
    </row>
    <row r="114" spans="1:19" s="81" customFormat="1" ht="27" customHeight="1" x14ac:dyDescent="0.25">
      <c r="A114" s="22" t="s">
        <v>712</v>
      </c>
      <c r="B114" s="22" t="s">
        <v>944</v>
      </c>
      <c r="C114" s="72" t="s">
        <v>817</v>
      </c>
      <c r="D114" s="72" t="s">
        <v>817</v>
      </c>
      <c r="E114" s="72" t="s">
        <v>817</v>
      </c>
      <c r="F114" s="72" t="s">
        <v>817</v>
      </c>
      <c r="G114" s="22" t="s">
        <v>706</v>
      </c>
      <c r="H114" s="22">
        <v>7500</v>
      </c>
      <c r="I114" s="22">
        <v>2950</v>
      </c>
      <c r="J114" s="72">
        <v>0.60666666666666669</v>
      </c>
      <c r="K114" s="73">
        <v>4.8296238311484787</v>
      </c>
      <c r="L114" s="73">
        <v>0.48391486727131405</v>
      </c>
      <c r="M114" s="22" t="s">
        <v>815</v>
      </c>
      <c r="N114" s="80">
        <v>2004</v>
      </c>
      <c r="O114" s="22" t="s">
        <v>773</v>
      </c>
      <c r="P114" s="22" t="s">
        <v>608</v>
      </c>
      <c r="Q114" s="32" t="s">
        <v>817</v>
      </c>
      <c r="R114" s="32" t="s">
        <v>817</v>
      </c>
      <c r="S114" s="33"/>
    </row>
    <row r="115" spans="1:19" s="81" customFormat="1" ht="27" customHeight="1" x14ac:dyDescent="0.25">
      <c r="A115" s="22" t="s">
        <v>965</v>
      </c>
      <c r="B115" s="22" t="s">
        <v>944</v>
      </c>
      <c r="C115" s="72" t="s">
        <v>817</v>
      </c>
      <c r="D115" s="72" t="s">
        <v>817</v>
      </c>
      <c r="E115" s="72" t="s">
        <v>817</v>
      </c>
      <c r="F115" s="72" t="s">
        <v>817</v>
      </c>
      <c r="G115" s="22" t="s">
        <v>706</v>
      </c>
      <c r="H115" s="22">
        <v>7500</v>
      </c>
      <c r="I115" s="22">
        <v>1000</v>
      </c>
      <c r="J115" s="72">
        <v>0.8666666666666667</v>
      </c>
      <c r="K115" s="73">
        <v>4.8296238311484787</v>
      </c>
      <c r="L115" s="73">
        <v>0.70351538112324985</v>
      </c>
      <c r="M115" s="22" t="s">
        <v>815</v>
      </c>
      <c r="N115" s="80">
        <v>2004</v>
      </c>
      <c r="O115" s="22" t="s">
        <v>773</v>
      </c>
      <c r="P115" s="22" t="s">
        <v>608</v>
      </c>
      <c r="Q115" s="32" t="s">
        <v>817</v>
      </c>
      <c r="R115" s="32" t="s">
        <v>817</v>
      </c>
      <c r="S115" s="33"/>
    </row>
    <row r="116" spans="1:19" s="81" customFormat="1" ht="27" customHeight="1" x14ac:dyDescent="0.25">
      <c r="A116" s="22" t="s">
        <v>966</v>
      </c>
      <c r="B116" s="22" t="s">
        <v>944</v>
      </c>
      <c r="C116" s="72" t="s">
        <v>817</v>
      </c>
      <c r="D116" s="72" t="s">
        <v>817</v>
      </c>
      <c r="E116" s="72" t="s">
        <v>817</v>
      </c>
      <c r="F116" s="72" t="s">
        <v>817</v>
      </c>
      <c r="G116" s="22" t="s">
        <v>706</v>
      </c>
      <c r="H116" s="22">
        <v>7500</v>
      </c>
      <c r="I116" s="22">
        <v>325</v>
      </c>
      <c r="J116" s="72">
        <v>0.95666666666666667</v>
      </c>
      <c r="K116" s="73">
        <v>4.9894295062889231</v>
      </c>
      <c r="L116" s="73">
        <v>0.75352079933772687</v>
      </c>
      <c r="M116" s="22" t="s">
        <v>815</v>
      </c>
      <c r="N116" s="80">
        <v>2004</v>
      </c>
      <c r="O116" s="22" t="s">
        <v>773</v>
      </c>
      <c r="P116" s="22" t="s">
        <v>608</v>
      </c>
      <c r="Q116" s="32" t="s">
        <v>817</v>
      </c>
      <c r="R116" s="32" t="s">
        <v>817</v>
      </c>
      <c r="S116" s="33"/>
    </row>
    <row r="117" spans="1:19" s="81" customFormat="1" ht="27" customHeight="1" x14ac:dyDescent="0.25">
      <c r="A117" s="22" t="s">
        <v>717</v>
      </c>
      <c r="B117" s="22" t="s">
        <v>944</v>
      </c>
      <c r="C117" s="72" t="s">
        <v>817</v>
      </c>
      <c r="D117" s="72" t="s">
        <v>817</v>
      </c>
      <c r="E117" s="72" t="s">
        <v>817</v>
      </c>
      <c r="F117" s="72" t="s">
        <v>817</v>
      </c>
      <c r="G117" s="22" t="s">
        <v>706</v>
      </c>
      <c r="H117" s="22">
        <v>7500</v>
      </c>
      <c r="I117" s="22">
        <v>4120</v>
      </c>
      <c r="J117" s="72">
        <v>0.45066666666666666</v>
      </c>
      <c r="K117" s="73">
        <v>5.1096806310427842</v>
      </c>
      <c r="L117" s="73">
        <v>0.52783497004170121</v>
      </c>
      <c r="M117" s="22" t="s">
        <v>811</v>
      </c>
      <c r="N117" s="80">
        <v>2004</v>
      </c>
      <c r="O117" s="22" t="s">
        <v>773</v>
      </c>
      <c r="P117" s="22" t="s">
        <v>608</v>
      </c>
      <c r="Q117" s="32" t="s">
        <v>817</v>
      </c>
      <c r="R117" s="32" t="s">
        <v>817</v>
      </c>
      <c r="S117" s="33"/>
    </row>
    <row r="118" spans="1:19" s="81" customFormat="1" ht="27" customHeight="1" x14ac:dyDescent="0.25">
      <c r="A118" s="22" t="s">
        <v>719</v>
      </c>
      <c r="B118" s="22" t="s">
        <v>944</v>
      </c>
      <c r="C118" s="72" t="s">
        <v>817</v>
      </c>
      <c r="D118" s="72" t="s">
        <v>817</v>
      </c>
      <c r="E118" s="72" t="s">
        <v>817</v>
      </c>
      <c r="F118" s="72" t="s">
        <v>817</v>
      </c>
      <c r="G118" s="22" t="s">
        <v>706</v>
      </c>
      <c r="H118" s="22">
        <v>7500</v>
      </c>
      <c r="I118" s="22">
        <v>5860</v>
      </c>
      <c r="J118" s="72">
        <v>0.21866666666666668</v>
      </c>
      <c r="K118" s="73">
        <v>5.2294025979319425</v>
      </c>
      <c r="L118" s="73">
        <v>0.54635549530632233</v>
      </c>
      <c r="M118" s="22" t="s">
        <v>808</v>
      </c>
      <c r="N118" s="80">
        <v>2004</v>
      </c>
      <c r="O118" s="22" t="s">
        <v>773</v>
      </c>
      <c r="P118" s="22" t="s">
        <v>608</v>
      </c>
      <c r="Q118" s="32" t="s">
        <v>817</v>
      </c>
      <c r="R118" s="32" t="s">
        <v>817</v>
      </c>
      <c r="S118" s="33"/>
    </row>
    <row r="119" spans="1:19" s="81" customFormat="1" ht="27" customHeight="1" x14ac:dyDescent="0.25">
      <c r="A119" s="22" t="s">
        <v>968</v>
      </c>
      <c r="B119" s="22" t="s">
        <v>944</v>
      </c>
      <c r="C119" s="72" t="s">
        <v>817</v>
      </c>
      <c r="D119" s="72" t="s">
        <v>817</v>
      </c>
      <c r="E119" s="72" t="s">
        <v>817</v>
      </c>
      <c r="F119" s="72" t="s">
        <v>817</v>
      </c>
      <c r="G119" s="22" t="s">
        <v>706</v>
      </c>
      <c r="H119" s="22">
        <v>7500</v>
      </c>
      <c r="I119" s="22">
        <v>100</v>
      </c>
      <c r="J119" s="72">
        <v>0.98666666666666669</v>
      </c>
      <c r="K119" s="73">
        <v>5.4364356124971716</v>
      </c>
      <c r="L119" s="73">
        <v>0.78818063947580352</v>
      </c>
      <c r="M119" s="22" t="s">
        <v>796</v>
      </c>
      <c r="N119" s="80">
        <v>2004</v>
      </c>
      <c r="O119" s="22" t="s">
        <v>773</v>
      </c>
      <c r="P119" s="22" t="s">
        <v>608</v>
      </c>
      <c r="Q119" s="32" t="s">
        <v>817</v>
      </c>
      <c r="R119" s="32" t="s">
        <v>817</v>
      </c>
      <c r="S119" s="33"/>
    </row>
    <row r="120" spans="1:19" s="81" customFormat="1" ht="27" customHeight="1" x14ac:dyDescent="0.25">
      <c r="A120" s="22" t="s">
        <v>967</v>
      </c>
      <c r="B120" s="22" t="s">
        <v>944</v>
      </c>
      <c r="C120" s="72" t="s">
        <v>817</v>
      </c>
      <c r="D120" s="72" t="s">
        <v>817</v>
      </c>
      <c r="E120" s="72" t="s">
        <v>817</v>
      </c>
      <c r="F120" s="72" t="s">
        <v>817</v>
      </c>
      <c r="G120" s="22" t="s">
        <v>706</v>
      </c>
      <c r="H120" s="22">
        <v>7500</v>
      </c>
      <c r="I120" s="22">
        <v>145</v>
      </c>
      <c r="J120" s="72">
        <v>0.98066666666666669</v>
      </c>
      <c r="K120" s="73">
        <v>5.4606445848073539</v>
      </c>
      <c r="L120" s="73">
        <v>0.80167416502574174</v>
      </c>
      <c r="M120" s="22" t="s">
        <v>815</v>
      </c>
      <c r="N120" s="80">
        <v>2004</v>
      </c>
      <c r="O120" s="22" t="s">
        <v>773</v>
      </c>
      <c r="P120" s="22" t="s">
        <v>608</v>
      </c>
      <c r="Q120" s="32" t="s">
        <v>817</v>
      </c>
      <c r="R120" s="32" t="s">
        <v>817</v>
      </c>
      <c r="S120" s="33"/>
    </row>
    <row r="121" spans="1:19" s="81" customFormat="1" ht="27" customHeight="1" x14ac:dyDescent="0.25">
      <c r="A121" s="22" t="s">
        <v>712</v>
      </c>
      <c r="B121" s="22" t="s">
        <v>944</v>
      </c>
      <c r="C121" s="72" t="s">
        <v>817</v>
      </c>
      <c r="D121" s="72" t="s">
        <v>817</v>
      </c>
      <c r="E121" s="72" t="s">
        <v>817</v>
      </c>
      <c r="F121" s="72" t="s">
        <v>817</v>
      </c>
      <c r="G121" s="22" t="s">
        <v>706</v>
      </c>
      <c r="H121" s="22">
        <v>7500</v>
      </c>
      <c r="I121" s="22">
        <v>2950</v>
      </c>
      <c r="J121" s="72">
        <v>0.60666666666666669</v>
      </c>
      <c r="K121" s="73">
        <v>6.0641491295016499</v>
      </c>
      <c r="L121" s="73">
        <v>0.60390141309282364</v>
      </c>
      <c r="M121" s="22" t="s">
        <v>811</v>
      </c>
      <c r="N121" s="80">
        <v>2004</v>
      </c>
      <c r="O121" s="22" t="s">
        <v>773</v>
      </c>
      <c r="P121" s="22" t="s">
        <v>608</v>
      </c>
      <c r="Q121" s="32" t="s">
        <v>817</v>
      </c>
      <c r="R121" s="32" t="s">
        <v>817</v>
      </c>
      <c r="S121" s="33"/>
    </row>
    <row r="122" spans="1:19" s="81" customFormat="1" ht="27" customHeight="1" x14ac:dyDescent="0.25">
      <c r="A122" s="22" t="s">
        <v>965</v>
      </c>
      <c r="B122" s="22" t="s">
        <v>944</v>
      </c>
      <c r="C122" s="72" t="s">
        <v>817</v>
      </c>
      <c r="D122" s="72" t="s">
        <v>817</v>
      </c>
      <c r="E122" s="72" t="s">
        <v>817</v>
      </c>
      <c r="F122" s="72" t="s">
        <v>817</v>
      </c>
      <c r="G122" s="22" t="s">
        <v>706</v>
      </c>
      <c r="H122" s="22">
        <v>7500</v>
      </c>
      <c r="I122" s="22">
        <v>1000</v>
      </c>
      <c r="J122" s="72">
        <v>0.8666666666666667</v>
      </c>
      <c r="K122" s="73">
        <v>6.0747322867957187</v>
      </c>
      <c r="L122" s="73">
        <v>0.82416337427563868</v>
      </c>
      <c r="M122" s="22" t="s">
        <v>811</v>
      </c>
      <c r="N122" s="80">
        <v>2004</v>
      </c>
      <c r="O122" s="22" t="s">
        <v>773</v>
      </c>
      <c r="P122" s="22" t="s">
        <v>608</v>
      </c>
      <c r="Q122" s="32" t="s">
        <v>817</v>
      </c>
      <c r="R122" s="32" t="s">
        <v>817</v>
      </c>
      <c r="S122" s="33"/>
    </row>
    <row r="123" spans="1:19" s="81" customFormat="1" ht="27" customHeight="1" x14ac:dyDescent="0.25">
      <c r="A123" s="22" t="s">
        <v>717</v>
      </c>
      <c r="B123" s="22" t="s">
        <v>944</v>
      </c>
      <c r="C123" s="72" t="s">
        <v>817</v>
      </c>
      <c r="D123" s="72" t="s">
        <v>817</v>
      </c>
      <c r="E123" s="72" t="s">
        <v>817</v>
      </c>
      <c r="F123" s="72" t="s">
        <v>817</v>
      </c>
      <c r="G123" s="22" t="s">
        <v>706</v>
      </c>
      <c r="H123" s="22">
        <v>7500</v>
      </c>
      <c r="I123" s="22">
        <v>4120</v>
      </c>
      <c r="J123" s="72">
        <v>0.45066666666666666</v>
      </c>
      <c r="K123" s="73">
        <v>6.196438595677515</v>
      </c>
      <c r="L123" s="73">
        <v>0.641603910952945</v>
      </c>
      <c r="M123" s="22" t="s">
        <v>808</v>
      </c>
      <c r="N123" s="80">
        <v>2004</v>
      </c>
      <c r="O123" s="22" t="s">
        <v>773</v>
      </c>
      <c r="P123" s="22" t="s">
        <v>608</v>
      </c>
      <c r="Q123" s="32" t="s">
        <v>817</v>
      </c>
      <c r="R123" s="32" t="s">
        <v>817</v>
      </c>
      <c r="S123" s="33"/>
    </row>
    <row r="124" spans="1:19" s="81" customFormat="1" ht="27" customHeight="1" x14ac:dyDescent="0.25">
      <c r="A124" s="22" t="s">
        <v>966</v>
      </c>
      <c r="B124" s="22" t="s">
        <v>944</v>
      </c>
      <c r="C124" s="72" t="s">
        <v>817</v>
      </c>
      <c r="D124" s="72" t="s">
        <v>817</v>
      </c>
      <c r="E124" s="72" t="s">
        <v>817</v>
      </c>
      <c r="F124" s="72" t="s">
        <v>817</v>
      </c>
      <c r="G124" s="22" t="s">
        <v>706</v>
      </c>
      <c r="H124" s="22">
        <v>7500</v>
      </c>
      <c r="I124" s="22">
        <v>325</v>
      </c>
      <c r="J124" s="72">
        <v>0.95666666666666667</v>
      </c>
      <c r="K124" s="73">
        <v>6.2334796462067574</v>
      </c>
      <c r="L124" s="73">
        <v>0.87443337142246735</v>
      </c>
      <c r="M124" s="22" t="s">
        <v>811</v>
      </c>
      <c r="N124" s="80">
        <v>2004</v>
      </c>
      <c r="O124" s="22" t="s">
        <v>773</v>
      </c>
      <c r="P124" s="22" t="s">
        <v>608</v>
      </c>
      <c r="Q124" s="32" t="s">
        <v>817</v>
      </c>
      <c r="R124" s="32" t="s">
        <v>817</v>
      </c>
      <c r="S124" s="33"/>
    </row>
    <row r="125" spans="1:19" s="81" customFormat="1" ht="27" customHeight="1" x14ac:dyDescent="0.25">
      <c r="A125" s="22" t="s">
        <v>968</v>
      </c>
      <c r="B125" s="22" t="s">
        <v>944</v>
      </c>
      <c r="C125" s="72" t="s">
        <v>817</v>
      </c>
      <c r="D125" s="72" t="s">
        <v>817</v>
      </c>
      <c r="E125" s="72" t="s">
        <v>817</v>
      </c>
      <c r="F125" s="72" t="s">
        <v>817</v>
      </c>
      <c r="G125" s="22" t="s">
        <v>706</v>
      </c>
      <c r="H125" s="22">
        <v>7500</v>
      </c>
      <c r="I125" s="22">
        <v>100</v>
      </c>
      <c r="J125" s="72">
        <v>0.98666666666666669</v>
      </c>
      <c r="K125" s="73">
        <v>6.2935390638505995</v>
      </c>
      <c r="L125" s="73">
        <v>0.8627918983989914</v>
      </c>
      <c r="M125" s="22" t="s">
        <v>815</v>
      </c>
      <c r="N125" s="80">
        <v>2004</v>
      </c>
      <c r="O125" s="22" t="s">
        <v>773</v>
      </c>
      <c r="P125" s="22" t="s">
        <v>608</v>
      </c>
      <c r="Q125" s="32" t="s">
        <v>817</v>
      </c>
      <c r="R125" s="32" t="s">
        <v>817</v>
      </c>
      <c r="S125" s="33"/>
    </row>
    <row r="126" spans="1:19" s="81" customFormat="1" ht="27" customHeight="1" x14ac:dyDescent="0.25">
      <c r="A126" s="22" t="s">
        <v>969</v>
      </c>
      <c r="B126" s="22" t="s">
        <v>944</v>
      </c>
      <c r="C126" s="72" t="s">
        <v>817</v>
      </c>
      <c r="D126" s="72" t="s">
        <v>817</v>
      </c>
      <c r="E126" s="72" t="s">
        <v>817</v>
      </c>
      <c r="F126" s="72" t="s">
        <v>817</v>
      </c>
      <c r="G126" s="22" t="s">
        <v>706</v>
      </c>
      <c r="H126" s="22">
        <v>7500</v>
      </c>
      <c r="I126" s="22">
        <v>50</v>
      </c>
      <c r="J126" s="72">
        <v>0.99333333333333329</v>
      </c>
      <c r="K126" s="73">
        <v>6.4316492665382023</v>
      </c>
      <c r="L126" s="73">
        <v>1.2957753211925973</v>
      </c>
      <c r="M126" s="22" t="s">
        <v>796</v>
      </c>
      <c r="N126" s="80">
        <v>2004</v>
      </c>
      <c r="O126" s="22" t="s">
        <v>773</v>
      </c>
      <c r="P126" s="22" t="s">
        <v>608</v>
      </c>
      <c r="Q126" s="32" t="s">
        <v>817</v>
      </c>
      <c r="R126" s="32" t="s">
        <v>817</v>
      </c>
      <c r="S126" s="33"/>
    </row>
    <row r="127" spans="1:19" s="81" customFormat="1" ht="27" customHeight="1" x14ac:dyDescent="0.25">
      <c r="A127" s="22" t="s">
        <v>967</v>
      </c>
      <c r="B127" s="22" t="s">
        <v>944</v>
      </c>
      <c r="C127" s="72" t="s">
        <v>817</v>
      </c>
      <c r="D127" s="72" t="s">
        <v>817</v>
      </c>
      <c r="E127" s="72" t="s">
        <v>817</v>
      </c>
      <c r="F127" s="72" t="s">
        <v>817</v>
      </c>
      <c r="G127" s="22" t="s">
        <v>706</v>
      </c>
      <c r="H127" s="22">
        <v>7500</v>
      </c>
      <c r="I127" s="22">
        <v>145</v>
      </c>
      <c r="J127" s="72">
        <v>0.98066666666666669</v>
      </c>
      <c r="K127" s="73">
        <v>6.6184419927785241</v>
      </c>
      <c r="L127" s="73">
        <v>0.91808889526050297</v>
      </c>
      <c r="M127" s="22" t="s">
        <v>811</v>
      </c>
      <c r="N127" s="80">
        <v>2004</v>
      </c>
      <c r="O127" s="22" t="s">
        <v>773</v>
      </c>
      <c r="P127" s="22" t="s">
        <v>608</v>
      </c>
      <c r="Q127" s="32" t="s">
        <v>817</v>
      </c>
      <c r="R127" s="32" t="s">
        <v>817</v>
      </c>
      <c r="S127" s="33"/>
    </row>
    <row r="128" spans="1:19" s="81" customFormat="1" ht="27" customHeight="1" x14ac:dyDescent="0.25">
      <c r="A128" s="22" t="s">
        <v>712</v>
      </c>
      <c r="B128" s="22" t="s">
        <v>944</v>
      </c>
      <c r="C128" s="72" t="s">
        <v>817</v>
      </c>
      <c r="D128" s="72" t="s">
        <v>817</v>
      </c>
      <c r="E128" s="72" t="s">
        <v>817</v>
      </c>
      <c r="F128" s="72" t="s">
        <v>817</v>
      </c>
      <c r="G128" s="22" t="s">
        <v>706</v>
      </c>
      <c r="H128" s="22">
        <v>7500</v>
      </c>
      <c r="I128" s="22">
        <v>2950</v>
      </c>
      <c r="J128" s="72">
        <v>0.60666666666666669</v>
      </c>
      <c r="K128" s="73">
        <v>7.2124216959081577</v>
      </c>
      <c r="L128" s="73">
        <v>0.71833180133494678</v>
      </c>
      <c r="M128" s="22" t="s">
        <v>808</v>
      </c>
      <c r="N128" s="80">
        <v>2004</v>
      </c>
      <c r="O128" s="22" t="s">
        <v>773</v>
      </c>
      <c r="P128" s="22" t="s">
        <v>608</v>
      </c>
      <c r="Q128" s="32" t="s">
        <v>817</v>
      </c>
      <c r="R128" s="32" t="s">
        <v>817</v>
      </c>
      <c r="S128" s="33"/>
    </row>
    <row r="129" spans="1:19" s="81" customFormat="1" ht="27" customHeight="1" x14ac:dyDescent="0.25">
      <c r="A129" s="22" t="s">
        <v>965</v>
      </c>
      <c r="B129" s="22" t="s">
        <v>944</v>
      </c>
      <c r="C129" s="72" t="s">
        <v>817</v>
      </c>
      <c r="D129" s="72" t="s">
        <v>817</v>
      </c>
      <c r="E129" s="72" t="s">
        <v>817</v>
      </c>
      <c r="F129" s="72" t="s">
        <v>817</v>
      </c>
      <c r="G129" s="22" t="s">
        <v>706</v>
      </c>
      <c r="H129" s="22">
        <v>7500</v>
      </c>
      <c r="I129" s="22">
        <v>1000</v>
      </c>
      <c r="J129" s="72">
        <v>0.8666666666666667</v>
      </c>
      <c r="K129" s="73">
        <v>7.2296193265110213</v>
      </c>
      <c r="L129" s="73">
        <v>0.93925520984864119</v>
      </c>
      <c r="M129" s="22" t="s">
        <v>808</v>
      </c>
      <c r="N129" s="80">
        <v>2004</v>
      </c>
      <c r="O129" s="22" t="s">
        <v>773</v>
      </c>
      <c r="P129" s="22" t="s">
        <v>608</v>
      </c>
      <c r="Q129" s="32" t="s">
        <v>817</v>
      </c>
      <c r="R129" s="32" t="s">
        <v>817</v>
      </c>
      <c r="S129" s="33"/>
    </row>
    <row r="130" spans="1:19" s="81" customFormat="1" ht="27" customHeight="1" x14ac:dyDescent="0.25">
      <c r="A130" s="22" t="s">
        <v>969</v>
      </c>
      <c r="B130" s="22" t="s">
        <v>944</v>
      </c>
      <c r="C130" s="72" t="s">
        <v>817</v>
      </c>
      <c r="D130" s="72" t="s">
        <v>817</v>
      </c>
      <c r="E130" s="72" t="s">
        <v>817</v>
      </c>
      <c r="F130" s="72" t="s">
        <v>817</v>
      </c>
      <c r="G130" s="22" t="s">
        <v>706</v>
      </c>
      <c r="H130" s="22">
        <v>7500</v>
      </c>
      <c r="I130" s="22">
        <v>50</v>
      </c>
      <c r="J130" s="72">
        <v>0.99333333333333329</v>
      </c>
      <c r="K130" s="73">
        <v>7.3370383730458224</v>
      </c>
      <c r="L130" s="73">
        <v>0.9736504710543662</v>
      </c>
      <c r="M130" s="22" t="s">
        <v>815</v>
      </c>
      <c r="N130" s="80">
        <v>2004</v>
      </c>
      <c r="O130" s="22" t="s">
        <v>773</v>
      </c>
      <c r="P130" s="22" t="s">
        <v>608</v>
      </c>
      <c r="Q130" s="32" t="s">
        <v>817</v>
      </c>
      <c r="R130" s="32" t="s">
        <v>817</v>
      </c>
      <c r="S130" s="33"/>
    </row>
    <row r="131" spans="1:19" s="81" customFormat="1" ht="27" customHeight="1" x14ac:dyDescent="0.25">
      <c r="A131" s="22" t="s">
        <v>966</v>
      </c>
      <c r="B131" s="22" t="s">
        <v>944</v>
      </c>
      <c r="C131" s="72" t="s">
        <v>817</v>
      </c>
      <c r="D131" s="72" t="s">
        <v>817</v>
      </c>
      <c r="E131" s="72" t="s">
        <v>817</v>
      </c>
      <c r="F131" s="72" t="s">
        <v>817</v>
      </c>
      <c r="G131" s="22" t="s">
        <v>706</v>
      </c>
      <c r="H131" s="22">
        <v>7500</v>
      </c>
      <c r="I131" s="22">
        <v>325</v>
      </c>
      <c r="J131" s="72">
        <v>0.95666666666666667</v>
      </c>
      <c r="K131" s="73">
        <v>7.4121787898337139</v>
      </c>
      <c r="L131" s="73">
        <v>0.9921709963189872</v>
      </c>
      <c r="M131" s="22" t="s">
        <v>808</v>
      </c>
      <c r="N131" s="80">
        <v>2004</v>
      </c>
      <c r="O131" s="22" t="s">
        <v>773</v>
      </c>
      <c r="P131" s="22" t="s">
        <v>608</v>
      </c>
      <c r="Q131" s="32" t="s">
        <v>817</v>
      </c>
      <c r="R131" s="32" t="s">
        <v>817</v>
      </c>
      <c r="S131" s="33"/>
    </row>
    <row r="132" spans="1:19" s="81" customFormat="1" ht="27" customHeight="1" x14ac:dyDescent="0.25">
      <c r="A132" s="22" t="s">
        <v>968</v>
      </c>
      <c r="B132" s="22" t="s">
        <v>944</v>
      </c>
      <c r="C132" s="72" t="s">
        <v>817</v>
      </c>
      <c r="D132" s="72" t="s">
        <v>817</v>
      </c>
      <c r="E132" s="72" t="s">
        <v>817</v>
      </c>
      <c r="F132" s="72" t="s">
        <v>817</v>
      </c>
      <c r="G132" s="22" t="s">
        <v>706</v>
      </c>
      <c r="H132" s="22">
        <v>7500</v>
      </c>
      <c r="I132" s="22">
        <v>100</v>
      </c>
      <c r="J132" s="72">
        <v>0.98666666666666669</v>
      </c>
      <c r="K132" s="73">
        <v>7.472370496943733</v>
      </c>
      <c r="L132" s="73">
        <v>0.98621797034107339</v>
      </c>
      <c r="M132" s="22" t="s">
        <v>811</v>
      </c>
      <c r="N132" s="80">
        <v>2004</v>
      </c>
      <c r="O132" s="22" t="s">
        <v>773</v>
      </c>
      <c r="P132" s="22" t="s">
        <v>608</v>
      </c>
      <c r="Q132" s="32" t="s">
        <v>817</v>
      </c>
      <c r="R132" s="32" t="s">
        <v>817</v>
      </c>
      <c r="S132" s="33"/>
    </row>
    <row r="133" spans="1:19" s="81" customFormat="1" ht="27" customHeight="1" x14ac:dyDescent="0.25">
      <c r="A133" s="22" t="s">
        <v>969</v>
      </c>
      <c r="B133" s="22" t="s">
        <v>944</v>
      </c>
      <c r="C133" s="72" t="s">
        <v>817</v>
      </c>
      <c r="D133" s="72" t="s">
        <v>817</v>
      </c>
      <c r="E133" s="72" t="s">
        <v>817</v>
      </c>
      <c r="F133" s="72" t="s">
        <v>817</v>
      </c>
      <c r="G133" s="22" t="s">
        <v>706</v>
      </c>
      <c r="H133" s="22">
        <v>7500</v>
      </c>
      <c r="I133" s="22">
        <v>50</v>
      </c>
      <c r="J133" s="72">
        <v>0.99333333333333329</v>
      </c>
      <c r="K133" s="73">
        <v>7.4862608908921988</v>
      </c>
      <c r="L133" s="73">
        <v>1.0331807308335055</v>
      </c>
      <c r="M133" s="22" t="s">
        <v>811</v>
      </c>
      <c r="N133" s="80">
        <v>2004</v>
      </c>
      <c r="O133" s="22" t="s">
        <v>773</v>
      </c>
      <c r="P133" s="22" t="s">
        <v>608</v>
      </c>
      <c r="Q133" s="32" t="s">
        <v>817</v>
      </c>
      <c r="R133" s="32" t="s">
        <v>817</v>
      </c>
      <c r="S133" s="33"/>
    </row>
    <row r="134" spans="1:19" s="81" customFormat="1" ht="27" customHeight="1" x14ac:dyDescent="0.25">
      <c r="A134" s="22" t="s">
        <v>967</v>
      </c>
      <c r="B134" s="22" t="s">
        <v>944</v>
      </c>
      <c r="C134" s="72" t="s">
        <v>817</v>
      </c>
      <c r="D134" s="72" t="s">
        <v>817</v>
      </c>
      <c r="E134" s="72" t="s">
        <v>817</v>
      </c>
      <c r="F134" s="72" t="s">
        <v>817</v>
      </c>
      <c r="G134" s="22" t="s">
        <v>706</v>
      </c>
      <c r="H134" s="22">
        <v>7500</v>
      </c>
      <c r="I134" s="22">
        <v>145</v>
      </c>
      <c r="J134" s="72">
        <v>0.98066666666666669</v>
      </c>
      <c r="K134" s="73">
        <v>7.7680374538467918</v>
      </c>
      <c r="L134" s="73">
        <v>1.0345036254952642</v>
      </c>
      <c r="M134" s="22" t="s">
        <v>808</v>
      </c>
      <c r="N134" s="80">
        <v>2004</v>
      </c>
      <c r="O134" s="22" t="s">
        <v>773</v>
      </c>
      <c r="P134" s="22" t="s">
        <v>608</v>
      </c>
      <c r="Q134" s="32" t="s">
        <v>817</v>
      </c>
      <c r="R134" s="32" t="s">
        <v>817</v>
      </c>
      <c r="S134" s="33"/>
    </row>
    <row r="135" spans="1:19" s="81" customFormat="1" ht="27" customHeight="1" x14ac:dyDescent="0.25">
      <c r="A135" s="22" t="s">
        <v>968</v>
      </c>
      <c r="B135" s="22" t="s">
        <v>944</v>
      </c>
      <c r="C135" s="72" t="s">
        <v>817</v>
      </c>
      <c r="D135" s="72" t="s">
        <v>817</v>
      </c>
      <c r="E135" s="72" t="s">
        <v>817</v>
      </c>
      <c r="F135" s="72" t="s">
        <v>817</v>
      </c>
      <c r="G135" s="22" t="s">
        <v>706</v>
      </c>
      <c r="H135" s="22">
        <v>7500</v>
      </c>
      <c r="I135" s="22">
        <v>100</v>
      </c>
      <c r="J135" s="72">
        <v>0.98666666666666669</v>
      </c>
      <c r="K135" s="73">
        <v>8.7152300316659836</v>
      </c>
      <c r="L135" s="73">
        <v>1.1165230945243003</v>
      </c>
      <c r="M135" s="22" t="s">
        <v>808</v>
      </c>
      <c r="N135" s="80">
        <v>2004</v>
      </c>
      <c r="O135" s="22" t="s">
        <v>773</v>
      </c>
      <c r="P135" s="22" t="s">
        <v>608</v>
      </c>
      <c r="Q135" s="32" t="s">
        <v>817</v>
      </c>
      <c r="R135" s="32" t="s">
        <v>817</v>
      </c>
      <c r="S135" s="33"/>
    </row>
    <row r="136" spans="1:19" s="81" customFormat="1" ht="27" customHeight="1" x14ac:dyDescent="0.25">
      <c r="A136" s="22" t="s">
        <v>969</v>
      </c>
      <c r="B136" s="22" t="s">
        <v>944</v>
      </c>
      <c r="C136" s="72" t="s">
        <v>817</v>
      </c>
      <c r="D136" s="72" t="s">
        <v>817</v>
      </c>
      <c r="E136" s="72" t="s">
        <v>817</v>
      </c>
      <c r="F136" s="72" t="s">
        <v>817</v>
      </c>
      <c r="G136" s="22" t="s">
        <v>706</v>
      </c>
      <c r="H136" s="22">
        <v>7500</v>
      </c>
      <c r="I136" s="22">
        <v>50</v>
      </c>
      <c r="J136" s="72">
        <v>0.99333333333333329</v>
      </c>
      <c r="K136" s="73">
        <v>9.6293502429412108</v>
      </c>
      <c r="L136" s="73">
        <v>1.2144172994944404</v>
      </c>
      <c r="M136" s="22" t="s">
        <v>808</v>
      </c>
      <c r="N136" s="80">
        <v>2004</v>
      </c>
      <c r="O136" s="22" t="s">
        <v>773</v>
      </c>
      <c r="P136" s="22" t="s">
        <v>608</v>
      </c>
      <c r="Q136" s="32" t="s">
        <v>817</v>
      </c>
      <c r="R136" s="32" t="s">
        <v>817</v>
      </c>
      <c r="S136" s="33"/>
    </row>
    <row r="137" spans="1:19" s="81" customFormat="1" ht="27" customHeight="1" x14ac:dyDescent="0.25">
      <c r="A137" s="22" t="s">
        <v>719</v>
      </c>
      <c r="B137" s="22" t="s">
        <v>944</v>
      </c>
      <c r="C137" s="72" t="s">
        <v>817</v>
      </c>
      <c r="D137" s="72" t="s">
        <v>817</v>
      </c>
      <c r="E137" s="72" t="s">
        <v>817</v>
      </c>
      <c r="F137" s="72" t="s">
        <v>817</v>
      </c>
      <c r="G137" s="22" t="s">
        <v>706</v>
      </c>
      <c r="H137" s="22">
        <v>7500</v>
      </c>
      <c r="I137" s="22">
        <v>5860</v>
      </c>
      <c r="J137" s="72">
        <v>0.21866666666666668</v>
      </c>
      <c r="K137" s="73">
        <v>9.7365047105436631</v>
      </c>
      <c r="L137" s="73">
        <v>1.230292035435544</v>
      </c>
      <c r="M137" s="22" t="s">
        <v>804</v>
      </c>
      <c r="N137" s="80">
        <v>2004</v>
      </c>
      <c r="O137" s="22" t="s">
        <v>773</v>
      </c>
      <c r="P137" s="22" t="s">
        <v>608</v>
      </c>
      <c r="Q137" s="32" t="s">
        <v>817</v>
      </c>
      <c r="R137" s="32" t="s">
        <v>817</v>
      </c>
      <c r="S137" s="33"/>
    </row>
    <row r="138" spans="1:19" s="81" customFormat="1" ht="27" customHeight="1" x14ac:dyDescent="0.25">
      <c r="A138" s="22" t="s">
        <v>717</v>
      </c>
      <c r="B138" s="22" t="s">
        <v>944</v>
      </c>
      <c r="C138" s="72" t="s">
        <v>817</v>
      </c>
      <c r="D138" s="72" t="s">
        <v>817</v>
      </c>
      <c r="E138" s="72" t="s">
        <v>817</v>
      </c>
      <c r="F138" s="72" t="s">
        <v>817</v>
      </c>
      <c r="G138" s="22" t="s">
        <v>706</v>
      </c>
      <c r="H138" s="22">
        <v>7500</v>
      </c>
      <c r="I138" s="22">
        <v>4120</v>
      </c>
      <c r="J138" s="72">
        <v>0.45066666666666666</v>
      </c>
      <c r="K138" s="73">
        <v>11.826678276122328</v>
      </c>
      <c r="L138" s="73">
        <v>1.4419551813169282</v>
      </c>
      <c r="M138" s="22" t="s">
        <v>804</v>
      </c>
      <c r="N138" s="80">
        <v>2004</v>
      </c>
      <c r="O138" s="22" t="s">
        <v>773</v>
      </c>
      <c r="P138" s="22" t="s">
        <v>608</v>
      </c>
      <c r="Q138" s="32" t="s">
        <v>817</v>
      </c>
      <c r="R138" s="32" t="s">
        <v>817</v>
      </c>
      <c r="S138" s="33"/>
    </row>
    <row r="139" spans="1:19" s="81" customFormat="1" ht="27" customHeight="1" x14ac:dyDescent="0.25">
      <c r="A139" s="22" t="s">
        <v>712</v>
      </c>
      <c r="B139" s="22" t="s">
        <v>944</v>
      </c>
      <c r="C139" s="72" t="s">
        <v>817</v>
      </c>
      <c r="D139" s="72" t="s">
        <v>817</v>
      </c>
      <c r="E139" s="72" t="s">
        <v>817</v>
      </c>
      <c r="F139" s="72" t="s">
        <v>817</v>
      </c>
      <c r="G139" s="22" t="s">
        <v>706</v>
      </c>
      <c r="H139" s="22">
        <v>7500</v>
      </c>
      <c r="I139" s="22">
        <v>2950</v>
      </c>
      <c r="J139" s="72">
        <v>0.60666666666666669</v>
      </c>
      <c r="K139" s="73">
        <v>12.818849272441314</v>
      </c>
      <c r="L139" s="73">
        <v>1.54778675425762</v>
      </c>
      <c r="M139" s="22" t="s">
        <v>804</v>
      </c>
      <c r="N139" s="80">
        <v>2004</v>
      </c>
      <c r="O139" s="22" t="s">
        <v>773</v>
      </c>
      <c r="P139" s="22" t="s">
        <v>608</v>
      </c>
      <c r="Q139" s="32" t="s">
        <v>817</v>
      </c>
      <c r="R139" s="32" t="s">
        <v>817</v>
      </c>
      <c r="S139" s="33"/>
    </row>
    <row r="140" spans="1:19" s="81" customFormat="1" ht="27" customHeight="1" x14ac:dyDescent="0.25">
      <c r="A140" s="22" t="s">
        <v>965</v>
      </c>
      <c r="B140" s="22" t="s">
        <v>944</v>
      </c>
      <c r="C140" s="72" t="s">
        <v>817</v>
      </c>
      <c r="D140" s="72" t="s">
        <v>817</v>
      </c>
      <c r="E140" s="72" t="s">
        <v>817</v>
      </c>
      <c r="F140" s="72" t="s">
        <v>817</v>
      </c>
      <c r="G140" s="22" t="s">
        <v>706</v>
      </c>
      <c r="H140" s="22">
        <v>7500</v>
      </c>
      <c r="I140" s="22">
        <v>1000</v>
      </c>
      <c r="J140" s="72">
        <v>0.8666666666666667</v>
      </c>
      <c r="K140" s="73">
        <v>12.911451898764421</v>
      </c>
      <c r="L140" s="73">
        <v>1.7859077933741772</v>
      </c>
      <c r="M140" s="22" t="s">
        <v>804</v>
      </c>
      <c r="N140" s="80">
        <v>2004</v>
      </c>
      <c r="O140" s="22" t="s">
        <v>773</v>
      </c>
      <c r="P140" s="22" t="s">
        <v>608</v>
      </c>
      <c r="Q140" s="32" t="s">
        <v>817</v>
      </c>
      <c r="R140" s="32" t="s">
        <v>817</v>
      </c>
      <c r="S140" s="33"/>
    </row>
    <row r="141" spans="1:19" s="81" customFormat="1" ht="27" customHeight="1" x14ac:dyDescent="0.25">
      <c r="A141" s="22" t="s">
        <v>966</v>
      </c>
      <c r="B141" s="22" t="s">
        <v>944</v>
      </c>
      <c r="C141" s="72" t="s">
        <v>817</v>
      </c>
      <c r="D141" s="72" t="s">
        <v>817</v>
      </c>
      <c r="E141" s="72" t="s">
        <v>817</v>
      </c>
      <c r="F141" s="72" t="s">
        <v>817</v>
      </c>
      <c r="G141" s="22" t="s">
        <v>706</v>
      </c>
      <c r="H141" s="22">
        <v>7500</v>
      </c>
      <c r="I141" s="22">
        <v>325</v>
      </c>
      <c r="J141" s="72">
        <v>0.95666666666666667</v>
      </c>
      <c r="K141" s="73">
        <v>13.387693976997534</v>
      </c>
      <c r="L141" s="73">
        <v>1.8652814730796961</v>
      </c>
      <c r="M141" s="22" t="s">
        <v>804</v>
      </c>
      <c r="N141" s="80">
        <v>2004</v>
      </c>
      <c r="O141" s="22" t="s">
        <v>773</v>
      </c>
      <c r="P141" s="22" t="s">
        <v>608</v>
      </c>
      <c r="Q141" s="32" t="s">
        <v>817</v>
      </c>
      <c r="R141" s="32" t="s">
        <v>817</v>
      </c>
      <c r="S141" s="33"/>
    </row>
    <row r="142" spans="1:19" s="81" customFormat="1" ht="51" customHeight="1" x14ac:dyDescent="0.25">
      <c r="A142" s="22" t="s">
        <v>967</v>
      </c>
      <c r="B142" s="22" t="s">
        <v>944</v>
      </c>
      <c r="C142" s="72" t="s">
        <v>817</v>
      </c>
      <c r="D142" s="72" t="s">
        <v>817</v>
      </c>
      <c r="E142" s="72" t="s">
        <v>817</v>
      </c>
      <c r="F142" s="72" t="s">
        <v>817</v>
      </c>
      <c r="G142" s="22" t="s">
        <v>706</v>
      </c>
      <c r="H142" s="22">
        <v>7500</v>
      </c>
      <c r="I142" s="22">
        <v>145</v>
      </c>
      <c r="J142" s="72">
        <v>0.98066666666666669</v>
      </c>
      <c r="K142" s="73">
        <v>14.340178133463763</v>
      </c>
      <c r="L142" s="73">
        <v>1.9711130460203878</v>
      </c>
      <c r="M142" s="22" t="s">
        <v>804</v>
      </c>
      <c r="N142" s="80">
        <v>2004</v>
      </c>
      <c r="O142" s="22" t="s">
        <v>773</v>
      </c>
      <c r="P142" s="22" t="s">
        <v>608</v>
      </c>
      <c r="Q142" s="32" t="s">
        <v>817</v>
      </c>
      <c r="R142" s="32" t="s">
        <v>817</v>
      </c>
      <c r="S142" s="33"/>
    </row>
    <row r="143" spans="1:19" s="37" customFormat="1" ht="27" customHeight="1" x14ac:dyDescent="0.25">
      <c r="A143" s="22" t="s">
        <v>968</v>
      </c>
      <c r="B143" s="22" t="s">
        <v>944</v>
      </c>
      <c r="C143" s="72" t="s">
        <v>817</v>
      </c>
      <c r="D143" s="72" t="s">
        <v>817</v>
      </c>
      <c r="E143" s="72" t="s">
        <v>817</v>
      </c>
      <c r="F143" s="72" t="s">
        <v>817</v>
      </c>
      <c r="G143" s="22" t="s">
        <v>706</v>
      </c>
      <c r="H143" s="22">
        <v>7500</v>
      </c>
      <c r="I143" s="22">
        <v>100</v>
      </c>
      <c r="J143" s="72">
        <v>0.98666666666666669</v>
      </c>
      <c r="K143" s="73">
        <v>14.697359692138598</v>
      </c>
      <c r="L143" s="73">
        <v>2.1166314588138397</v>
      </c>
      <c r="M143" s="22" t="s">
        <v>804</v>
      </c>
      <c r="N143" s="80">
        <v>2004</v>
      </c>
      <c r="O143" s="22" t="s">
        <v>773</v>
      </c>
      <c r="P143" s="22" t="s">
        <v>608</v>
      </c>
      <c r="Q143" s="32" t="s">
        <v>817</v>
      </c>
      <c r="R143" s="32" t="s">
        <v>817</v>
      </c>
      <c r="S143" s="33"/>
    </row>
    <row r="144" spans="1:19" s="37" customFormat="1" ht="27" customHeight="1" x14ac:dyDescent="0.25">
      <c r="A144" s="22" t="s">
        <v>969</v>
      </c>
      <c r="B144" s="22" t="s">
        <v>944</v>
      </c>
      <c r="C144" s="72" t="s">
        <v>817</v>
      </c>
      <c r="D144" s="72" t="s">
        <v>817</v>
      </c>
      <c r="E144" s="72" t="s">
        <v>817</v>
      </c>
      <c r="F144" s="72" t="s">
        <v>817</v>
      </c>
      <c r="G144" s="22" t="s">
        <v>706</v>
      </c>
      <c r="H144" s="22">
        <v>7500</v>
      </c>
      <c r="I144" s="22">
        <v>50</v>
      </c>
      <c r="J144" s="72">
        <v>0.99333333333333329</v>
      </c>
      <c r="K144" s="73">
        <v>16.231917499778632</v>
      </c>
      <c r="L144" s="73">
        <v>2.3282946046952233</v>
      </c>
      <c r="M144" s="22" t="s">
        <v>804</v>
      </c>
      <c r="N144" s="80">
        <v>2004</v>
      </c>
      <c r="O144" s="22" t="s">
        <v>773</v>
      </c>
      <c r="P144" s="22" t="s">
        <v>608</v>
      </c>
      <c r="Q144" s="32" t="s">
        <v>817</v>
      </c>
      <c r="R144" s="32" t="s">
        <v>817</v>
      </c>
      <c r="S144" s="33"/>
    </row>
    <row r="145" spans="1:19" s="37" customFormat="1" ht="27" customHeight="1" x14ac:dyDescent="0.25">
      <c r="A145" s="22" t="s">
        <v>873</v>
      </c>
      <c r="B145" s="22" t="s">
        <v>793</v>
      </c>
      <c r="C145" s="22" t="s">
        <v>72</v>
      </c>
      <c r="D145" s="22">
        <v>26600</v>
      </c>
      <c r="E145" s="22">
        <v>7000</v>
      </c>
      <c r="F145" s="77">
        <v>0.73684210526315785</v>
      </c>
      <c r="G145" s="72" t="s">
        <v>817</v>
      </c>
      <c r="H145" s="72" t="s">
        <v>817</v>
      </c>
      <c r="I145" s="72" t="s">
        <v>817</v>
      </c>
      <c r="J145" s="72" t="s">
        <v>817</v>
      </c>
      <c r="K145" s="73">
        <v>6.0117156999519673E-2</v>
      </c>
      <c r="L145" s="73" t="s">
        <v>817</v>
      </c>
      <c r="M145" s="22" t="s">
        <v>874</v>
      </c>
      <c r="N145" s="80">
        <v>1999</v>
      </c>
      <c r="O145" s="22" t="s">
        <v>773</v>
      </c>
      <c r="P145" s="22" t="s">
        <v>819</v>
      </c>
      <c r="Q145" s="22" t="s">
        <v>869</v>
      </c>
      <c r="R145" s="22">
        <v>3</v>
      </c>
      <c r="S145" s="33" t="s">
        <v>875</v>
      </c>
    </row>
    <row r="146" spans="1:19" s="37" customFormat="1" ht="27" customHeight="1" x14ac:dyDescent="0.25">
      <c r="A146" s="22" t="s">
        <v>719</v>
      </c>
      <c r="B146" s="22" t="s">
        <v>793</v>
      </c>
      <c r="C146" s="22" t="s">
        <v>72</v>
      </c>
      <c r="D146" s="22">
        <v>18300</v>
      </c>
      <c r="E146" s="22">
        <v>6800</v>
      </c>
      <c r="F146" s="77">
        <v>0.62841530054644812</v>
      </c>
      <c r="G146" s="72" t="s">
        <v>817</v>
      </c>
      <c r="H146" s="72" t="s">
        <v>817</v>
      </c>
      <c r="I146" s="72" t="s">
        <v>817</v>
      </c>
      <c r="J146" s="72" t="s">
        <v>817</v>
      </c>
      <c r="K146" s="73">
        <v>0.20956047895909047</v>
      </c>
      <c r="L146" s="73" t="s">
        <v>817</v>
      </c>
      <c r="M146" s="22" t="s">
        <v>900</v>
      </c>
      <c r="N146" s="80">
        <v>1999</v>
      </c>
      <c r="O146" s="22" t="s">
        <v>773</v>
      </c>
      <c r="P146" s="22" t="s">
        <v>819</v>
      </c>
      <c r="Q146" s="22" t="s">
        <v>869</v>
      </c>
      <c r="R146" s="22">
        <v>3</v>
      </c>
      <c r="S146" s="33" t="s">
        <v>1282</v>
      </c>
    </row>
    <row r="147" spans="1:19" s="37" customFormat="1" ht="27" customHeight="1" x14ac:dyDescent="0.25">
      <c r="A147" s="22" t="s">
        <v>876</v>
      </c>
      <c r="B147" s="22" t="s">
        <v>793</v>
      </c>
      <c r="C147" s="22" t="s">
        <v>72</v>
      </c>
      <c r="D147" s="22">
        <v>19500</v>
      </c>
      <c r="E147" s="22">
        <v>4100</v>
      </c>
      <c r="F147" s="77">
        <v>0.78974358974358971</v>
      </c>
      <c r="G147" s="72" t="s">
        <v>817</v>
      </c>
      <c r="H147" s="72" t="s">
        <v>817</v>
      </c>
      <c r="I147" s="72" t="s">
        <v>817</v>
      </c>
      <c r="J147" s="72" t="s">
        <v>817</v>
      </c>
      <c r="K147" s="73">
        <v>0.26302141830405573</v>
      </c>
      <c r="L147" s="73" t="s">
        <v>817</v>
      </c>
      <c r="M147" s="22" t="s">
        <v>877</v>
      </c>
      <c r="N147" s="80">
        <v>1999</v>
      </c>
      <c r="O147" s="22" t="s">
        <v>773</v>
      </c>
      <c r="P147" s="22" t="s">
        <v>819</v>
      </c>
      <c r="Q147" s="22" t="s">
        <v>869</v>
      </c>
      <c r="R147" s="22">
        <v>3</v>
      </c>
      <c r="S147" s="33" t="s">
        <v>878</v>
      </c>
    </row>
    <row r="148" spans="1:19" s="37" customFormat="1" ht="27" customHeight="1" x14ac:dyDescent="0.25">
      <c r="A148" s="22" t="s">
        <v>759</v>
      </c>
      <c r="B148" s="22" t="s">
        <v>793</v>
      </c>
      <c r="C148" s="22" t="s">
        <v>72</v>
      </c>
      <c r="D148" s="22">
        <v>29000</v>
      </c>
      <c r="E148" s="22">
        <v>6900</v>
      </c>
      <c r="F148" s="77">
        <v>0.76206896551724135</v>
      </c>
      <c r="G148" s="72" t="s">
        <v>817</v>
      </c>
      <c r="H148" s="72" t="s">
        <v>817</v>
      </c>
      <c r="I148" s="72" t="s">
        <v>817</v>
      </c>
      <c r="J148" s="72" t="s">
        <v>817</v>
      </c>
      <c r="K148" s="73">
        <v>0.26613840008872192</v>
      </c>
      <c r="L148" s="73" t="s">
        <v>817</v>
      </c>
      <c r="M148" s="22" t="s">
        <v>901</v>
      </c>
      <c r="N148" s="80">
        <v>1999</v>
      </c>
      <c r="O148" s="22" t="s">
        <v>773</v>
      </c>
      <c r="P148" s="22" t="s">
        <v>819</v>
      </c>
      <c r="Q148" s="22" t="s">
        <v>869</v>
      </c>
      <c r="R148" s="22">
        <v>3</v>
      </c>
      <c r="S148" s="33" t="s">
        <v>902</v>
      </c>
    </row>
    <row r="149" spans="1:19" s="37" customFormat="1" ht="27" customHeight="1" x14ac:dyDescent="0.25">
      <c r="A149" s="22" t="s">
        <v>882</v>
      </c>
      <c r="B149" s="22" t="s">
        <v>793</v>
      </c>
      <c r="C149" s="22" t="s">
        <v>72</v>
      </c>
      <c r="D149" s="22">
        <v>32100</v>
      </c>
      <c r="E149" s="22">
        <v>6000</v>
      </c>
      <c r="F149" s="77">
        <v>0.81308411214953269</v>
      </c>
      <c r="G149" s="72" t="s">
        <v>817</v>
      </c>
      <c r="H149" s="72" t="s">
        <v>817</v>
      </c>
      <c r="I149" s="72" t="s">
        <v>817</v>
      </c>
      <c r="J149" s="72" t="s">
        <v>817</v>
      </c>
      <c r="K149" s="73">
        <v>0.26848349133329585</v>
      </c>
      <c r="L149" s="73" t="s">
        <v>817</v>
      </c>
      <c r="M149" s="22" t="s">
        <v>883</v>
      </c>
      <c r="N149" s="80">
        <v>1999</v>
      </c>
      <c r="O149" s="22" t="s">
        <v>773</v>
      </c>
      <c r="P149" s="22" t="s">
        <v>819</v>
      </c>
      <c r="Q149" s="22" t="s">
        <v>869</v>
      </c>
      <c r="R149" s="22">
        <v>3</v>
      </c>
      <c r="S149" s="33" t="s">
        <v>884</v>
      </c>
    </row>
    <row r="150" spans="1:19" s="37" customFormat="1" ht="27" customHeight="1" x14ac:dyDescent="0.25">
      <c r="A150" s="22" t="s">
        <v>888</v>
      </c>
      <c r="B150" s="22" t="s">
        <v>793</v>
      </c>
      <c r="C150" s="22" t="s">
        <v>72</v>
      </c>
      <c r="D150" s="22">
        <v>41100</v>
      </c>
      <c r="E150" s="22">
        <v>5500</v>
      </c>
      <c r="F150" s="77">
        <v>0.86618004866180054</v>
      </c>
      <c r="G150" s="72" t="s">
        <v>817</v>
      </c>
      <c r="H150" s="72" t="s">
        <v>817</v>
      </c>
      <c r="I150" s="72" t="s">
        <v>817</v>
      </c>
      <c r="J150" s="72" t="s">
        <v>817</v>
      </c>
      <c r="K150" s="73">
        <v>0.2692617043516532</v>
      </c>
      <c r="L150" s="73" t="s">
        <v>817</v>
      </c>
      <c r="M150" s="22" t="s">
        <v>886</v>
      </c>
      <c r="N150" s="80">
        <v>1999</v>
      </c>
      <c r="O150" s="22" t="s">
        <v>773</v>
      </c>
      <c r="P150" s="22" t="s">
        <v>819</v>
      </c>
      <c r="Q150" s="22" t="s">
        <v>869</v>
      </c>
      <c r="R150" s="22">
        <v>3</v>
      </c>
      <c r="S150" s="33" t="s">
        <v>889</v>
      </c>
    </row>
    <row r="151" spans="1:19" s="37" customFormat="1" ht="27" customHeight="1" x14ac:dyDescent="0.25">
      <c r="A151" s="22" t="s">
        <v>719</v>
      </c>
      <c r="B151" s="22" t="s">
        <v>793</v>
      </c>
      <c r="C151" s="22" t="s">
        <v>72</v>
      </c>
      <c r="D151" s="22">
        <v>15400</v>
      </c>
      <c r="E151" s="22">
        <v>5100</v>
      </c>
      <c r="F151" s="77">
        <v>0.66883116883116878</v>
      </c>
      <c r="G151" s="72" t="s">
        <v>817</v>
      </c>
      <c r="H151" s="72" t="s">
        <v>817</v>
      </c>
      <c r="I151" s="72" t="s">
        <v>817</v>
      </c>
      <c r="J151" s="72" t="s">
        <v>817</v>
      </c>
      <c r="K151" s="73">
        <v>0.2864651392739016</v>
      </c>
      <c r="L151" s="73" t="s">
        <v>817</v>
      </c>
      <c r="M151" s="22" t="s">
        <v>896</v>
      </c>
      <c r="N151" s="80">
        <v>1999</v>
      </c>
      <c r="O151" s="22" t="s">
        <v>773</v>
      </c>
      <c r="P151" s="22" t="s">
        <v>819</v>
      </c>
      <c r="Q151" s="22" t="s">
        <v>869</v>
      </c>
      <c r="R151" s="22">
        <v>3</v>
      </c>
      <c r="S151" s="33" t="s">
        <v>897</v>
      </c>
    </row>
    <row r="152" spans="1:19" s="37" customFormat="1" ht="27" customHeight="1" x14ac:dyDescent="0.25">
      <c r="A152" s="22" t="s">
        <v>857</v>
      </c>
      <c r="B152" s="22" t="s">
        <v>793</v>
      </c>
      <c r="C152" s="22" t="s">
        <v>72</v>
      </c>
      <c r="D152" s="22">
        <v>20000</v>
      </c>
      <c r="E152" s="22">
        <v>6000</v>
      </c>
      <c r="F152" s="77">
        <v>0.7</v>
      </c>
      <c r="G152" s="72" t="s">
        <v>817</v>
      </c>
      <c r="H152" s="72" t="s">
        <v>817</v>
      </c>
      <c r="I152" s="72" t="s">
        <v>817</v>
      </c>
      <c r="J152" s="72" t="s">
        <v>817</v>
      </c>
      <c r="K152" s="73">
        <v>0.3168778000626688</v>
      </c>
      <c r="L152" s="73" t="s">
        <v>817</v>
      </c>
      <c r="M152" s="22" t="s">
        <v>871</v>
      </c>
      <c r="N152" s="80">
        <v>1999</v>
      </c>
      <c r="O152" s="22" t="s">
        <v>773</v>
      </c>
      <c r="P152" s="22" t="s">
        <v>819</v>
      </c>
      <c r="Q152" s="22" t="s">
        <v>869</v>
      </c>
      <c r="R152" s="22">
        <v>3</v>
      </c>
      <c r="S152" s="33" t="s">
        <v>872</v>
      </c>
    </row>
    <row r="153" spans="1:19" s="37" customFormat="1" ht="27" customHeight="1" x14ac:dyDescent="0.25">
      <c r="A153" s="22" t="s">
        <v>867</v>
      </c>
      <c r="B153" s="22" t="s">
        <v>793</v>
      </c>
      <c r="C153" s="22" t="s">
        <v>72</v>
      </c>
      <c r="D153" s="22">
        <v>11600</v>
      </c>
      <c r="E153" s="22">
        <v>6300</v>
      </c>
      <c r="F153" s="77">
        <v>0.45689655172413796</v>
      </c>
      <c r="G153" s="72" t="s">
        <v>817</v>
      </c>
      <c r="H153" s="72" t="s">
        <v>817</v>
      </c>
      <c r="I153" s="72" t="s">
        <v>817</v>
      </c>
      <c r="J153" s="72" t="s">
        <v>817</v>
      </c>
      <c r="K153" s="73">
        <v>0.4257117668624934</v>
      </c>
      <c r="L153" s="73" t="s">
        <v>817</v>
      </c>
      <c r="M153" s="22" t="s">
        <v>868</v>
      </c>
      <c r="N153" s="80">
        <v>1999</v>
      </c>
      <c r="O153" s="22" t="s">
        <v>773</v>
      </c>
      <c r="P153" s="22" t="s">
        <v>819</v>
      </c>
      <c r="Q153" s="22" t="s">
        <v>869</v>
      </c>
      <c r="R153" s="22">
        <v>3</v>
      </c>
      <c r="S153" s="33" t="s">
        <v>870</v>
      </c>
    </row>
    <row r="154" spans="1:19" s="38" customFormat="1" ht="27" customHeight="1" x14ac:dyDescent="0.25">
      <c r="A154" s="22" t="s">
        <v>719</v>
      </c>
      <c r="B154" s="22" t="s">
        <v>793</v>
      </c>
      <c r="C154" s="22" t="s">
        <v>72</v>
      </c>
      <c r="D154" s="22">
        <v>29000</v>
      </c>
      <c r="E154" s="22">
        <v>5300</v>
      </c>
      <c r="F154" s="77">
        <v>0.8172413793103448</v>
      </c>
      <c r="G154" s="72" t="s">
        <v>817</v>
      </c>
      <c r="H154" s="72" t="s">
        <v>817</v>
      </c>
      <c r="I154" s="72" t="s">
        <v>817</v>
      </c>
      <c r="J154" s="72" t="s">
        <v>817</v>
      </c>
      <c r="K154" s="73">
        <v>1.09657140475745</v>
      </c>
      <c r="L154" s="73" t="s">
        <v>817</v>
      </c>
      <c r="M154" s="22" t="s">
        <v>898</v>
      </c>
      <c r="N154" s="80">
        <v>1999</v>
      </c>
      <c r="O154" s="22" t="s">
        <v>773</v>
      </c>
      <c r="P154" s="22" t="s">
        <v>819</v>
      </c>
      <c r="Q154" s="22" t="s">
        <v>869</v>
      </c>
      <c r="R154" s="22">
        <v>3</v>
      </c>
      <c r="S154" s="33" t="s">
        <v>899</v>
      </c>
    </row>
    <row r="155" spans="1:19" s="38" customFormat="1" ht="27" customHeight="1" x14ac:dyDescent="0.25">
      <c r="A155" s="22" t="s">
        <v>857</v>
      </c>
      <c r="B155" s="22" t="s">
        <v>793</v>
      </c>
      <c r="C155" s="22" t="s">
        <v>72</v>
      </c>
      <c r="D155" s="22">
        <v>28800</v>
      </c>
      <c r="E155" s="22">
        <v>6800</v>
      </c>
      <c r="F155" s="77">
        <v>0.76388888888888884</v>
      </c>
      <c r="G155" s="72" t="s">
        <v>817</v>
      </c>
      <c r="H155" s="72" t="s">
        <v>817</v>
      </c>
      <c r="I155" s="72" t="s">
        <v>817</v>
      </c>
      <c r="J155" s="72" t="s">
        <v>817</v>
      </c>
      <c r="K155" s="73">
        <v>1.5258163246593683</v>
      </c>
      <c r="L155" s="73" t="s">
        <v>817</v>
      </c>
      <c r="M155" s="22" t="s">
        <v>886</v>
      </c>
      <c r="N155" s="80">
        <v>1999</v>
      </c>
      <c r="O155" s="22" t="s">
        <v>773</v>
      </c>
      <c r="P155" s="22" t="s">
        <v>819</v>
      </c>
      <c r="Q155" s="22" t="s">
        <v>869</v>
      </c>
      <c r="R155" s="22">
        <v>3</v>
      </c>
      <c r="S155" s="33" t="s">
        <v>890</v>
      </c>
    </row>
    <row r="156" spans="1:19" s="38" customFormat="1" ht="27" customHeight="1" x14ac:dyDescent="0.25">
      <c r="A156" s="22" t="s">
        <v>963</v>
      </c>
      <c r="B156" s="22" t="s">
        <v>793</v>
      </c>
      <c r="C156" s="22" t="s">
        <v>72</v>
      </c>
      <c r="D156" s="22">
        <v>37000</v>
      </c>
      <c r="E156" s="22">
        <v>8500</v>
      </c>
      <c r="F156" s="77">
        <v>0.77027027027027029</v>
      </c>
      <c r="G156" s="72" t="s">
        <v>817</v>
      </c>
      <c r="H156" s="72" t="s">
        <v>817</v>
      </c>
      <c r="I156" s="72" t="s">
        <v>817</v>
      </c>
      <c r="J156" s="72" t="s">
        <v>817</v>
      </c>
      <c r="K156" s="73">
        <v>2.3283740126847903</v>
      </c>
      <c r="L156" s="73" t="s">
        <v>817</v>
      </c>
      <c r="M156" s="22" t="s">
        <v>838</v>
      </c>
      <c r="N156" s="80">
        <v>1999</v>
      </c>
      <c r="O156" s="22" t="s">
        <v>773</v>
      </c>
      <c r="P156" s="22" t="s">
        <v>819</v>
      </c>
      <c r="Q156" s="22" t="s">
        <v>869</v>
      </c>
      <c r="R156" s="22">
        <v>3</v>
      </c>
      <c r="S156" s="33" t="s">
        <v>964</v>
      </c>
    </row>
    <row r="157" spans="1:19" s="38" customFormat="1" ht="27" customHeight="1" x14ac:dyDescent="0.25">
      <c r="A157" s="22" t="s">
        <v>891</v>
      </c>
      <c r="B157" s="22" t="s">
        <v>793</v>
      </c>
      <c r="C157" s="22" t="s">
        <v>72</v>
      </c>
      <c r="D157" s="22">
        <v>27000</v>
      </c>
      <c r="E157" s="22">
        <v>3500</v>
      </c>
      <c r="F157" s="77">
        <v>0.87037037037037035</v>
      </c>
      <c r="G157" s="72" t="s">
        <v>817</v>
      </c>
      <c r="H157" s="72" t="s">
        <v>817</v>
      </c>
      <c r="I157" s="72" t="s">
        <v>817</v>
      </c>
      <c r="J157" s="72" t="s">
        <v>817</v>
      </c>
      <c r="K157" s="73">
        <v>3.2341383052035106</v>
      </c>
      <c r="L157" s="73" t="s">
        <v>817</v>
      </c>
      <c r="M157" s="22" t="s">
        <v>892</v>
      </c>
      <c r="N157" s="80">
        <v>1999</v>
      </c>
      <c r="O157" s="22" t="s">
        <v>773</v>
      </c>
      <c r="P157" s="22" t="s">
        <v>819</v>
      </c>
      <c r="Q157" s="22" t="s">
        <v>869</v>
      </c>
      <c r="R157" s="22">
        <v>3</v>
      </c>
      <c r="S157" s="33" t="s">
        <v>893</v>
      </c>
    </row>
    <row r="158" spans="1:19" s="38" customFormat="1" ht="27" customHeight="1" x14ac:dyDescent="0.25">
      <c r="A158" s="22" t="s">
        <v>879</v>
      </c>
      <c r="B158" s="22" t="s">
        <v>793</v>
      </c>
      <c r="C158" s="22" t="s">
        <v>72</v>
      </c>
      <c r="D158" s="22">
        <v>19500</v>
      </c>
      <c r="E158" s="22">
        <v>4000</v>
      </c>
      <c r="F158" s="77">
        <v>0.79487179487179482</v>
      </c>
      <c r="G158" s="72" t="s">
        <v>817</v>
      </c>
      <c r="H158" s="72" t="s">
        <v>817</v>
      </c>
      <c r="I158" s="72" t="s">
        <v>817</v>
      </c>
      <c r="J158" s="72" t="s">
        <v>817</v>
      </c>
      <c r="K158" s="73">
        <v>3.4360641435605435</v>
      </c>
      <c r="L158" s="73" t="s">
        <v>817</v>
      </c>
      <c r="M158" s="22" t="s">
        <v>880</v>
      </c>
      <c r="N158" s="80">
        <v>1999</v>
      </c>
      <c r="O158" s="22" t="s">
        <v>773</v>
      </c>
      <c r="P158" s="22" t="s">
        <v>819</v>
      </c>
      <c r="Q158" s="22" t="s">
        <v>869</v>
      </c>
      <c r="R158" s="22">
        <v>3</v>
      </c>
      <c r="S158" s="33" t="s">
        <v>881</v>
      </c>
    </row>
    <row r="159" spans="1:19" s="38" customFormat="1" ht="27" customHeight="1" x14ac:dyDescent="0.25">
      <c r="A159" s="22" t="s">
        <v>864</v>
      </c>
      <c r="B159" s="22" t="s">
        <v>793</v>
      </c>
      <c r="C159" s="22" t="s">
        <v>72</v>
      </c>
      <c r="D159" s="22">
        <v>25000</v>
      </c>
      <c r="E159" s="22">
        <v>6800</v>
      </c>
      <c r="F159" s="77">
        <v>0.72799999999999998</v>
      </c>
      <c r="G159" s="72" t="s">
        <v>817</v>
      </c>
      <c r="H159" s="72" t="s">
        <v>817</v>
      </c>
      <c r="I159" s="72" t="s">
        <v>817</v>
      </c>
      <c r="J159" s="72" t="s">
        <v>817</v>
      </c>
      <c r="K159" s="73">
        <v>3.9437151611306032</v>
      </c>
      <c r="L159" s="73" t="s">
        <v>817</v>
      </c>
      <c r="M159" s="22" t="s">
        <v>894</v>
      </c>
      <c r="N159" s="80">
        <v>1999</v>
      </c>
      <c r="O159" s="22" t="s">
        <v>773</v>
      </c>
      <c r="P159" s="22" t="s">
        <v>819</v>
      </c>
      <c r="Q159" s="22" t="s">
        <v>869</v>
      </c>
      <c r="R159" s="22">
        <v>3</v>
      </c>
      <c r="S159" s="33" t="s">
        <v>895</v>
      </c>
    </row>
    <row r="160" spans="1:19" s="38" customFormat="1" ht="27" customHeight="1" x14ac:dyDescent="0.25">
      <c r="A160" s="22" t="s">
        <v>885</v>
      </c>
      <c r="B160" s="22" t="s">
        <v>793</v>
      </c>
      <c r="C160" s="22" t="s">
        <v>72</v>
      </c>
      <c r="D160" s="22">
        <v>25000</v>
      </c>
      <c r="E160" s="22">
        <v>4000</v>
      </c>
      <c r="F160" s="77">
        <v>0.84</v>
      </c>
      <c r="G160" s="72" t="s">
        <v>817</v>
      </c>
      <c r="H160" s="72" t="s">
        <v>817</v>
      </c>
      <c r="I160" s="72" t="s">
        <v>817</v>
      </c>
      <c r="J160" s="72" t="s">
        <v>817</v>
      </c>
      <c r="K160" s="73">
        <v>4.9734017623003428</v>
      </c>
      <c r="L160" s="73" t="s">
        <v>817</v>
      </c>
      <c r="M160" s="22" t="s">
        <v>886</v>
      </c>
      <c r="N160" s="80">
        <v>1999</v>
      </c>
      <c r="O160" s="22" t="s">
        <v>773</v>
      </c>
      <c r="P160" s="22" t="s">
        <v>819</v>
      </c>
      <c r="Q160" s="22" t="s">
        <v>869</v>
      </c>
      <c r="R160" s="22">
        <v>3</v>
      </c>
      <c r="S160" s="33" t="s">
        <v>887</v>
      </c>
    </row>
    <row r="161" spans="1:19" s="38" customFormat="1" ht="27" customHeight="1" x14ac:dyDescent="0.25">
      <c r="A161" s="22" t="s">
        <v>947</v>
      </c>
      <c r="B161" s="22" t="s">
        <v>944</v>
      </c>
      <c r="C161" s="22" t="s">
        <v>72</v>
      </c>
      <c r="D161" s="22" t="s">
        <v>817</v>
      </c>
      <c r="E161" s="22" t="s">
        <v>817</v>
      </c>
      <c r="F161" s="72">
        <v>0.48499999999999999</v>
      </c>
      <c r="G161" s="22" t="s">
        <v>706</v>
      </c>
      <c r="H161" s="22" t="s">
        <v>817</v>
      </c>
      <c r="I161" s="22" t="s">
        <v>817</v>
      </c>
      <c r="J161" s="72">
        <v>0.56000000000000005</v>
      </c>
      <c r="K161" s="82">
        <v>0.16918141833798228</v>
      </c>
      <c r="L161" s="22" t="s">
        <v>817</v>
      </c>
      <c r="M161" s="22" t="s">
        <v>948</v>
      </c>
      <c r="N161" s="83">
        <v>2011</v>
      </c>
      <c r="O161" s="22" t="s">
        <v>775</v>
      </c>
      <c r="P161" s="22" t="s">
        <v>943</v>
      </c>
      <c r="Q161" s="22" t="s">
        <v>945</v>
      </c>
      <c r="R161" s="22" t="s">
        <v>1006</v>
      </c>
      <c r="S161" s="33" t="s">
        <v>949</v>
      </c>
    </row>
    <row r="162" spans="1:19" s="38" customFormat="1" ht="27" customHeight="1" x14ac:dyDescent="0.25">
      <c r="A162" s="22" t="s">
        <v>825</v>
      </c>
      <c r="B162" s="22" t="s">
        <v>944</v>
      </c>
      <c r="C162" s="22" t="s">
        <v>72</v>
      </c>
      <c r="D162" s="22" t="s">
        <v>817</v>
      </c>
      <c r="E162" s="22" t="s">
        <v>817</v>
      </c>
      <c r="F162" s="72">
        <v>0.65400000000000003</v>
      </c>
      <c r="G162" s="22" t="s">
        <v>706</v>
      </c>
      <c r="H162" s="22" t="s">
        <v>817</v>
      </c>
      <c r="I162" s="22" t="s">
        <v>817</v>
      </c>
      <c r="J162" s="72">
        <v>0.64</v>
      </c>
      <c r="K162" s="82">
        <v>0.49639175660742341</v>
      </c>
      <c r="L162" s="22" t="s">
        <v>817</v>
      </c>
      <c r="M162" s="22" t="s">
        <v>942</v>
      </c>
      <c r="N162" s="83">
        <v>2011</v>
      </c>
      <c r="O162" s="22" t="s">
        <v>775</v>
      </c>
      <c r="P162" s="22" t="s">
        <v>943</v>
      </c>
      <c r="Q162" s="22" t="s">
        <v>945</v>
      </c>
      <c r="R162" s="22" t="s">
        <v>1006</v>
      </c>
      <c r="S162" s="33" t="s">
        <v>946</v>
      </c>
    </row>
    <row r="163" spans="1:19" s="38" customFormat="1" ht="27" customHeight="1" x14ac:dyDescent="0.25">
      <c r="A163" s="22" t="s">
        <v>732</v>
      </c>
      <c r="B163" s="22" t="s">
        <v>793</v>
      </c>
      <c r="C163" s="72" t="s">
        <v>817</v>
      </c>
      <c r="D163" s="72" t="s">
        <v>817</v>
      </c>
      <c r="E163" s="72" t="s">
        <v>817</v>
      </c>
      <c r="F163" s="72" t="s">
        <v>817</v>
      </c>
      <c r="G163" s="22" t="s">
        <v>706</v>
      </c>
      <c r="H163" s="22" t="s">
        <v>817</v>
      </c>
      <c r="I163" s="22">
        <v>2730</v>
      </c>
      <c r="J163" s="77">
        <v>0.73</v>
      </c>
      <c r="K163" s="73">
        <v>0.45332270323830692</v>
      </c>
      <c r="L163" s="73">
        <v>6.6429039816448432E-2</v>
      </c>
      <c r="M163" s="22" t="s">
        <v>823</v>
      </c>
      <c r="N163" s="80">
        <v>2003</v>
      </c>
      <c r="O163" s="22" t="s">
        <v>775</v>
      </c>
      <c r="P163" s="22" t="s">
        <v>1008</v>
      </c>
      <c r="Q163" s="22" t="s">
        <v>1009</v>
      </c>
      <c r="R163" s="22">
        <v>6</v>
      </c>
      <c r="S163" s="33"/>
    </row>
    <row r="164" spans="1:19" s="38" customFormat="1" ht="27" customHeight="1" x14ac:dyDescent="0.25">
      <c r="A164" s="22" t="s">
        <v>732</v>
      </c>
      <c r="B164" s="22" t="s">
        <v>793</v>
      </c>
      <c r="C164" s="72" t="s">
        <v>817</v>
      </c>
      <c r="D164" s="72" t="s">
        <v>817</v>
      </c>
      <c r="E164" s="72" t="s">
        <v>817</v>
      </c>
      <c r="F164" s="72" t="s">
        <v>817</v>
      </c>
      <c r="G164" s="22" t="s">
        <v>706</v>
      </c>
      <c r="H164" s="22" t="s">
        <v>1006</v>
      </c>
      <c r="I164" s="22">
        <v>2510</v>
      </c>
      <c r="J164" s="77">
        <v>0.73</v>
      </c>
      <c r="K164" s="73">
        <v>2.3432303056375448</v>
      </c>
      <c r="L164" s="73">
        <v>6.3902020644104607E-2</v>
      </c>
      <c r="M164" s="22" t="s">
        <v>1007</v>
      </c>
      <c r="N164" s="80">
        <v>2003</v>
      </c>
      <c r="O164" s="22" t="s">
        <v>775</v>
      </c>
      <c r="P164" s="22" t="s">
        <v>1008</v>
      </c>
      <c r="Q164" s="22" t="s">
        <v>1009</v>
      </c>
      <c r="R164" s="22">
        <v>6</v>
      </c>
      <c r="S164" s="33"/>
    </row>
    <row r="165" spans="1:19" s="38" customFormat="1" ht="27" customHeight="1" x14ac:dyDescent="0.25">
      <c r="A165" s="22" t="s">
        <v>732</v>
      </c>
      <c r="B165" s="22" t="s">
        <v>793</v>
      </c>
      <c r="C165" s="72" t="s">
        <v>817</v>
      </c>
      <c r="D165" s="72" t="s">
        <v>817</v>
      </c>
      <c r="E165" s="72" t="s">
        <v>817</v>
      </c>
      <c r="F165" s="72" t="s">
        <v>817</v>
      </c>
      <c r="G165" s="22" t="s">
        <v>706</v>
      </c>
      <c r="H165" s="22" t="s">
        <v>1006</v>
      </c>
      <c r="I165" s="22">
        <v>3360</v>
      </c>
      <c r="J165" s="77">
        <v>0.77</v>
      </c>
      <c r="K165" s="73">
        <v>5.0262290055925334</v>
      </c>
      <c r="L165" s="73">
        <v>0.12181282743856776</v>
      </c>
      <c r="M165" s="22" t="s">
        <v>818</v>
      </c>
      <c r="N165" s="80">
        <v>2003</v>
      </c>
      <c r="O165" s="22" t="s">
        <v>775</v>
      </c>
      <c r="P165" s="22" t="s">
        <v>1008</v>
      </c>
      <c r="Q165" s="22" t="s">
        <v>1009</v>
      </c>
      <c r="R165" s="22">
        <v>6</v>
      </c>
      <c r="S165" s="33"/>
    </row>
    <row r="166" spans="1:19" s="38" customFormat="1" ht="27" customHeight="1" x14ac:dyDescent="0.25">
      <c r="A166" s="22" t="s">
        <v>934</v>
      </c>
      <c r="B166" s="22" t="s">
        <v>793</v>
      </c>
      <c r="C166" s="22" t="s">
        <v>72</v>
      </c>
      <c r="D166" s="22">
        <v>27200</v>
      </c>
      <c r="E166" s="22">
        <v>8000</v>
      </c>
      <c r="F166" s="77">
        <v>0.70588235294117652</v>
      </c>
      <c r="G166" s="72" t="s">
        <v>817</v>
      </c>
      <c r="H166" s="72" t="s">
        <v>817</v>
      </c>
      <c r="I166" s="72" t="s">
        <v>817</v>
      </c>
      <c r="J166" s="72" t="s">
        <v>817</v>
      </c>
      <c r="K166" s="73">
        <v>2.6849457698882799E-2</v>
      </c>
      <c r="L166" s="73" t="s">
        <v>817</v>
      </c>
      <c r="M166" s="22" t="s">
        <v>935</v>
      </c>
      <c r="N166" s="80">
        <v>1999</v>
      </c>
      <c r="O166" s="22" t="s">
        <v>773</v>
      </c>
      <c r="P166" s="22" t="s">
        <v>819</v>
      </c>
      <c r="Q166" s="22" t="s">
        <v>800</v>
      </c>
      <c r="R166" s="22">
        <v>3</v>
      </c>
      <c r="S166" s="33" t="s">
        <v>936</v>
      </c>
    </row>
    <row r="167" spans="1:19" s="38" customFormat="1" ht="27" customHeight="1" x14ac:dyDescent="0.25">
      <c r="A167" s="22" t="s">
        <v>857</v>
      </c>
      <c r="B167" s="22" t="s">
        <v>793</v>
      </c>
      <c r="C167" s="22" t="s">
        <v>72</v>
      </c>
      <c r="D167" s="22">
        <v>35100</v>
      </c>
      <c r="E167" s="22">
        <v>8000</v>
      </c>
      <c r="F167" s="77">
        <v>0.77207977207977208</v>
      </c>
      <c r="G167" s="72" t="s">
        <v>817</v>
      </c>
      <c r="H167" s="72" t="s">
        <v>817</v>
      </c>
      <c r="I167" s="72" t="s">
        <v>817</v>
      </c>
      <c r="J167" s="72" t="s">
        <v>817</v>
      </c>
      <c r="K167" s="73">
        <v>5.9467353575259951E-2</v>
      </c>
      <c r="L167" s="73" t="s">
        <v>817</v>
      </c>
      <c r="M167" s="22" t="s">
        <v>921</v>
      </c>
      <c r="N167" s="80">
        <v>1999</v>
      </c>
      <c r="O167" s="22" t="s">
        <v>773</v>
      </c>
      <c r="P167" s="22" t="s">
        <v>819</v>
      </c>
      <c r="Q167" s="22" t="s">
        <v>800</v>
      </c>
      <c r="R167" s="22">
        <v>3</v>
      </c>
      <c r="S167" s="33" t="s">
        <v>922</v>
      </c>
    </row>
    <row r="168" spans="1:19" s="38" customFormat="1" ht="27" customHeight="1" x14ac:dyDescent="0.25">
      <c r="A168" s="22" t="s">
        <v>882</v>
      </c>
      <c r="B168" s="22" t="s">
        <v>793</v>
      </c>
      <c r="C168" s="22" t="s">
        <v>72</v>
      </c>
      <c r="D168" s="22">
        <v>22000</v>
      </c>
      <c r="E168" s="22">
        <v>4000</v>
      </c>
      <c r="F168" s="77">
        <v>0.81818181818181823</v>
      </c>
      <c r="G168" s="72" t="s">
        <v>817</v>
      </c>
      <c r="H168" s="72" t="s">
        <v>817</v>
      </c>
      <c r="I168" s="72" t="s">
        <v>817</v>
      </c>
      <c r="J168" s="72" t="s">
        <v>817</v>
      </c>
      <c r="K168" s="73">
        <v>6.3839708618674357E-2</v>
      </c>
      <c r="L168" s="73" t="s">
        <v>817</v>
      </c>
      <c r="M168" s="22" t="s">
        <v>932</v>
      </c>
      <c r="N168" s="80">
        <v>1999</v>
      </c>
      <c r="O168" s="22" t="s">
        <v>773</v>
      </c>
      <c r="P168" s="22" t="s">
        <v>819</v>
      </c>
      <c r="Q168" s="22" t="s">
        <v>800</v>
      </c>
      <c r="R168" s="22">
        <v>3</v>
      </c>
      <c r="S168" s="33" t="s">
        <v>933</v>
      </c>
    </row>
    <row r="169" spans="1:19" s="38" customFormat="1" ht="27" customHeight="1" x14ac:dyDescent="0.25">
      <c r="A169" s="22" t="s">
        <v>882</v>
      </c>
      <c r="B169" s="22" t="s">
        <v>793</v>
      </c>
      <c r="C169" s="22" t="s">
        <v>72</v>
      </c>
      <c r="D169" s="22">
        <v>20400</v>
      </c>
      <c r="E169" s="22">
        <v>6000</v>
      </c>
      <c r="F169" s="77">
        <v>0.70588235294117652</v>
      </c>
      <c r="G169" s="72" t="s">
        <v>817</v>
      </c>
      <c r="H169" s="72" t="s">
        <v>817</v>
      </c>
      <c r="I169" s="72" t="s">
        <v>817</v>
      </c>
      <c r="J169" s="72" t="s">
        <v>817</v>
      </c>
      <c r="K169" s="73">
        <v>0.14122117361100692</v>
      </c>
      <c r="L169" s="73" t="s">
        <v>817</v>
      </c>
      <c r="M169" s="22" t="s">
        <v>912</v>
      </c>
      <c r="N169" s="80">
        <v>1999</v>
      </c>
      <c r="O169" s="22" t="s">
        <v>773</v>
      </c>
      <c r="P169" s="22" t="s">
        <v>819</v>
      </c>
      <c r="Q169" s="22" t="s">
        <v>800</v>
      </c>
      <c r="R169" s="22">
        <v>3</v>
      </c>
      <c r="S169" s="33" t="s">
        <v>913</v>
      </c>
    </row>
    <row r="170" spans="1:19" s="38" customFormat="1" ht="27" customHeight="1" x14ac:dyDescent="0.25">
      <c r="A170" s="22" t="s">
        <v>882</v>
      </c>
      <c r="B170" s="22" t="s">
        <v>793</v>
      </c>
      <c r="C170" s="22" t="s">
        <v>72</v>
      </c>
      <c r="D170" s="22">
        <v>37000</v>
      </c>
      <c r="E170" s="22">
        <v>6000</v>
      </c>
      <c r="F170" s="77">
        <v>0.83783783783783783</v>
      </c>
      <c r="G170" s="72" t="s">
        <v>817</v>
      </c>
      <c r="H170" s="72" t="s">
        <v>817</v>
      </c>
      <c r="I170" s="72" t="s">
        <v>817</v>
      </c>
      <c r="J170" s="72" t="s">
        <v>817</v>
      </c>
      <c r="K170" s="73">
        <v>0.16643924032725815</v>
      </c>
      <c r="L170" s="73" t="s">
        <v>817</v>
      </c>
      <c r="M170" s="22" t="s">
        <v>903</v>
      </c>
      <c r="N170" s="80">
        <v>1999</v>
      </c>
      <c r="O170" s="22" t="s">
        <v>773</v>
      </c>
      <c r="P170" s="22" t="s">
        <v>819</v>
      </c>
      <c r="Q170" s="22" t="s">
        <v>800</v>
      </c>
      <c r="R170" s="22">
        <v>3</v>
      </c>
      <c r="S170" s="33" t="s">
        <v>904</v>
      </c>
    </row>
    <row r="171" spans="1:19" s="38" customFormat="1" ht="27" customHeight="1" x14ac:dyDescent="0.25">
      <c r="A171" s="22" t="s">
        <v>848</v>
      </c>
      <c r="B171" s="22" t="s">
        <v>793</v>
      </c>
      <c r="C171" s="22" t="s">
        <v>72</v>
      </c>
      <c r="D171" s="22">
        <v>13400</v>
      </c>
      <c r="E171" s="22">
        <v>8000</v>
      </c>
      <c r="F171" s="77">
        <v>0.40298507462686567</v>
      </c>
      <c r="G171" s="72" t="s">
        <v>817</v>
      </c>
      <c r="H171" s="72" t="s">
        <v>817</v>
      </c>
      <c r="I171" s="72" t="s">
        <v>817</v>
      </c>
      <c r="J171" s="72" t="s">
        <v>817</v>
      </c>
      <c r="K171" s="73">
        <v>0.21845150292952634</v>
      </c>
      <c r="L171" s="73" t="s">
        <v>817</v>
      </c>
      <c r="M171" s="22" t="s">
        <v>910</v>
      </c>
      <c r="N171" s="80">
        <v>1999</v>
      </c>
      <c r="O171" s="22" t="s">
        <v>773</v>
      </c>
      <c r="P171" s="22" t="s">
        <v>819</v>
      </c>
      <c r="Q171" s="22" t="s">
        <v>800</v>
      </c>
      <c r="R171" s="22">
        <v>3</v>
      </c>
      <c r="S171" s="33" t="s">
        <v>911</v>
      </c>
    </row>
    <row r="172" spans="1:19" s="38" customFormat="1" ht="27" customHeight="1" x14ac:dyDescent="0.25">
      <c r="A172" s="22" t="s">
        <v>882</v>
      </c>
      <c r="B172" s="22" t="s">
        <v>793</v>
      </c>
      <c r="C172" s="22" t="s">
        <v>72</v>
      </c>
      <c r="D172" s="22">
        <v>25000</v>
      </c>
      <c r="E172" s="22">
        <v>8000</v>
      </c>
      <c r="F172" s="77">
        <v>0.68</v>
      </c>
      <c r="G172" s="72" t="s">
        <v>817</v>
      </c>
      <c r="H172" s="72" t="s">
        <v>817</v>
      </c>
      <c r="I172" s="72" t="s">
        <v>817</v>
      </c>
      <c r="J172" s="72" t="s">
        <v>817</v>
      </c>
      <c r="K172" s="73">
        <v>0.31068658194421522</v>
      </c>
      <c r="L172" s="73" t="s">
        <v>817</v>
      </c>
      <c r="M172" s="22" t="s">
        <v>908</v>
      </c>
      <c r="N172" s="80">
        <v>1999</v>
      </c>
      <c r="O172" s="22" t="s">
        <v>773</v>
      </c>
      <c r="P172" s="22" t="s">
        <v>819</v>
      </c>
      <c r="Q172" s="22" t="s">
        <v>800</v>
      </c>
      <c r="R172" s="22">
        <v>3</v>
      </c>
      <c r="S172" s="33" t="s">
        <v>909</v>
      </c>
    </row>
    <row r="173" spans="1:19" s="38" customFormat="1" ht="27" customHeight="1" x14ac:dyDescent="0.25">
      <c r="A173" s="22" t="s">
        <v>937</v>
      </c>
      <c r="B173" s="22" t="s">
        <v>793</v>
      </c>
      <c r="C173" s="22" t="s">
        <v>72</v>
      </c>
      <c r="D173" s="22">
        <v>25800</v>
      </c>
      <c r="E173" s="22">
        <v>6000</v>
      </c>
      <c r="F173" s="77">
        <v>0.76744186046511631</v>
      </c>
      <c r="G173" s="72" t="s">
        <v>817</v>
      </c>
      <c r="H173" s="72" t="s">
        <v>817</v>
      </c>
      <c r="I173" s="72" t="s">
        <v>817</v>
      </c>
      <c r="J173" s="72" t="s">
        <v>817</v>
      </c>
      <c r="K173" s="73">
        <v>0.43822523717812456</v>
      </c>
      <c r="L173" s="73" t="s">
        <v>817</v>
      </c>
      <c r="M173" s="22" t="s">
        <v>938</v>
      </c>
      <c r="N173" s="80">
        <v>1999</v>
      </c>
      <c r="O173" s="22" t="s">
        <v>773</v>
      </c>
      <c r="P173" s="22" t="s">
        <v>819</v>
      </c>
      <c r="Q173" s="22" t="s">
        <v>800</v>
      </c>
      <c r="R173" s="22">
        <v>3</v>
      </c>
      <c r="S173" s="33" t="s">
        <v>939</v>
      </c>
    </row>
    <row r="174" spans="1:19" s="38" customFormat="1" ht="27" customHeight="1" x14ac:dyDescent="0.25">
      <c r="A174" s="22" t="s">
        <v>845</v>
      </c>
      <c r="B174" s="22" t="s">
        <v>793</v>
      </c>
      <c r="C174" s="22" t="s">
        <v>72</v>
      </c>
      <c r="D174" s="22">
        <v>33000</v>
      </c>
      <c r="E174" s="22">
        <v>5000</v>
      </c>
      <c r="F174" s="77">
        <v>0.84848484848484851</v>
      </c>
      <c r="G174" s="72" t="s">
        <v>817</v>
      </c>
      <c r="H174" s="72" t="s">
        <v>817</v>
      </c>
      <c r="I174" s="72" t="s">
        <v>817</v>
      </c>
      <c r="J174" s="72" t="s">
        <v>817</v>
      </c>
      <c r="K174" s="73">
        <v>0.48225976898803558</v>
      </c>
      <c r="L174" s="73" t="s">
        <v>817</v>
      </c>
      <c r="M174" s="22" t="s">
        <v>799</v>
      </c>
      <c r="N174" s="80">
        <v>1999</v>
      </c>
      <c r="O174" s="22" t="s">
        <v>773</v>
      </c>
      <c r="P174" s="22" t="s">
        <v>819</v>
      </c>
      <c r="Q174" s="22" t="s">
        <v>800</v>
      </c>
      <c r="R174" s="22">
        <v>3</v>
      </c>
      <c r="S174" s="33" t="s">
        <v>1283</v>
      </c>
    </row>
    <row r="175" spans="1:19" s="38" customFormat="1" ht="27" customHeight="1" x14ac:dyDescent="0.25">
      <c r="A175" s="22" t="s">
        <v>845</v>
      </c>
      <c r="B175" s="22" t="s">
        <v>793</v>
      </c>
      <c r="C175" s="22" t="s">
        <v>72</v>
      </c>
      <c r="D175" s="22">
        <v>40000</v>
      </c>
      <c r="E175" s="22">
        <v>4000</v>
      </c>
      <c r="F175" s="77">
        <v>0.9</v>
      </c>
      <c r="G175" s="72" t="s">
        <v>817</v>
      </c>
      <c r="H175" s="72" t="s">
        <v>817</v>
      </c>
      <c r="I175" s="72" t="s">
        <v>817</v>
      </c>
      <c r="J175" s="72" t="s">
        <v>817</v>
      </c>
      <c r="K175" s="73">
        <v>0.84403188094845139</v>
      </c>
      <c r="L175" s="73" t="s">
        <v>817</v>
      </c>
      <c r="M175" s="22" t="s">
        <v>928</v>
      </c>
      <c r="N175" s="80">
        <v>1999</v>
      </c>
      <c r="O175" s="22" t="s">
        <v>773</v>
      </c>
      <c r="P175" s="22" t="s">
        <v>819</v>
      </c>
      <c r="Q175" s="22" t="s">
        <v>800</v>
      </c>
      <c r="R175" s="22">
        <v>3</v>
      </c>
      <c r="S175" s="33" t="s">
        <v>1284</v>
      </c>
    </row>
    <row r="176" spans="1:19" s="38" customFormat="1" ht="27" customHeight="1" x14ac:dyDescent="0.25">
      <c r="A176" s="22" t="s">
        <v>719</v>
      </c>
      <c r="B176" s="22" t="s">
        <v>793</v>
      </c>
      <c r="C176" s="22" t="s">
        <v>72</v>
      </c>
      <c r="D176" s="22">
        <v>34000</v>
      </c>
      <c r="E176" s="22">
        <v>8000</v>
      </c>
      <c r="F176" s="77">
        <v>0.76470588235294112</v>
      </c>
      <c r="G176" s="72" t="s">
        <v>817</v>
      </c>
      <c r="H176" s="72" t="s">
        <v>817</v>
      </c>
      <c r="I176" s="72" t="s">
        <v>817</v>
      </c>
      <c r="J176" s="72" t="s">
        <v>817</v>
      </c>
      <c r="K176" s="73">
        <v>0.91031168509655058</v>
      </c>
      <c r="L176" s="73" t="s">
        <v>817</v>
      </c>
      <c r="M176" s="22" t="s">
        <v>940</v>
      </c>
      <c r="N176" s="80">
        <v>1999</v>
      </c>
      <c r="O176" s="22" t="s">
        <v>773</v>
      </c>
      <c r="P176" s="22" t="s">
        <v>819</v>
      </c>
      <c r="Q176" s="22" t="s">
        <v>800</v>
      </c>
      <c r="R176" s="22">
        <v>3</v>
      </c>
      <c r="S176" s="33" t="s">
        <v>941</v>
      </c>
    </row>
    <row r="177" spans="1:19" s="38" customFormat="1" ht="27" customHeight="1" x14ac:dyDescent="0.25">
      <c r="A177" s="22" t="s">
        <v>917</v>
      </c>
      <c r="B177" s="22" t="s">
        <v>793</v>
      </c>
      <c r="C177" s="22" t="s">
        <v>72</v>
      </c>
      <c r="D177" s="22">
        <v>38000</v>
      </c>
      <c r="E177" s="22">
        <v>4000</v>
      </c>
      <c r="F177" s="77">
        <v>0.89473684210526316</v>
      </c>
      <c r="G177" s="72" t="s">
        <v>817</v>
      </c>
      <c r="H177" s="72" t="s">
        <v>817</v>
      </c>
      <c r="I177" s="72" t="s">
        <v>817</v>
      </c>
      <c r="J177" s="72" t="s">
        <v>817</v>
      </c>
      <c r="K177" s="73">
        <v>1.1073553861039231</v>
      </c>
      <c r="L177" s="73" t="s">
        <v>817</v>
      </c>
      <c r="M177" s="22" t="s">
        <v>918</v>
      </c>
      <c r="N177" s="80">
        <v>1999</v>
      </c>
      <c r="O177" s="22" t="s">
        <v>773</v>
      </c>
      <c r="P177" s="22" t="s">
        <v>819</v>
      </c>
      <c r="Q177" s="22" t="s">
        <v>800</v>
      </c>
      <c r="R177" s="22">
        <v>3</v>
      </c>
      <c r="S177" s="33" t="s">
        <v>919</v>
      </c>
    </row>
    <row r="178" spans="1:19" s="38" customFormat="1" ht="27" customHeight="1" x14ac:dyDescent="0.25">
      <c r="A178" s="22" t="s">
        <v>848</v>
      </c>
      <c r="B178" s="22" t="s">
        <v>793</v>
      </c>
      <c r="C178" s="22" t="s">
        <v>72</v>
      </c>
      <c r="D178" s="22">
        <v>21300</v>
      </c>
      <c r="E178" s="22">
        <v>8000</v>
      </c>
      <c r="F178" s="77">
        <v>0.62441314553990612</v>
      </c>
      <c r="G178" s="72" t="s">
        <v>817</v>
      </c>
      <c r="H178" s="72" t="s">
        <v>817</v>
      </c>
      <c r="I178" s="72" t="s">
        <v>817</v>
      </c>
      <c r="J178" s="72" t="s">
        <v>817</v>
      </c>
      <c r="K178" s="73">
        <v>1.4097232572799194</v>
      </c>
      <c r="L178" s="73" t="s">
        <v>817</v>
      </c>
      <c r="M178" s="22" t="s">
        <v>923</v>
      </c>
      <c r="N178" s="80">
        <v>1999</v>
      </c>
      <c r="O178" s="22" t="s">
        <v>773</v>
      </c>
      <c r="P178" s="22" t="s">
        <v>819</v>
      </c>
      <c r="Q178" s="22" t="s">
        <v>800</v>
      </c>
      <c r="R178" s="22">
        <v>3</v>
      </c>
      <c r="S178" s="33" t="s">
        <v>924</v>
      </c>
    </row>
    <row r="179" spans="1:19" s="38" customFormat="1" ht="27" customHeight="1" x14ac:dyDescent="0.25">
      <c r="A179" s="22" t="s">
        <v>882</v>
      </c>
      <c r="B179" s="22" t="s">
        <v>793</v>
      </c>
      <c r="C179" s="22" t="s">
        <v>72</v>
      </c>
      <c r="D179" s="22">
        <v>31000</v>
      </c>
      <c r="E179" s="22">
        <v>4500</v>
      </c>
      <c r="F179" s="77">
        <v>0.85483870967741937</v>
      </c>
      <c r="G179" s="72" t="s">
        <v>817</v>
      </c>
      <c r="H179" s="72" t="s">
        <v>817</v>
      </c>
      <c r="I179" s="72" t="s">
        <v>817</v>
      </c>
      <c r="J179" s="72" t="s">
        <v>817</v>
      </c>
      <c r="K179" s="73">
        <v>1.9655681714838107</v>
      </c>
      <c r="L179" s="73" t="s">
        <v>817</v>
      </c>
      <c r="M179" s="22" t="s">
        <v>914</v>
      </c>
      <c r="N179" s="80">
        <v>1999</v>
      </c>
      <c r="O179" s="22" t="s">
        <v>773</v>
      </c>
      <c r="P179" s="22" t="s">
        <v>819</v>
      </c>
      <c r="Q179" s="22" t="s">
        <v>800</v>
      </c>
      <c r="R179" s="22">
        <v>3</v>
      </c>
      <c r="S179" s="33" t="s">
        <v>915</v>
      </c>
    </row>
    <row r="180" spans="1:19" s="38" customFormat="1" ht="27" customHeight="1" x14ac:dyDescent="0.25">
      <c r="A180" s="22" t="s">
        <v>857</v>
      </c>
      <c r="B180" s="22" t="s">
        <v>793</v>
      </c>
      <c r="C180" s="22" t="s">
        <v>72</v>
      </c>
      <c r="D180" s="22">
        <v>36000</v>
      </c>
      <c r="E180" s="22">
        <v>6000</v>
      </c>
      <c r="F180" s="77">
        <v>0.83333333333333337</v>
      </c>
      <c r="G180" s="72" t="s">
        <v>817</v>
      </c>
      <c r="H180" s="72" t="s">
        <v>817</v>
      </c>
      <c r="I180" s="72" t="s">
        <v>817</v>
      </c>
      <c r="J180" s="72" t="s">
        <v>817</v>
      </c>
      <c r="K180" s="73">
        <v>2.0194627826373988</v>
      </c>
      <c r="L180" s="73" t="s">
        <v>817</v>
      </c>
      <c r="M180" s="22" t="s">
        <v>829</v>
      </c>
      <c r="N180" s="80">
        <v>1999</v>
      </c>
      <c r="O180" s="22" t="s">
        <v>773</v>
      </c>
      <c r="P180" s="22" t="s">
        <v>819</v>
      </c>
      <c r="Q180" s="22" t="s">
        <v>800</v>
      </c>
      <c r="R180" s="22">
        <v>3</v>
      </c>
      <c r="S180" s="33" t="s">
        <v>916</v>
      </c>
    </row>
    <row r="181" spans="1:19" s="38" customFormat="1" ht="27" customHeight="1" x14ac:dyDescent="0.25">
      <c r="A181" s="22" t="s">
        <v>845</v>
      </c>
      <c r="B181" s="22" t="s">
        <v>793</v>
      </c>
      <c r="C181" s="22" t="s">
        <v>72</v>
      </c>
      <c r="D181" s="22">
        <v>17000</v>
      </c>
      <c r="E181" s="22">
        <v>8000</v>
      </c>
      <c r="F181" s="77">
        <v>0.52941176470588236</v>
      </c>
      <c r="G181" s="72" t="s">
        <v>817</v>
      </c>
      <c r="H181" s="72" t="s">
        <v>817</v>
      </c>
      <c r="I181" s="72" t="s">
        <v>817</v>
      </c>
      <c r="J181" s="72" t="s">
        <v>817</v>
      </c>
      <c r="K181" s="73">
        <v>2.1150586540048497</v>
      </c>
      <c r="L181" s="73" t="s">
        <v>817</v>
      </c>
      <c r="M181" s="22" t="s">
        <v>920</v>
      </c>
      <c r="N181" s="80">
        <v>1999</v>
      </c>
      <c r="O181" s="22" t="s">
        <v>773</v>
      </c>
      <c r="P181" s="22" t="s">
        <v>819</v>
      </c>
      <c r="Q181" s="22" t="s">
        <v>800</v>
      </c>
      <c r="R181" s="22">
        <v>3</v>
      </c>
      <c r="S181" s="33" t="s">
        <v>1285</v>
      </c>
    </row>
    <row r="182" spans="1:19" s="38" customFormat="1" ht="27" customHeight="1" x14ac:dyDescent="0.25">
      <c r="A182" s="22" t="s">
        <v>929</v>
      </c>
      <c r="B182" s="22" t="s">
        <v>793</v>
      </c>
      <c r="C182" s="22" t="s">
        <v>72</v>
      </c>
      <c r="D182" s="22">
        <v>20000</v>
      </c>
      <c r="E182" s="22">
        <v>4000</v>
      </c>
      <c r="F182" s="77">
        <v>0.8</v>
      </c>
      <c r="G182" s="72" t="s">
        <v>817</v>
      </c>
      <c r="H182" s="72" t="s">
        <v>817</v>
      </c>
      <c r="I182" s="72" t="s">
        <v>817</v>
      </c>
      <c r="J182" s="72" t="s">
        <v>817</v>
      </c>
      <c r="K182" s="73">
        <v>2.9956006523546925</v>
      </c>
      <c r="L182" s="73" t="s">
        <v>817</v>
      </c>
      <c r="M182" s="22" t="s">
        <v>930</v>
      </c>
      <c r="N182" s="80">
        <v>1999</v>
      </c>
      <c r="O182" s="22" t="s">
        <v>773</v>
      </c>
      <c r="P182" s="22" t="s">
        <v>819</v>
      </c>
      <c r="Q182" s="22" t="s">
        <v>800</v>
      </c>
      <c r="R182" s="22">
        <v>3</v>
      </c>
      <c r="S182" s="33" t="s">
        <v>931</v>
      </c>
    </row>
    <row r="183" spans="1:19" s="38" customFormat="1" ht="27" customHeight="1" x14ac:dyDescent="0.25">
      <c r="A183" s="22" t="s">
        <v>925</v>
      </c>
      <c r="B183" s="22" t="s">
        <v>793</v>
      </c>
      <c r="C183" s="22" t="s">
        <v>72</v>
      </c>
      <c r="D183" s="22">
        <v>23000</v>
      </c>
      <c r="E183" s="22">
        <v>7000</v>
      </c>
      <c r="F183" s="77">
        <v>0.69565217391304346</v>
      </c>
      <c r="G183" s="72" t="s">
        <v>817</v>
      </c>
      <c r="H183" s="72" t="s">
        <v>817</v>
      </c>
      <c r="I183" s="72" t="s">
        <v>817</v>
      </c>
      <c r="J183" s="72" t="s">
        <v>817</v>
      </c>
      <c r="K183" s="73">
        <v>3.2806764946556997</v>
      </c>
      <c r="L183" s="73" t="s">
        <v>817</v>
      </c>
      <c r="M183" s="22" t="s">
        <v>926</v>
      </c>
      <c r="N183" s="80">
        <v>1999</v>
      </c>
      <c r="O183" s="22" t="s">
        <v>773</v>
      </c>
      <c r="P183" s="22" t="s">
        <v>819</v>
      </c>
      <c r="Q183" s="22" t="s">
        <v>800</v>
      </c>
      <c r="R183" s="22">
        <v>3</v>
      </c>
      <c r="S183" s="33" t="s">
        <v>927</v>
      </c>
    </row>
    <row r="184" spans="1:19" s="38" customFormat="1" ht="27" customHeight="1" x14ac:dyDescent="0.25">
      <c r="A184" s="22" t="s">
        <v>905</v>
      </c>
      <c r="B184" s="22" t="s">
        <v>793</v>
      </c>
      <c r="C184" s="22" t="s">
        <v>72</v>
      </c>
      <c r="D184" s="22">
        <v>63000</v>
      </c>
      <c r="E184" s="22">
        <v>4000</v>
      </c>
      <c r="F184" s="77">
        <v>0.93650793650793651</v>
      </c>
      <c r="G184" s="72" t="s">
        <v>817</v>
      </c>
      <c r="H184" s="72" t="s">
        <v>817</v>
      </c>
      <c r="I184" s="72" t="s">
        <v>817</v>
      </c>
      <c r="J184" s="72" t="s">
        <v>817</v>
      </c>
      <c r="K184" s="73">
        <v>5.9479712225572774</v>
      </c>
      <c r="L184" s="73" t="s">
        <v>817</v>
      </c>
      <c r="M184" s="22" t="s">
        <v>906</v>
      </c>
      <c r="N184" s="80">
        <v>1999</v>
      </c>
      <c r="O184" s="22" t="s">
        <v>773</v>
      </c>
      <c r="P184" s="22" t="s">
        <v>819</v>
      </c>
      <c r="Q184" s="22" t="s">
        <v>800</v>
      </c>
      <c r="R184" s="22">
        <v>3</v>
      </c>
      <c r="S184" s="33" t="s">
        <v>907</v>
      </c>
    </row>
    <row r="185" spans="1:19" s="38" customFormat="1" ht="27" customHeight="1" x14ac:dyDescent="0.25">
      <c r="A185" s="22" t="s">
        <v>798</v>
      </c>
      <c r="B185" s="22" t="s">
        <v>793</v>
      </c>
      <c r="C185" s="22" t="s">
        <v>700</v>
      </c>
      <c r="D185" s="22">
        <v>18900</v>
      </c>
      <c r="E185" s="22">
        <v>1000</v>
      </c>
      <c r="F185" s="72">
        <v>0.94708994708994709</v>
      </c>
      <c r="G185" s="22" t="s">
        <v>706</v>
      </c>
      <c r="H185" s="22">
        <v>6400</v>
      </c>
      <c r="I185" s="22">
        <v>180</v>
      </c>
      <c r="J185" s="72">
        <v>0.97187500000000004</v>
      </c>
      <c r="K185" s="73">
        <v>1.2653464494413362</v>
      </c>
      <c r="L185" s="73">
        <v>5.1182794463442198E-2</v>
      </c>
      <c r="M185" s="22" t="s">
        <v>799</v>
      </c>
      <c r="N185" s="74">
        <v>2006</v>
      </c>
      <c r="O185" s="22" t="s">
        <v>773</v>
      </c>
      <c r="P185" s="22" t="s">
        <v>792</v>
      </c>
      <c r="Q185" s="22" t="s">
        <v>800</v>
      </c>
      <c r="R185" s="22">
        <v>3</v>
      </c>
      <c r="S185" s="33" t="s">
        <v>1263</v>
      </c>
    </row>
    <row r="186" spans="1:19" s="38" customFormat="1" ht="27" customHeight="1" x14ac:dyDescent="0.25">
      <c r="A186" s="22" t="s">
        <v>747</v>
      </c>
      <c r="B186" s="22" t="s">
        <v>793</v>
      </c>
      <c r="C186" s="22" t="s">
        <v>703</v>
      </c>
      <c r="D186" s="22">
        <v>38500</v>
      </c>
      <c r="E186" s="22">
        <v>3000</v>
      </c>
      <c r="F186" s="72">
        <v>0.92207792207792205</v>
      </c>
      <c r="G186" s="72" t="s">
        <v>817</v>
      </c>
      <c r="H186" s="72" t="s">
        <v>817</v>
      </c>
      <c r="I186" s="72" t="s">
        <v>817</v>
      </c>
      <c r="J186" s="72" t="s">
        <v>817</v>
      </c>
      <c r="K186" s="76">
        <v>2.1027322282293017E-3</v>
      </c>
      <c r="L186" s="73">
        <v>1.6821857825834414E-2</v>
      </c>
      <c r="M186" s="22" t="s">
        <v>796</v>
      </c>
      <c r="N186" s="74">
        <v>2010</v>
      </c>
      <c r="O186" s="22" t="s">
        <v>773</v>
      </c>
      <c r="P186" s="22" t="s">
        <v>802</v>
      </c>
      <c r="Q186" s="22" t="s">
        <v>803</v>
      </c>
      <c r="R186" s="22">
        <v>10</v>
      </c>
      <c r="S186" s="33"/>
    </row>
    <row r="187" spans="1:19" s="38" customFormat="1" ht="27" customHeight="1" x14ac:dyDescent="0.25">
      <c r="A187" s="22" t="s">
        <v>747</v>
      </c>
      <c r="B187" s="22" t="s">
        <v>793</v>
      </c>
      <c r="C187" s="22" t="s">
        <v>703</v>
      </c>
      <c r="D187" s="22">
        <v>38500</v>
      </c>
      <c r="E187" s="22">
        <v>3000</v>
      </c>
      <c r="F187" s="72">
        <v>0.92207792207792205</v>
      </c>
      <c r="G187" s="72" t="s">
        <v>817</v>
      </c>
      <c r="H187" s="72" t="s">
        <v>817</v>
      </c>
      <c r="I187" s="72" t="s">
        <v>817</v>
      </c>
      <c r="J187" s="72" t="s">
        <v>817</v>
      </c>
      <c r="K187" s="75">
        <v>4.2054644564586035E-3</v>
      </c>
      <c r="L187" s="73">
        <v>1.6821857825834414E-2</v>
      </c>
      <c r="M187" s="22" t="s">
        <v>808</v>
      </c>
      <c r="N187" s="74">
        <v>2010</v>
      </c>
      <c r="O187" s="22" t="s">
        <v>773</v>
      </c>
      <c r="P187" s="22" t="s">
        <v>802</v>
      </c>
      <c r="Q187" s="22" t="s">
        <v>803</v>
      </c>
      <c r="R187" s="22">
        <v>10</v>
      </c>
      <c r="S187" s="33"/>
    </row>
    <row r="188" spans="1:19" s="38" customFormat="1" ht="27" customHeight="1" x14ac:dyDescent="0.25">
      <c r="A188" s="22" t="s">
        <v>747</v>
      </c>
      <c r="B188" s="22" t="s">
        <v>793</v>
      </c>
      <c r="C188" s="22" t="s">
        <v>703</v>
      </c>
      <c r="D188" s="22">
        <v>38500</v>
      </c>
      <c r="E188" s="22">
        <v>3000</v>
      </c>
      <c r="F188" s="72">
        <v>0.92207792207792205</v>
      </c>
      <c r="G188" s="72" t="s">
        <v>817</v>
      </c>
      <c r="H188" s="72" t="s">
        <v>817</v>
      </c>
      <c r="I188" s="72" t="s">
        <v>817</v>
      </c>
      <c r="J188" s="72" t="s">
        <v>817</v>
      </c>
      <c r="K188" s="73">
        <v>3.2592349537554174E-2</v>
      </c>
      <c r="L188" s="73">
        <v>1.6821857825834414E-2</v>
      </c>
      <c r="M188" s="22" t="s">
        <v>804</v>
      </c>
      <c r="N188" s="74">
        <v>2010</v>
      </c>
      <c r="O188" s="22" t="s">
        <v>773</v>
      </c>
      <c r="P188" s="22" t="s">
        <v>802</v>
      </c>
      <c r="Q188" s="22" t="s">
        <v>803</v>
      </c>
      <c r="R188" s="22">
        <v>10</v>
      </c>
      <c r="S188" s="33"/>
    </row>
    <row r="189" spans="1:19" s="38" customFormat="1" ht="27" customHeight="1" x14ac:dyDescent="0.25">
      <c r="A189" s="22" t="s">
        <v>759</v>
      </c>
      <c r="B189" s="22" t="s">
        <v>793</v>
      </c>
      <c r="C189" s="22" t="s">
        <v>703</v>
      </c>
      <c r="D189" s="22">
        <v>38500</v>
      </c>
      <c r="E189" s="22">
        <v>8000</v>
      </c>
      <c r="F189" s="72">
        <v>0.79220779220779225</v>
      </c>
      <c r="G189" s="72" t="s">
        <v>817</v>
      </c>
      <c r="H189" s="72" t="s">
        <v>817</v>
      </c>
      <c r="I189" s="72" t="s">
        <v>817</v>
      </c>
      <c r="J189" s="72" t="s">
        <v>817</v>
      </c>
      <c r="K189" s="73">
        <v>0.18924590054063714</v>
      </c>
      <c r="L189" s="75">
        <v>4.2054644564586035E-3</v>
      </c>
      <c r="M189" s="22" t="s">
        <v>808</v>
      </c>
      <c r="N189" s="80">
        <v>2010</v>
      </c>
      <c r="O189" s="22" t="s">
        <v>773</v>
      </c>
      <c r="P189" s="22" t="s">
        <v>802</v>
      </c>
      <c r="Q189" s="22" t="s">
        <v>803</v>
      </c>
      <c r="R189" s="22">
        <v>10</v>
      </c>
      <c r="S189" s="33"/>
    </row>
    <row r="190" spans="1:19" s="38" customFormat="1" ht="27" customHeight="1" x14ac:dyDescent="0.25">
      <c r="A190" s="22" t="s">
        <v>759</v>
      </c>
      <c r="B190" s="22" t="s">
        <v>793</v>
      </c>
      <c r="C190" s="72" t="s">
        <v>817</v>
      </c>
      <c r="D190" s="72" t="s">
        <v>817</v>
      </c>
      <c r="E190" s="72" t="s">
        <v>817</v>
      </c>
      <c r="F190" s="72" t="s">
        <v>817</v>
      </c>
      <c r="G190" s="22" t="s">
        <v>706</v>
      </c>
      <c r="H190" s="22">
        <v>9100</v>
      </c>
      <c r="I190" s="22">
        <v>1000</v>
      </c>
      <c r="J190" s="72">
        <v>0.89010989010989006</v>
      </c>
      <c r="K190" s="73">
        <v>0.21027322282293018</v>
      </c>
      <c r="L190" s="73">
        <v>1.0513661141146508E-2</v>
      </c>
      <c r="M190" s="22" t="s">
        <v>808</v>
      </c>
      <c r="N190" s="80">
        <v>2010</v>
      </c>
      <c r="O190" s="22" t="s">
        <v>773</v>
      </c>
      <c r="P190" s="22" t="s">
        <v>802</v>
      </c>
      <c r="Q190" s="22" t="s">
        <v>803</v>
      </c>
      <c r="R190" s="22">
        <v>10</v>
      </c>
      <c r="S190" s="33"/>
    </row>
    <row r="191" spans="1:19" s="38" customFormat="1" ht="27" customHeight="1" x14ac:dyDescent="0.25">
      <c r="A191" s="22" t="s">
        <v>759</v>
      </c>
      <c r="B191" s="22" t="s">
        <v>793</v>
      </c>
      <c r="C191" s="22" t="s">
        <v>703</v>
      </c>
      <c r="D191" s="22">
        <v>38500</v>
      </c>
      <c r="E191" s="22">
        <v>8000</v>
      </c>
      <c r="F191" s="72">
        <v>0.79220779220779225</v>
      </c>
      <c r="G191" s="22" t="s">
        <v>706</v>
      </c>
      <c r="H191" s="22">
        <v>9100</v>
      </c>
      <c r="I191" s="22">
        <v>1000</v>
      </c>
      <c r="J191" s="72">
        <v>0.89010989010989006</v>
      </c>
      <c r="K191" s="73">
        <v>0.24181420624636971</v>
      </c>
      <c r="L191" s="73">
        <v>0</v>
      </c>
      <c r="M191" s="22" t="s">
        <v>808</v>
      </c>
      <c r="N191" s="80">
        <v>2010</v>
      </c>
      <c r="O191" s="22" t="s">
        <v>773</v>
      </c>
      <c r="P191" s="22" t="s">
        <v>802</v>
      </c>
      <c r="Q191" s="22" t="s">
        <v>803</v>
      </c>
      <c r="R191" s="22">
        <v>10</v>
      </c>
      <c r="S191" s="33"/>
    </row>
    <row r="192" spans="1:19" s="38" customFormat="1" ht="27" customHeight="1" x14ac:dyDescent="0.25">
      <c r="A192" s="22" t="s">
        <v>747</v>
      </c>
      <c r="B192" s="22" t="s">
        <v>793</v>
      </c>
      <c r="C192" s="22" t="s">
        <v>703</v>
      </c>
      <c r="D192" s="22">
        <v>38500</v>
      </c>
      <c r="E192" s="22">
        <v>8000</v>
      </c>
      <c r="F192" s="72">
        <v>0.79220779220779225</v>
      </c>
      <c r="G192" s="22" t="s">
        <v>706</v>
      </c>
      <c r="H192" s="22">
        <v>9100</v>
      </c>
      <c r="I192" s="22">
        <v>1000</v>
      </c>
      <c r="J192" s="72">
        <v>0.89010989010989006</v>
      </c>
      <c r="K192" s="73">
        <v>0.24181420624636971</v>
      </c>
      <c r="L192" s="73">
        <v>6.3081966846879056E-2</v>
      </c>
      <c r="M192" s="22" t="s">
        <v>796</v>
      </c>
      <c r="N192" s="80">
        <v>2010</v>
      </c>
      <c r="O192" s="22" t="s">
        <v>773</v>
      </c>
      <c r="P192" s="22" t="s">
        <v>802</v>
      </c>
      <c r="Q192" s="22" t="s">
        <v>803</v>
      </c>
      <c r="R192" s="22">
        <v>10</v>
      </c>
      <c r="S192" s="33"/>
    </row>
    <row r="193" spans="1:19" s="38" customFormat="1" ht="27" customHeight="1" x14ac:dyDescent="0.25">
      <c r="A193" s="22" t="s">
        <v>747</v>
      </c>
      <c r="B193" s="22" t="s">
        <v>793</v>
      </c>
      <c r="C193" s="72" t="s">
        <v>817</v>
      </c>
      <c r="D193" s="72" t="s">
        <v>817</v>
      </c>
      <c r="E193" s="72" t="s">
        <v>817</v>
      </c>
      <c r="F193" s="72" t="s">
        <v>817</v>
      </c>
      <c r="G193" s="22" t="s">
        <v>706</v>
      </c>
      <c r="H193" s="22">
        <v>9100</v>
      </c>
      <c r="I193" s="22">
        <v>1000</v>
      </c>
      <c r="J193" s="72">
        <v>0.89010989010989006</v>
      </c>
      <c r="K193" s="73">
        <v>0.24181420624636971</v>
      </c>
      <c r="L193" s="73">
        <v>6.3081966846879056E-2</v>
      </c>
      <c r="M193" s="22" t="s">
        <v>796</v>
      </c>
      <c r="N193" s="80">
        <v>2010</v>
      </c>
      <c r="O193" s="22" t="s">
        <v>773</v>
      </c>
      <c r="P193" s="22" t="s">
        <v>802</v>
      </c>
      <c r="Q193" s="22" t="s">
        <v>803</v>
      </c>
      <c r="R193" s="22">
        <v>10</v>
      </c>
      <c r="S193" s="33"/>
    </row>
    <row r="194" spans="1:19" s="38" customFormat="1" ht="27" customHeight="1" x14ac:dyDescent="0.25">
      <c r="A194" s="22" t="s">
        <v>736</v>
      </c>
      <c r="B194" s="22" t="s">
        <v>793</v>
      </c>
      <c r="C194" s="72" t="s">
        <v>817</v>
      </c>
      <c r="D194" s="72" t="s">
        <v>817</v>
      </c>
      <c r="E194" s="72" t="s">
        <v>817</v>
      </c>
      <c r="F194" s="72" t="s">
        <v>817</v>
      </c>
      <c r="G194" s="22" t="s">
        <v>706</v>
      </c>
      <c r="H194" s="22">
        <v>9100</v>
      </c>
      <c r="I194" s="22">
        <v>1000</v>
      </c>
      <c r="J194" s="72">
        <v>0.89010989010989006</v>
      </c>
      <c r="K194" s="73">
        <v>0.24181420624636971</v>
      </c>
      <c r="L194" s="73">
        <v>0.14719125597605112</v>
      </c>
      <c r="M194" s="22" t="s">
        <v>808</v>
      </c>
      <c r="N194" s="80">
        <v>2010</v>
      </c>
      <c r="O194" s="22" t="s">
        <v>773</v>
      </c>
      <c r="P194" s="22" t="s">
        <v>802</v>
      </c>
      <c r="Q194" s="22" t="s">
        <v>803</v>
      </c>
      <c r="R194" s="22">
        <v>10</v>
      </c>
      <c r="S194" s="33" t="s">
        <v>807</v>
      </c>
    </row>
    <row r="195" spans="1:19" s="38" customFormat="1" ht="27" customHeight="1" x14ac:dyDescent="0.25">
      <c r="A195" s="22" t="s">
        <v>759</v>
      </c>
      <c r="B195" s="22" t="s">
        <v>793</v>
      </c>
      <c r="C195" s="22" t="s">
        <v>703</v>
      </c>
      <c r="D195" s="22">
        <v>38500</v>
      </c>
      <c r="E195" s="22">
        <v>8000</v>
      </c>
      <c r="F195" s="72">
        <v>0.79220779220779225</v>
      </c>
      <c r="G195" s="72" t="s">
        <v>817</v>
      </c>
      <c r="H195" s="72" t="s">
        <v>817</v>
      </c>
      <c r="I195" s="72" t="s">
        <v>817</v>
      </c>
      <c r="J195" s="72" t="s">
        <v>817</v>
      </c>
      <c r="K195" s="73">
        <v>0.25232786738751622</v>
      </c>
      <c r="L195" s="73">
        <v>1.0513661141146508E-2</v>
      </c>
      <c r="M195" s="22" t="s">
        <v>810</v>
      </c>
      <c r="N195" s="80">
        <v>2010</v>
      </c>
      <c r="O195" s="22" t="s">
        <v>773</v>
      </c>
      <c r="P195" s="22" t="s">
        <v>802</v>
      </c>
      <c r="Q195" s="22" t="s">
        <v>803</v>
      </c>
      <c r="R195" s="22">
        <v>10</v>
      </c>
      <c r="S195" s="33"/>
    </row>
    <row r="196" spans="1:19" s="38" customFormat="1" ht="27" customHeight="1" x14ac:dyDescent="0.25">
      <c r="A196" s="22" t="s">
        <v>736</v>
      </c>
      <c r="B196" s="22" t="s">
        <v>793</v>
      </c>
      <c r="C196" s="72" t="s">
        <v>817</v>
      </c>
      <c r="D196" s="72" t="s">
        <v>817</v>
      </c>
      <c r="E196" s="72" t="s">
        <v>817</v>
      </c>
      <c r="F196" s="72" t="s">
        <v>817</v>
      </c>
      <c r="G196" s="22" t="s">
        <v>706</v>
      </c>
      <c r="H196" s="22">
        <v>9100</v>
      </c>
      <c r="I196" s="22">
        <v>1000</v>
      </c>
      <c r="J196" s="72">
        <v>0.89010989010989006</v>
      </c>
      <c r="K196" s="73">
        <v>0.25232786738751622</v>
      </c>
      <c r="L196" s="73">
        <v>0.1366775948349046</v>
      </c>
      <c r="M196" s="22" t="s">
        <v>796</v>
      </c>
      <c r="N196" s="80">
        <v>2010</v>
      </c>
      <c r="O196" s="22" t="s">
        <v>773</v>
      </c>
      <c r="P196" s="22" t="s">
        <v>802</v>
      </c>
      <c r="Q196" s="22" t="s">
        <v>803</v>
      </c>
      <c r="R196" s="22">
        <v>10</v>
      </c>
      <c r="S196" s="33" t="s">
        <v>807</v>
      </c>
    </row>
    <row r="197" spans="1:19" s="38" customFormat="1" ht="27" customHeight="1" x14ac:dyDescent="0.25">
      <c r="A197" s="22" t="s">
        <v>755</v>
      </c>
      <c r="B197" s="22" t="s">
        <v>793</v>
      </c>
      <c r="C197" s="72" t="s">
        <v>817</v>
      </c>
      <c r="D197" s="72" t="s">
        <v>817</v>
      </c>
      <c r="E197" s="72" t="s">
        <v>817</v>
      </c>
      <c r="F197" s="72" t="s">
        <v>817</v>
      </c>
      <c r="G197" s="22" t="s">
        <v>706</v>
      </c>
      <c r="H197" s="22">
        <v>9100</v>
      </c>
      <c r="I197" s="22">
        <v>1000</v>
      </c>
      <c r="J197" s="72">
        <v>0.89010989010989006</v>
      </c>
      <c r="K197" s="73">
        <v>0.26284152852866272</v>
      </c>
      <c r="L197" s="73">
        <v>0.1366775948349046</v>
      </c>
      <c r="M197" s="22" t="s">
        <v>808</v>
      </c>
      <c r="N197" s="80">
        <v>2010</v>
      </c>
      <c r="O197" s="22" t="s">
        <v>773</v>
      </c>
      <c r="P197" s="22" t="s">
        <v>802</v>
      </c>
      <c r="Q197" s="22" t="s">
        <v>803</v>
      </c>
      <c r="R197" s="22">
        <v>10</v>
      </c>
      <c r="S197" s="33"/>
    </row>
    <row r="198" spans="1:19" s="38" customFormat="1" ht="27" customHeight="1" x14ac:dyDescent="0.25">
      <c r="A198" s="22" t="s">
        <v>765</v>
      </c>
      <c r="B198" s="22" t="s">
        <v>793</v>
      </c>
      <c r="C198" s="72" t="s">
        <v>817</v>
      </c>
      <c r="D198" s="72" t="s">
        <v>817</v>
      </c>
      <c r="E198" s="72" t="s">
        <v>817</v>
      </c>
      <c r="F198" s="72" t="s">
        <v>817</v>
      </c>
      <c r="G198" s="22" t="s">
        <v>706</v>
      </c>
      <c r="H198" s="22">
        <v>9100</v>
      </c>
      <c r="I198" s="22">
        <v>1000</v>
      </c>
      <c r="J198" s="72">
        <v>0.89010989010989006</v>
      </c>
      <c r="K198" s="73">
        <v>0.26284152852866272</v>
      </c>
      <c r="L198" s="73">
        <v>0.1366775948349046</v>
      </c>
      <c r="M198" s="22" t="s">
        <v>808</v>
      </c>
      <c r="N198" s="80">
        <v>2010</v>
      </c>
      <c r="O198" s="22" t="s">
        <v>773</v>
      </c>
      <c r="P198" s="22" t="s">
        <v>802</v>
      </c>
      <c r="Q198" s="22" t="s">
        <v>803</v>
      </c>
      <c r="R198" s="22">
        <v>10</v>
      </c>
      <c r="S198" s="33"/>
    </row>
    <row r="199" spans="1:19" s="38" customFormat="1" ht="27" customHeight="1" x14ac:dyDescent="0.25">
      <c r="A199" s="22" t="s">
        <v>841</v>
      </c>
      <c r="B199" s="22" t="s">
        <v>793</v>
      </c>
      <c r="C199" s="72" t="s">
        <v>817</v>
      </c>
      <c r="D199" s="72" t="s">
        <v>817</v>
      </c>
      <c r="E199" s="72" t="s">
        <v>817</v>
      </c>
      <c r="F199" s="72" t="s">
        <v>817</v>
      </c>
      <c r="G199" s="22" t="s">
        <v>706</v>
      </c>
      <c r="H199" s="22">
        <v>9100</v>
      </c>
      <c r="I199" s="22">
        <v>1000</v>
      </c>
      <c r="J199" s="72">
        <v>0.89010989010989006</v>
      </c>
      <c r="K199" s="73">
        <v>0.26284152852866272</v>
      </c>
      <c r="L199" s="73">
        <v>0.1366775948349046</v>
      </c>
      <c r="M199" s="22" t="s">
        <v>808</v>
      </c>
      <c r="N199" s="80">
        <v>2010</v>
      </c>
      <c r="O199" s="22" t="s">
        <v>773</v>
      </c>
      <c r="P199" s="22" t="s">
        <v>802</v>
      </c>
      <c r="Q199" s="22" t="s">
        <v>803</v>
      </c>
      <c r="R199" s="22">
        <v>10</v>
      </c>
      <c r="S199" s="33"/>
    </row>
    <row r="200" spans="1:19" s="38" customFormat="1" ht="27" customHeight="1" x14ac:dyDescent="0.25">
      <c r="A200" s="22" t="s">
        <v>719</v>
      </c>
      <c r="B200" s="22" t="s">
        <v>793</v>
      </c>
      <c r="C200" s="72" t="s">
        <v>817</v>
      </c>
      <c r="D200" s="72" t="s">
        <v>817</v>
      </c>
      <c r="E200" s="72" t="s">
        <v>817</v>
      </c>
      <c r="F200" s="72" t="s">
        <v>817</v>
      </c>
      <c r="G200" s="22" t="s">
        <v>706</v>
      </c>
      <c r="H200" s="22">
        <v>9100</v>
      </c>
      <c r="I200" s="22">
        <v>1000</v>
      </c>
      <c r="J200" s="72">
        <v>0.89010989010989006</v>
      </c>
      <c r="K200" s="73">
        <v>0.26284152852866272</v>
      </c>
      <c r="L200" s="73">
        <v>0.14719125597605112</v>
      </c>
      <c r="M200" s="22" t="s">
        <v>808</v>
      </c>
      <c r="N200" s="80">
        <v>2010</v>
      </c>
      <c r="O200" s="22" t="s">
        <v>773</v>
      </c>
      <c r="P200" s="22" t="s">
        <v>802</v>
      </c>
      <c r="Q200" s="22" t="s">
        <v>803</v>
      </c>
      <c r="R200" s="22">
        <v>10</v>
      </c>
      <c r="S200" s="33"/>
    </row>
    <row r="201" spans="1:19" s="38" customFormat="1" ht="27" customHeight="1" x14ac:dyDescent="0.25">
      <c r="A201" s="22" t="s">
        <v>755</v>
      </c>
      <c r="B201" s="22" t="s">
        <v>793</v>
      </c>
      <c r="C201" s="72" t="s">
        <v>817</v>
      </c>
      <c r="D201" s="72" t="s">
        <v>817</v>
      </c>
      <c r="E201" s="72" t="s">
        <v>817</v>
      </c>
      <c r="F201" s="72" t="s">
        <v>817</v>
      </c>
      <c r="G201" s="22" t="s">
        <v>706</v>
      </c>
      <c r="H201" s="22">
        <v>9100</v>
      </c>
      <c r="I201" s="22">
        <v>1000</v>
      </c>
      <c r="J201" s="72">
        <v>0.89010989010989006</v>
      </c>
      <c r="K201" s="73">
        <v>0.28386885081095575</v>
      </c>
      <c r="L201" s="73">
        <v>0.11565027255261159</v>
      </c>
      <c r="M201" s="22" t="s">
        <v>809</v>
      </c>
      <c r="N201" s="80">
        <v>2010</v>
      </c>
      <c r="O201" s="22" t="s">
        <v>773</v>
      </c>
      <c r="P201" s="22" t="s">
        <v>802</v>
      </c>
      <c r="Q201" s="22" t="s">
        <v>803</v>
      </c>
      <c r="R201" s="22">
        <v>10</v>
      </c>
      <c r="S201" s="33"/>
    </row>
    <row r="202" spans="1:19" s="38" customFormat="1" ht="27" customHeight="1" x14ac:dyDescent="0.25">
      <c r="A202" s="22" t="s">
        <v>765</v>
      </c>
      <c r="B202" s="22" t="s">
        <v>793</v>
      </c>
      <c r="C202" s="72" t="s">
        <v>817</v>
      </c>
      <c r="D202" s="72" t="s">
        <v>817</v>
      </c>
      <c r="E202" s="72" t="s">
        <v>817</v>
      </c>
      <c r="F202" s="72" t="s">
        <v>817</v>
      </c>
      <c r="G202" s="22" t="s">
        <v>706</v>
      </c>
      <c r="H202" s="22">
        <v>9100</v>
      </c>
      <c r="I202" s="22">
        <v>1000</v>
      </c>
      <c r="J202" s="72">
        <v>0.89010989010989006</v>
      </c>
      <c r="K202" s="73">
        <v>0.28386885081095575</v>
      </c>
      <c r="L202" s="73">
        <v>0.11565027255261159</v>
      </c>
      <c r="M202" s="22" t="s">
        <v>809</v>
      </c>
      <c r="N202" s="80">
        <v>2010</v>
      </c>
      <c r="O202" s="22" t="s">
        <v>773</v>
      </c>
      <c r="P202" s="22" t="s">
        <v>802</v>
      </c>
      <c r="Q202" s="22" t="s">
        <v>803</v>
      </c>
      <c r="R202" s="22">
        <v>10</v>
      </c>
      <c r="S202" s="33"/>
    </row>
    <row r="203" spans="1:19" s="38" customFormat="1" ht="27" customHeight="1" x14ac:dyDescent="0.25">
      <c r="A203" s="22" t="s">
        <v>841</v>
      </c>
      <c r="B203" s="22" t="s">
        <v>793</v>
      </c>
      <c r="C203" s="72" t="s">
        <v>817</v>
      </c>
      <c r="D203" s="72" t="s">
        <v>817</v>
      </c>
      <c r="E203" s="72" t="s">
        <v>817</v>
      </c>
      <c r="F203" s="72" t="s">
        <v>817</v>
      </c>
      <c r="G203" s="22" t="s">
        <v>706</v>
      </c>
      <c r="H203" s="22">
        <v>9100</v>
      </c>
      <c r="I203" s="22">
        <v>1000</v>
      </c>
      <c r="J203" s="72">
        <v>0.89010989010989006</v>
      </c>
      <c r="K203" s="73">
        <v>0.28386885081095575</v>
      </c>
      <c r="L203" s="73">
        <v>0.11565027255261159</v>
      </c>
      <c r="M203" s="22" t="s">
        <v>809</v>
      </c>
      <c r="N203" s="80">
        <v>2010</v>
      </c>
      <c r="O203" s="22" t="s">
        <v>773</v>
      </c>
      <c r="P203" s="22" t="s">
        <v>802</v>
      </c>
      <c r="Q203" s="22" t="s">
        <v>803</v>
      </c>
      <c r="R203" s="22">
        <v>10</v>
      </c>
      <c r="S203" s="33"/>
    </row>
    <row r="204" spans="1:19" s="38" customFormat="1" ht="27" customHeight="1" x14ac:dyDescent="0.25">
      <c r="A204" s="22" t="s">
        <v>719</v>
      </c>
      <c r="B204" s="22" t="s">
        <v>793</v>
      </c>
      <c r="C204" s="72" t="s">
        <v>817</v>
      </c>
      <c r="D204" s="72" t="s">
        <v>817</v>
      </c>
      <c r="E204" s="72" t="s">
        <v>817</v>
      </c>
      <c r="F204" s="72" t="s">
        <v>817</v>
      </c>
      <c r="G204" s="22" t="s">
        <v>706</v>
      </c>
      <c r="H204" s="22">
        <v>9100</v>
      </c>
      <c r="I204" s="22">
        <v>1000</v>
      </c>
      <c r="J204" s="72">
        <v>0.89010989010989006</v>
      </c>
      <c r="K204" s="73">
        <v>0.28386885081095575</v>
      </c>
      <c r="L204" s="73">
        <v>0.12616393369375811</v>
      </c>
      <c r="M204" s="22" t="s">
        <v>809</v>
      </c>
      <c r="N204" s="80">
        <v>2010</v>
      </c>
      <c r="O204" s="22" t="s">
        <v>773</v>
      </c>
      <c r="P204" s="22" t="s">
        <v>802</v>
      </c>
      <c r="Q204" s="22" t="s">
        <v>803</v>
      </c>
      <c r="R204" s="22">
        <v>10</v>
      </c>
      <c r="S204" s="33"/>
    </row>
    <row r="205" spans="1:19" s="38" customFormat="1" ht="27" customHeight="1" x14ac:dyDescent="0.25">
      <c r="A205" s="22" t="s">
        <v>747</v>
      </c>
      <c r="B205" s="22" t="s">
        <v>793</v>
      </c>
      <c r="C205" s="72" t="s">
        <v>817</v>
      </c>
      <c r="D205" s="72" t="s">
        <v>817</v>
      </c>
      <c r="E205" s="72" t="s">
        <v>817</v>
      </c>
      <c r="F205" s="72" t="s">
        <v>817</v>
      </c>
      <c r="G205" s="22" t="s">
        <v>706</v>
      </c>
      <c r="H205" s="22">
        <v>9100</v>
      </c>
      <c r="I205" s="22">
        <v>100</v>
      </c>
      <c r="J205" s="72">
        <v>0.98901098901098905</v>
      </c>
      <c r="K205" s="73">
        <v>0.29438251195210224</v>
      </c>
      <c r="L205" s="73">
        <v>9.462295027031857E-2</v>
      </c>
      <c r="M205" s="22" t="s">
        <v>796</v>
      </c>
      <c r="N205" s="80">
        <v>2010</v>
      </c>
      <c r="O205" s="22" t="s">
        <v>773</v>
      </c>
      <c r="P205" s="22" t="s">
        <v>802</v>
      </c>
      <c r="Q205" s="22" t="s">
        <v>803</v>
      </c>
      <c r="R205" s="22">
        <v>10</v>
      </c>
      <c r="S205" s="33"/>
    </row>
    <row r="206" spans="1:19" s="38" customFormat="1" ht="27" customHeight="1" x14ac:dyDescent="0.25">
      <c r="A206" s="22" t="s">
        <v>747</v>
      </c>
      <c r="B206" s="22" t="s">
        <v>793</v>
      </c>
      <c r="C206" s="22" t="s">
        <v>703</v>
      </c>
      <c r="D206" s="22">
        <v>38500</v>
      </c>
      <c r="E206" s="22">
        <v>3000</v>
      </c>
      <c r="F206" s="72">
        <v>0.92207792207792205</v>
      </c>
      <c r="G206" s="22" t="s">
        <v>706</v>
      </c>
      <c r="H206" s="22">
        <v>9100</v>
      </c>
      <c r="I206" s="22">
        <v>100</v>
      </c>
      <c r="J206" s="72">
        <v>0.98901098901098905</v>
      </c>
      <c r="K206" s="73">
        <v>0.29438251195210224</v>
      </c>
      <c r="L206" s="73">
        <v>0.10513661141146509</v>
      </c>
      <c r="M206" s="22" t="s">
        <v>796</v>
      </c>
      <c r="N206" s="74">
        <v>2010</v>
      </c>
      <c r="O206" s="22" t="s">
        <v>773</v>
      </c>
      <c r="P206" s="22" t="s">
        <v>802</v>
      </c>
      <c r="Q206" s="22" t="s">
        <v>803</v>
      </c>
      <c r="R206" s="22">
        <v>10</v>
      </c>
      <c r="S206" s="33"/>
    </row>
    <row r="207" spans="1:19" s="38" customFormat="1" ht="27" customHeight="1" x14ac:dyDescent="0.25">
      <c r="A207" s="22" t="s">
        <v>736</v>
      </c>
      <c r="B207" s="22" t="s">
        <v>793</v>
      </c>
      <c r="C207" s="72" t="s">
        <v>817</v>
      </c>
      <c r="D207" s="72" t="s">
        <v>817</v>
      </c>
      <c r="E207" s="72" t="s">
        <v>817</v>
      </c>
      <c r="F207" s="72" t="s">
        <v>817</v>
      </c>
      <c r="G207" s="22" t="s">
        <v>706</v>
      </c>
      <c r="H207" s="22">
        <v>9100</v>
      </c>
      <c r="I207" s="22">
        <v>1000</v>
      </c>
      <c r="J207" s="72">
        <v>0.89010989010989006</v>
      </c>
      <c r="K207" s="73">
        <v>0.30489617309324873</v>
      </c>
      <c r="L207" s="73">
        <v>9.462295027031857E-2</v>
      </c>
      <c r="M207" s="22" t="s">
        <v>796</v>
      </c>
      <c r="N207" s="80">
        <v>2010</v>
      </c>
      <c r="O207" s="22" t="s">
        <v>773</v>
      </c>
      <c r="P207" s="22" t="s">
        <v>802</v>
      </c>
      <c r="Q207" s="22" t="s">
        <v>803</v>
      </c>
      <c r="R207" s="22">
        <v>10</v>
      </c>
      <c r="S207" s="33" t="s">
        <v>805</v>
      </c>
    </row>
    <row r="208" spans="1:19" s="38" customFormat="1" ht="27" customHeight="1" x14ac:dyDescent="0.25">
      <c r="A208" s="22" t="s">
        <v>736</v>
      </c>
      <c r="B208" s="22" t="s">
        <v>793</v>
      </c>
      <c r="C208" s="22" t="s">
        <v>703</v>
      </c>
      <c r="D208" s="22">
        <v>38500</v>
      </c>
      <c r="E208" s="22">
        <v>8000</v>
      </c>
      <c r="F208" s="72">
        <v>0.79220779220779225</v>
      </c>
      <c r="G208" s="72" t="s">
        <v>817</v>
      </c>
      <c r="H208" s="72" t="s">
        <v>817</v>
      </c>
      <c r="I208" s="72" t="s">
        <v>817</v>
      </c>
      <c r="J208" s="72" t="s">
        <v>817</v>
      </c>
      <c r="K208" s="73">
        <v>0.32592349537554177</v>
      </c>
      <c r="L208" s="73">
        <v>-5.2568305705732545E-2</v>
      </c>
      <c r="M208" s="22" t="s">
        <v>796</v>
      </c>
      <c r="N208" s="80">
        <v>2010</v>
      </c>
      <c r="O208" s="22" t="s">
        <v>773</v>
      </c>
      <c r="P208" s="22" t="s">
        <v>802</v>
      </c>
      <c r="Q208" s="22" t="s">
        <v>803</v>
      </c>
      <c r="R208" s="22">
        <v>10</v>
      </c>
      <c r="S208" s="33" t="s">
        <v>805</v>
      </c>
    </row>
    <row r="209" spans="1:19" s="38" customFormat="1" ht="27" customHeight="1" x14ac:dyDescent="0.25">
      <c r="A209" s="22" t="s">
        <v>747</v>
      </c>
      <c r="B209" s="22" t="s">
        <v>793</v>
      </c>
      <c r="C209" s="22" t="s">
        <v>703</v>
      </c>
      <c r="D209" s="22">
        <v>38500</v>
      </c>
      <c r="E209" s="22">
        <v>8000</v>
      </c>
      <c r="F209" s="72">
        <v>0.79220779220779225</v>
      </c>
      <c r="G209" s="22" t="s">
        <v>706</v>
      </c>
      <c r="H209" s="22">
        <v>9100</v>
      </c>
      <c r="I209" s="22">
        <v>1000</v>
      </c>
      <c r="J209" s="72">
        <v>0.89010989010989006</v>
      </c>
      <c r="K209" s="73">
        <v>0.34695081765783481</v>
      </c>
      <c r="L209" s="73">
        <v>8.4109289129172066E-2</v>
      </c>
      <c r="M209" s="22" t="s">
        <v>808</v>
      </c>
      <c r="N209" s="80">
        <v>2010</v>
      </c>
      <c r="O209" s="22" t="s">
        <v>773</v>
      </c>
      <c r="P209" s="22" t="s">
        <v>802</v>
      </c>
      <c r="Q209" s="22" t="s">
        <v>803</v>
      </c>
      <c r="R209" s="22">
        <v>10</v>
      </c>
      <c r="S209" s="33"/>
    </row>
    <row r="210" spans="1:19" s="38" customFormat="1" ht="27" customHeight="1" x14ac:dyDescent="0.25">
      <c r="A210" s="22" t="s">
        <v>747</v>
      </c>
      <c r="B210" s="22" t="s">
        <v>793</v>
      </c>
      <c r="C210" s="72" t="s">
        <v>817</v>
      </c>
      <c r="D210" s="72" t="s">
        <v>817</v>
      </c>
      <c r="E210" s="72" t="s">
        <v>817</v>
      </c>
      <c r="F210" s="72" t="s">
        <v>817</v>
      </c>
      <c r="G210" s="22" t="s">
        <v>706</v>
      </c>
      <c r="H210" s="22">
        <v>9100</v>
      </c>
      <c r="I210" s="22">
        <v>1000</v>
      </c>
      <c r="J210" s="72">
        <v>0.89010989010989006</v>
      </c>
      <c r="K210" s="73">
        <v>0.34695081765783481</v>
      </c>
      <c r="L210" s="73">
        <v>8.4109289129172066E-2</v>
      </c>
      <c r="M210" s="22" t="s">
        <v>808</v>
      </c>
      <c r="N210" s="80">
        <v>2010</v>
      </c>
      <c r="O210" s="22" t="s">
        <v>773</v>
      </c>
      <c r="P210" s="22" t="s">
        <v>802</v>
      </c>
      <c r="Q210" s="22" t="s">
        <v>803</v>
      </c>
      <c r="R210" s="22">
        <v>10</v>
      </c>
      <c r="S210" s="33"/>
    </row>
    <row r="211" spans="1:19" s="38" customFormat="1" ht="27" customHeight="1" x14ac:dyDescent="0.25">
      <c r="A211" s="22" t="s">
        <v>747</v>
      </c>
      <c r="B211" s="22" t="s">
        <v>793</v>
      </c>
      <c r="C211" s="72" t="s">
        <v>817</v>
      </c>
      <c r="D211" s="72" t="s">
        <v>817</v>
      </c>
      <c r="E211" s="72" t="s">
        <v>817</v>
      </c>
      <c r="F211" s="72" t="s">
        <v>817</v>
      </c>
      <c r="G211" s="22" t="s">
        <v>706</v>
      </c>
      <c r="H211" s="22">
        <v>9100</v>
      </c>
      <c r="I211" s="22">
        <v>100</v>
      </c>
      <c r="J211" s="72">
        <v>0.98901098901098905</v>
      </c>
      <c r="K211" s="73">
        <v>0.3574644787989813</v>
      </c>
      <c r="L211" s="73">
        <v>0.11565027255261159</v>
      </c>
      <c r="M211" s="22" t="s">
        <v>808</v>
      </c>
      <c r="N211" s="80">
        <v>2010</v>
      </c>
      <c r="O211" s="22" t="s">
        <v>773</v>
      </c>
      <c r="P211" s="22" t="s">
        <v>802</v>
      </c>
      <c r="Q211" s="22" t="s">
        <v>803</v>
      </c>
      <c r="R211" s="22">
        <v>10</v>
      </c>
      <c r="S211" s="33"/>
    </row>
    <row r="212" spans="1:19" s="38" customFormat="1" ht="27" customHeight="1" x14ac:dyDescent="0.25">
      <c r="A212" s="22" t="s">
        <v>747</v>
      </c>
      <c r="B212" s="22" t="s">
        <v>793</v>
      </c>
      <c r="C212" s="22" t="s">
        <v>703</v>
      </c>
      <c r="D212" s="22">
        <v>38500</v>
      </c>
      <c r="E212" s="22">
        <v>3000</v>
      </c>
      <c r="F212" s="72">
        <v>0.92207792207792205</v>
      </c>
      <c r="G212" s="22" t="s">
        <v>706</v>
      </c>
      <c r="H212" s="22">
        <v>9100</v>
      </c>
      <c r="I212" s="22">
        <v>100</v>
      </c>
      <c r="J212" s="72">
        <v>0.98901098901098905</v>
      </c>
      <c r="K212" s="73">
        <v>0.36797813994012779</v>
      </c>
      <c r="L212" s="73">
        <v>0.12616393369375811</v>
      </c>
      <c r="M212" s="22" t="s">
        <v>808</v>
      </c>
      <c r="N212" s="74">
        <v>2010</v>
      </c>
      <c r="O212" s="22" t="s">
        <v>773</v>
      </c>
      <c r="P212" s="22" t="s">
        <v>802</v>
      </c>
      <c r="Q212" s="22" t="s">
        <v>803</v>
      </c>
      <c r="R212" s="22">
        <v>10</v>
      </c>
      <c r="S212" s="33"/>
    </row>
    <row r="213" spans="1:19" s="38" customFormat="1" ht="27" customHeight="1" x14ac:dyDescent="0.25">
      <c r="A213" s="22" t="s">
        <v>736</v>
      </c>
      <c r="B213" s="22" t="s">
        <v>793</v>
      </c>
      <c r="C213" s="22" t="s">
        <v>703</v>
      </c>
      <c r="D213" s="22">
        <v>38500</v>
      </c>
      <c r="E213" s="22">
        <v>8000</v>
      </c>
      <c r="F213" s="72">
        <v>0.79220779220779225</v>
      </c>
      <c r="G213" s="22" t="s">
        <v>706</v>
      </c>
      <c r="H213" s="22">
        <v>9100</v>
      </c>
      <c r="I213" s="22">
        <v>1000</v>
      </c>
      <c r="J213" s="72">
        <v>0.89010989010989006</v>
      </c>
      <c r="K213" s="73">
        <v>0.46260109021044638</v>
      </c>
      <c r="L213" s="73">
        <v>5.2568305705732545E-2</v>
      </c>
      <c r="M213" s="22" t="s">
        <v>796</v>
      </c>
      <c r="N213" s="80">
        <v>2010</v>
      </c>
      <c r="O213" s="22" t="s">
        <v>773</v>
      </c>
      <c r="P213" s="22" t="s">
        <v>802</v>
      </c>
      <c r="Q213" s="22" t="s">
        <v>803</v>
      </c>
      <c r="R213" s="22">
        <v>10</v>
      </c>
      <c r="S213" s="33" t="s">
        <v>805</v>
      </c>
    </row>
    <row r="214" spans="1:19" s="38" customFormat="1" ht="27" customHeight="1" x14ac:dyDescent="0.25">
      <c r="A214" s="22" t="s">
        <v>759</v>
      </c>
      <c r="B214" s="22" t="s">
        <v>793</v>
      </c>
      <c r="C214" s="22" t="s">
        <v>703</v>
      </c>
      <c r="D214" s="22">
        <v>38500</v>
      </c>
      <c r="E214" s="22">
        <v>8000</v>
      </c>
      <c r="F214" s="72">
        <v>0.79220779220779225</v>
      </c>
      <c r="G214" s="72" t="s">
        <v>817</v>
      </c>
      <c r="H214" s="72" t="s">
        <v>817</v>
      </c>
      <c r="I214" s="72" t="s">
        <v>817</v>
      </c>
      <c r="J214" s="72" t="s">
        <v>817</v>
      </c>
      <c r="K214" s="73">
        <v>0.47311475135159292</v>
      </c>
      <c r="L214" s="73">
        <v>1.0513661141146508E-2</v>
      </c>
      <c r="M214" s="22" t="s">
        <v>801</v>
      </c>
      <c r="N214" s="80">
        <v>2010</v>
      </c>
      <c r="O214" s="22" t="s">
        <v>773</v>
      </c>
      <c r="P214" s="22" t="s">
        <v>802</v>
      </c>
      <c r="Q214" s="22" t="s">
        <v>803</v>
      </c>
      <c r="R214" s="22">
        <v>10</v>
      </c>
      <c r="S214" s="33"/>
    </row>
    <row r="215" spans="1:19" s="38" customFormat="1" ht="27" customHeight="1" x14ac:dyDescent="0.25">
      <c r="A215" s="22" t="s">
        <v>736</v>
      </c>
      <c r="B215" s="22" t="s">
        <v>793</v>
      </c>
      <c r="C215" s="72" t="s">
        <v>817</v>
      </c>
      <c r="D215" s="72" t="s">
        <v>817</v>
      </c>
      <c r="E215" s="72" t="s">
        <v>817</v>
      </c>
      <c r="F215" s="72" t="s">
        <v>817</v>
      </c>
      <c r="G215" s="22" t="s">
        <v>706</v>
      </c>
      <c r="H215" s="22">
        <v>9100</v>
      </c>
      <c r="I215" s="22">
        <v>1000</v>
      </c>
      <c r="J215" s="72">
        <v>0.89010989010989006</v>
      </c>
      <c r="K215" s="73">
        <v>0.48362841249273941</v>
      </c>
      <c r="L215" s="73">
        <v>0.10513661141146509</v>
      </c>
      <c r="M215" s="22" t="s">
        <v>808</v>
      </c>
      <c r="N215" s="80">
        <v>2010</v>
      </c>
      <c r="O215" s="22" t="s">
        <v>773</v>
      </c>
      <c r="P215" s="22" t="s">
        <v>802</v>
      </c>
      <c r="Q215" s="22" t="s">
        <v>803</v>
      </c>
      <c r="R215" s="22">
        <v>10</v>
      </c>
      <c r="S215" s="33" t="s">
        <v>805</v>
      </c>
    </row>
    <row r="216" spans="1:19" s="38" customFormat="1" ht="27" customHeight="1" x14ac:dyDescent="0.25">
      <c r="A216" s="22" t="s">
        <v>759</v>
      </c>
      <c r="B216" s="22" t="s">
        <v>793</v>
      </c>
      <c r="C216" s="72" t="s">
        <v>817</v>
      </c>
      <c r="D216" s="72" t="s">
        <v>817</v>
      </c>
      <c r="E216" s="72" t="s">
        <v>817</v>
      </c>
      <c r="F216" s="72" t="s">
        <v>817</v>
      </c>
      <c r="G216" s="22" t="s">
        <v>706</v>
      </c>
      <c r="H216" s="22">
        <v>9100</v>
      </c>
      <c r="I216" s="22">
        <v>1000</v>
      </c>
      <c r="J216" s="72">
        <v>0.89010989010989006</v>
      </c>
      <c r="K216" s="73">
        <v>0.4941420736338859</v>
      </c>
      <c r="L216" s="73">
        <v>2.1027322282293016E-2</v>
      </c>
      <c r="M216" s="22" t="s">
        <v>804</v>
      </c>
      <c r="N216" s="80">
        <v>2010</v>
      </c>
      <c r="O216" s="22" t="s">
        <v>773</v>
      </c>
      <c r="P216" s="22" t="s">
        <v>802</v>
      </c>
      <c r="Q216" s="22" t="s">
        <v>803</v>
      </c>
      <c r="R216" s="22">
        <v>10</v>
      </c>
      <c r="S216" s="33"/>
    </row>
    <row r="217" spans="1:19" s="38" customFormat="1" ht="27" customHeight="1" x14ac:dyDescent="0.25">
      <c r="A217" s="22" t="s">
        <v>736</v>
      </c>
      <c r="B217" s="22" t="s">
        <v>793</v>
      </c>
      <c r="C217" s="22" t="s">
        <v>703</v>
      </c>
      <c r="D217" s="22">
        <v>38500</v>
      </c>
      <c r="E217" s="22">
        <v>3000</v>
      </c>
      <c r="F217" s="72">
        <v>0.92207792207792205</v>
      </c>
      <c r="G217" s="72" t="s">
        <v>817</v>
      </c>
      <c r="H217" s="72" t="s">
        <v>817</v>
      </c>
      <c r="I217" s="72" t="s">
        <v>817</v>
      </c>
      <c r="J217" s="72" t="s">
        <v>817</v>
      </c>
      <c r="K217" s="73">
        <v>0.51516939591617894</v>
      </c>
      <c r="L217" s="73">
        <v>-1.0513661141146508E-2</v>
      </c>
      <c r="M217" s="22" t="s">
        <v>796</v>
      </c>
      <c r="N217" s="74">
        <v>2010</v>
      </c>
      <c r="O217" s="22" t="s">
        <v>773</v>
      </c>
      <c r="P217" s="22" t="s">
        <v>802</v>
      </c>
      <c r="Q217" s="22" t="s">
        <v>803</v>
      </c>
      <c r="R217" s="22">
        <v>10</v>
      </c>
      <c r="S217" s="33" t="s">
        <v>805</v>
      </c>
    </row>
    <row r="218" spans="1:19" s="38" customFormat="1" ht="27" customHeight="1" x14ac:dyDescent="0.25">
      <c r="A218" s="22" t="s">
        <v>759</v>
      </c>
      <c r="B218" s="22" t="s">
        <v>793</v>
      </c>
      <c r="C218" s="22" t="s">
        <v>703</v>
      </c>
      <c r="D218" s="22">
        <v>38500</v>
      </c>
      <c r="E218" s="22">
        <v>8000</v>
      </c>
      <c r="F218" s="72">
        <v>0.79220779220779225</v>
      </c>
      <c r="G218" s="22" t="s">
        <v>706</v>
      </c>
      <c r="H218" s="22">
        <v>9100</v>
      </c>
      <c r="I218" s="22">
        <v>1000</v>
      </c>
      <c r="J218" s="72">
        <v>0.89010989010989006</v>
      </c>
      <c r="K218" s="73">
        <v>0.52568305705732543</v>
      </c>
      <c r="L218" s="73">
        <v>1.0513661141146508E-2</v>
      </c>
      <c r="M218" s="22" t="s">
        <v>810</v>
      </c>
      <c r="N218" s="80">
        <v>2010</v>
      </c>
      <c r="O218" s="22" t="s">
        <v>773</v>
      </c>
      <c r="P218" s="22" t="s">
        <v>802</v>
      </c>
      <c r="Q218" s="22" t="s">
        <v>803</v>
      </c>
      <c r="R218" s="22">
        <v>10</v>
      </c>
      <c r="S218" s="33"/>
    </row>
    <row r="219" spans="1:19" s="38" customFormat="1" ht="27" customHeight="1" x14ac:dyDescent="0.25">
      <c r="A219" s="22" t="s">
        <v>759</v>
      </c>
      <c r="B219" s="22" t="s">
        <v>793</v>
      </c>
      <c r="C219" s="22" t="s">
        <v>703</v>
      </c>
      <c r="D219" s="22">
        <v>38500</v>
      </c>
      <c r="E219" s="22">
        <v>3000</v>
      </c>
      <c r="F219" s="72">
        <v>0.92207792207792205</v>
      </c>
      <c r="G219" s="72" t="s">
        <v>817</v>
      </c>
      <c r="H219" s="72" t="s">
        <v>817</v>
      </c>
      <c r="I219" s="72" t="s">
        <v>817</v>
      </c>
      <c r="J219" s="72" t="s">
        <v>817</v>
      </c>
      <c r="K219" s="73">
        <v>0.62030600732764396</v>
      </c>
      <c r="L219" s="73">
        <v>0.14719125597605112</v>
      </c>
      <c r="M219" s="22" t="s">
        <v>808</v>
      </c>
      <c r="N219" s="74">
        <v>2010</v>
      </c>
      <c r="O219" s="22" t="s">
        <v>773</v>
      </c>
      <c r="P219" s="22" t="s">
        <v>802</v>
      </c>
      <c r="Q219" s="22" t="s">
        <v>803</v>
      </c>
      <c r="R219" s="22">
        <v>10</v>
      </c>
      <c r="S219" s="33"/>
    </row>
    <row r="220" spans="1:19" s="38" customFormat="1" ht="27" customHeight="1" x14ac:dyDescent="0.25">
      <c r="A220" s="22" t="s">
        <v>736</v>
      </c>
      <c r="B220" s="22" t="s">
        <v>793</v>
      </c>
      <c r="C220" s="22" t="s">
        <v>703</v>
      </c>
      <c r="D220" s="22">
        <v>38500</v>
      </c>
      <c r="E220" s="22">
        <v>8000</v>
      </c>
      <c r="F220" s="72">
        <v>0.79220779220779225</v>
      </c>
      <c r="G220" s="72" t="s">
        <v>817</v>
      </c>
      <c r="H220" s="72" t="s">
        <v>817</v>
      </c>
      <c r="I220" s="72" t="s">
        <v>817</v>
      </c>
      <c r="J220" s="72" t="s">
        <v>817</v>
      </c>
      <c r="K220" s="73">
        <v>0.78852458558598815</v>
      </c>
      <c r="L220" s="73">
        <v>-5.2568305705732545E-2</v>
      </c>
      <c r="M220" s="22" t="s">
        <v>808</v>
      </c>
      <c r="N220" s="80">
        <v>2010</v>
      </c>
      <c r="O220" s="22" t="s">
        <v>773</v>
      </c>
      <c r="P220" s="22" t="s">
        <v>802</v>
      </c>
      <c r="Q220" s="22" t="s">
        <v>803</v>
      </c>
      <c r="R220" s="22">
        <v>10</v>
      </c>
      <c r="S220" s="33" t="s">
        <v>805</v>
      </c>
    </row>
    <row r="221" spans="1:19" s="38" customFormat="1" ht="27" customHeight="1" x14ac:dyDescent="0.25">
      <c r="A221" s="22" t="s">
        <v>736</v>
      </c>
      <c r="B221" s="22" t="s">
        <v>793</v>
      </c>
      <c r="C221" s="72" t="s">
        <v>817</v>
      </c>
      <c r="D221" s="72" t="s">
        <v>817</v>
      </c>
      <c r="E221" s="72" t="s">
        <v>817</v>
      </c>
      <c r="F221" s="72" t="s">
        <v>817</v>
      </c>
      <c r="G221" s="22" t="s">
        <v>706</v>
      </c>
      <c r="H221" s="22">
        <v>9100</v>
      </c>
      <c r="I221" s="22">
        <v>1000</v>
      </c>
      <c r="J221" s="72">
        <v>0.89010989010989006</v>
      </c>
      <c r="K221" s="73">
        <v>0.82006556900942773</v>
      </c>
      <c r="L221" s="73">
        <v>0.19975956168178366</v>
      </c>
      <c r="M221" s="22" t="s">
        <v>804</v>
      </c>
      <c r="N221" s="80">
        <v>2010</v>
      </c>
      <c r="O221" s="22" t="s">
        <v>773</v>
      </c>
      <c r="P221" s="22" t="s">
        <v>802</v>
      </c>
      <c r="Q221" s="22" t="s">
        <v>803</v>
      </c>
      <c r="R221" s="22">
        <v>10</v>
      </c>
      <c r="S221" s="33" t="s">
        <v>807</v>
      </c>
    </row>
    <row r="222" spans="1:19" s="38" customFormat="1" ht="27" customHeight="1" x14ac:dyDescent="0.25">
      <c r="A222" s="22" t="s">
        <v>736</v>
      </c>
      <c r="B222" s="22" t="s">
        <v>793</v>
      </c>
      <c r="C222" s="22" t="s">
        <v>703</v>
      </c>
      <c r="D222" s="22">
        <v>38500</v>
      </c>
      <c r="E222" s="22">
        <v>8000</v>
      </c>
      <c r="F222" s="72">
        <v>0.79220779220779225</v>
      </c>
      <c r="G222" s="22" t="s">
        <v>706</v>
      </c>
      <c r="H222" s="22">
        <v>9100</v>
      </c>
      <c r="I222" s="22">
        <v>1000</v>
      </c>
      <c r="J222" s="72">
        <v>0.89010989010989006</v>
      </c>
      <c r="K222" s="73">
        <v>0.88314753585630668</v>
      </c>
      <c r="L222" s="73">
        <v>8.4109289129172066E-2</v>
      </c>
      <c r="M222" s="22" t="s">
        <v>808</v>
      </c>
      <c r="N222" s="80">
        <v>2010</v>
      </c>
      <c r="O222" s="22" t="s">
        <v>773</v>
      </c>
      <c r="P222" s="22" t="s">
        <v>802</v>
      </c>
      <c r="Q222" s="22" t="s">
        <v>803</v>
      </c>
      <c r="R222" s="22">
        <v>10</v>
      </c>
      <c r="S222" s="33" t="s">
        <v>805</v>
      </c>
    </row>
    <row r="223" spans="1:19" s="38" customFormat="1" ht="27" customHeight="1" x14ac:dyDescent="0.25">
      <c r="A223" s="22" t="s">
        <v>755</v>
      </c>
      <c r="B223" s="22" t="s">
        <v>793</v>
      </c>
      <c r="C223" s="72" t="s">
        <v>817</v>
      </c>
      <c r="D223" s="72" t="s">
        <v>817</v>
      </c>
      <c r="E223" s="72" t="s">
        <v>817</v>
      </c>
      <c r="F223" s="72" t="s">
        <v>817</v>
      </c>
      <c r="G223" s="22" t="s">
        <v>706</v>
      </c>
      <c r="H223" s="22">
        <v>9100</v>
      </c>
      <c r="I223" s="22">
        <v>100</v>
      </c>
      <c r="J223" s="72">
        <v>0.98901098901098905</v>
      </c>
      <c r="K223" s="73">
        <v>1.0093114695500649</v>
      </c>
      <c r="L223" s="73">
        <v>0.14719125597605112</v>
      </c>
      <c r="M223" s="22" t="s">
        <v>809</v>
      </c>
      <c r="N223" s="80">
        <v>2010</v>
      </c>
      <c r="O223" s="22" t="s">
        <v>773</v>
      </c>
      <c r="P223" s="22" t="s">
        <v>802</v>
      </c>
      <c r="Q223" s="22" t="s">
        <v>803</v>
      </c>
      <c r="R223" s="22">
        <v>10</v>
      </c>
      <c r="S223" s="33"/>
    </row>
    <row r="224" spans="1:19" s="38" customFormat="1" ht="27" customHeight="1" x14ac:dyDescent="0.25">
      <c r="A224" s="22" t="s">
        <v>765</v>
      </c>
      <c r="B224" s="22" t="s">
        <v>793</v>
      </c>
      <c r="C224" s="72" t="s">
        <v>817</v>
      </c>
      <c r="D224" s="72" t="s">
        <v>817</v>
      </c>
      <c r="E224" s="72" t="s">
        <v>817</v>
      </c>
      <c r="F224" s="72" t="s">
        <v>817</v>
      </c>
      <c r="G224" s="22" t="s">
        <v>706</v>
      </c>
      <c r="H224" s="22">
        <v>9100</v>
      </c>
      <c r="I224" s="22">
        <v>100</v>
      </c>
      <c r="J224" s="72">
        <v>0.98901098901098905</v>
      </c>
      <c r="K224" s="73">
        <v>1.0093114695500649</v>
      </c>
      <c r="L224" s="73">
        <v>0.14719125597605112</v>
      </c>
      <c r="M224" s="22" t="s">
        <v>809</v>
      </c>
      <c r="N224" s="80">
        <v>2010</v>
      </c>
      <c r="O224" s="22" t="s">
        <v>773</v>
      </c>
      <c r="P224" s="22" t="s">
        <v>802</v>
      </c>
      <c r="Q224" s="22" t="s">
        <v>803</v>
      </c>
      <c r="R224" s="22">
        <v>10</v>
      </c>
      <c r="S224" s="33"/>
    </row>
    <row r="225" spans="1:19" s="38" customFormat="1" ht="27" customHeight="1" x14ac:dyDescent="0.25">
      <c r="A225" s="22" t="s">
        <v>841</v>
      </c>
      <c r="B225" s="22" t="s">
        <v>793</v>
      </c>
      <c r="C225" s="72" t="s">
        <v>817</v>
      </c>
      <c r="D225" s="72" t="s">
        <v>817</v>
      </c>
      <c r="E225" s="72" t="s">
        <v>817</v>
      </c>
      <c r="F225" s="72" t="s">
        <v>817</v>
      </c>
      <c r="G225" s="22" t="s">
        <v>706</v>
      </c>
      <c r="H225" s="22">
        <v>9100</v>
      </c>
      <c r="I225" s="22">
        <v>100</v>
      </c>
      <c r="J225" s="72">
        <v>0.98901098901098905</v>
      </c>
      <c r="K225" s="73">
        <v>1.0093114695500649</v>
      </c>
      <c r="L225" s="73">
        <v>0.14719125597605112</v>
      </c>
      <c r="M225" s="22" t="s">
        <v>809</v>
      </c>
      <c r="N225" s="80">
        <v>2010</v>
      </c>
      <c r="O225" s="22" t="s">
        <v>773</v>
      </c>
      <c r="P225" s="22" t="s">
        <v>802</v>
      </c>
      <c r="Q225" s="22" t="s">
        <v>803</v>
      </c>
      <c r="R225" s="22">
        <v>10</v>
      </c>
      <c r="S225" s="33"/>
    </row>
    <row r="226" spans="1:19" s="38" customFormat="1" ht="27" customHeight="1" x14ac:dyDescent="0.25">
      <c r="A226" s="22" t="s">
        <v>719</v>
      </c>
      <c r="B226" s="22" t="s">
        <v>793</v>
      </c>
      <c r="C226" s="72" t="s">
        <v>817</v>
      </c>
      <c r="D226" s="72" t="s">
        <v>817</v>
      </c>
      <c r="E226" s="72" t="s">
        <v>817</v>
      </c>
      <c r="F226" s="72" t="s">
        <v>817</v>
      </c>
      <c r="G226" s="22" t="s">
        <v>706</v>
      </c>
      <c r="H226" s="22">
        <v>9100</v>
      </c>
      <c r="I226" s="22">
        <v>100</v>
      </c>
      <c r="J226" s="72">
        <v>0.98901098901098905</v>
      </c>
      <c r="K226" s="73">
        <v>1.0093114695500649</v>
      </c>
      <c r="L226" s="73">
        <v>0.15770491711719761</v>
      </c>
      <c r="M226" s="22" t="s">
        <v>809</v>
      </c>
      <c r="N226" s="80">
        <v>2010</v>
      </c>
      <c r="O226" s="22" t="s">
        <v>773</v>
      </c>
      <c r="P226" s="22" t="s">
        <v>802</v>
      </c>
      <c r="Q226" s="22" t="s">
        <v>803</v>
      </c>
      <c r="R226" s="22">
        <v>10</v>
      </c>
      <c r="S226" s="33"/>
    </row>
    <row r="227" spans="1:19" s="38" customFormat="1" ht="27" customHeight="1" x14ac:dyDescent="0.25">
      <c r="A227" s="22" t="s">
        <v>759</v>
      </c>
      <c r="B227" s="22" t="s">
        <v>793</v>
      </c>
      <c r="C227" s="22" t="s">
        <v>703</v>
      </c>
      <c r="D227" s="22">
        <v>38500</v>
      </c>
      <c r="E227" s="22">
        <v>3000</v>
      </c>
      <c r="F227" s="72">
        <v>0.92207792207792205</v>
      </c>
      <c r="G227" s="72" t="s">
        <v>817</v>
      </c>
      <c r="H227" s="72" t="s">
        <v>817</v>
      </c>
      <c r="I227" s="72" t="s">
        <v>817</v>
      </c>
      <c r="J227" s="72" t="s">
        <v>817</v>
      </c>
      <c r="K227" s="73">
        <v>1.0093114695500649</v>
      </c>
      <c r="L227" s="73">
        <v>0.32592349537554177</v>
      </c>
      <c r="M227" s="22" t="s">
        <v>804</v>
      </c>
      <c r="N227" s="74">
        <v>2010</v>
      </c>
      <c r="O227" s="22" t="s">
        <v>773</v>
      </c>
      <c r="P227" s="22" t="s">
        <v>802</v>
      </c>
      <c r="Q227" s="22" t="s">
        <v>803</v>
      </c>
      <c r="R227" s="22">
        <v>10</v>
      </c>
      <c r="S227" s="33"/>
    </row>
    <row r="228" spans="1:19" s="38" customFormat="1" ht="27" customHeight="1" x14ac:dyDescent="0.25">
      <c r="A228" s="22" t="s">
        <v>736</v>
      </c>
      <c r="B228" s="22" t="s">
        <v>793</v>
      </c>
      <c r="C228" s="72" t="s">
        <v>817</v>
      </c>
      <c r="D228" s="72" t="s">
        <v>817</v>
      </c>
      <c r="E228" s="72" t="s">
        <v>817</v>
      </c>
      <c r="F228" s="72">
        <v>0.89010989010989006</v>
      </c>
      <c r="G228" s="22" t="s">
        <v>706</v>
      </c>
      <c r="H228" s="22">
        <v>9100</v>
      </c>
      <c r="I228" s="22">
        <v>1000</v>
      </c>
      <c r="J228" s="72">
        <v>0.98901098901098905</v>
      </c>
      <c r="K228" s="73">
        <v>1.0513661141146509</v>
      </c>
      <c r="L228" s="73">
        <v>0.14719125597605112</v>
      </c>
      <c r="M228" s="22" t="s">
        <v>804</v>
      </c>
      <c r="N228" s="80">
        <v>2010</v>
      </c>
      <c r="O228" s="22" t="s">
        <v>773</v>
      </c>
      <c r="P228" s="22" t="s">
        <v>802</v>
      </c>
      <c r="Q228" s="22" t="s">
        <v>803</v>
      </c>
      <c r="R228" s="22">
        <v>10</v>
      </c>
      <c r="S228" s="33" t="s">
        <v>805</v>
      </c>
    </row>
    <row r="229" spans="1:19" s="38" customFormat="1" ht="27" customHeight="1" x14ac:dyDescent="0.25">
      <c r="A229" s="22" t="s">
        <v>736</v>
      </c>
      <c r="B229" s="22" t="s">
        <v>793</v>
      </c>
      <c r="C229" s="72" t="s">
        <v>817</v>
      </c>
      <c r="D229" s="72" t="s">
        <v>817</v>
      </c>
      <c r="E229" s="72" t="s">
        <v>817</v>
      </c>
      <c r="F229" s="72">
        <v>0.98901098901098905</v>
      </c>
      <c r="G229" s="22" t="s">
        <v>706</v>
      </c>
      <c r="H229" s="22">
        <v>9100</v>
      </c>
      <c r="I229" s="22">
        <v>100</v>
      </c>
      <c r="J229" s="72">
        <v>0.98901098901098905</v>
      </c>
      <c r="K229" s="73">
        <v>1.0618797752557974</v>
      </c>
      <c r="L229" s="73">
        <v>0.19975956168178366</v>
      </c>
      <c r="M229" s="22" t="s">
        <v>796</v>
      </c>
      <c r="N229" s="80">
        <v>2010</v>
      </c>
      <c r="O229" s="22" t="s">
        <v>773</v>
      </c>
      <c r="P229" s="22" t="s">
        <v>802</v>
      </c>
      <c r="Q229" s="22" t="s">
        <v>803</v>
      </c>
      <c r="R229" s="22">
        <v>10</v>
      </c>
      <c r="S229" s="33"/>
    </row>
    <row r="230" spans="1:19" s="38" customFormat="1" ht="27" customHeight="1" x14ac:dyDescent="0.25">
      <c r="A230" s="22" t="s">
        <v>736</v>
      </c>
      <c r="B230" s="22" t="s">
        <v>793</v>
      </c>
      <c r="C230" s="22" t="s">
        <v>703</v>
      </c>
      <c r="D230" s="22">
        <v>38500</v>
      </c>
      <c r="E230" s="22">
        <v>8000</v>
      </c>
      <c r="F230" s="72">
        <v>0.79220779220779225</v>
      </c>
      <c r="G230" s="72" t="s">
        <v>817</v>
      </c>
      <c r="H230" s="72" t="s">
        <v>817</v>
      </c>
      <c r="I230" s="72" t="s">
        <v>817</v>
      </c>
      <c r="J230" s="72" t="s">
        <v>817</v>
      </c>
      <c r="K230" s="73">
        <v>1.1249617421026765</v>
      </c>
      <c r="L230" s="73">
        <v>2.1027322282293016E-2</v>
      </c>
      <c r="M230" s="22" t="s">
        <v>804</v>
      </c>
      <c r="N230" s="80">
        <v>2010</v>
      </c>
      <c r="O230" s="22" t="s">
        <v>773</v>
      </c>
      <c r="P230" s="22" t="s">
        <v>802</v>
      </c>
      <c r="Q230" s="22" t="s">
        <v>803</v>
      </c>
      <c r="R230" s="22">
        <v>10</v>
      </c>
      <c r="S230" s="33" t="s">
        <v>805</v>
      </c>
    </row>
    <row r="231" spans="1:19" s="38" customFormat="1" ht="27" customHeight="1" x14ac:dyDescent="0.25">
      <c r="A231" s="22" t="s">
        <v>736</v>
      </c>
      <c r="B231" s="22" t="s">
        <v>793</v>
      </c>
      <c r="C231" s="72" t="s">
        <v>817</v>
      </c>
      <c r="D231" s="72" t="s">
        <v>817</v>
      </c>
      <c r="E231" s="72" t="s">
        <v>817</v>
      </c>
      <c r="F231" s="72" t="s">
        <v>817</v>
      </c>
      <c r="G231" s="22" t="s">
        <v>706</v>
      </c>
      <c r="H231" s="22">
        <v>9100</v>
      </c>
      <c r="I231" s="22">
        <v>100</v>
      </c>
      <c r="J231" s="72">
        <v>0.98901098901098905</v>
      </c>
      <c r="K231" s="73">
        <v>1.1249617421026765</v>
      </c>
      <c r="L231" s="73">
        <v>0.15770491711719761</v>
      </c>
      <c r="M231" s="22" t="s">
        <v>796</v>
      </c>
      <c r="N231" s="80">
        <v>2010</v>
      </c>
      <c r="O231" s="22" t="s">
        <v>773</v>
      </c>
      <c r="P231" s="22" t="s">
        <v>802</v>
      </c>
      <c r="Q231" s="22" t="s">
        <v>803</v>
      </c>
      <c r="R231" s="22">
        <v>10</v>
      </c>
      <c r="S231" s="33"/>
    </row>
    <row r="232" spans="1:19" s="38" customFormat="1" ht="27" customHeight="1" x14ac:dyDescent="0.25">
      <c r="A232" s="22" t="s">
        <v>736</v>
      </c>
      <c r="B232" s="22" t="s">
        <v>793</v>
      </c>
      <c r="C232" s="22" t="s">
        <v>703</v>
      </c>
      <c r="D232" s="22">
        <v>38500</v>
      </c>
      <c r="E232" s="22">
        <v>3000</v>
      </c>
      <c r="F232" s="72">
        <v>0.92207792207792205</v>
      </c>
      <c r="G232" s="72" t="s">
        <v>817</v>
      </c>
      <c r="H232" s="72" t="s">
        <v>817</v>
      </c>
      <c r="I232" s="72" t="s">
        <v>817</v>
      </c>
      <c r="J232" s="72" t="s">
        <v>817</v>
      </c>
      <c r="K232" s="73">
        <v>1.2090710312318484</v>
      </c>
      <c r="L232" s="73">
        <v>2.1027322282293016E-2</v>
      </c>
      <c r="M232" s="22" t="s">
        <v>808</v>
      </c>
      <c r="N232" s="74">
        <v>2010</v>
      </c>
      <c r="O232" s="22" t="s">
        <v>773</v>
      </c>
      <c r="P232" s="22" t="s">
        <v>802</v>
      </c>
      <c r="Q232" s="22" t="s">
        <v>803</v>
      </c>
      <c r="R232" s="22">
        <v>10</v>
      </c>
      <c r="S232" s="33" t="s">
        <v>805</v>
      </c>
    </row>
    <row r="233" spans="1:19" s="38" customFormat="1" ht="27" customHeight="1" x14ac:dyDescent="0.25">
      <c r="A233" s="22" t="s">
        <v>765</v>
      </c>
      <c r="B233" s="22" t="s">
        <v>793</v>
      </c>
      <c r="C233" s="72" t="s">
        <v>817</v>
      </c>
      <c r="D233" s="72" t="s">
        <v>817</v>
      </c>
      <c r="E233" s="72" t="s">
        <v>817</v>
      </c>
      <c r="F233" s="72" t="s">
        <v>817</v>
      </c>
      <c r="G233" s="22" t="s">
        <v>706</v>
      </c>
      <c r="H233" s="22">
        <v>9100</v>
      </c>
      <c r="I233" s="22">
        <v>1000</v>
      </c>
      <c r="J233" s="72">
        <v>0.89010989010989006</v>
      </c>
      <c r="K233" s="73">
        <v>1.2826666592198741</v>
      </c>
      <c r="L233" s="73">
        <v>0.22078688396407667</v>
      </c>
      <c r="M233" s="22" t="s">
        <v>804</v>
      </c>
      <c r="N233" s="80">
        <v>2010</v>
      </c>
      <c r="O233" s="22" t="s">
        <v>773</v>
      </c>
      <c r="P233" s="22" t="s">
        <v>802</v>
      </c>
      <c r="Q233" s="22" t="s">
        <v>803</v>
      </c>
      <c r="R233" s="22">
        <v>10</v>
      </c>
      <c r="S233" s="33"/>
    </row>
    <row r="234" spans="1:19" s="38" customFormat="1" ht="27" customHeight="1" x14ac:dyDescent="0.25">
      <c r="A234" s="22" t="s">
        <v>719</v>
      </c>
      <c r="B234" s="22" t="s">
        <v>793</v>
      </c>
      <c r="C234" s="72" t="s">
        <v>817</v>
      </c>
      <c r="D234" s="72" t="s">
        <v>817</v>
      </c>
      <c r="E234" s="72" t="s">
        <v>817</v>
      </c>
      <c r="F234" s="72" t="s">
        <v>817</v>
      </c>
      <c r="G234" s="22" t="s">
        <v>706</v>
      </c>
      <c r="H234" s="22">
        <v>9100</v>
      </c>
      <c r="I234" s="22">
        <v>1000</v>
      </c>
      <c r="J234" s="72">
        <v>0.89010989010989006</v>
      </c>
      <c r="K234" s="73">
        <v>1.2826666592198741</v>
      </c>
      <c r="L234" s="73">
        <v>0.23130054510522319</v>
      </c>
      <c r="M234" s="22" t="s">
        <v>804</v>
      </c>
      <c r="N234" s="80">
        <v>2010</v>
      </c>
      <c r="O234" s="22" t="s">
        <v>773</v>
      </c>
      <c r="P234" s="22" t="s">
        <v>802</v>
      </c>
      <c r="Q234" s="22" t="s">
        <v>803</v>
      </c>
      <c r="R234" s="22">
        <v>10</v>
      </c>
      <c r="S234" s="33"/>
    </row>
    <row r="235" spans="1:19" s="38" customFormat="1" ht="27" customHeight="1" x14ac:dyDescent="0.25">
      <c r="A235" s="22" t="s">
        <v>755</v>
      </c>
      <c r="B235" s="22" t="s">
        <v>793</v>
      </c>
      <c r="C235" s="72" t="s">
        <v>817</v>
      </c>
      <c r="D235" s="72" t="s">
        <v>817</v>
      </c>
      <c r="E235" s="72" t="s">
        <v>817</v>
      </c>
      <c r="F235" s="72" t="s">
        <v>817</v>
      </c>
      <c r="G235" s="22" t="s">
        <v>706</v>
      </c>
      <c r="H235" s="22">
        <v>9100</v>
      </c>
      <c r="I235" s="22">
        <v>1000</v>
      </c>
      <c r="J235" s="72">
        <v>0.89010989010989006</v>
      </c>
      <c r="K235" s="73">
        <v>1.2826666592198741</v>
      </c>
      <c r="L235" s="73">
        <v>0.23130054510522319</v>
      </c>
      <c r="M235" s="22" t="s">
        <v>804</v>
      </c>
      <c r="N235" s="80">
        <v>2010</v>
      </c>
      <c r="O235" s="22" t="s">
        <v>773</v>
      </c>
      <c r="P235" s="22" t="s">
        <v>802</v>
      </c>
      <c r="Q235" s="22" t="s">
        <v>803</v>
      </c>
      <c r="R235" s="22">
        <v>10</v>
      </c>
      <c r="S235" s="33"/>
    </row>
    <row r="236" spans="1:19" s="38" customFormat="1" ht="27" customHeight="1" x14ac:dyDescent="0.25">
      <c r="A236" s="22" t="s">
        <v>841</v>
      </c>
      <c r="B236" s="22" t="s">
        <v>793</v>
      </c>
      <c r="C236" s="72" t="s">
        <v>817</v>
      </c>
      <c r="D236" s="72" t="s">
        <v>817</v>
      </c>
      <c r="E236" s="72" t="s">
        <v>817</v>
      </c>
      <c r="F236" s="72" t="s">
        <v>817</v>
      </c>
      <c r="G236" s="22" t="s">
        <v>706</v>
      </c>
      <c r="H236" s="22">
        <v>9100</v>
      </c>
      <c r="I236" s="22">
        <v>1000</v>
      </c>
      <c r="J236" s="72">
        <v>0.89010989010989006</v>
      </c>
      <c r="K236" s="73">
        <v>1.2826666592198741</v>
      </c>
      <c r="L236" s="73">
        <v>0.23130054510522319</v>
      </c>
      <c r="M236" s="22" t="s">
        <v>804</v>
      </c>
      <c r="N236" s="80">
        <v>2010</v>
      </c>
      <c r="O236" s="22" t="s">
        <v>773</v>
      </c>
      <c r="P236" s="22" t="s">
        <v>802</v>
      </c>
      <c r="Q236" s="22" t="s">
        <v>803</v>
      </c>
      <c r="R236" s="22">
        <v>10</v>
      </c>
      <c r="S236" s="33"/>
    </row>
    <row r="237" spans="1:19" s="38" customFormat="1" ht="27" customHeight="1" x14ac:dyDescent="0.25">
      <c r="A237" s="22" t="s">
        <v>747</v>
      </c>
      <c r="B237" s="22" t="s">
        <v>793</v>
      </c>
      <c r="C237" s="22" t="s">
        <v>703</v>
      </c>
      <c r="D237" s="22">
        <v>38500</v>
      </c>
      <c r="E237" s="22">
        <v>8000</v>
      </c>
      <c r="F237" s="72">
        <v>0.79220779220779225</v>
      </c>
      <c r="G237" s="22" t="s">
        <v>706</v>
      </c>
      <c r="H237" s="22">
        <v>9100</v>
      </c>
      <c r="I237" s="22">
        <v>1000</v>
      </c>
      <c r="J237" s="72">
        <v>0.89010989010989006</v>
      </c>
      <c r="K237" s="73">
        <v>1.3878032706313392</v>
      </c>
      <c r="L237" s="73">
        <v>0.16821857825834413</v>
      </c>
      <c r="M237" s="22" t="s">
        <v>804</v>
      </c>
      <c r="N237" s="80">
        <v>2010</v>
      </c>
      <c r="O237" s="22" t="s">
        <v>773</v>
      </c>
      <c r="P237" s="22" t="s">
        <v>802</v>
      </c>
      <c r="Q237" s="22" t="s">
        <v>803</v>
      </c>
      <c r="R237" s="22">
        <v>10</v>
      </c>
      <c r="S237" s="33"/>
    </row>
    <row r="238" spans="1:19" s="38" customFormat="1" ht="27" customHeight="1" x14ac:dyDescent="0.25">
      <c r="A238" s="22" t="s">
        <v>747</v>
      </c>
      <c r="B238" s="22" t="s">
        <v>793</v>
      </c>
      <c r="C238" s="72" t="s">
        <v>817</v>
      </c>
      <c r="D238" s="72" t="s">
        <v>817</v>
      </c>
      <c r="E238" s="72" t="s">
        <v>817</v>
      </c>
      <c r="F238" s="72" t="s">
        <v>817</v>
      </c>
      <c r="G238" s="22" t="s">
        <v>706</v>
      </c>
      <c r="H238" s="22">
        <v>9100</v>
      </c>
      <c r="I238" s="22">
        <v>100</v>
      </c>
      <c r="J238" s="72">
        <v>0.98901098901098905</v>
      </c>
      <c r="K238" s="73">
        <v>1.3878032706313392</v>
      </c>
      <c r="L238" s="73">
        <v>0.19975956168178366</v>
      </c>
      <c r="M238" s="22" t="s">
        <v>804</v>
      </c>
      <c r="N238" s="80">
        <v>2010</v>
      </c>
      <c r="O238" s="22" t="s">
        <v>773</v>
      </c>
      <c r="P238" s="22" t="s">
        <v>802</v>
      </c>
      <c r="Q238" s="22" t="s">
        <v>803</v>
      </c>
      <c r="R238" s="22">
        <v>10</v>
      </c>
      <c r="S238" s="33"/>
    </row>
    <row r="239" spans="1:19" s="38" customFormat="1" ht="27" customHeight="1" x14ac:dyDescent="0.25">
      <c r="A239" s="22" t="s">
        <v>747</v>
      </c>
      <c r="B239" s="22" t="s">
        <v>793</v>
      </c>
      <c r="C239" s="22" t="s">
        <v>703</v>
      </c>
      <c r="D239" s="22">
        <v>38500</v>
      </c>
      <c r="E239" s="22">
        <v>3000</v>
      </c>
      <c r="F239" s="72">
        <v>0.92207792207792205</v>
      </c>
      <c r="G239" s="22" t="s">
        <v>706</v>
      </c>
      <c r="H239" s="22">
        <v>9100</v>
      </c>
      <c r="I239" s="22">
        <v>100</v>
      </c>
      <c r="J239" s="72">
        <v>0.98901098901098905</v>
      </c>
      <c r="K239" s="73">
        <v>1.4193442540547787</v>
      </c>
      <c r="L239" s="73">
        <v>0.21027322282293018</v>
      </c>
      <c r="M239" s="22" t="s">
        <v>804</v>
      </c>
      <c r="N239" s="74">
        <v>2010</v>
      </c>
      <c r="O239" s="22" t="s">
        <v>773</v>
      </c>
      <c r="P239" s="22" t="s">
        <v>802</v>
      </c>
      <c r="Q239" s="22" t="s">
        <v>803</v>
      </c>
      <c r="R239" s="22">
        <v>10</v>
      </c>
      <c r="S239" s="33"/>
    </row>
    <row r="240" spans="1:19" s="38" customFormat="1" ht="27" customHeight="1" x14ac:dyDescent="0.25">
      <c r="A240" s="22" t="s">
        <v>736</v>
      </c>
      <c r="B240" s="22" t="s">
        <v>793</v>
      </c>
      <c r="C240" s="22" t="s">
        <v>703</v>
      </c>
      <c r="D240" s="22">
        <v>38500</v>
      </c>
      <c r="E240" s="22">
        <v>3000</v>
      </c>
      <c r="F240" s="72">
        <v>0.92207792207792205</v>
      </c>
      <c r="G240" s="22" t="s">
        <v>706</v>
      </c>
      <c r="H240" s="22">
        <v>9100</v>
      </c>
      <c r="I240" s="22">
        <v>100</v>
      </c>
      <c r="J240" s="72">
        <v>0.98901098901098905</v>
      </c>
      <c r="K240" s="73">
        <v>1.4298579151959252</v>
      </c>
      <c r="L240" s="73">
        <v>0.15770491711719761</v>
      </c>
      <c r="M240" s="22" t="s">
        <v>796</v>
      </c>
      <c r="N240" s="74">
        <v>2010</v>
      </c>
      <c r="O240" s="22" t="s">
        <v>773</v>
      </c>
      <c r="P240" s="22" t="s">
        <v>802</v>
      </c>
      <c r="Q240" s="22" t="s">
        <v>803</v>
      </c>
      <c r="R240" s="22">
        <v>10</v>
      </c>
      <c r="S240" s="33" t="s">
        <v>1286</v>
      </c>
    </row>
    <row r="241" spans="1:19" s="38" customFormat="1" ht="27" customHeight="1" x14ac:dyDescent="0.25">
      <c r="A241" s="22" t="s">
        <v>736</v>
      </c>
      <c r="B241" s="22" t="s">
        <v>793</v>
      </c>
      <c r="C241" s="72" t="s">
        <v>817</v>
      </c>
      <c r="D241" s="72" t="s">
        <v>817</v>
      </c>
      <c r="E241" s="72" t="s">
        <v>817</v>
      </c>
      <c r="F241" s="72" t="s">
        <v>817</v>
      </c>
      <c r="G241" s="22" t="s">
        <v>706</v>
      </c>
      <c r="H241" s="22">
        <v>9100</v>
      </c>
      <c r="I241" s="22">
        <v>100</v>
      </c>
      <c r="J241" s="72">
        <v>0.98901098901098905</v>
      </c>
      <c r="K241" s="73">
        <v>1.4719125597605112</v>
      </c>
      <c r="L241" s="73">
        <v>0.22078688396407667</v>
      </c>
      <c r="M241" s="22" t="s">
        <v>808</v>
      </c>
      <c r="N241" s="80">
        <v>2010</v>
      </c>
      <c r="O241" s="22" t="s">
        <v>773</v>
      </c>
      <c r="P241" s="22" t="s">
        <v>802</v>
      </c>
      <c r="Q241" s="22" t="s">
        <v>803</v>
      </c>
      <c r="R241" s="22">
        <v>10</v>
      </c>
      <c r="S241" s="33" t="s">
        <v>807</v>
      </c>
    </row>
    <row r="242" spans="1:19" s="38" customFormat="1" ht="27" customHeight="1" x14ac:dyDescent="0.25">
      <c r="A242" s="22" t="s">
        <v>755</v>
      </c>
      <c r="B242" s="22" t="s">
        <v>793</v>
      </c>
      <c r="C242" s="72" t="s">
        <v>817</v>
      </c>
      <c r="D242" s="72" t="s">
        <v>817</v>
      </c>
      <c r="E242" s="72" t="s">
        <v>817</v>
      </c>
      <c r="F242" s="72" t="s">
        <v>817</v>
      </c>
      <c r="G242" s="22" t="s">
        <v>706</v>
      </c>
      <c r="H242" s="22">
        <v>9100</v>
      </c>
      <c r="I242" s="22">
        <v>100</v>
      </c>
      <c r="J242" s="72">
        <v>0.98901098901098905</v>
      </c>
      <c r="K242" s="73">
        <v>1.4929398820428041</v>
      </c>
      <c r="L242" s="73">
        <v>0.17873223939949065</v>
      </c>
      <c r="M242" s="22" t="s">
        <v>808</v>
      </c>
      <c r="N242" s="80">
        <v>2010</v>
      </c>
      <c r="O242" s="22" t="s">
        <v>773</v>
      </c>
      <c r="P242" s="22" t="s">
        <v>802</v>
      </c>
      <c r="Q242" s="22" t="s">
        <v>803</v>
      </c>
      <c r="R242" s="22">
        <v>10</v>
      </c>
      <c r="S242" s="33"/>
    </row>
    <row r="243" spans="1:19" s="38" customFormat="1" ht="27" customHeight="1" x14ac:dyDescent="0.25">
      <c r="A243" s="22" t="s">
        <v>765</v>
      </c>
      <c r="B243" s="22" t="s">
        <v>793</v>
      </c>
      <c r="C243" s="72" t="s">
        <v>817</v>
      </c>
      <c r="D243" s="72" t="s">
        <v>817</v>
      </c>
      <c r="E243" s="72" t="s">
        <v>817</v>
      </c>
      <c r="F243" s="72" t="s">
        <v>817</v>
      </c>
      <c r="G243" s="22" t="s">
        <v>706</v>
      </c>
      <c r="H243" s="22">
        <v>9100</v>
      </c>
      <c r="I243" s="22">
        <v>100</v>
      </c>
      <c r="J243" s="72">
        <v>0.98901098901098905</v>
      </c>
      <c r="K243" s="73">
        <v>1.4929398820428041</v>
      </c>
      <c r="L243" s="73">
        <v>0.17873223939949065</v>
      </c>
      <c r="M243" s="22" t="s">
        <v>808</v>
      </c>
      <c r="N243" s="80">
        <v>2010</v>
      </c>
      <c r="O243" s="22" t="s">
        <v>773</v>
      </c>
      <c r="P243" s="22" t="s">
        <v>802</v>
      </c>
      <c r="Q243" s="22" t="s">
        <v>803</v>
      </c>
      <c r="R243" s="22">
        <v>10</v>
      </c>
      <c r="S243" s="33"/>
    </row>
    <row r="244" spans="1:19" s="38" customFormat="1" ht="27" customHeight="1" x14ac:dyDescent="0.25">
      <c r="A244" s="22" t="s">
        <v>841</v>
      </c>
      <c r="B244" s="22" t="s">
        <v>793</v>
      </c>
      <c r="C244" s="72" t="s">
        <v>817</v>
      </c>
      <c r="D244" s="72" t="s">
        <v>817</v>
      </c>
      <c r="E244" s="72" t="s">
        <v>817</v>
      </c>
      <c r="F244" s="72" t="s">
        <v>817</v>
      </c>
      <c r="G244" s="22" t="s">
        <v>706</v>
      </c>
      <c r="H244" s="22">
        <v>9100</v>
      </c>
      <c r="I244" s="22">
        <v>100</v>
      </c>
      <c r="J244" s="72">
        <v>0.98901098901098905</v>
      </c>
      <c r="K244" s="73">
        <v>1.4929398820428041</v>
      </c>
      <c r="L244" s="73">
        <v>0.17873223939949065</v>
      </c>
      <c r="M244" s="22" t="s">
        <v>808</v>
      </c>
      <c r="N244" s="80">
        <v>2010</v>
      </c>
      <c r="O244" s="22" t="s">
        <v>773</v>
      </c>
      <c r="P244" s="22" t="s">
        <v>802</v>
      </c>
      <c r="Q244" s="22" t="s">
        <v>803</v>
      </c>
      <c r="R244" s="22">
        <v>10</v>
      </c>
      <c r="S244" s="33"/>
    </row>
    <row r="245" spans="1:19" s="38" customFormat="1" ht="27" customHeight="1" x14ac:dyDescent="0.25">
      <c r="A245" s="22" t="s">
        <v>719</v>
      </c>
      <c r="B245" s="22" t="s">
        <v>793</v>
      </c>
      <c r="C245" s="72" t="s">
        <v>817</v>
      </c>
      <c r="D245" s="72" t="s">
        <v>817</v>
      </c>
      <c r="E245" s="72" t="s">
        <v>817</v>
      </c>
      <c r="F245" s="72" t="s">
        <v>817</v>
      </c>
      <c r="G245" s="22" t="s">
        <v>706</v>
      </c>
      <c r="H245" s="22">
        <v>9100</v>
      </c>
      <c r="I245" s="22">
        <v>100</v>
      </c>
      <c r="J245" s="72">
        <v>0.98901098901098905</v>
      </c>
      <c r="K245" s="73">
        <v>1.4929398820428041</v>
      </c>
      <c r="L245" s="73">
        <v>0.18924590054063714</v>
      </c>
      <c r="M245" s="22" t="s">
        <v>808</v>
      </c>
      <c r="N245" s="80">
        <v>2010</v>
      </c>
      <c r="O245" s="22" t="s">
        <v>773</v>
      </c>
      <c r="P245" s="22" t="s">
        <v>802</v>
      </c>
      <c r="Q245" s="22" t="s">
        <v>803</v>
      </c>
      <c r="R245" s="22">
        <v>10</v>
      </c>
      <c r="S245" s="33"/>
    </row>
    <row r="246" spans="1:19" s="38" customFormat="1" ht="27" customHeight="1" x14ac:dyDescent="0.25">
      <c r="A246" s="22" t="s">
        <v>759</v>
      </c>
      <c r="B246" s="22" t="s">
        <v>793</v>
      </c>
      <c r="C246" s="72" t="s">
        <v>817</v>
      </c>
      <c r="D246" s="72" t="s">
        <v>817</v>
      </c>
      <c r="E246" s="72" t="s">
        <v>817</v>
      </c>
      <c r="F246" s="72" t="s">
        <v>817</v>
      </c>
      <c r="G246" s="22" t="s">
        <v>706</v>
      </c>
      <c r="H246" s="22">
        <v>9100</v>
      </c>
      <c r="I246" s="22">
        <v>1000</v>
      </c>
      <c r="J246" s="72">
        <v>0.89010989010989006</v>
      </c>
      <c r="K246" s="73">
        <v>1.5139672043250971</v>
      </c>
      <c r="L246" s="73">
        <v>0.10513661141146509</v>
      </c>
      <c r="M246" s="22" t="s">
        <v>801</v>
      </c>
      <c r="N246" s="80">
        <v>2010</v>
      </c>
      <c r="O246" s="22" t="s">
        <v>773</v>
      </c>
      <c r="P246" s="22" t="s">
        <v>802</v>
      </c>
      <c r="Q246" s="22" t="s">
        <v>803</v>
      </c>
      <c r="R246" s="22">
        <v>10</v>
      </c>
      <c r="S246" s="33"/>
    </row>
    <row r="247" spans="1:19" s="38" customFormat="1" ht="27" customHeight="1" x14ac:dyDescent="0.25">
      <c r="A247" s="22" t="s">
        <v>759</v>
      </c>
      <c r="B247" s="22" t="s">
        <v>793</v>
      </c>
      <c r="C247" s="22" t="s">
        <v>703</v>
      </c>
      <c r="D247" s="22">
        <v>38500</v>
      </c>
      <c r="E247" s="22">
        <v>8000</v>
      </c>
      <c r="F247" s="72">
        <v>0.79220779220779225</v>
      </c>
      <c r="G247" s="22" t="s">
        <v>706</v>
      </c>
      <c r="H247" s="22">
        <v>9100</v>
      </c>
      <c r="I247" s="22">
        <v>1000</v>
      </c>
      <c r="J247" s="72">
        <v>0.89010989010989006</v>
      </c>
      <c r="K247" s="73">
        <v>1.5665355100308298</v>
      </c>
      <c r="L247" s="73">
        <v>0.10513661141146509</v>
      </c>
      <c r="M247" s="22" t="s">
        <v>801</v>
      </c>
      <c r="N247" s="80">
        <v>2010</v>
      </c>
      <c r="O247" s="22" t="s">
        <v>773</v>
      </c>
      <c r="P247" s="22" t="s">
        <v>802</v>
      </c>
      <c r="Q247" s="22" t="s">
        <v>803</v>
      </c>
      <c r="R247" s="22">
        <v>10</v>
      </c>
      <c r="S247" s="33"/>
    </row>
    <row r="248" spans="1:19" s="38" customFormat="1" ht="27" customHeight="1" x14ac:dyDescent="0.25">
      <c r="A248" s="22" t="s">
        <v>736</v>
      </c>
      <c r="B248" s="22" t="s">
        <v>793</v>
      </c>
      <c r="C248" s="22" t="s">
        <v>703</v>
      </c>
      <c r="D248" s="22">
        <v>38500</v>
      </c>
      <c r="E248" s="22">
        <v>8000</v>
      </c>
      <c r="F248" s="72">
        <v>0.79220779220779225</v>
      </c>
      <c r="G248" s="22" t="s">
        <v>706</v>
      </c>
      <c r="H248" s="22">
        <v>9100</v>
      </c>
      <c r="I248" s="22">
        <v>1000</v>
      </c>
      <c r="J248" s="72">
        <v>0.89010989010989006</v>
      </c>
      <c r="K248" s="73">
        <v>1.6401311380188555</v>
      </c>
      <c r="L248" s="73">
        <v>0.21027322282293018</v>
      </c>
      <c r="M248" s="22" t="s">
        <v>804</v>
      </c>
      <c r="N248" s="80">
        <v>2010</v>
      </c>
      <c r="O248" s="22" t="s">
        <v>773</v>
      </c>
      <c r="P248" s="22" t="s">
        <v>802</v>
      </c>
      <c r="Q248" s="22" t="s">
        <v>803</v>
      </c>
      <c r="R248" s="22">
        <v>10</v>
      </c>
      <c r="S248" s="33" t="s">
        <v>807</v>
      </c>
    </row>
    <row r="249" spans="1:19" s="38" customFormat="1" ht="27" customHeight="1" x14ac:dyDescent="0.25">
      <c r="A249" s="22" t="s">
        <v>736</v>
      </c>
      <c r="B249" s="22" t="s">
        <v>793</v>
      </c>
      <c r="C249" s="72" t="s">
        <v>817</v>
      </c>
      <c r="D249" s="72" t="s">
        <v>817</v>
      </c>
      <c r="E249" s="72" t="s">
        <v>817</v>
      </c>
      <c r="F249" s="72" t="s">
        <v>817</v>
      </c>
      <c r="G249" s="22" t="s">
        <v>706</v>
      </c>
      <c r="H249" s="22">
        <v>9100</v>
      </c>
      <c r="I249" s="22">
        <v>100</v>
      </c>
      <c r="J249" s="72">
        <v>0.98901098901098905</v>
      </c>
      <c r="K249" s="73">
        <v>1.7347540882891739</v>
      </c>
      <c r="L249" s="73">
        <v>0.18924590054063714</v>
      </c>
      <c r="M249" s="22" t="s">
        <v>808</v>
      </c>
      <c r="N249" s="80">
        <v>2010</v>
      </c>
      <c r="O249" s="22" t="s">
        <v>773</v>
      </c>
      <c r="P249" s="22" t="s">
        <v>802</v>
      </c>
      <c r="Q249" s="22" t="s">
        <v>803</v>
      </c>
      <c r="R249" s="22">
        <v>10</v>
      </c>
      <c r="S249" s="33" t="s">
        <v>805</v>
      </c>
    </row>
    <row r="250" spans="1:19" s="38" customFormat="1" ht="27" customHeight="1" x14ac:dyDescent="0.25">
      <c r="A250" s="22" t="s">
        <v>759</v>
      </c>
      <c r="B250" s="22" t="s">
        <v>793</v>
      </c>
      <c r="C250" s="22" t="s">
        <v>703</v>
      </c>
      <c r="D250" s="22">
        <v>38500</v>
      </c>
      <c r="E250" s="22">
        <v>3000</v>
      </c>
      <c r="F250" s="72">
        <v>0.92207792207792205</v>
      </c>
      <c r="G250" s="22" t="s">
        <v>706</v>
      </c>
      <c r="H250" s="22">
        <v>9100</v>
      </c>
      <c r="I250" s="22">
        <v>100</v>
      </c>
      <c r="J250" s="72">
        <v>0.98901098901098905</v>
      </c>
      <c r="K250" s="73">
        <v>1.8924590054063717</v>
      </c>
      <c r="L250" s="73">
        <v>0.19975956168178366</v>
      </c>
      <c r="M250" s="22" t="s">
        <v>808</v>
      </c>
      <c r="N250" s="74">
        <v>2010</v>
      </c>
      <c r="O250" s="22" t="s">
        <v>773</v>
      </c>
      <c r="P250" s="22" t="s">
        <v>802</v>
      </c>
      <c r="Q250" s="22" t="s">
        <v>803</v>
      </c>
      <c r="R250" s="22">
        <v>10</v>
      </c>
      <c r="S250" s="33"/>
    </row>
    <row r="251" spans="1:19" s="38" customFormat="1" ht="27" customHeight="1" x14ac:dyDescent="0.25">
      <c r="A251" s="22" t="s">
        <v>736</v>
      </c>
      <c r="B251" s="22" t="s">
        <v>793</v>
      </c>
      <c r="C251" s="22" t="s">
        <v>703</v>
      </c>
      <c r="D251" s="22">
        <v>38500</v>
      </c>
      <c r="E251" s="22">
        <v>3000</v>
      </c>
      <c r="F251" s="72">
        <v>0.92207792207792205</v>
      </c>
      <c r="G251" s="72" t="s">
        <v>817</v>
      </c>
      <c r="H251" s="72" t="s">
        <v>817</v>
      </c>
      <c r="I251" s="72" t="s">
        <v>817</v>
      </c>
      <c r="J251" s="72" t="s">
        <v>817</v>
      </c>
      <c r="K251" s="73">
        <v>1.9450273111121041</v>
      </c>
      <c r="L251" s="73">
        <v>0.15770491711719761</v>
      </c>
      <c r="M251" s="22" t="s">
        <v>804</v>
      </c>
      <c r="N251" s="74">
        <v>2010</v>
      </c>
      <c r="O251" s="22" t="s">
        <v>773</v>
      </c>
      <c r="P251" s="22" t="s">
        <v>802</v>
      </c>
      <c r="Q251" s="22" t="s">
        <v>803</v>
      </c>
      <c r="R251" s="22">
        <v>10</v>
      </c>
      <c r="S251" s="33" t="s">
        <v>805</v>
      </c>
    </row>
    <row r="252" spans="1:19" s="38" customFormat="1" ht="27" customHeight="1" x14ac:dyDescent="0.25">
      <c r="A252" s="22" t="s">
        <v>759</v>
      </c>
      <c r="B252" s="22" t="s">
        <v>793</v>
      </c>
      <c r="C252" s="22" t="s">
        <v>703</v>
      </c>
      <c r="D252" s="22">
        <v>38500</v>
      </c>
      <c r="E252" s="22">
        <v>3000</v>
      </c>
      <c r="F252" s="72">
        <v>0.92207792207792205</v>
      </c>
      <c r="G252" s="72" t="s">
        <v>817</v>
      </c>
      <c r="H252" s="72" t="s">
        <v>817</v>
      </c>
      <c r="I252" s="72" t="s">
        <v>817</v>
      </c>
      <c r="J252" s="72" t="s">
        <v>817</v>
      </c>
      <c r="K252" s="73">
        <v>2.0817049059470087</v>
      </c>
      <c r="L252" s="73">
        <v>0.73595627988025558</v>
      </c>
      <c r="M252" s="22" t="s">
        <v>801</v>
      </c>
      <c r="N252" s="74">
        <v>2010</v>
      </c>
      <c r="O252" s="22" t="s">
        <v>773</v>
      </c>
      <c r="P252" s="22" t="s">
        <v>802</v>
      </c>
      <c r="Q252" s="22" t="s">
        <v>803</v>
      </c>
      <c r="R252" s="22">
        <v>10</v>
      </c>
      <c r="S252" s="33"/>
    </row>
    <row r="253" spans="1:19" s="38" customFormat="1" ht="27" customHeight="1" x14ac:dyDescent="0.25">
      <c r="A253" s="22" t="s">
        <v>736</v>
      </c>
      <c r="B253" s="22" t="s">
        <v>793</v>
      </c>
      <c r="C253" s="22" t="s">
        <v>703</v>
      </c>
      <c r="D253" s="22">
        <v>38500</v>
      </c>
      <c r="E253" s="22">
        <v>8000</v>
      </c>
      <c r="F253" s="72">
        <v>0.79220779220779225</v>
      </c>
      <c r="G253" s="72" t="s">
        <v>817</v>
      </c>
      <c r="H253" s="72" t="s">
        <v>817</v>
      </c>
      <c r="I253" s="72" t="s">
        <v>817</v>
      </c>
      <c r="J253" s="72" t="s">
        <v>817</v>
      </c>
      <c r="K253" s="73">
        <v>2.313005451052232</v>
      </c>
      <c r="L253" s="73">
        <v>-2.1027322282293016E-2</v>
      </c>
      <c r="M253" s="22" t="s">
        <v>796</v>
      </c>
      <c r="N253" s="80">
        <v>2010</v>
      </c>
      <c r="O253" s="22" t="s">
        <v>773</v>
      </c>
      <c r="P253" s="22" t="s">
        <v>802</v>
      </c>
      <c r="Q253" s="22" t="s">
        <v>803</v>
      </c>
      <c r="R253" s="22">
        <v>10</v>
      </c>
      <c r="S253" s="33" t="s">
        <v>807</v>
      </c>
    </row>
    <row r="254" spans="1:19" s="38" customFormat="1" ht="27" customHeight="1" x14ac:dyDescent="0.25">
      <c r="A254" s="22" t="s">
        <v>104</v>
      </c>
      <c r="B254" s="22" t="s">
        <v>793</v>
      </c>
      <c r="C254" s="72" t="s">
        <v>817</v>
      </c>
      <c r="D254" s="72" t="s">
        <v>817</v>
      </c>
      <c r="E254" s="72" t="s">
        <v>817</v>
      </c>
      <c r="F254" s="72" t="s">
        <v>817</v>
      </c>
      <c r="G254" s="22" t="s">
        <v>706</v>
      </c>
      <c r="H254" s="22">
        <v>9100</v>
      </c>
      <c r="I254" s="22">
        <v>1000</v>
      </c>
      <c r="J254" s="72">
        <v>0.89010989010989006</v>
      </c>
      <c r="K254" s="73">
        <v>2.334032773334525</v>
      </c>
      <c r="L254" s="73">
        <v>8.4109289129172066E-2</v>
      </c>
      <c r="M254" s="22" t="s">
        <v>814</v>
      </c>
      <c r="N254" s="80">
        <v>2010</v>
      </c>
      <c r="O254" s="22" t="s">
        <v>773</v>
      </c>
      <c r="P254" s="22" t="s">
        <v>802</v>
      </c>
      <c r="Q254" s="22" t="s">
        <v>803</v>
      </c>
      <c r="R254" s="22">
        <v>10</v>
      </c>
      <c r="S254" s="33"/>
    </row>
    <row r="255" spans="1:19" s="38" customFormat="1" ht="27" customHeight="1" x14ac:dyDescent="0.25">
      <c r="A255" s="22" t="s">
        <v>213</v>
      </c>
      <c r="B255" s="22" t="s">
        <v>793</v>
      </c>
      <c r="C255" s="72" t="s">
        <v>817</v>
      </c>
      <c r="D255" s="72" t="s">
        <v>817</v>
      </c>
      <c r="E255" s="72" t="s">
        <v>817</v>
      </c>
      <c r="F255" s="72" t="s">
        <v>817</v>
      </c>
      <c r="G255" s="22" t="s">
        <v>706</v>
      </c>
      <c r="H255" s="22">
        <v>9100</v>
      </c>
      <c r="I255" s="22">
        <v>1000</v>
      </c>
      <c r="J255" s="72">
        <v>0.89010989010989006</v>
      </c>
      <c r="K255" s="73">
        <v>2.334032773334525</v>
      </c>
      <c r="L255" s="73">
        <v>8.4109289129172066E-2</v>
      </c>
      <c r="M255" s="22" t="s">
        <v>814</v>
      </c>
      <c r="N255" s="80">
        <v>2010</v>
      </c>
      <c r="O255" s="22" t="s">
        <v>773</v>
      </c>
      <c r="P255" s="22" t="s">
        <v>802</v>
      </c>
      <c r="Q255" s="22" t="s">
        <v>803</v>
      </c>
      <c r="R255" s="22">
        <v>10</v>
      </c>
      <c r="S255" s="33"/>
    </row>
    <row r="256" spans="1:19" s="38" customFormat="1" ht="27" customHeight="1" x14ac:dyDescent="0.25">
      <c r="A256" s="22" t="s">
        <v>736</v>
      </c>
      <c r="B256" s="22" t="s">
        <v>793</v>
      </c>
      <c r="C256" s="22" t="s">
        <v>703</v>
      </c>
      <c r="D256" s="22">
        <v>38500</v>
      </c>
      <c r="E256" s="22">
        <v>8000</v>
      </c>
      <c r="F256" s="72">
        <v>0.79220779220779225</v>
      </c>
      <c r="G256" s="72" t="s">
        <v>817</v>
      </c>
      <c r="H256" s="72" t="s">
        <v>817</v>
      </c>
      <c r="I256" s="72" t="s">
        <v>817</v>
      </c>
      <c r="J256" s="72" t="s">
        <v>817</v>
      </c>
      <c r="K256" s="73">
        <v>2.3760874178991109</v>
      </c>
      <c r="L256" s="73">
        <v>1.0513661141146508E-2</v>
      </c>
      <c r="M256" s="22" t="s">
        <v>808</v>
      </c>
      <c r="N256" s="80">
        <v>2010</v>
      </c>
      <c r="O256" s="22" t="s">
        <v>773</v>
      </c>
      <c r="P256" s="22" t="s">
        <v>802</v>
      </c>
      <c r="Q256" s="22" t="s">
        <v>803</v>
      </c>
      <c r="R256" s="22">
        <v>10</v>
      </c>
      <c r="S256" s="33" t="s">
        <v>807</v>
      </c>
    </row>
    <row r="257" spans="1:19" s="38" customFormat="1" ht="27" customHeight="1" x14ac:dyDescent="0.25">
      <c r="A257" s="22" t="s">
        <v>736</v>
      </c>
      <c r="B257" s="22" t="s">
        <v>793</v>
      </c>
      <c r="C257" s="22" t="s">
        <v>703</v>
      </c>
      <c r="D257" s="22">
        <v>38500</v>
      </c>
      <c r="E257" s="22">
        <v>8000</v>
      </c>
      <c r="F257" s="72">
        <v>0.79220779220779225</v>
      </c>
      <c r="G257" s="22" t="s">
        <v>706</v>
      </c>
      <c r="H257" s="22">
        <v>9100</v>
      </c>
      <c r="I257" s="22">
        <v>1000</v>
      </c>
      <c r="J257" s="72">
        <v>0.89010989010989006</v>
      </c>
      <c r="K257" s="73">
        <v>2.4496830458871366</v>
      </c>
      <c r="L257" s="73">
        <v>9.462295027031857E-2</v>
      </c>
      <c r="M257" s="22" t="s">
        <v>796</v>
      </c>
      <c r="N257" s="80">
        <v>2010</v>
      </c>
      <c r="O257" s="22" t="s">
        <v>773</v>
      </c>
      <c r="P257" s="22" t="s">
        <v>802</v>
      </c>
      <c r="Q257" s="22" t="s">
        <v>803</v>
      </c>
      <c r="R257" s="22">
        <v>10</v>
      </c>
      <c r="S257" s="33" t="s">
        <v>1287</v>
      </c>
    </row>
    <row r="258" spans="1:19" s="38" customFormat="1" ht="27" customHeight="1" x14ac:dyDescent="0.25">
      <c r="A258" s="22" t="s">
        <v>736</v>
      </c>
      <c r="B258" s="22" t="s">
        <v>793</v>
      </c>
      <c r="C258" s="22" t="s">
        <v>703</v>
      </c>
      <c r="D258" s="22">
        <v>38500</v>
      </c>
      <c r="E258" s="22">
        <v>8000</v>
      </c>
      <c r="F258" s="72">
        <v>0.79220779220779225</v>
      </c>
      <c r="G258" s="22" t="s">
        <v>706</v>
      </c>
      <c r="H258" s="22">
        <v>9100</v>
      </c>
      <c r="I258" s="22">
        <v>1000</v>
      </c>
      <c r="J258" s="72">
        <v>0.89010989010989006</v>
      </c>
      <c r="K258" s="73">
        <v>2.4601967070282829</v>
      </c>
      <c r="L258" s="73">
        <v>0.14719125597605112</v>
      </c>
      <c r="M258" s="22" t="s">
        <v>808</v>
      </c>
      <c r="N258" s="80">
        <v>2010</v>
      </c>
      <c r="O258" s="22" t="s">
        <v>773</v>
      </c>
      <c r="P258" s="22" t="s">
        <v>802</v>
      </c>
      <c r="Q258" s="22" t="s">
        <v>803</v>
      </c>
      <c r="R258" s="22">
        <v>10</v>
      </c>
      <c r="S258" s="33" t="s">
        <v>1287</v>
      </c>
    </row>
    <row r="259" spans="1:19" s="38" customFormat="1" ht="27" customHeight="1" x14ac:dyDescent="0.25">
      <c r="A259" s="22" t="s">
        <v>736</v>
      </c>
      <c r="B259" s="22" t="s">
        <v>793</v>
      </c>
      <c r="C259" s="22" t="s">
        <v>703</v>
      </c>
      <c r="D259" s="22">
        <v>38500</v>
      </c>
      <c r="E259" s="22">
        <v>3000</v>
      </c>
      <c r="F259" s="72">
        <v>0.92207792207792205</v>
      </c>
      <c r="G259" s="72" t="s">
        <v>817</v>
      </c>
      <c r="H259" s="72" t="s">
        <v>817</v>
      </c>
      <c r="I259" s="72" t="s">
        <v>817</v>
      </c>
      <c r="J259" s="72" t="s">
        <v>817</v>
      </c>
      <c r="K259" s="73">
        <v>2.5022513515928688</v>
      </c>
      <c r="L259" s="73">
        <v>2.1027322282293016E-2</v>
      </c>
      <c r="M259" s="22" t="s">
        <v>796</v>
      </c>
      <c r="N259" s="74">
        <v>2010</v>
      </c>
      <c r="O259" s="22" t="s">
        <v>773</v>
      </c>
      <c r="P259" s="22" t="s">
        <v>802</v>
      </c>
      <c r="Q259" s="22" t="s">
        <v>803</v>
      </c>
      <c r="R259" s="22">
        <v>10</v>
      </c>
      <c r="S259" s="33" t="s">
        <v>807</v>
      </c>
    </row>
    <row r="260" spans="1:19" s="38" customFormat="1" ht="27" customHeight="1" x14ac:dyDescent="0.25">
      <c r="A260" s="22" t="s">
        <v>736</v>
      </c>
      <c r="B260" s="22" t="s">
        <v>793</v>
      </c>
      <c r="C260" s="22" t="s">
        <v>703</v>
      </c>
      <c r="D260" s="22">
        <v>38500</v>
      </c>
      <c r="E260" s="22">
        <v>3000</v>
      </c>
      <c r="F260" s="72">
        <v>0.92207792207792205</v>
      </c>
      <c r="G260" s="22" t="s">
        <v>706</v>
      </c>
      <c r="H260" s="22">
        <v>9100</v>
      </c>
      <c r="I260" s="22">
        <v>100</v>
      </c>
      <c r="J260" s="72">
        <v>0.98901098901098905</v>
      </c>
      <c r="K260" s="73">
        <v>2.5443059961574552</v>
      </c>
      <c r="L260" s="73">
        <v>0.21027322282293018</v>
      </c>
      <c r="M260" s="22" t="s">
        <v>808</v>
      </c>
      <c r="N260" s="74">
        <v>2010</v>
      </c>
      <c r="O260" s="22" t="s">
        <v>773</v>
      </c>
      <c r="P260" s="22" t="s">
        <v>802</v>
      </c>
      <c r="Q260" s="22" t="s">
        <v>803</v>
      </c>
      <c r="R260" s="22">
        <v>10</v>
      </c>
      <c r="S260" s="33" t="s">
        <v>1286</v>
      </c>
    </row>
    <row r="261" spans="1:19" s="38" customFormat="1" ht="27" customHeight="1" x14ac:dyDescent="0.25">
      <c r="A261" s="22" t="s">
        <v>104</v>
      </c>
      <c r="B261" s="22" t="s">
        <v>793</v>
      </c>
      <c r="C261" s="72" t="s">
        <v>817</v>
      </c>
      <c r="D261" s="72" t="s">
        <v>817</v>
      </c>
      <c r="E261" s="72" t="s">
        <v>817</v>
      </c>
      <c r="F261" s="72" t="s">
        <v>817</v>
      </c>
      <c r="G261" s="22" t="s">
        <v>706</v>
      </c>
      <c r="H261" s="22">
        <v>9100</v>
      </c>
      <c r="I261" s="22">
        <v>1000</v>
      </c>
      <c r="J261" s="72">
        <v>0.89010989010989006</v>
      </c>
      <c r="K261" s="73">
        <v>2.5758469795808949</v>
      </c>
      <c r="L261" s="73">
        <v>4.2054644564586033E-2</v>
      </c>
      <c r="M261" s="22" t="s">
        <v>815</v>
      </c>
      <c r="N261" s="80">
        <v>2010</v>
      </c>
      <c r="O261" s="22" t="s">
        <v>773</v>
      </c>
      <c r="P261" s="22" t="s">
        <v>802</v>
      </c>
      <c r="Q261" s="22" t="s">
        <v>803</v>
      </c>
      <c r="R261" s="22">
        <v>10</v>
      </c>
      <c r="S261" s="33"/>
    </row>
    <row r="262" spans="1:19" s="38" customFormat="1" ht="27" customHeight="1" x14ac:dyDescent="0.25">
      <c r="A262" s="22" t="s">
        <v>213</v>
      </c>
      <c r="B262" s="22" t="s">
        <v>793</v>
      </c>
      <c r="C262" s="72" t="s">
        <v>817</v>
      </c>
      <c r="D262" s="72" t="s">
        <v>817</v>
      </c>
      <c r="E262" s="72" t="s">
        <v>817</v>
      </c>
      <c r="F262" s="72" t="s">
        <v>817</v>
      </c>
      <c r="G262" s="22" t="s">
        <v>706</v>
      </c>
      <c r="H262" s="22">
        <v>9100</v>
      </c>
      <c r="I262" s="22">
        <v>1000</v>
      </c>
      <c r="J262" s="72">
        <v>0.89010989010989006</v>
      </c>
      <c r="K262" s="73">
        <v>2.5758469795808949</v>
      </c>
      <c r="L262" s="73">
        <v>4.2054644564586033E-2</v>
      </c>
      <c r="M262" s="22" t="s">
        <v>815</v>
      </c>
      <c r="N262" s="80">
        <v>2010</v>
      </c>
      <c r="O262" s="22" t="s">
        <v>773</v>
      </c>
      <c r="P262" s="22" t="s">
        <v>802</v>
      </c>
      <c r="Q262" s="22" t="s">
        <v>803</v>
      </c>
      <c r="R262" s="22">
        <v>10</v>
      </c>
      <c r="S262" s="33"/>
    </row>
    <row r="263" spans="1:19" s="38" customFormat="1" ht="27" customHeight="1" x14ac:dyDescent="0.25">
      <c r="A263" s="22" t="s">
        <v>736</v>
      </c>
      <c r="B263" s="22" t="s">
        <v>793</v>
      </c>
      <c r="C263" s="22" t="s">
        <v>703</v>
      </c>
      <c r="D263" s="22">
        <v>38500</v>
      </c>
      <c r="E263" s="22">
        <v>3000</v>
      </c>
      <c r="F263" s="72">
        <v>0.92207792207792205</v>
      </c>
      <c r="G263" s="72" t="s">
        <v>817</v>
      </c>
      <c r="H263" s="72" t="s">
        <v>817</v>
      </c>
      <c r="I263" s="72" t="s">
        <v>817</v>
      </c>
      <c r="J263" s="72" t="s">
        <v>817</v>
      </c>
      <c r="K263" s="73">
        <v>2.7861202024038247</v>
      </c>
      <c r="L263" s="73">
        <v>7.3595627988025561E-2</v>
      </c>
      <c r="M263" s="22" t="s">
        <v>808</v>
      </c>
      <c r="N263" s="74">
        <v>2010</v>
      </c>
      <c r="O263" s="22" t="s">
        <v>773</v>
      </c>
      <c r="P263" s="22" t="s">
        <v>802</v>
      </c>
      <c r="Q263" s="22" t="s">
        <v>803</v>
      </c>
      <c r="R263" s="22">
        <v>10</v>
      </c>
      <c r="S263" s="33" t="s">
        <v>807</v>
      </c>
    </row>
    <row r="264" spans="1:19" s="38" customFormat="1" ht="27" customHeight="1" x14ac:dyDescent="0.25">
      <c r="A264" s="22" t="s">
        <v>759</v>
      </c>
      <c r="B264" s="22" t="s">
        <v>793</v>
      </c>
      <c r="C264" s="22" t="s">
        <v>703</v>
      </c>
      <c r="D264" s="22">
        <v>38500</v>
      </c>
      <c r="E264" s="22">
        <v>3000</v>
      </c>
      <c r="F264" s="72">
        <v>0.92207792207792205</v>
      </c>
      <c r="G264" s="22" t="s">
        <v>706</v>
      </c>
      <c r="H264" s="22">
        <v>9100</v>
      </c>
      <c r="I264" s="22">
        <v>100</v>
      </c>
      <c r="J264" s="72">
        <v>0.98901098901098905</v>
      </c>
      <c r="K264" s="73">
        <v>3.1225573589205133</v>
      </c>
      <c r="L264" s="73">
        <v>0.41003278450471387</v>
      </c>
      <c r="M264" s="22" t="s">
        <v>810</v>
      </c>
      <c r="N264" s="74">
        <v>2010</v>
      </c>
      <c r="O264" s="22" t="s">
        <v>773</v>
      </c>
      <c r="P264" s="22" t="s">
        <v>802</v>
      </c>
      <c r="Q264" s="22" t="s">
        <v>803</v>
      </c>
      <c r="R264" s="22">
        <v>10</v>
      </c>
      <c r="S264" s="33"/>
    </row>
    <row r="265" spans="1:19" s="38" customFormat="1" ht="27" customHeight="1" x14ac:dyDescent="0.25">
      <c r="A265" s="22" t="s">
        <v>719</v>
      </c>
      <c r="B265" s="22" t="s">
        <v>793</v>
      </c>
      <c r="C265" s="22" t="s">
        <v>703</v>
      </c>
      <c r="D265" s="22">
        <v>38500</v>
      </c>
      <c r="E265" s="22">
        <v>8000</v>
      </c>
      <c r="F265" s="72">
        <v>0.79220779220779225</v>
      </c>
      <c r="G265" s="72" t="s">
        <v>817</v>
      </c>
      <c r="H265" s="72" t="s">
        <v>817</v>
      </c>
      <c r="I265" s="72" t="s">
        <v>817</v>
      </c>
      <c r="J265" s="72" t="s">
        <v>817</v>
      </c>
      <c r="K265" s="73">
        <v>3.1856393257673918</v>
      </c>
      <c r="L265" s="73">
        <v>0.14719125597605112</v>
      </c>
      <c r="M265" s="22" t="s">
        <v>813</v>
      </c>
      <c r="N265" s="80">
        <v>2010</v>
      </c>
      <c r="O265" s="22" t="s">
        <v>773</v>
      </c>
      <c r="P265" s="22" t="s">
        <v>802</v>
      </c>
      <c r="Q265" s="22" t="s">
        <v>803</v>
      </c>
      <c r="R265" s="22">
        <v>10</v>
      </c>
      <c r="S265" s="33" t="s">
        <v>1288</v>
      </c>
    </row>
    <row r="266" spans="1:19" s="38" customFormat="1" ht="27" customHeight="1" x14ac:dyDescent="0.25">
      <c r="A266" s="22" t="s">
        <v>736</v>
      </c>
      <c r="B266" s="22" t="s">
        <v>793</v>
      </c>
      <c r="C266" s="72" t="s">
        <v>817</v>
      </c>
      <c r="D266" s="72" t="s">
        <v>817</v>
      </c>
      <c r="E266" s="72" t="s">
        <v>817</v>
      </c>
      <c r="F266" s="72" t="s">
        <v>817</v>
      </c>
      <c r="G266" s="22" t="s">
        <v>706</v>
      </c>
      <c r="H266" s="22">
        <v>9100</v>
      </c>
      <c r="I266" s="22">
        <v>100</v>
      </c>
      <c r="J266" s="72">
        <v>0.98901098901098905</v>
      </c>
      <c r="K266" s="73">
        <v>3.3012895983200039</v>
      </c>
      <c r="L266" s="73">
        <v>0.30489617309324873</v>
      </c>
      <c r="M266" s="22" t="s">
        <v>804</v>
      </c>
      <c r="N266" s="80">
        <v>2010</v>
      </c>
      <c r="O266" s="22" t="s">
        <v>773</v>
      </c>
      <c r="P266" s="22" t="s">
        <v>802</v>
      </c>
      <c r="Q266" s="22" t="s">
        <v>803</v>
      </c>
      <c r="R266" s="22">
        <v>10</v>
      </c>
      <c r="S266" s="33" t="s">
        <v>807</v>
      </c>
    </row>
    <row r="267" spans="1:19" s="38" customFormat="1" ht="27" customHeight="1" x14ac:dyDescent="0.25">
      <c r="A267" s="22" t="s">
        <v>736</v>
      </c>
      <c r="B267" s="22" t="s">
        <v>793</v>
      </c>
      <c r="C267" s="22" t="s">
        <v>703</v>
      </c>
      <c r="D267" s="22">
        <v>38500</v>
      </c>
      <c r="E267" s="22">
        <v>3000</v>
      </c>
      <c r="F267" s="72">
        <v>0.92207792207792205</v>
      </c>
      <c r="G267" s="22" t="s">
        <v>706</v>
      </c>
      <c r="H267" s="22">
        <v>9100</v>
      </c>
      <c r="I267" s="22">
        <v>100</v>
      </c>
      <c r="J267" s="72">
        <v>0.98901098901098905</v>
      </c>
      <c r="K267" s="73">
        <v>3.4169398708726151</v>
      </c>
      <c r="L267" s="73">
        <v>0.18924590054063714</v>
      </c>
      <c r="M267" s="22" t="s">
        <v>796</v>
      </c>
      <c r="N267" s="74">
        <v>2010</v>
      </c>
      <c r="O267" s="22" t="s">
        <v>773</v>
      </c>
      <c r="P267" s="22" t="s">
        <v>802</v>
      </c>
      <c r="Q267" s="22" t="s">
        <v>803</v>
      </c>
      <c r="R267" s="22">
        <v>10</v>
      </c>
      <c r="S267" s="33" t="s">
        <v>1289</v>
      </c>
    </row>
    <row r="268" spans="1:19" s="38" customFormat="1" ht="27" customHeight="1" x14ac:dyDescent="0.25">
      <c r="A268" s="22" t="s">
        <v>719</v>
      </c>
      <c r="B268" s="22" t="s">
        <v>793</v>
      </c>
      <c r="C268" s="22" t="s">
        <v>703</v>
      </c>
      <c r="D268" s="22">
        <v>38500</v>
      </c>
      <c r="E268" s="22">
        <v>8000</v>
      </c>
      <c r="F268" s="72">
        <v>0.79220779220779225</v>
      </c>
      <c r="G268" s="72" t="s">
        <v>817</v>
      </c>
      <c r="H268" s="72" t="s">
        <v>817</v>
      </c>
      <c r="I268" s="72" t="s">
        <v>817</v>
      </c>
      <c r="J268" s="72" t="s">
        <v>817</v>
      </c>
      <c r="K268" s="73">
        <v>3.4905354988606407</v>
      </c>
      <c r="L268" s="73">
        <v>8.4109289129172066E-2</v>
      </c>
      <c r="M268" s="22" t="s">
        <v>809</v>
      </c>
      <c r="N268" s="80">
        <v>2010</v>
      </c>
      <c r="O268" s="22" t="s">
        <v>773</v>
      </c>
      <c r="P268" s="22" t="s">
        <v>802</v>
      </c>
      <c r="Q268" s="22" t="s">
        <v>803</v>
      </c>
      <c r="R268" s="22">
        <v>10</v>
      </c>
      <c r="S268" s="33"/>
    </row>
    <row r="269" spans="1:19" s="38" customFormat="1" ht="27" customHeight="1" x14ac:dyDescent="0.25">
      <c r="A269" s="22" t="s">
        <v>841</v>
      </c>
      <c r="B269" s="22" t="s">
        <v>793</v>
      </c>
      <c r="C269" s="22" t="s">
        <v>703</v>
      </c>
      <c r="D269" s="22">
        <v>38500</v>
      </c>
      <c r="E269" s="22">
        <v>8000</v>
      </c>
      <c r="F269" s="72">
        <v>0.79220779220779225</v>
      </c>
      <c r="G269" s="22" t="s">
        <v>706</v>
      </c>
      <c r="H269" s="22">
        <v>9100</v>
      </c>
      <c r="I269" s="22">
        <v>1000</v>
      </c>
      <c r="J269" s="72">
        <v>0.89010989010989006</v>
      </c>
      <c r="K269" s="73">
        <v>3.5431038045663734</v>
      </c>
      <c r="L269" s="73">
        <v>0.15770491711719761</v>
      </c>
      <c r="M269" s="22" t="s">
        <v>809</v>
      </c>
      <c r="N269" s="80">
        <v>2010</v>
      </c>
      <c r="O269" s="22" t="s">
        <v>773</v>
      </c>
      <c r="P269" s="22" t="s">
        <v>802</v>
      </c>
      <c r="Q269" s="22" t="s">
        <v>803</v>
      </c>
      <c r="R269" s="22">
        <v>10</v>
      </c>
      <c r="S269" s="33"/>
    </row>
    <row r="270" spans="1:19" s="38" customFormat="1" ht="27" customHeight="1" x14ac:dyDescent="0.25">
      <c r="A270" s="22" t="s">
        <v>736</v>
      </c>
      <c r="B270" s="22" t="s">
        <v>793</v>
      </c>
      <c r="C270" s="72" t="s">
        <v>817</v>
      </c>
      <c r="D270" s="72" t="s">
        <v>817</v>
      </c>
      <c r="E270" s="72" t="s">
        <v>817</v>
      </c>
      <c r="F270" s="72" t="s">
        <v>817</v>
      </c>
      <c r="G270" s="22" t="s">
        <v>706</v>
      </c>
      <c r="H270" s="22">
        <v>9100</v>
      </c>
      <c r="I270" s="22">
        <v>100</v>
      </c>
      <c r="J270" s="72">
        <v>0.98901098901098905</v>
      </c>
      <c r="K270" s="73">
        <v>3.5536174657075197</v>
      </c>
      <c r="L270" s="73">
        <v>0.25232786738751622</v>
      </c>
      <c r="M270" s="22" t="s">
        <v>804</v>
      </c>
      <c r="N270" s="80">
        <v>2010</v>
      </c>
      <c r="O270" s="22" t="s">
        <v>773</v>
      </c>
      <c r="P270" s="22" t="s">
        <v>802</v>
      </c>
      <c r="Q270" s="22" t="s">
        <v>803</v>
      </c>
      <c r="R270" s="22">
        <v>10</v>
      </c>
      <c r="S270" s="33" t="s">
        <v>805</v>
      </c>
    </row>
    <row r="271" spans="1:19" s="38" customFormat="1" ht="27" customHeight="1" x14ac:dyDescent="0.25">
      <c r="A271" s="22" t="s">
        <v>104</v>
      </c>
      <c r="B271" s="22" t="s">
        <v>793</v>
      </c>
      <c r="C271" s="72" t="s">
        <v>817</v>
      </c>
      <c r="D271" s="72" t="s">
        <v>817</v>
      </c>
      <c r="E271" s="72" t="s">
        <v>817</v>
      </c>
      <c r="F271" s="72" t="s">
        <v>817</v>
      </c>
      <c r="G271" s="22" t="s">
        <v>706</v>
      </c>
      <c r="H271" s="22">
        <v>9100</v>
      </c>
      <c r="I271" s="22">
        <v>100</v>
      </c>
      <c r="J271" s="72">
        <v>0.98901098901098905</v>
      </c>
      <c r="K271" s="73">
        <v>3.5851584491309594</v>
      </c>
      <c r="L271" s="73">
        <v>7.3595627988025561E-2</v>
      </c>
      <c r="M271" s="22" t="s">
        <v>815</v>
      </c>
      <c r="N271" s="80">
        <v>2010</v>
      </c>
      <c r="O271" s="22" t="s">
        <v>773</v>
      </c>
      <c r="P271" s="22" t="s">
        <v>802</v>
      </c>
      <c r="Q271" s="22" t="s">
        <v>803</v>
      </c>
      <c r="R271" s="22">
        <v>10</v>
      </c>
      <c r="S271" s="33"/>
    </row>
    <row r="272" spans="1:19" s="38" customFormat="1" ht="27" customHeight="1" x14ac:dyDescent="0.25">
      <c r="A272" s="22" t="s">
        <v>213</v>
      </c>
      <c r="B272" s="22" t="s">
        <v>793</v>
      </c>
      <c r="C272" s="72" t="s">
        <v>817</v>
      </c>
      <c r="D272" s="72" t="s">
        <v>817</v>
      </c>
      <c r="E272" s="72" t="s">
        <v>817</v>
      </c>
      <c r="F272" s="72" t="s">
        <v>817</v>
      </c>
      <c r="G272" s="22" t="s">
        <v>706</v>
      </c>
      <c r="H272" s="22">
        <v>9100</v>
      </c>
      <c r="I272" s="22">
        <v>100</v>
      </c>
      <c r="J272" s="72">
        <v>0.98901098901098905</v>
      </c>
      <c r="K272" s="73">
        <v>3.5851584491309594</v>
      </c>
      <c r="L272" s="73">
        <v>7.3595627988025561E-2</v>
      </c>
      <c r="M272" s="22" t="s">
        <v>815</v>
      </c>
      <c r="N272" s="80">
        <v>2010</v>
      </c>
      <c r="O272" s="22" t="s">
        <v>773</v>
      </c>
      <c r="P272" s="22" t="s">
        <v>802</v>
      </c>
      <c r="Q272" s="22" t="s">
        <v>803</v>
      </c>
      <c r="R272" s="22">
        <v>10</v>
      </c>
      <c r="S272" s="33"/>
    </row>
    <row r="273" spans="1:19" s="38" customFormat="1" ht="27" customHeight="1" x14ac:dyDescent="0.25">
      <c r="A273" s="22" t="s">
        <v>719</v>
      </c>
      <c r="B273" s="22" t="s">
        <v>793</v>
      </c>
      <c r="C273" s="22" t="s">
        <v>703</v>
      </c>
      <c r="D273" s="22">
        <v>38500</v>
      </c>
      <c r="E273" s="22">
        <v>3000</v>
      </c>
      <c r="F273" s="72">
        <v>0.92207792207792205</v>
      </c>
      <c r="G273" s="72" t="s">
        <v>817</v>
      </c>
      <c r="H273" s="72" t="s">
        <v>817</v>
      </c>
      <c r="I273" s="72" t="s">
        <v>817</v>
      </c>
      <c r="J273" s="72" t="s">
        <v>817</v>
      </c>
      <c r="K273" s="73">
        <v>3.6166994325543991</v>
      </c>
      <c r="L273" s="73">
        <v>0.10513661141146509</v>
      </c>
      <c r="M273" s="22" t="s">
        <v>809</v>
      </c>
      <c r="N273" s="74">
        <v>2010</v>
      </c>
      <c r="O273" s="22" t="s">
        <v>773</v>
      </c>
      <c r="P273" s="22" t="s">
        <v>802</v>
      </c>
      <c r="Q273" s="22" t="s">
        <v>803</v>
      </c>
      <c r="R273" s="22">
        <v>10</v>
      </c>
      <c r="S273" s="33"/>
    </row>
    <row r="274" spans="1:19" s="38" customFormat="1" ht="27" customHeight="1" x14ac:dyDescent="0.25">
      <c r="A274" s="22" t="s">
        <v>719</v>
      </c>
      <c r="B274" s="22" t="s">
        <v>793</v>
      </c>
      <c r="C274" s="22" t="s">
        <v>703</v>
      </c>
      <c r="D274" s="22">
        <v>38500</v>
      </c>
      <c r="E274" s="22">
        <v>8000</v>
      </c>
      <c r="F274" s="72">
        <v>0.79220779220779225</v>
      </c>
      <c r="G274" s="22" t="s">
        <v>706</v>
      </c>
      <c r="H274" s="22">
        <v>9100</v>
      </c>
      <c r="I274" s="22">
        <v>1000</v>
      </c>
      <c r="J274" s="72">
        <v>0.89010989010989006</v>
      </c>
      <c r="K274" s="73">
        <v>3.6272130936955458</v>
      </c>
      <c r="L274" s="73">
        <v>0.17873223939949065</v>
      </c>
      <c r="M274" s="22" t="s">
        <v>809</v>
      </c>
      <c r="N274" s="80">
        <v>2010</v>
      </c>
      <c r="O274" s="22" t="s">
        <v>773</v>
      </c>
      <c r="P274" s="22" t="s">
        <v>802</v>
      </c>
      <c r="Q274" s="22" t="s">
        <v>803</v>
      </c>
      <c r="R274" s="22">
        <v>10</v>
      </c>
      <c r="S274" s="33"/>
    </row>
    <row r="275" spans="1:19" s="38" customFormat="1" ht="27" customHeight="1" x14ac:dyDescent="0.25">
      <c r="A275" s="22" t="s">
        <v>841</v>
      </c>
      <c r="B275" s="22" t="s">
        <v>793</v>
      </c>
      <c r="C275" s="22" t="s">
        <v>703</v>
      </c>
      <c r="D275" s="22">
        <v>38500</v>
      </c>
      <c r="E275" s="22">
        <v>8000</v>
      </c>
      <c r="F275" s="72">
        <v>0.79220779220779225</v>
      </c>
      <c r="G275" s="72" t="s">
        <v>817</v>
      </c>
      <c r="H275" s="72" t="s">
        <v>817</v>
      </c>
      <c r="I275" s="72" t="s">
        <v>817</v>
      </c>
      <c r="J275" s="72" t="s">
        <v>817</v>
      </c>
      <c r="K275" s="73">
        <v>3.679781399401278</v>
      </c>
      <c r="L275" s="73">
        <v>7.3595627988025561E-2</v>
      </c>
      <c r="M275" s="22" t="s">
        <v>809</v>
      </c>
      <c r="N275" s="80">
        <v>2010</v>
      </c>
      <c r="O275" s="22" t="s">
        <v>773</v>
      </c>
      <c r="P275" s="22" t="s">
        <v>802</v>
      </c>
      <c r="Q275" s="22" t="s">
        <v>803</v>
      </c>
      <c r="R275" s="22">
        <v>10</v>
      </c>
      <c r="S275" s="33"/>
    </row>
    <row r="276" spans="1:19" s="38" customFormat="1" ht="27" customHeight="1" x14ac:dyDescent="0.25">
      <c r="A276" s="22" t="s">
        <v>765</v>
      </c>
      <c r="B276" s="22" t="s">
        <v>793</v>
      </c>
      <c r="C276" s="72" t="s">
        <v>817</v>
      </c>
      <c r="D276" s="72" t="s">
        <v>817</v>
      </c>
      <c r="E276" s="72" t="s">
        <v>817</v>
      </c>
      <c r="F276" s="72" t="s">
        <v>817</v>
      </c>
      <c r="G276" s="22" t="s">
        <v>706</v>
      </c>
      <c r="H276" s="22">
        <v>9100</v>
      </c>
      <c r="I276" s="22">
        <v>100</v>
      </c>
      <c r="J276" s="72">
        <v>0.98901098901098905</v>
      </c>
      <c r="K276" s="73">
        <v>3.7849180108127434</v>
      </c>
      <c r="L276" s="73">
        <v>0.27335518966980921</v>
      </c>
      <c r="M276" s="22" t="s">
        <v>804</v>
      </c>
      <c r="N276" s="80">
        <v>2010</v>
      </c>
      <c r="O276" s="22" t="s">
        <v>773</v>
      </c>
      <c r="P276" s="22" t="s">
        <v>802</v>
      </c>
      <c r="Q276" s="22" t="s">
        <v>803</v>
      </c>
      <c r="R276" s="22">
        <v>10</v>
      </c>
      <c r="S276" s="33"/>
    </row>
    <row r="277" spans="1:19" s="38" customFormat="1" ht="27" customHeight="1" x14ac:dyDescent="0.25">
      <c r="A277" s="22" t="s">
        <v>755</v>
      </c>
      <c r="B277" s="22" t="s">
        <v>793</v>
      </c>
      <c r="C277" s="72" t="s">
        <v>817</v>
      </c>
      <c r="D277" s="72" t="s">
        <v>817</v>
      </c>
      <c r="E277" s="72" t="s">
        <v>817</v>
      </c>
      <c r="F277" s="72" t="s">
        <v>817</v>
      </c>
      <c r="G277" s="22" t="s">
        <v>706</v>
      </c>
      <c r="H277" s="22">
        <v>9100</v>
      </c>
      <c r="I277" s="22">
        <v>100</v>
      </c>
      <c r="J277" s="72">
        <v>0.98901098901098905</v>
      </c>
      <c r="K277" s="73">
        <v>3.7849180108127434</v>
      </c>
      <c r="L277" s="73">
        <v>0.28386885081095575</v>
      </c>
      <c r="M277" s="22" t="s">
        <v>804</v>
      </c>
      <c r="N277" s="80">
        <v>2010</v>
      </c>
      <c r="O277" s="22" t="s">
        <v>773</v>
      </c>
      <c r="P277" s="22" t="s">
        <v>802</v>
      </c>
      <c r="Q277" s="22" t="s">
        <v>803</v>
      </c>
      <c r="R277" s="22">
        <v>10</v>
      </c>
      <c r="S277" s="33"/>
    </row>
    <row r="278" spans="1:19" s="38" customFormat="1" ht="27" customHeight="1" x14ac:dyDescent="0.25">
      <c r="A278" s="22" t="s">
        <v>841</v>
      </c>
      <c r="B278" s="22" t="s">
        <v>793</v>
      </c>
      <c r="C278" s="72" t="s">
        <v>817</v>
      </c>
      <c r="D278" s="72" t="s">
        <v>817</v>
      </c>
      <c r="E278" s="72" t="s">
        <v>817</v>
      </c>
      <c r="F278" s="72" t="s">
        <v>817</v>
      </c>
      <c r="G278" s="22" t="s">
        <v>706</v>
      </c>
      <c r="H278" s="22">
        <v>9100</v>
      </c>
      <c r="I278" s="22">
        <v>100</v>
      </c>
      <c r="J278" s="72">
        <v>0.98901098901098905</v>
      </c>
      <c r="K278" s="73">
        <v>3.7849180108127434</v>
      </c>
      <c r="L278" s="73">
        <v>0.28386885081095575</v>
      </c>
      <c r="M278" s="22" t="s">
        <v>804</v>
      </c>
      <c r="N278" s="80">
        <v>2010</v>
      </c>
      <c r="O278" s="22" t="s">
        <v>773</v>
      </c>
      <c r="P278" s="22" t="s">
        <v>802</v>
      </c>
      <c r="Q278" s="22" t="s">
        <v>803</v>
      </c>
      <c r="R278" s="22">
        <v>10</v>
      </c>
      <c r="S278" s="33"/>
    </row>
    <row r="279" spans="1:19" s="38" customFormat="1" ht="27" customHeight="1" x14ac:dyDescent="0.25">
      <c r="A279" s="22" t="s">
        <v>719</v>
      </c>
      <c r="B279" s="22" t="s">
        <v>793</v>
      </c>
      <c r="C279" s="72" t="s">
        <v>817</v>
      </c>
      <c r="D279" s="72" t="s">
        <v>817</v>
      </c>
      <c r="E279" s="72" t="s">
        <v>817</v>
      </c>
      <c r="F279" s="72" t="s">
        <v>817</v>
      </c>
      <c r="G279" s="22" t="s">
        <v>706</v>
      </c>
      <c r="H279" s="22">
        <v>9100</v>
      </c>
      <c r="I279" s="22">
        <v>100</v>
      </c>
      <c r="J279" s="72">
        <v>0.98901098901098905</v>
      </c>
      <c r="K279" s="73">
        <v>3.7849180108127434</v>
      </c>
      <c r="L279" s="73">
        <v>0.29438251195210224</v>
      </c>
      <c r="M279" s="22" t="s">
        <v>804</v>
      </c>
      <c r="N279" s="80">
        <v>2010</v>
      </c>
      <c r="O279" s="22" t="s">
        <v>773</v>
      </c>
      <c r="P279" s="22" t="s">
        <v>802</v>
      </c>
      <c r="Q279" s="22" t="s">
        <v>803</v>
      </c>
      <c r="R279" s="22">
        <v>10</v>
      </c>
      <c r="S279" s="33"/>
    </row>
    <row r="280" spans="1:19" s="38" customFormat="1" ht="27" customHeight="1" x14ac:dyDescent="0.25">
      <c r="A280" s="22" t="s">
        <v>806</v>
      </c>
      <c r="B280" s="22" t="s">
        <v>793</v>
      </c>
      <c r="C280" s="22" t="s">
        <v>703</v>
      </c>
      <c r="D280" s="22">
        <v>38500</v>
      </c>
      <c r="E280" s="22">
        <v>3000</v>
      </c>
      <c r="F280" s="72">
        <v>0.92207792207792205</v>
      </c>
      <c r="G280" s="72" t="s">
        <v>817</v>
      </c>
      <c r="H280" s="72" t="s">
        <v>817</v>
      </c>
      <c r="I280" s="72" t="s">
        <v>817</v>
      </c>
      <c r="J280" s="72" t="s">
        <v>817</v>
      </c>
      <c r="K280" s="73">
        <v>3.8059453330950364</v>
      </c>
      <c r="L280" s="73">
        <v>9.462295027031857E-2</v>
      </c>
      <c r="M280" s="22" t="s">
        <v>809</v>
      </c>
      <c r="N280" s="74">
        <v>2010</v>
      </c>
      <c r="O280" s="22" t="s">
        <v>773</v>
      </c>
      <c r="P280" s="22" t="s">
        <v>802</v>
      </c>
      <c r="Q280" s="22" t="s">
        <v>803</v>
      </c>
      <c r="R280" s="22">
        <v>10</v>
      </c>
      <c r="S280" s="33"/>
    </row>
    <row r="281" spans="1:19" s="38" customFormat="1" ht="27" customHeight="1" x14ac:dyDescent="0.25">
      <c r="A281" s="22" t="s">
        <v>719</v>
      </c>
      <c r="B281" s="22" t="s">
        <v>793</v>
      </c>
      <c r="C281" s="22" t="s">
        <v>703</v>
      </c>
      <c r="D281" s="22">
        <v>38500</v>
      </c>
      <c r="E281" s="22">
        <v>3000</v>
      </c>
      <c r="F281" s="72">
        <v>0.92207792207792205</v>
      </c>
      <c r="G281" s="72" t="s">
        <v>817</v>
      </c>
      <c r="H281" s="72" t="s">
        <v>817</v>
      </c>
      <c r="I281" s="72" t="s">
        <v>817</v>
      </c>
      <c r="J281" s="72" t="s">
        <v>817</v>
      </c>
      <c r="K281" s="73">
        <v>3.8585136388007686</v>
      </c>
      <c r="L281" s="73">
        <v>0.17873223939949065</v>
      </c>
      <c r="M281" s="22" t="s">
        <v>813</v>
      </c>
      <c r="N281" s="74">
        <v>2010</v>
      </c>
      <c r="O281" s="22" t="s">
        <v>773</v>
      </c>
      <c r="P281" s="22" t="s">
        <v>802</v>
      </c>
      <c r="Q281" s="22" t="s">
        <v>803</v>
      </c>
      <c r="R281" s="22">
        <v>10</v>
      </c>
      <c r="S281" s="33" t="s">
        <v>812</v>
      </c>
    </row>
    <row r="282" spans="1:19" s="38" customFormat="1" ht="27" customHeight="1" x14ac:dyDescent="0.25">
      <c r="A282" s="22" t="s">
        <v>765</v>
      </c>
      <c r="B282" s="22" t="s">
        <v>793</v>
      </c>
      <c r="C282" s="22" t="s">
        <v>703</v>
      </c>
      <c r="D282" s="22">
        <v>38500</v>
      </c>
      <c r="E282" s="22">
        <v>8000</v>
      </c>
      <c r="F282" s="72">
        <v>0.79220779220779225</v>
      </c>
      <c r="G282" s="22" t="s">
        <v>706</v>
      </c>
      <c r="H282" s="22">
        <v>9100</v>
      </c>
      <c r="I282" s="22">
        <v>1000</v>
      </c>
      <c r="J282" s="72">
        <v>0.89010989010989006</v>
      </c>
      <c r="K282" s="73">
        <v>3.8795409610830616</v>
      </c>
      <c r="L282" s="73">
        <v>0.18924590054063714</v>
      </c>
      <c r="M282" s="22" t="s">
        <v>809</v>
      </c>
      <c r="N282" s="80">
        <v>2010</v>
      </c>
      <c r="O282" s="22" t="s">
        <v>773</v>
      </c>
      <c r="P282" s="22" t="s">
        <v>802</v>
      </c>
      <c r="Q282" s="22" t="s">
        <v>803</v>
      </c>
      <c r="R282" s="22">
        <v>10</v>
      </c>
      <c r="S282" s="33"/>
    </row>
    <row r="283" spans="1:19" s="38" customFormat="1" ht="27" customHeight="1" x14ac:dyDescent="0.25">
      <c r="A283" s="22" t="s">
        <v>104</v>
      </c>
      <c r="B283" s="22" t="s">
        <v>793</v>
      </c>
      <c r="C283" s="72" t="s">
        <v>817</v>
      </c>
      <c r="D283" s="72" t="s">
        <v>817</v>
      </c>
      <c r="E283" s="72" t="s">
        <v>817</v>
      </c>
      <c r="F283" s="72" t="s">
        <v>817</v>
      </c>
      <c r="G283" s="22" t="s">
        <v>706</v>
      </c>
      <c r="H283" s="22">
        <v>9100</v>
      </c>
      <c r="I283" s="22">
        <v>100</v>
      </c>
      <c r="J283" s="72">
        <v>0.98901098901098905</v>
      </c>
      <c r="K283" s="73">
        <v>3.9110819445065013</v>
      </c>
      <c r="L283" s="73">
        <v>0.12616393369375811</v>
      </c>
      <c r="M283" s="22" t="s">
        <v>814</v>
      </c>
      <c r="N283" s="80">
        <v>2010</v>
      </c>
      <c r="O283" s="22" t="s">
        <v>773</v>
      </c>
      <c r="P283" s="22" t="s">
        <v>802</v>
      </c>
      <c r="Q283" s="22" t="s">
        <v>803</v>
      </c>
      <c r="R283" s="22">
        <v>10</v>
      </c>
      <c r="S283" s="33"/>
    </row>
    <row r="284" spans="1:19" s="38" customFormat="1" ht="27" customHeight="1" x14ac:dyDescent="0.25">
      <c r="A284" s="22" t="s">
        <v>213</v>
      </c>
      <c r="B284" s="22" t="s">
        <v>793</v>
      </c>
      <c r="C284" s="72" t="s">
        <v>817</v>
      </c>
      <c r="D284" s="72" t="s">
        <v>817</v>
      </c>
      <c r="E284" s="72" t="s">
        <v>817</v>
      </c>
      <c r="F284" s="72" t="s">
        <v>817</v>
      </c>
      <c r="G284" s="22" t="s">
        <v>706</v>
      </c>
      <c r="H284" s="22">
        <v>9100</v>
      </c>
      <c r="I284" s="22">
        <v>100</v>
      </c>
      <c r="J284" s="72">
        <v>0.98901098901098905</v>
      </c>
      <c r="K284" s="73">
        <v>3.9110819445065013</v>
      </c>
      <c r="L284" s="73">
        <v>0.12616393369375811</v>
      </c>
      <c r="M284" s="22" t="s">
        <v>814</v>
      </c>
      <c r="N284" s="80">
        <v>2010</v>
      </c>
      <c r="O284" s="22" t="s">
        <v>773</v>
      </c>
      <c r="P284" s="22" t="s">
        <v>802</v>
      </c>
      <c r="Q284" s="22" t="s">
        <v>803</v>
      </c>
      <c r="R284" s="22">
        <v>10</v>
      </c>
      <c r="S284" s="33"/>
    </row>
    <row r="285" spans="1:19" s="38" customFormat="1" ht="27" customHeight="1" x14ac:dyDescent="0.25">
      <c r="A285" s="22" t="s">
        <v>755</v>
      </c>
      <c r="B285" s="22" t="s">
        <v>793</v>
      </c>
      <c r="C285" s="22" t="s">
        <v>703</v>
      </c>
      <c r="D285" s="22">
        <v>38500</v>
      </c>
      <c r="E285" s="22">
        <v>8000</v>
      </c>
      <c r="F285" s="72">
        <v>0.79220779220779225</v>
      </c>
      <c r="G285" s="22" t="s">
        <v>706</v>
      </c>
      <c r="H285" s="22">
        <v>9100</v>
      </c>
      <c r="I285" s="22">
        <v>1000</v>
      </c>
      <c r="J285" s="72">
        <v>0.89010989010989006</v>
      </c>
      <c r="K285" s="73">
        <v>3.9321092667887942</v>
      </c>
      <c r="L285" s="73">
        <v>0.19975956168178366</v>
      </c>
      <c r="M285" s="22" t="s">
        <v>809</v>
      </c>
      <c r="N285" s="80">
        <v>2010</v>
      </c>
      <c r="O285" s="22" t="s">
        <v>773</v>
      </c>
      <c r="P285" s="22" t="s">
        <v>802</v>
      </c>
      <c r="Q285" s="22" t="s">
        <v>803</v>
      </c>
      <c r="R285" s="22">
        <v>10</v>
      </c>
      <c r="S285" s="33"/>
    </row>
    <row r="286" spans="1:19" s="38" customFormat="1" ht="27" customHeight="1" x14ac:dyDescent="0.25">
      <c r="A286" s="22" t="s">
        <v>765</v>
      </c>
      <c r="B286" s="22" t="s">
        <v>793</v>
      </c>
      <c r="C286" s="22" t="s">
        <v>703</v>
      </c>
      <c r="D286" s="22">
        <v>38500</v>
      </c>
      <c r="E286" s="22">
        <v>8000</v>
      </c>
      <c r="F286" s="72">
        <v>0.79220779220779225</v>
      </c>
      <c r="G286" s="72" t="s">
        <v>817</v>
      </c>
      <c r="H286" s="72" t="s">
        <v>817</v>
      </c>
      <c r="I286" s="72" t="s">
        <v>817</v>
      </c>
      <c r="J286" s="72" t="s">
        <v>817</v>
      </c>
      <c r="K286" s="73">
        <v>4.0162185559179662</v>
      </c>
      <c r="L286" s="73">
        <v>8.4109289129172066E-2</v>
      </c>
      <c r="M286" s="22" t="s">
        <v>809</v>
      </c>
      <c r="N286" s="80">
        <v>2010</v>
      </c>
      <c r="O286" s="22" t="s">
        <v>773</v>
      </c>
      <c r="P286" s="22" t="s">
        <v>802</v>
      </c>
      <c r="Q286" s="22" t="s">
        <v>803</v>
      </c>
      <c r="R286" s="22">
        <v>10</v>
      </c>
      <c r="S286" s="33"/>
    </row>
    <row r="287" spans="1:19" s="38" customFormat="1" ht="27" customHeight="1" x14ac:dyDescent="0.25">
      <c r="A287" s="22" t="s">
        <v>755</v>
      </c>
      <c r="B287" s="22" t="s">
        <v>793</v>
      </c>
      <c r="C287" s="22" t="s">
        <v>703</v>
      </c>
      <c r="D287" s="22">
        <v>38500</v>
      </c>
      <c r="E287" s="22">
        <v>8000</v>
      </c>
      <c r="F287" s="72">
        <v>0.79220779220779225</v>
      </c>
      <c r="G287" s="72" t="s">
        <v>817</v>
      </c>
      <c r="H287" s="72" t="s">
        <v>817</v>
      </c>
      <c r="I287" s="72" t="s">
        <v>817</v>
      </c>
      <c r="J287" s="72" t="s">
        <v>817</v>
      </c>
      <c r="K287" s="73">
        <v>4.0687868616236988</v>
      </c>
      <c r="L287" s="73">
        <v>9.462295027031857E-2</v>
      </c>
      <c r="M287" s="22" t="s">
        <v>809</v>
      </c>
      <c r="N287" s="80">
        <v>2010</v>
      </c>
      <c r="O287" s="22" t="s">
        <v>773</v>
      </c>
      <c r="P287" s="22" t="s">
        <v>802</v>
      </c>
      <c r="Q287" s="22" t="s">
        <v>803</v>
      </c>
      <c r="R287" s="22">
        <v>10</v>
      </c>
      <c r="S287" s="33"/>
    </row>
    <row r="288" spans="1:19" s="38" customFormat="1" ht="27" customHeight="1" x14ac:dyDescent="0.25">
      <c r="A288" s="22" t="s">
        <v>104</v>
      </c>
      <c r="B288" s="22" t="s">
        <v>793</v>
      </c>
      <c r="C288" s="72" t="s">
        <v>817</v>
      </c>
      <c r="D288" s="72" t="s">
        <v>817</v>
      </c>
      <c r="E288" s="72" t="s">
        <v>817</v>
      </c>
      <c r="F288" s="72" t="s">
        <v>817</v>
      </c>
      <c r="G288" s="22" t="s">
        <v>706</v>
      </c>
      <c r="H288" s="22">
        <v>9100</v>
      </c>
      <c r="I288" s="22">
        <v>1000</v>
      </c>
      <c r="J288" s="72">
        <v>0.89010989010989006</v>
      </c>
      <c r="K288" s="73">
        <v>4.0687868616236988</v>
      </c>
      <c r="L288" s="73">
        <v>0.21027322282293018</v>
      </c>
      <c r="M288" s="22" t="s">
        <v>804</v>
      </c>
      <c r="N288" s="80">
        <v>2010</v>
      </c>
      <c r="O288" s="22" t="s">
        <v>773</v>
      </c>
      <c r="P288" s="22" t="s">
        <v>802</v>
      </c>
      <c r="Q288" s="22" t="s">
        <v>803</v>
      </c>
      <c r="R288" s="22">
        <v>10</v>
      </c>
      <c r="S288" s="33"/>
    </row>
    <row r="289" spans="1:19" s="38" customFormat="1" ht="27" customHeight="1" x14ac:dyDescent="0.25">
      <c r="A289" s="22" t="s">
        <v>213</v>
      </c>
      <c r="B289" s="22" t="s">
        <v>793</v>
      </c>
      <c r="C289" s="72" t="s">
        <v>817</v>
      </c>
      <c r="D289" s="72" t="s">
        <v>817</v>
      </c>
      <c r="E289" s="72" t="s">
        <v>817</v>
      </c>
      <c r="F289" s="72" t="s">
        <v>817</v>
      </c>
      <c r="G289" s="22" t="s">
        <v>706</v>
      </c>
      <c r="H289" s="22">
        <v>9100</v>
      </c>
      <c r="I289" s="22">
        <v>1000</v>
      </c>
      <c r="J289" s="72">
        <v>0.89010989010989006</v>
      </c>
      <c r="K289" s="73">
        <v>4.0687868616236988</v>
      </c>
      <c r="L289" s="73">
        <v>0.21027322282293018</v>
      </c>
      <c r="M289" s="22" t="s">
        <v>804</v>
      </c>
      <c r="N289" s="80">
        <v>2010</v>
      </c>
      <c r="O289" s="22" t="s">
        <v>773</v>
      </c>
      <c r="P289" s="22" t="s">
        <v>802</v>
      </c>
      <c r="Q289" s="22" t="s">
        <v>803</v>
      </c>
      <c r="R289" s="22">
        <v>10</v>
      </c>
      <c r="S289" s="33"/>
    </row>
    <row r="290" spans="1:19" s="38" customFormat="1" ht="27" customHeight="1" x14ac:dyDescent="0.25">
      <c r="A290" s="22" t="s">
        <v>719</v>
      </c>
      <c r="B290" s="22" t="s">
        <v>793</v>
      </c>
      <c r="C290" s="22" t="s">
        <v>703</v>
      </c>
      <c r="D290" s="22">
        <v>38500</v>
      </c>
      <c r="E290" s="22">
        <v>8000</v>
      </c>
      <c r="F290" s="72">
        <v>0.79220779220779225</v>
      </c>
      <c r="G290" s="72" t="s">
        <v>817</v>
      </c>
      <c r="H290" s="72" t="s">
        <v>817</v>
      </c>
      <c r="I290" s="72" t="s">
        <v>817</v>
      </c>
      <c r="J290" s="72" t="s">
        <v>817</v>
      </c>
      <c r="K290" s="73">
        <v>4.1108415061882848</v>
      </c>
      <c r="L290" s="73">
        <v>0.19975956168178366</v>
      </c>
      <c r="M290" s="22" t="s">
        <v>811</v>
      </c>
      <c r="N290" s="80">
        <v>2010</v>
      </c>
      <c r="O290" s="22" t="s">
        <v>773</v>
      </c>
      <c r="P290" s="22" t="s">
        <v>802</v>
      </c>
      <c r="Q290" s="22" t="s">
        <v>803</v>
      </c>
      <c r="R290" s="22">
        <v>10</v>
      </c>
      <c r="S290" s="33" t="s">
        <v>812</v>
      </c>
    </row>
    <row r="291" spans="1:19" s="38" customFormat="1" ht="27" customHeight="1" x14ac:dyDescent="0.25">
      <c r="A291" s="22" t="s">
        <v>736</v>
      </c>
      <c r="B291" s="22" t="s">
        <v>793</v>
      </c>
      <c r="C291" s="22" t="s">
        <v>703</v>
      </c>
      <c r="D291" s="22">
        <v>38500</v>
      </c>
      <c r="E291" s="22">
        <v>3000</v>
      </c>
      <c r="F291" s="72">
        <v>0.92207792207792205</v>
      </c>
      <c r="G291" s="22" t="s">
        <v>706</v>
      </c>
      <c r="H291" s="22">
        <v>9100</v>
      </c>
      <c r="I291" s="22">
        <v>100</v>
      </c>
      <c r="J291" s="72">
        <v>0.98901098901098905</v>
      </c>
      <c r="K291" s="73">
        <v>4.1213551673294315</v>
      </c>
      <c r="L291" s="73">
        <v>0.27335518966980921</v>
      </c>
      <c r="M291" s="22" t="s">
        <v>808</v>
      </c>
      <c r="N291" s="74">
        <v>2010</v>
      </c>
      <c r="O291" s="22" t="s">
        <v>773</v>
      </c>
      <c r="P291" s="22" t="s">
        <v>802</v>
      </c>
      <c r="Q291" s="22" t="s">
        <v>803</v>
      </c>
      <c r="R291" s="22">
        <v>10</v>
      </c>
      <c r="S291" s="33" t="s">
        <v>1287</v>
      </c>
    </row>
    <row r="292" spans="1:19" s="38" customFormat="1" ht="27" customHeight="1" x14ac:dyDescent="0.25">
      <c r="A292" s="22" t="s">
        <v>765</v>
      </c>
      <c r="B292" s="22" t="s">
        <v>793</v>
      </c>
      <c r="C292" s="22" t="s">
        <v>703</v>
      </c>
      <c r="D292" s="22">
        <v>38500</v>
      </c>
      <c r="E292" s="22">
        <v>3000</v>
      </c>
      <c r="F292" s="72">
        <v>0.92207792207792205</v>
      </c>
      <c r="G292" s="72" t="s">
        <v>817</v>
      </c>
      <c r="H292" s="72" t="s">
        <v>817</v>
      </c>
      <c r="I292" s="72" t="s">
        <v>817</v>
      </c>
      <c r="J292" s="72" t="s">
        <v>817</v>
      </c>
      <c r="K292" s="73">
        <v>4.1423824896117241</v>
      </c>
      <c r="L292" s="73">
        <v>0.10513661141146509</v>
      </c>
      <c r="M292" s="22" t="s">
        <v>809</v>
      </c>
      <c r="N292" s="74">
        <v>2010</v>
      </c>
      <c r="O292" s="22" t="s">
        <v>773</v>
      </c>
      <c r="P292" s="22" t="s">
        <v>802</v>
      </c>
      <c r="Q292" s="22" t="s">
        <v>803</v>
      </c>
      <c r="R292" s="22">
        <v>10</v>
      </c>
      <c r="S292" s="33"/>
    </row>
    <row r="293" spans="1:19" s="38" customFormat="1" ht="27" customHeight="1" x14ac:dyDescent="0.25">
      <c r="A293" s="22" t="s">
        <v>755</v>
      </c>
      <c r="B293" s="22" t="s">
        <v>793</v>
      </c>
      <c r="C293" s="22" t="s">
        <v>703</v>
      </c>
      <c r="D293" s="22">
        <v>38500</v>
      </c>
      <c r="E293" s="22">
        <v>3000</v>
      </c>
      <c r="F293" s="72">
        <v>0.92207792207792205</v>
      </c>
      <c r="G293" s="72" t="s">
        <v>817</v>
      </c>
      <c r="H293" s="72" t="s">
        <v>817</v>
      </c>
      <c r="I293" s="72" t="s">
        <v>817</v>
      </c>
      <c r="J293" s="72" t="s">
        <v>817</v>
      </c>
      <c r="K293" s="73">
        <v>4.1949507953174567</v>
      </c>
      <c r="L293" s="73">
        <v>0.10513661141146509</v>
      </c>
      <c r="M293" s="22" t="s">
        <v>809</v>
      </c>
      <c r="N293" s="74">
        <v>2010</v>
      </c>
      <c r="O293" s="22" t="s">
        <v>773</v>
      </c>
      <c r="P293" s="22" t="s">
        <v>802</v>
      </c>
      <c r="Q293" s="22" t="s">
        <v>803</v>
      </c>
      <c r="R293" s="22">
        <v>10</v>
      </c>
      <c r="S293" s="33"/>
    </row>
    <row r="294" spans="1:19" s="38" customFormat="1" ht="27" customHeight="1" x14ac:dyDescent="0.25">
      <c r="A294" s="22" t="s">
        <v>719</v>
      </c>
      <c r="B294" s="22" t="s">
        <v>793</v>
      </c>
      <c r="C294" s="22" t="s">
        <v>703</v>
      </c>
      <c r="D294" s="22">
        <v>38500</v>
      </c>
      <c r="E294" s="22">
        <v>3000</v>
      </c>
      <c r="F294" s="72">
        <v>0.92207792207792205</v>
      </c>
      <c r="G294" s="22" t="s">
        <v>706</v>
      </c>
      <c r="H294" s="22">
        <v>9100</v>
      </c>
      <c r="I294" s="22">
        <v>100</v>
      </c>
      <c r="J294" s="72">
        <v>0.98901098901098905</v>
      </c>
      <c r="K294" s="73">
        <v>4.3736830347169473</v>
      </c>
      <c r="L294" s="73">
        <v>0.25232786738751622</v>
      </c>
      <c r="M294" s="22" t="s">
        <v>809</v>
      </c>
      <c r="N294" s="74">
        <v>2010</v>
      </c>
      <c r="O294" s="22" t="s">
        <v>773</v>
      </c>
      <c r="P294" s="22" t="s">
        <v>802</v>
      </c>
      <c r="Q294" s="22" t="s">
        <v>803</v>
      </c>
      <c r="R294" s="22">
        <v>10</v>
      </c>
      <c r="S294" s="33"/>
    </row>
    <row r="295" spans="1:19" s="38" customFormat="1" ht="27" customHeight="1" x14ac:dyDescent="0.25">
      <c r="A295" s="22" t="s">
        <v>841</v>
      </c>
      <c r="B295" s="22" t="s">
        <v>793</v>
      </c>
      <c r="C295" s="22" t="s">
        <v>703</v>
      </c>
      <c r="D295" s="22">
        <v>38500</v>
      </c>
      <c r="E295" s="22">
        <v>3000</v>
      </c>
      <c r="F295" s="72">
        <v>0.92207792207792205</v>
      </c>
      <c r="G295" s="22" t="s">
        <v>706</v>
      </c>
      <c r="H295" s="22">
        <v>9100</v>
      </c>
      <c r="I295" s="22">
        <v>100</v>
      </c>
      <c r="J295" s="72">
        <v>0.98901098901098905</v>
      </c>
      <c r="K295" s="73">
        <v>4.42625134042268</v>
      </c>
      <c r="L295" s="73">
        <v>0.22078688396407667</v>
      </c>
      <c r="M295" s="22" t="s">
        <v>809</v>
      </c>
      <c r="N295" s="74">
        <v>2010</v>
      </c>
      <c r="O295" s="22" t="s">
        <v>773</v>
      </c>
      <c r="P295" s="22" t="s">
        <v>802</v>
      </c>
      <c r="Q295" s="22" t="s">
        <v>803</v>
      </c>
      <c r="R295" s="22">
        <v>10</v>
      </c>
      <c r="S295" s="33"/>
    </row>
    <row r="296" spans="1:19" s="38" customFormat="1" ht="27" customHeight="1" x14ac:dyDescent="0.25">
      <c r="A296" s="22" t="s">
        <v>765</v>
      </c>
      <c r="B296" s="22" t="s">
        <v>793</v>
      </c>
      <c r="C296" s="22" t="s">
        <v>703</v>
      </c>
      <c r="D296" s="22">
        <v>38500</v>
      </c>
      <c r="E296" s="22">
        <v>3000</v>
      </c>
      <c r="F296" s="72">
        <v>0.92207792207792205</v>
      </c>
      <c r="G296" s="22" t="s">
        <v>706</v>
      </c>
      <c r="H296" s="22">
        <v>9100</v>
      </c>
      <c r="I296" s="22">
        <v>100</v>
      </c>
      <c r="J296" s="72">
        <v>0.98901098901098905</v>
      </c>
      <c r="K296" s="73">
        <v>4.7626884969393686</v>
      </c>
      <c r="L296" s="73">
        <v>0.25232786738751622</v>
      </c>
      <c r="M296" s="22" t="s">
        <v>809</v>
      </c>
      <c r="N296" s="74">
        <v>2010</v>
      </c>
      <c r="O296" s="22" t="s">
        <v>773</v>
      </c>
      <c r="P296" s="22" t="s">
        <v>802</v>
      </c>
      <c r="Q296" s="22" t="s">
        <v>803</v>
      </c>
      <c r="R296" s="22">
        <v>10</v>
      </c>
      <c r="S296" s="33"/>
    </row>
    <row r="297" spans="1:19" s="38" customFormat="1" ht="27" customHeight="1" x14ac:dyDescent="0.25">
      <c r="A297" s="22" t="s">
        <v>719</v>
      </c>
      <c r="B297" s="22" t="s">
        <v>793</v>
      </c>
      <c r="C297" s="22" t="s">
        <v>703</v>
      </c>
      <c r="D297" s="22">
        <v>38500</v>
      </c>
      <c r="E297" s="22">
        <v>8000</v>
      </c>
      <c r="F297" s="72">
        <v>0.79220779220779225</v>
      </c>
      <c r="G297" s="72" t="s">
        <v>817</v>
      </c>
      <c r="H297" s="72" t="s">
        <v>817</v>
      </c>
      <c r="I297" s="72" t="s">
        <v>817</v>
      </c>
      <c r="J297" s="72" t="s">
        <v>817</v>
      </c>
      <c r="K297" s="73">
        <v>4.7837158192216611</v>
      </c>
      <c r="L297" s="73">
        <v>0.1366775948349046</v>
      </c>
      <c r="M297" s="22" t="s">
        <v>808</v>
      </c>
      <c r="N297" s="80">
        <v>2010</v>
      </c>
      <c r="O297" s="22" t="s">
        <v>773</v>
      </c>
      <c r="P297" s="22" t="s">
        <v>802</v>
      </c>
      <c r="Q297" s="22" t="s">
        <v>803</v>
      </c>
      <c r="R297" s="22">
        <v>10</v>
      </c>
      <c r="S297" s="33"/>
    </row>
    <row r="298" spans="1:19" s="38" customFormat="1" ht="27" customHeight="1" x14ac:dyDescent="0.25">
      <c r="A298" s="22" t="s">
        <v>755</v>
      </c>
      <c r="B298" s="22" t="s">
        <v>793</v>
      </c>
      <c r="C298" s="22" t="s">
        <v>703</v>
      </c>
      <c r="D298" s="22">
        <v>38500</v>
      </c>
      <c r="E298" s="22">
        <v>3000</v>
      </c>
      <c r="F298" s="72">
        <v>0.92207792207792205</v>
      </c>
      <c r="G298" s="22" t="s">
        <v>706</v>
      </c>
      <c r="H298" s="22">
        <v>9100</v>
      </c>
      <c r="I298" s="22">
        <v>100</v>
      </c>
      <c r="J298" s="72">
        <v>0.98901098901098905</v>
      </c>
      <c r="K298" s="73">
        <v>4.8152568026451013</v>
      </c>
      <c r="L298" s="73">
        <v>0.26284152852866272</v>
      </c>
      <c r="M298" s="22" t="s">
        <v>809</v>
      </c>
      <c r="N298" s="74">
        <v>2010</v>
      </c>
      <c r="O298" s="22" t="s">
        <v>773</v>
      </c>
      <c r="P298" s="22" t="s">
        <v>802</v>
      </c>
      <c r="Q298" s="22" t="s">
        <v>803</v>
      </c>
      <c r="R298" s="22">
        <v>10</v>
      </c>
      <c r="S298" s="33"/>
    </row>
    <row r="299" spans="1:19" s="38" customFormat="1" ht="27" customHeight="1" x14ac:dyDescent="0.25">
      <c r="A299" s="22" t="s">
        <v>719</v>
      </c>
      <c r="B299" s="22" t="s">
        <v>793</v>
      </c>
      <c r="C299" s="22" t="s">
        <v>703</v>
      </c>
      <c r="D299" s="22">
        <v>38500</v>
      </c>
      <c r="E299" s="22">
        <v>3000</v>
      </c>
      <c r="F299" s="72">
        <v>0.92207792207792205</v>
      </c>
      <c r="G299" s="72" t="s">
        <v>817</v>
      </c>
      <c r="H299" s="72" t="s">
        <v>817</v>
      </c>
      <c r="I299" s="72" t="s">
        <v>817</v>
      </c>
      <c r="J299" s="72" t="s">
        <v>817</v>
      </c>
      <c r="K299" s="73">
        <v>4.8362841249273938</v>
      </c>
      <c r="L299" s="73">
        <v>0.23130054510522319</v>
      </c>
      <c r="M299" s="22" t="s">
        <v>811</v>
      </c>
      <c r="N299" s="74">
        <v>2010</v>
      </c>
      <c r="O299" s="22" t="s">
        <v>773</v>
      </c>
      <c r="P299" s="22" t="s">
        <v>802</v>
      </c>
      <c r="Q299" s="22" t="s">
        <v>803</v>
      </c>
      <c r="R299" s="22">
        <v>10</v>
      </c>
      <c r="S299" s="33" t="s">
        <v>812</v>
      </c>
    </row>
    <row r="300" spans="1:19" s="38" customFormat="1" ht="27" customHeight="1" x14ac:dyDescent="0.25">
      <c r="A300" s="22" t="s">
        <v>736</v>
      </c>
      <c r="B300" s="22" t="s">
        <v>793</v>
      </c>
      <c r="C300" s="22" t="s">
        <v>703</v>
      </c>
      <c r="D300" s="22">
        <v>38500</v>
      </c>
      <c r="E300" s="22">
        <v>3000</v>
      </c>
      <c r="F300" s="72">
        <v>0.92207792207792205</v>
      </c>
      <c r="G300" s="22" t="s">
        <v>706</v>
      </c>
      <c r="H300" s="22">
        <v>9100</v>
      </c>
      <c r="I300" s="22">
        <v>100</v>
      </c>
      <c r="J300" s="72">
        <v>0.98901098901098905</v>
      </c>
      <c r="K300" s="73">
        <v>4.9624480586211517</v>
      </c>
      <c r="L300" s="73">
        <v>0.44157376792815334</v>
      </c>
      <c r="M300" s="22" t="s">
        <v>804</v>
      </c>
      <c r="N300" s="74">
        <v>2010</v>
      </c>
      <c r="O300" s="22" t="s">
        <v>773</v>
      </c>
      <c r="P300" s="22" t="s">
        <v>802</v>
      </c>
      <c r="Q300" s="22" t="s">
        <v>803</v>
      </c>
      <c r="R300" s="22">
        <v>10</v>
      </c>
      <c r="S300" s="33" t="s">
        <v>1286</v>
      </c>
    </row>
    <row r="301" spans="1:19" s="38" customFormat="1" ht="27" customHeight="1" x14ac:dyDescent="0.25">
      <c r="A301" s="22" t="s">
        <v>719</v>
      </c>
      <c r="B301" s="22" t="s">
        <v>793</v>
      </c>
      <c r="C301" s="22" t="s">
        <v>703</v>
      </c>
      <c r="D301" s="22">
        <v>38500</v>
      </c>
      <c r="E301" s="22">
        <v>8000</v>
      </c>
      <c r="F301" s="72">
        <v>0.79220779220779225</v>
      </c>
      <c r="G301" s="22" t="s">
        <v>706</v>
      </c>
      <c r="H301" s="22">
        <v>9100</v>
      </c>
      <c r="I301" s="22">
        <v>1000</v>
      </c>
      <c r="J301" s="72">
        <v>0.89010989010989006</v>
      </c>
      <c r="K301" s="73">
        <v>4.9729617197622993</v>
      </c>
      <c r="L301" s="73">
        <v>0.26284152852866272</v>
      </c>
      <c r="M301" s="22" t="s">
        <v>808</v>
      </c>
      <c r="N301" s="80">
        <v>2010</v>
      </c>
      <c r="O301" s="22" t="s">
        <v>773</v>
      </c>
      <c r="P301" s="22" t="s">
        <v>802</v>
      </c>
      <c r="Q301" s="22" t="s">
        <v>803</v>
      </c>
      <c r="R301" s="22">
        <v>10</v>
      </c>
      <c r="S301" s="33"/>
    </row>
    <row r="302" spans="1:19" s="38" customFormat="1" ht="27" customHeight="1" x14ac:dyDescent="0.25">
      <c r="A302" s="22" t="s">
        <v>104</v>
      </c>
      <c r="B302" s="22" t="s">
        <v>793</v>
      </c>
      <c r="C302" s="72" t="s">
        <v>817</v>
      </c>
      <c r="D302" s="72" t="s">
        <v>817</v>
      </c>
      <c r="E302" s="72" t="s">
        <v>817</v>
      </c>
      <c r="F302" s="72" t="s">
        <v>817</v>
      </c>
      <c r="G302" s="22" t="s">
        <v>706</v>
      </c>
      <c r="H302" s="22">
        <v>9100</v>
      </c>
      <c r="I302" s="22">
        <v>1000</v>
      </c>
      <c r="J302" s="72">
        <v>0.89010989010989006</v>
      </c>
      <c r="K302" s="73">
        <v>5.0045027031857376</v>
      </c>
      <c r="L302" s="73">
        <v>0.3574644787989813</v>
      </c>
      <c r="M302" s="22" t="s">
        <v>801</v>
      </c>
      <c r="N302" s="80">
        <v>2010</v>
      </c>
      <c r="O302" s="22" t="s">
        <v>773</v>
      </c>
      <c r="P302" s="22" t="s">
        <v>802</v>
      </c>
      <c r="Q302" s="22" t="s">
        <v>803</v>
      </c>
      <c r="R302" s="22">
        <v>10</v>
      </c>
      <c r="S302" s="33"/>
    </row>
    <row r="303" spans="1:19" s="38" customFormat="1" ht="27" customHeight="1" x14ac:dyDescent="0.25">
      <c r="A303" s="22" t="s">
        <v>213</v>
      </c>
      <c r="B303" s="22" t="s">
        <v>793</v>
      </c>
      <c r="C303" s="72" t="s">
        <v>817</v>
      </c>
      <c r="D303" s="72" t="s">
        <v>817</v>
      </c>
      <c r="E303" s="72" t="s">
        <v>817</v>
      </c>
      <c r="F303" s="72" t="s">
        <v>817</v>
      </c>
      <c r="G303" s="22" t="s">
        <v>706</v>
      </c>
      <c r="H303" s="22">
        <v>9100</v>
      </c>
      <c r="I303" s="22">
        <v>1000</v>
      </c>
      <c r="J303" s="72">
        <v>0.89010989010989006</v>
      </c>
      <c r="K303" s="73">
        <v>5.0045027031857376</v>
      </c>
      <c r="L303" s="73">
        <v>0.3574644787989813</v>
      </c>
      <c r="M303" s="22" t="s">
        <v>801</v>
      </c>
      <c r="N303" s="80">
        <v>2010</v>
      </c>
      <c r="O303" s="22" t="s">
        <v>773</v>
      </c>
      <c r="P303" s="22" t="s">
        <v>802</v>
      </c>
      <c r="Q303" s="22" t="s">
        <v>803</v>
      </c>
      <c r="R303" s="22">
        <v>10</v>
      </c>
      <c r="S303" s="33"/>
    </row>
    <row r="304" spans="1:19" s="38" customFormat="1" ht="27" customHeight="1" x14ac:dyDescent="0.25">
      <c r="A304" s="22" t="s">
        <v>736</v>
      </c>
      <c r="B304" s="22" t="s">
        <v>793</v>
      </c>
      <c r="C304" s="22" t="s">
        <v>703</v>
      </c>
      <c r="D304" s="22">
        <v>38500</v>
      </c>
      <c r="E304" s="22">
        <v>8000</v>
      </c>
      <c r="F304" s="72">
        <v>0.79220779220779225</v>
      </c>
      <c r="G304" s="72" t="s">
        <v>817</v>
      </c>
      <c r="H304" s="72" t="s">
        <v>817</v>
      </c>
      <c r="I304" s="72" t="s">
        <v>817</v>
      </c>
      <c r="J304" s="72" t="s">
        <v>817</v>
      </c>
      <c r="K304" s="73">
        <v>5.0255300254680311</v>
      </c>
      <c r="L304" s="73">
        <v>0.22078688396407667</v>
      </c>
      <c r="M304" s="22" t="s">
        <v>804</v>
      </c>
      <c r="N304" s="80">
        <v>2010</v>
      </c>
      <c r="O304" s="22" t="s">
        <v>773</v>
      </c>
      <c r="P304" s="22" t="s">
        <v>802</v>
      </c>
      <c r="Q304" s="22" t="s">
        <v>803</v>
      </c>
      <c r="R304" s="22">
        <v>10</v>
      </c>
      <c r="S304" s="33" t="s">
        <v>1286</v>
      </c>
    </row>
    <row r="305" spans="1:19" s="38" customFormat="1" ht="27" customHeight="1" x14ac:dyDescent="0.25">
      <c r="A305" s="22" t="s">
        <v>759</v>
      </c>
      <c r="B305" s="22" t="s">
        <v>793</v>
      </c>
      <c r="C305" s="22" t="s">
        <v>703</v>
      </c>
      <c r="D305" s="22">
        <v>38500</v>
      </c>
      <c r="E305" s="22">
        <v>3000</v>
      </c>
      <c r="F305" s="72">
        <v>0.92207792207792205</v>
      </c>
      <c r="G305" s="22" t="s">
        <v>706</v>
      </c>
      <c r="H305" s="22">
        <v>9100</v>
      </c>
      <c r="I305" s="22">
        <v>100</v>
      </c>
      <c r="J305" s="72">
        <v>0.98901098901098905</v>
      </c>
      <c r="K305" s="73">
        <v>5.0991256534560563</v>
      </c>
      <c r="L305" s="73">
        <v>0.90417485813859977</v>
      </c>
      <c r="M305" s="22" t="s">
        <v>801</v>
      </c>
      <c r="N305" s="74">
        <v>2010</v>
      </c>
      <c r="O305" s="22" t="s">
        <v>773</v>
      </c>
      <c r="P305" s="22" t="s">
        <v>802</v>
      </c>
      <c r="Q305" s="22" t="s">
        <v>803</v>
      </c>
      <c r="R305" s="22">
        <v>10</v>
      </c>
      <c r="S305" s="33"/>
    </row>
    <row r="306" spans="1:19" s="38" customFormat="1" ht="27" customHeight="1" x14ac:dyDescent="0.25">
      <c r="A306" s="22" t="s">
        <v>719</v>
      </c>
      <c r="B306" s="22" t="s">
        <v>793</v>
      </c>
      <c r="C306" s="22" t="s">
        <v>703</v>
      </c>
      <c r="D306" s="22">
        <v>38500</v>
      </c>
      <c r="E306" s="22">
        <v>3000</v>
      </c>
      <c r="F306" s="72">
        <v>0.92207792207792205</v>
      </c>
      <c r="G306" s="72" t="s">
        <v>817</v>
      </c>
      <c r="H306" s="72" t="s">
        <v>817</v>
      </c>
      <c r="I306" s="72" t="s">
        <v>817</v>
      </c>
      <c r="J306" s="72" t="s">
        <v>817</v>
      </c>
      <c r="K306" s="73">
        <v>5.4145354876904523</v>
      </c>
      <c r="L306" s="73">
        <v>0.16821857825834413</v>
      </c>
      <c r="M306" s="22" t="s">
        <v>808</v>
      </c>
      <c r="N306" s="74">
        <v>2010</v>
      </c>
      <c r="O306" s="22" t="s">
        <v>773</v>
      </c>
      <c r="P306" s="22" t="s">
        <v>802</v>
      </c>
      <c r="Q306" s="22" t="s">
        <v>803</v>
      </c>
      <c r="R306" s="22">
        <v>10</v>
      </c>
      <c r="S306" s="33"/>
    </row>
    <row r="307" spans="1:19" s="38" customFormat="1" ht="27" customHeight="1" x14ac:dyDescent="0.25">
      <c r="A307" s="22" t="s">
        <v>841</v>
      </c>
      <c r="B307" s="22" t="s">
        <v>793</v>
      </c>
      <c r="C307" s="22" t="s">
        <v>703</v>
      </c>
      <c r="D307" s="22">
        <v>38500</v>
      </c>
      <c r="E307" s="22">
        <v>8000</v>
      </c>
      <c r="F307" s="72">
        <v>0.79220779220779225</v>
      </c>
      <c r="G307" s="72" t="s">
        <v>817</v>
      </c>
      <c r="H307" s="72" t="s">
        <v>817</v>
      </c>
      <c r="I307" s="72" t="s">
        <v>817</v>
      </c>
      <c r="J307" s="72" t="s">
        <v>817</v>
      </c>
      <c r="K307" s="73">
        <v>5.5406994213842093</v>
      </c>
      <c r="L307" s="73">
        <v>0.1366775948349046</v>
      </c>
      <c r="M307" s="22" t="s">
        <v>808</v>
      </c>
      <c r="N307" s="80">
        <v>2010</v>
      </c>
      <c r="O307" s="22" t="s">
        <v>773</v>
      </c>
      <c r="P307" s="22" t="s">
        <v>802</v>
      </c>
      <c r="Q307" s="22" t="s">
        <v>803</v>
      </c>
      <c r="R307" s="22">
        <v>10</v>
      </c>
      <c r="S307" s="33"/>
    </row>
    <row r="308" spans="1:19" s="38" customFormat="1" ht="27" customHeight="1" x14ac:dyDescent="0.25">
      <c r="A308" s="22" t="s">
        <v>736</v>
      </c>
      <c r="B308" s="22" t="s">
        <v>793</v>
      </c>
      <c r="C308" s="22" t="s">
        <v>703</v>
      </c>
      <c r="D308" s="22">
        <v>38500</v>
      </c>
      <c r="E308" s="22">
        <v>8000</v>
      </c>
      <c r="F308" s="72">
        <v>0.79220779220779225</v>
      </c>
      <c r="G308" s="22" t="s">
        <v>706</v>
      </c>
      <c r="H308" s="22">
        <v>9100</v>
      </c>
      <c r="I308" s="22">
        <v>1000</v>
      </c>
      <c r="J308" s="72">
        <v>0.89010989010989006</v>
      </c>
      <c r="K308" s="73">
        <v>5.5512130825253569</v>
      </c>
      <c r="L308" s="73">
        <v>0.41003278450471387</v>
      </c>
      <c r="M308" s="22" t="s">
        <v>804</v>
      </c>
      <c r="N308" s="80">
        <v>2010</v>
      </c>
      <c r="O308" s="22" t="s">
        <v>773</v>
      </c>
      <c r="P308" s="22" t="s">
        <v>802</v>
      </c>
      <c r="Q308" s="22" t="s">
        <v>803</v>
      </c>
      <c r="R308" s="22">
        <v>10</v>
      </c>
      <c r="S308" s="33" t="s">
        <v>1287</v>
      </c>
    </row>
    <row r="309" spans="1:19" s="38" customFormat="1" ht="27" customHeight="1" x14ac:dyDescent="0.25">
      <c r="A309" s="22" t="s">
        <v>841</v>
      </c>
      <c r="B309" s="22" t="s">
        <v>793</v>
      </c>
      <c r="C309" s="22" t="s">
        <v>703</v>
      </c>
      <c r="D309" s="22">
        <v>38500</v>
      </c>
      <c r="E309" s="22">
        <v>8000</v>
      </c>
      <c r="F309" s="72">
        <v>0.79220779220779225</v>
      </c>
      <c r="G309" s="22" t="s">
        <v>706</v>
      </c>
      <c r="H309" s="22">
        <v>9100</v>
      </c>
      <c r="I309" s="22">
        <v>1000</v>
      </c>
      <c r="J309" s="72">
        <v>0.89010989010989006</v>
      </c>
      <c r="K309" s="73">
        <v>5.5827540659487953</v>
      </c>
      <c r="L309" s="73">
        <v>0.24181420624636971</v>
      </c>
      <c r="M309" s="22" t="s">
        <v>808</v>
      </c>
      <c r="N309" s="80">
        <v>2010</v>
      </c>
      <c r="O309" s="22" t="s">
        <v>773</v>
      </c>
      <c r="P309" s="22" t="s">
        <v>802</v>
      </c>
      <c r="Q309" s="22" t="s">
        <v>803</v>
      </c>
      <c r="R309" s="22">
        <v>10</v>
      </c>
      <c r="S309" s="33"/>
    </row>
    <row r="310" spans="1:19" s="38" customFormat="1" ht="27" customHeight="1" x14ac:dyDescent="0.25">
      <c r="A310" s="22" t="s">
        <v>736</v>
      </c>
      <c r="B310" s="22" t="s">
        <v>793</v>
      </c>
      <c r="C310" s="22" t="s">
        <v>703</v>
      </c>
      <c r="D310" s="22">
        <v>38500</v>
      </c>
      <c r="E310" s="22">
        <v>3000</v>
      </c>
      <c r="F310" s="72">
        <v>0.92207792207792205</v>
      </c>
      <c r="G310" s="72" t="s">
        <v>817</v>
      </c>
      <c r="H310" s="72" t="s">
        <v>817</v>
      </c>
      <c r="I310" s="72" t="s">
        <v>817</v>
      </c>
      <c r="J310" s="72" t="s">
        <v>817</v>
      </c>
      <c r="K310" s="73">
        <v>5.8561092556186054</v>
      </c>
      <c r="L310" s="73">
        <v>0.3574644787989813</v>
      </c>
      <c r="M310" s="22" t="s">
        <v>804</v>
      </c>
      <c r="N310" s="74">
        <v>2010</v>
      </c>
      <c r="O310" s="22" t="s">
        <v>773</v>
      </c>
      <c r="P310" s="22" t="s">
        <v>802</v>
      </c>
      <c r="Q310" s="22" t="s">
        <v>803</v>
      </c>
      <c r="R310" s="22">
        <v>10</v>
      </c>
      <c r="S310" s="33" t="s">
        <v>807</v>
      </c>
    </row>
    <row r="311" spans="1:19" s="38" customFormat="1" ht="27" customHeight="1" x14ac:dyDescent="0.25">
      <c r="A311" s="22" t="s">
        <v>765</v>
      </c>
      <c r="B311" s="22" t="s">
        <v>793</v>
      </c>
      <c r="C311" s="22" t="s">
        <v>703</v>
      </c>
      <c r="D311" s="22">
        <v>38500</v>
      </c>
      <c r="E311" s="22">
        <v>8000</v>
      </c>
      <c r="F311" s="72">
        <v>0.79220779220779225</v>
      </c>
      <c r="G311" s="72" t="s">
        <v>817</v>
      </c>
      <c r="H311" s="72" t="s">
        <v>817</v>
      </c>
      <c r="I311" s="72" t="s">
        <v>817</v>
      </c>
      <c r="J311" s="72" t="s">
        <v>817</v>
      </c>
      <c r="K311" s="73">
        <v>6.1294644452884146</v>
      </c>
      <c r="L311" s="73">
        <v>0.15770491711719761</v>
      </c>
      <c r="M311" s="22" t="s">
        <v>808</v>
      </c>
      <c r="N311" s="80">
        <v>2010</v>
      </c>
      <c r="O311" s="22" t="s">
        <v>773</v>
      </c>
      <c r="P311" s="22" t="s">
        <v>802</v>
      </c>
      <c r="Q311" s="22" t="s">
        <v>803</v>
      </c>
      <c r="R311" s="22">
        <v>10</v>
      </c>
      <c r="S311" s="33"/>
    </row>
    <row r="312" spans="1:19" s="37" customFormat="1" ht="27" customHeight="1" x14ac:dyDescent="0.25">
      <c r="A312" s="22" t="s">
        <v>755</v>
      </c>
      <c r="B312" s="22" t="s">
        <v>793</v>
      </c>
      <c r="C312" s="22" t="s">
        <v>703</v>
      </c>
      <c r="D312" s="22">
        <v>38500</v>
      </c>
      <c r="E312" s="22">
        <v>8000</v>
      </c>
      <c r="F312" s="72">
        <v>0.79220779220779225</v>
      </c>
      <c r="G312" s="72" t="s">
        <v>817</v>
      </c>
      <c r="H312" s="72" t="s">
        <v>817</v>
      </c>
      <c r="I312" s="72" t="s">
        <v>817</v>
      </c>
      <c r="J312" s="72" t="s">
        <v>817</v>
      </c>
      <c r="K312" s="73">
        <v>6.1504917675707071</v>
      </c>
      <c r="L312" s="73">
        <v>0.16821857825834413</v>
      </c>
      <c r="M312" s="22" t="s">
        <v>808</v>
      </c>
      <c r="N312" s="80">
        <v>2010</v>
      </c>
      <c r="O312" s="22" t="s">
        <v>773</v>
      </c>
      <c r="P312" s="22" t="s">
        <v>802</v>
      </c>
      <c r="Q312" s="22" t="s">
        <v>803</v>
      </c>
      <c r="R312" s="22">
        <v>10</v>
      </c>
      <c r="S312" s="33"/>
    </row>
    <row r="313" spans="1:19" s="37" customFormat="1" ht="27" customHeight="1" x14ac:dyDescent="0.25">
      <c r="A313" s="22" t="s">
        <v>765</v>
      </c>
      <c r="B313" s="22" t="s">
        <v>793</v>
      </c>
      <c r="C313" s="22" t="s">
        <v>703</v>
      </c>
      <c r="D313" s="22">
        <v>38500</v>
      </c>
      <c r="E313" s="22">
        <v>8000</v>
      </c>
      <c r="F313" s="72">
        <v>0.79220779220779225</v>
      </c>
      <c r="G313" s="22" t="s">
        <v>706</v>
      </c>
      <c r="H313" s="22">
        <v>9100</v>
      </c>
      <c r="I313" s="22">
        <v>1000</v>
      </c>
      <c r="J313" s="72">
        <v>0.89010989010989006</v>
      </c>
      <c r="K313" s="73">
        <v>6.1610054287118547</v>
      </c>
      <c r="L313" s="73">
        <v>0.28386885081095575</v>
      </c>
      <c r="M313" s="22" t="s">
        <v>808</v>
      </c>
      <c r="N313" s="80">
        <v>2010</v>
      </c>
      <c r="O313" s="22" t="s">
        <v>773</v>
      </c>
      <c r="P313" s="22" t="s">
        <v>802</v>
      </c>
      <c r="Q313" s="22" t="s">
        <v>803</v>
      </c>
      <c r="R313" s="22">
        <v>10</v>
      </c>
      <c r="S313" s="33"/>
    </row>
    <row r="314" spans="1:19" s="37" customFormat="1" ht="27" customHeight="1" x14ac:dyDescent="0.25">
      <c r="A314" s="22" t="s">
        <v>806</v>
      </c>
      <c r="B314" s="22" t="s">
        <v>793</v>
      </c>
      <c r="C314" s="22" t="s">
        <v>703</v>
      </c>
      <c r="D314" s="22">
        <v>38500</v>
      </c>
      <c r="E314" s="22">
        <v>3000</v>
      </c>
      <c r="F314" s="72">
        <v>0.92207792207792205</v>
      </c>
      <c r="G314" s="72" t="s">
        <v>817</v>
      </c>
      <c r="H314" s="72" t="s">
        <v>817</v>
      </c>
      <c r="I314" s="72" t="s">
        <v>817</v>
      </c>
      <c r="J314" s="72" t="s">
        <v>817</v>
      </c>
      <c r="K314" s="73">
        <v>6.1715190898530006</v>
      </c>
      <c r="L314" s="73">
        <v>0.16821857825834413</v>
      </c>
      <c r="M314" s="22" t="s">
        <v>808</v>
      </c>
      <c r="N314" s="74">
        <v>2010</v>
      </c>
      <c r="O314" s="22" t="s">
        <v>773</v>
      </c>
      <c r="P314" s="22" t="s">
        <v>802</v>
      </c>
      <c r="Q314" s="22" t="s">
        <v>803</v>
      </c>
      <c r="R314" s="22">
        <v>10</v>
      </c>
      <c r="S314" s="33"/>
    </row>
    <row r="315" spans="1:19" s="37" customFormat="1" ht="27" customHeight="1" x14ac:dyDescent="0.25">
      <c r="A315" s="22" t="s">
        <v>755</v>
      </c>
      <c r="B315" s="22" t="s">
        <v>793</v>
      </c>
      <c r="C315" s="22" t="s">
        <v>703</v>
      </c>
      <c r="D315" s="22">
        <v>38500</v>
      </c>
      <c r="E315" s="22">
        <v>8000</v>
      </c>
      <c r="F315" s="72">
        <v>0.79220779220779225</v>
      </c>
      <c r="G315" s="22" t="s">
        <v>706</v>
      </c>
      <c r="H315" s="22">
        <v>9100</v>
      </c>
      <c r="I315" s="22">
        <v>1000</v>
      </c>
      <c r="J315" s="72">
        <v>0.89010989010989006</v>
      </c>
      <c r="K315" s="73">
        <v>6.1925464121352931</v>
      </c>
      <c r="L315" s="73">
        <v>0.30489617309324873</v>
      </c>
      <c r="M315" s="22" t="s">
        <v>808</v>
      </c>
      <c r="N315" s="80">
        <v>2010</v>
      </c>
      <c r="O315" s="22" t="s">
        <v>773</v>
      </c>
      <c r="P315" s="22" t="s">
        <v>802</v>
      </c>
      <c r="Q315" s="22" t="s">
        <v>803</v>
      </c>
      <c r="R315" s="22">
        <v>10</v>
      </c>
      <c r="S315" s="33"/>
    </row>
    <row r="316" spans="1:19" s="37" customFormat="1" ht="27" customHeight="1" x14ac:dyDescent="0.25">
      <c r="A316" s="22" t="s">
        <v>104</v>
      </c>
      <c r="B316" s="22" t="s">
        <v>793</v>
      </c>
      <c r="C316" s="72" t="s">
        <v>817</v>
      </c>
      <c r="D316" s="72" t="s">
        <v>817</v>
      </c>
      <c r="E316" s="72" t="s">
        <v>817</v>
      </c>
      <c r="F316" s="72" t="s">
        <v>817</v>
      </c>
      <c r="G316" s="22" t="s">
        <v>706</v>
      </c>
      <c r="H316" s="22">
        <v>9100</v>
      </c>
      <c r="I316" s="22">
        <v>100</v>
      </c>
      <c r="J316" s="72">
        <v>0.98901098901098905</v>
      </c>
      <c r="K316" s="73">
        <v>6.6972021469103264</v>
      </c>
      <c r="L316" s="73">
        <v>0.26284152852866272</v>
      </c>
      <c r="M316" s="22" t="s">
        <v>804</v>
      </c>
      <c r="N316" s="80">
        <v>2010</v>
      </c>
      <c r="O316" s="22" t="s">
        <v>773</v>
      </c>
      <c r="P316" s="22" t="s">
        <v>802</v>
      </c>
      <c r="Q316" s="22" t="s">
        <v>803</v>
      </c>
      <c r="R316" s="22">
        <v>10</v>
      </c>
      <c r="S316" s="33"/>
    </row>
    <row r="317" spans="1:19" s="37" customFormat="1" ht="27" customHeight="1" x14ac:dyDescent="0.25">
      <c r="A317" s="22" t="s">
        <v>213</v>
      </c>
      <c r="B317" s="22" t="s">
        <v>793</v>
      </c>
      <c r="C317" s="72" t="s">
        <v>817</v>
      </c>
      <c r="D317" s="72" t="s">
        <v>817</v>
      </c>
      <c r="E317" s="72" t="s">
        <v>817</v>
      </c>
      <c r="F317" s="72" t="s">
        <v>817</v>
      </c>
      <c r="G317" s="22" t="s">
        <v>706</v>
      </c>
      <c r="H317" s="22">
        <v>9100</v>
      </c>
      <c r="I317" s="22">
        <v>100</v>
      </c>
      <c r="J317" s="72">
        <v>0.98901098901098905</v>
      </c>
      <c r="K317" s="73">
        <v>6.6972021469103264</v>
      </c>
      <c r="L317" s="73">
        <v>0.26284152852866272</v>
      </c>
      <c r="M317" s="22" t="s">
        <v>804</v>
      </c>
      <c r="N317" s="80">
        <v>2010</v>
      </c>
      <c r="O317" s="22" t="s">
        <v>773</v>
      </c>
      <c r="P317" s="22" t="s">
        <v>802</v>
      </c>
      <c r="Q317" s="22" t="s">
        <v>803</v>
      </c>
      <c r="R317" s="22">
        <v>10</v>
      </c>
      <c r="S317" s="33"/>
    </row>
    <row r="318" spans="1:19" s="37" customFormat="1" ht="27" customHeight="1" x14ac:dyDescent="0.25">
      <c r="A318" s="22" t="s">
        <v>765</v>
      </c>
      <c r="B318" s="22" t="s">
        <v>793</v>
      </c>
      <c r="C318" s="22" t="s">
        <v>703</v>
      </c>
      <c r="D318" s="22">
        <v>38500</v>
      </c>
      <c r="E318" s="22">
        <v>3000</v>
      </c>
      <c r="F318" s="72">
        <v>0.92207792207792205</v>
      </c>
      <c r="G318" s="72" t="s">
        <v>817</v>
      </c>
      <c r="H318" s="72" t="s">
        <v>817</v>
      </c>
      <c r="I318" s="72" t="s">
        <v>817</v>
      </c>
      <c r="J318" s="72" t="s">
        <v>817</v>
      </c>
      <c r="K318" s="73">
        <v>6.7602841137572049</v>
      </c>
      <c r="L318" s="73">
        <v>0.18924590054063714</v>
      </c>
      <c r="M318" s="22" t="s">
        <v>808</v>
      </c>
      <c r="N318" s="74">
        <v>2010</v>
      </c>
      <c r="O318" s="22" t="s">
        <v>773</v>
      </c>
      <c r="P318" s="22" t="s">
        <v>802</v>
      </c>
      <c r="Q318" s="22" t="s">
        <v>803</v>
      </c>
      <c r="R318" s="22">
        <v>10</v>
      </c>
      <c r="S318" s="33"/>
    </row>
    <row r="319" spans="1:19" s="37" customFormat="1" ht="27" customHeight="1" x14ac:dyDescent="0.25">
      <c r="A319" s="22" t="s">
        <v>719</v>
      </c>
      <c r="B319" s="22" t="s">
        <v>793</v>
      </c>
      <c r="C319" s="22" t="s">
        <v>703</v>
      </c>
      <c r="D319" s="22">
        <v>38500</v>
      </c>
      <c r="E319" s="22">
        <v>3000</v>
      </c>
      <c r="F319" s="72">
        <v>0.92207792207792205</v>
      </c>
      <c r="G319" s="22" t="s">
        <v>706</v>
      </c>
      <c r="H319" s="22">
        <v>9100</v>
      </c>
      <c r="I319" s="22">
        <v>100</v>
      </c>
      <c r="J319" s="72">
        <v>0.98901098901098905</v>
      </c>
      <c r="K319" s="73">
        <v>6.7813114360394984</v>
      </c>
      <c r="L319" s="73">
        <v>0.34695081765783481</v>
      </c>
      <c r="M319" s="22" t="s">
        <v>808</v>
      </c>
      <c r="N319" s="74">
        <v>2010</v>
      </c>
      <c r="O319" s="22" t="s">
        <v>773</v>
      </c>
      <c r="P319" s="22" t="s">
        <v>802</v>
      </c>
      <c r="Q319" s="22" t="s">
        <v>803</v>
      </c>
      <c r="R319" s="22">
        <v>10</v>
      </c>
      <c r="S319" s="33"/>
    </row>
    <row r="320" spans="1:19" s="37" customFormat="1" ht="27" customHeight="1" x14ac:dyDescent="0.25">
      <c r="A320" s="22" t="s">
        <v>755</v>
      </c>
      <c r="B320" s="22" t="s">
        <v>793</v>
      </c>
      <c r="C320" s="22" t="s">
        <v>703</v>
      </c>
      <c r="D320" s="22">
        <v>38500</v>
      </c>
      <c r="E320" s="22">
        <v>3000</v>
      </c>
      <c r="F320" s="72">
        <v>0.92207792207792205</v>
      </c>
      <c r="G320" s="72" t="s">
        <v>817</v>
      </c>
      <c r="H320" s="72" t="s">
        <v>817</v>
      </c>
      <c r="I320" s="72" t="s">
        <v>817</v>
      </c>
      <c r="J320" s="72" t="s">
        <v>817</v>
      </c>
      <c r="K320" s="73">
        <v>6.7918250971806442</v>
      </c>
      <c r="L320" s="73">
        <v>0.21027322282293018</v>
      </c>
      <c r="M320" s="22" t="s">
        <v>808</v>
      </c>
      <c r="N320" s="74">
        <v>2010</v>
      </c>
      <c r="O320" s="22" t="s">
        <v>773</v>
      </c>
      <c r="P320" s="22" t="s">
        <v>802</v>
      </c>
      <c r="Q320" s="22" t="s">
        <v>803</v>
      </c>
      <c r="R320" s="22">
        <v>10</v>
      </c>
      <c r="S320" s="33"/>
    </row>
    <row r="321" spans="1:19" s="37" customFormat="1" ht="27" customHeight="1" x14ac:dyDescent="0.25">
      <c r="A321" s="22" t="s">
        <v>213</v>
      </c>
      <c r="B321" s="22" t="s">
        <v>793</v>
      </c>
      <c r="C321" s="22" t="s">
        <v>703</v>
      </c>
      <c r="D321" s="22">
        <v>38500</v>
      </c>
      <c r="E321" s="22">
        <v>8000</v>
      </c>
      <c r="F321" s="72">
        <v>0.79220779220779225</v>
      </c>
      <c r="G321" s="72" t="s">
        <v>817</v>
      </c>
      <c r="H321" s="72" t="s">
        <v>817</v>
      </c>
      <c r="I321" s="72" t="s">
        <v>817</v>
      </c>
      <c r="J321" s="72" t="s">
        <v>817</v>
      </c>
      <c r="K321" s="73">
        <v>6.8654207251686703</v>
      </c>
      <c r="L321" s="73">
        <v>0.14719125597605112</v>
      </c>
      <c r="M321" s="22" t="s">
        <v>815</v>
      </c>
      <c r="N321" s="80">
        <v>2010</v>
      </c>
      <c r="O321" s="22" t="s">
        <v>773</v>
      </c>
      <c r="P321" s="22" t="s">
        <v>802</v>
      </c>
      <c r="Q321" s="22" t="s">
        <v>803</v>
      </c>
      <c r="R321" s="22">
        <v>10</v>
      </c>
      <c r="S321" s="33"/>
    </row>
    <row r="322" spans="1:19" s="37" customFormat="1" ht="27" customHeight="1" x14ac:dyDescent="0.25">
      <c r="A322" s="22" t="s">
        <v>104</v>
      </c>
      <c r="B322" s="22" t="s">
        <v>793</v>
      </c>
      <c r="C322" s="22" t="s">
        <v>703</v>
      </c>
      <c r="D322" s="22">
        <v>38500</v>
      </c>
      <c r="E322" s="22">
        <v>8000</v>
      </c>
      <c r="F322" s="72">
        <v>0.79220779220779225</v>
      </c>
      <c r="G322" s="72" t="s">
        <v>817</v>
      </c>
      <c r="H322" s="72" t="s">
        <v>817</v>
      </c>
      <c r="I322" s="72" t="s">
        <v>817</v>
      </c>
      <c r="J322" s="72" t="s">
        <v>817</v>
      </c>
      <c r="K322" s="73">
        <v>6.917989030874403</v>
      </c>
      <c r="L322" s="73">
        <v>0.11565027255261159</v>
      </c>
      <c r="M322" s="22" t="s">
        <v>815</v>
      </c>
      <c r="N322" s="80">
        <v>2010</v>
      </c>
      <c r="O322" s="22" t="s">
        <v>773</v>
      </c>
      <c r="P322" s="22" t="s">
        <v>802</v>
      </c>
      <c r="Q322" s="22" t="s">
        <v>803</v>
      </c>
      <c r="R322" s="22">
        <v>10</v>
      </c>
      <c r="S322" s="33"/>
    </row>
    <row r="323" spans="1:19" s="37" customFormat="1" ht="27" customHeight="1" x14ac:dyDescent="0.25">
      <c r="A323" s="22" t="s">
        <v>719</v>
      </c>
      <c r="B323" s="22" t="s">
        <v>793</v>
      </c>
      <c r="C323" s="22" t="s">
        <v>703</v>
      </c>
      <c r="D323" s="22">
        <v>38500</v>
      </c>
      <c r="E323" s="22">
        <v>8000</v>
      </c>
      <c r="F323" s="72">
        <v>0.79220779220779225</v>
      </c>
      <c r="G323" s="72" t="s">
        <v>817</v>
      </c>
      <c r="H323" s="72" t="s">
        <v>817</v>
      </c>
      <c r="I323" s="72" t="s">
        <v>817</v>
      </c>
      <c r="J323" s="72" t="s">
        <v>817</v>
      </c>
      <c r="K323" s="73">
        <v>6.9705573365801348</v>
      </c>
      <c r="L323" s="73">
        <v>0.24181420624636971</v>
      </c>
      <c r="M323" s="22" t="s">
        <v>804</v>
      </c>
      <c r="N323" s="80">
        <v>2010</v>
      </c>
      <c r="O323" s="22" t="s">
        <v>773</v>
      </c>
      <c r="P323" s="22" t="s">
        <v>802</v>
      </c>
      <c r="Q323" s="22" t="s">
        <v>803</v>
      </c>
      <c r="R323" s="22">
        <v>10</v>
      </c>
      <c r="S323" s="33"/>
    </row>
    <row r="324" spans="1:19" s="37" customFormat="1" ht="27" customHeight="1" x14ac:dyDescent="0.25">
      <c r="A324" s="22" t="s">
        <v>104</v>
      </c>
      <c r="B324" s="22" t="s">
        <v>793</v>
      </c>
      <c r="C324" s="72" t="s">
        <v>817</v>
      </c>
      <c r="D324" s="72" t="s">
        <v>817</v>
      </c>
      <c r="E324" s="72" t="s">
        <v>817</v>
      </c>
      <c r="F324" s="72" t="s">
        <v>817</v>
      </c>
      <c r="G324" s="22" t="s">
        <v>706</v>
      </c>
      <c r="H324" s="22">
        <v>9100</v>
      </c>
      <c r="I324" s="22">
        <v>100</v>
      </c>
      <c r="J324" s="72">
        <v>0.98901098901098905</v>
      </c>
      <c r="K324" s="73">
        <v>7.201857881685358</v>
      </c>
      <c r="L324" s="73">
        <v>0.41003278450471387</v>
      </c>
      <c r="M324" s="22" t="s">
        <v>801</v>
      </c>
      <c r="N324" s="80">
        <v>2010</v>
      </c>
      <c r="O324" s="22" t="s">
        <v>773</v>
      </c>
      <c r="P324" s="22" t="s">
        <v>802</v>
      </c>
      <c r="Q324" s="22" t="s">
        <v>803</v>
      </c>
      <c r="R324" s="22">
        <v>10</v>
      </c>
      <c r="S324" s="33"/>
    </row>
    <row r="325" spans="1:19" s="37" customFormat="1" ht="27" customHeight="1" x14ac:dyDescent="0.25">
      <c r="A325" s="22" t="s">
        <v>213</v>
      </c>
      <c r="B325" s="22" t="s">
        <v>793</v>
      </c>
      <c r="C325" s="72" t="s">
        <v>817</v>
      </c>
      <c r="D325" s="72" t="s">
        <v>817</v>
      </c>
      <c r="E325" s="72" t="s">
        <v>817</v>
      </c>
      <c r="F325" s="72" t="s">
        <v>817</v>
      </c>
      <c r="G325" s="22" t="s">
        <v>706</v>
      </c>
      <c r="H325" s="22">
        <v>9100</v>
      </c>
      <c r="I325" s="22">
        <v>100</v>
      </c>
      <c r="J325" s="72">
        <v>0.98901098901098905</v>
      </c>
      <c r="K325" s="73">
        <v>7.201857881685358</v>
      </c>
      <c r="L325" s="73">
        <v>0.41003278450471387</v>
      </c>
      <c r="M325" s="22" t="s">
        <v>801</v>
      </c>
      <c r="N325" s="80">
        <v>2010</v>
      </c>
      <c r="O325" s="22" t="s">
        <v>773</v>
      </c>
      <c r="P325" s="22" t="s">
        <v>802</v>
      </c>
      <c r="Q325" s="22" t="s">
        <v>803</v>
      </c>
      <c r="R325" s="22">
        <v>10</v>
      </c>
      <c r="S325" s="33"/>
    </row>
    <row r="326" spans="1:19" s="37" customFormat="1" ht="27" customHeight="1" x14ac:dyDescent="0.25">
      <c r="A326" s="22" t="s">
        <v>841</v>
      </c>
      <c r="B326" s="22" t="s">
        <v>793</v>
      </c>
      <c r="C326" s="22" t="s">
        <v>703</v>
      </c>
      <c r="D326" s="22">
        <v>38500</v>
      </c>
      <c r="E326" s="22">
        <v>8000</v>
      </c>
      <c r="F326" s="72">
        <v>0.79220779220779225</v>
      </c>
      <c r="G326" s="72" t="s">
        <v>817</v>
      </c>
      <c r="H326" s="72" t="s">
        <v>817</v>
      </c>
      <c r="I326" s="72" t="s">
        <v>817</v>
      </c>
      <c r="J326" s="72" t="s">
        <v>817</v>
      </c>
      <c r="K326" s="73">
        <v>7.2649398485322374</v>
      </c>
      <c r="L326" s="73">
        <v>0.18924590054063714</v>
      </c>
      <c r="M326" s="22" t="s">
        <v>804</v>
      </c>
      <c r="N326" s="80">
        <v>2010</v>
      </c>
      <c r="O326" s="22" t="s">
        <v>773</v>
      </c>
      <c r="P326" s="22" t="s">
        <v>802</v>
      </c>
      <c r="Q326" s="22" t="s">
        <v>803</v>
      </c>
      <c r="R326" s="22">
        <v>10</v>
      </c>
      <c r="S326" s="33"/>
    </row>
    <row r="327" spans="1:19" s="37" customFormat="1" ht="27" customHeight="1" x14ac:dyDescent="0.25">
      <c r="A327" s="22" t="s">
        <v>806</v>
      </c>
      <c r="B327" s="22" t="s">
        <v>793</v>
      </c>
      <c r="C327" s="22" t="s">
        <v>703</v>
      </c>
      <c r="D327" s="22">
        <v>38500</v>
      </c>
      <c r="E327" s="22">
        <v>3000</v>
      </c>
      <c r="F327" s="72">
        <v>0.92207792207792205</v>
      </c>
      <c r="G327" s="22" t="s">
        <v>706</v>
      </c>
      <c r="H327" s="22">
        <v>9100</v>
      </c>
      <c r="I327" s="22">
        <v>100</v>
      </c>
      <c r="J327" s="72">
        <v>0.98901098901098905</v>
      </c>
      <c r="K327" s="73">
        <v>7.4226447656494345</v>
      </c>
      <c r="L327" s="73">
        <v>0.32592349537554177</v>
      </c>
      <c r="M327" s="22" t="s">
        <v>808</v>
      </c>
      <c r="N327" s="74">
        <v>2010</v>
      </c>
      <c r="O327" s="22" t="s">
        <v>773</v>
      </c>
      <c r="P327" s="22" t="s">
        <v>802</v>
      </c>
      <c r="Q327" s="22" t="s">
        <v>803</v>
      </c>
      <c r="R327" s="22">
        <v>10</v>
      </c>
      <c r="S327" s="33"/>
    </row>
    <row r="328" spans="1:19" s="37" customFormat="1" ht="27" customHeight="1" x14ac:dyDescent="0.25">
      <c r="A328" s="22" t="s">
        <v>213</v>
      </c>
      <c r="B328" s="22" t="s">
        <v>793</v>
      </c>
      <c r="C328" s="22" t="s">
        <v>703</v>
      </c>
      <c r="D328" s="22">
        <v>38500</v>
      </c>
      <c r="E328" s="22">
        <v>8000</v>
      </c>
      <c r="F328" s="72">
        <v>0.79220779220779225</v>
      </c>
      <c r="G328" s="22" t="s">
        <v>706</v>
      </c>
      <c r="H328" s="22">
        <v>9100</v>
      </c>
      <c r="I328" s="22">
        <v>1000</v>
      </c>
      <c r="J328" s="72">
        <v>0.89010989010989006</v>
      </c>
      <c r="K328" s="73">
        <v>7.5908633439077793</v>
      </c>
      <c r="L328" s="73">
        <v>0.29438251195210224</v>
      </c>
      <c r="M328" s="22" t="s">
        <v>815</v>
      </c>
      <c r="N328" s="80">
        <v>2010</v>
      </c>
      <c r="O328" s="22" t="s">
        <v>773</v>
      </c>
      <c r="P328" s="22" t="s">
        <v>802</v>
      </c>
      <c r="Q328" s="22" t="s">
        <v>803</v>
      </c>
      <c r="R328" s="22">
        <v>10</v>
      </c>
      <c r="S328" s="33"/>
    </row>
    <row r="329" spans="1:19" s="37" customFormat="1" ht="27" customHeight="1" x14ac:dyDescent="0.25">
      <c r="A329" s="22" t="s">
        <v>104</v>
      </c>
      <c r="B329" s="22" t="s">
        <v>793</v>
      </c>
      <c r="C329" s="22" t="s">
        <v>703</v>
      </c>
      <c r="D329" s="22">
        <v>38500</v>
      </c>
      <c r="E329" s="22">
        <v>8000</v>
      </c>
      <c r="F329" s="72">
        <v>0.79220779220779225</v>
      </c>
      <c r="G329" s="22" t="s">
        <v>706</v>
      </c>
      <c r="H329" s="22">
        <v>9100</v>
      </c>
      <c r="I329" s="22">
        <v>1000</v>
      </c>
      <c r="J329" s="72">
        <v>0.89010989010989006</v>
      </c>
      <c r="K329" s="73">
        <v>7.6434316496135111</v>
      </c>
      <c r="L329" s="73">
        <v>0.25232786738751622</v>
      </c>
      <c r="M329" s="22" t="s">
        <v>815</v>
      </c>
      <c r="N329" s="80">
        <v>2010</v>
      </c>
      <c r="O329" s="22" t="s">
        <v>773</v>
      </c>
      <c r="P329" s="22" t="s">
        <v>802</v>
      </c>
      <c r="Q329" s="22" t="s">
        <v>803</v>
      </c>
      <c r="R329" s="22">
        <v>10</v>
      </c>
      <c r="S329" s="33"/>
    </row>
    <row r="330" spans="1:19" s="37" customFormat="1" ht="27" customHeight="1" x14ac:dyDescent="0.25">
      <c r="A330" s="22" t="s">
        <v>765</v>
      </c>
      <c r="B330" s="22" t="s">
        <v>793</v>
      </c>
      <c r="C330" s="22" t="s">
        <v>703</v>
      </c>
      <c r="D330" s="22">
        <v>38500</v>
      </c>
      <c r="E330" s="22">
        <v>3000</v>
      </c>
      <c r="F330" s="72">
        <v>0.92207792207792205</v>
      </c>
      <c r="G330" s="22" t="s">
        <v>706</v>
      </c>
      <c r="H330" s="22">
        <v>9100</v>
      </c>
      <c r="I330" s="22">
        <v>100</v>
      </c>
      <c r="J330" s="72">
        <v>0.98901098901098905</v>
      </c>
      <c r="K330" s="73">
        <v>8.0114097895536389</v>
      </c>
      <c r="L330" s="73">
        <v>0.37849180108127428</v>
      </c>
      <c r="M330" s="22" t="s">
        <v>808</v>
      </c>
      <c r="N330" s="74">
        <v>2010</v>
      </c>
      <c r="O330" s="22" t="s">
        <v>773</v>
      </c>
      <c r="P330" s="22" t="s">
        <v>802</v>
      </c>
      <c r="Q330" s="22" t="s">
        <v>803</v>
      </c>
      <c r="R330" s="22">
        <v>10</v>
      </c>
      <c r="S330" s="33"/>
    </row>
    <row r="331" spans="1:19" s="37" customFormat="1" ht="27" customHeight="1" x14ac:dyDescent="0.25">
      <c r="A331" s="22" t="s">
        <v>719</v>
      </c>
      <c r="B331" s="22" t="s">
        <v>793</v>
      </c>
      <c r="C331" s="22" t="s">
        <v>703</v>
      </c>
      <c r="D331" s="22">
        <v>38500</v>
      </c>
      <c r="E331" s="22">
        <v>3000</v>
      </c>
      <c r="F331" s="72">
        <v>0.92207792207792205</v>
      </c>
      <c r="G331" s="72" t="s">
        <v>817</v>
      </c>
      <c r="H331" s="72" t="s">
        <v>817</v>
      </c>
      <c r="I331" s="72" t="s">
        <v>817</v>
      </c>
      <c r="J331" s="72" t="s">
        <v>817</v>
      </c>
      <c r="K331" s="73">
        <v>8.0219234506947856</v>
      </c>
      <c r="L331" s="73">
        <v>0.33643715651668826</v>
      </c>
      <c r="M331" s="22" t="s">
        <v>804</v>
      </c>
      <c r="N331" s="74">
        <v>2010</v>
      </c>
      <c r="O331" s="22" t="s">
        <v>773</v>
      </c>
      <c r="P331" s="22" t="s">
        <v>802</v>
      </c>
      <c r="Q331" s="22" t="s">
        <v>803</v>
      </c>
      <c r="R331" s="22">
        <v>10</v>
      </c>
      <c r="S331" s="33"/>
    </row>
    <row r="332" spans="1:19" s="37" customFormat="1" ht="27" customHeight="1" x14ac:dyDescent="0.25">
      <c r="A332" s="22" t="s">
        <v>755</v>
      </c>
      <c r="B332" s="22" t="s">
        <v>793</v>
      </c>
      <c r="C332" s="22" t="s">
        <v>703</v>
      </c>
      <c r="D332" s="22">
        <v>38500</v>
      </c>
      <c r="E332" s="22">
        <v>3000</v>
      </c>
      <c r="F332" s="72">
        <v>0.92207792207792205</v>
      </c>
      <c r="G332" s="22" t="s">
        <v>706</v>
      </c>
      <c r="H332" s="22">
        <v>9100</v>
      </c>
      <c r="I332" s="22">
        <v>100</v>
      </c>
      <c r="J332" s="72">
        <v>0.98901098901098905</v>
      </c>
      <c r="K332" s="73">
        <v>8.0324371118359323</v>
      </c>
      <c r="L332" s="73">
        <v>0.38900546222242083</v>
      </c>
      <c r="M332" s="22" t="s">
        <v>808</v>
      </c>
      <c r="N332" s="74">
        <v>2010</v>
      </c>
      <c r="O332" s="22" t="s">
        <v>773</v>
      </c>
      <c r="P332" s="22" t="s">
        <v>802</v>
      </c>
      <c r="Q332" s="22" t="s">
        <v>803</v>
      </c>
      <c r="R332" s="22">
        <v>10</v>
      </c>
      <c r="S332" s="33"/>
    </row>
    <row r="333" spans="1:19" s="37" customFormat="1" ht="27" customHeight="1" x14ac:dyDescent="0.25">
      <c r="A333" s="22" t="s">
        <v>719</v>
      </c>
      <c r="B333" s="22" t="s">
        <v>793</v>
      </c>
      <c r="C333" s="22" t="s">
        <v>703</v>
      </c>
      <c r="D333" s="22">
        <v>38500</v>
      </c>
      <c r="E333" s="22">
        <v>8000</v>
      </c>
      <c r="F333" s="72">
        <v>0.79220779220779225</v>
      </c>
      <c r="G333" s="22" t="s">
        <v>706</v>
      </c>
      <c r="H333" s="22">
        <v>9100</v>
      </c>
      <c r="I333" s="22">
        <v>1000</v>
      </c>
      <c r="J333" s="72">
        <v>0.89010989010989006</v>
      </c>
      <c r="K333" s="73">
        <v>8.0850054175416659</v>
      </c>
      <c r="L333" s="73">
        <v>0.46260109021044638</v>
      </c>
      <c r="M333" s="22" t="s">
        <v>804</v>
      </c>
      <c r="N333" s="80">
        <v>2010</v>
      </c>
      <c r="O333" s="22" t="s">
        <v>773</v>
      </c>
      <c r="P333" s="22" t="s">
        <v>802</v>
      </c>
      <c r="Q333" s="22" t="s">
        <v>803</v>
      </c>
      <c r="R333" s="22">
        <v>10</v>
      </c>
      <c r="S333" s="33"/>
    </row>
    <row r="334" spans="1:19" s="37" customFormat="1" ht="27" customHeight="1" x14ac:dyDescent="0.25">
      <c r="A334" s="22" t="s">
        <v>213</v>
      </c>
      <c r="B334" s="22" t="s">
        <v>793</v>
      </c>
      <c r="C334" s="22" t="s">
        <v>703</v>
      </c>
      <c r="D334" s="22">
        <v>38500</v>
      </c>
      <c r="E334" s="22">
        <v>3000</v>
      </c>
      <c r="F334" s="72">
        <v>0.92207792207792205</v>
      </c>
      <c r="G334" s="72" t="s">
        <v>817</v>
      </c>
      <c r="H334" s="72" t="s">
        <v>817</v>
      </c>
      <c r="I334" s="72" t="s">
        <v>817</v>
      </c>
      <c r="J334" s="72" t="s">
        <v>817</v>
      </c>
      <c r="K334" s="73">
        <v>8.0955190786828126</v>
      </c>
      <c r="L334" s="73">
        <v>0.17873223939949065</v>
      </c>
      <c r="M334" s="22" t="s">
        <v>815</v>
      </c>
      <c r="N334" s="74">
        <v>2010</v>
      </c>
      <c r="O334" s="22" t="s">
        <v>773</v>
      </c>
      <c r="P334" s="22" t="s">
        <v>802</v>
      </c>
      <c r="Q334" s="22" t="s">
        <v>803</v>
      </c>
      <c r="R334" s="22">
        <v>10</v>
      </c>
      <c r="S334" s="33"/>
    </row>
    <row r="335" spans="1:19" s="37" customFormat="1" ht="27" customHeight="1" x14ac:dyDescent="0.25">
      <c r="A335" s="22" t="s">
        <v>104</v>
      </c>
      <c r="B335" s="22" t="s">
        <v>793</v>
      </c>
      <c r="C335" s="22" t="s">
        <v>703</v>
      </c>
      <c r="D335" s="22">
        <v>38500</v>
      </c>
      <c r="E335" s="22">
        <v>3000</v>
      </c>
      <c r="F335" s="72">
        <v>0.92207792207792205</v>
      </c>
      <c r="G335" s="72" t="s">
        <v>817</v>
      </c>
      <c r="H335" s="72" t="s">
        <v>817</v>
      </c>
      <c r="I335" s="72" t="s">
        <v>817</v>
      </c>
      <c r="J335" s="72" t="s">
        <v>817</v>
      </c>
      <c r="K335" s="73">
        <v>8.1480873843885444</v>
      </c>
      <c r="L335" s="73">
        <v>0.14719125597605112</v>
      </c>
      <c r="M335" s="22" t="s">
        <v>815</v>
      </c>
      <c r="N335" s="74">
        <v>2010</v>
      </c>
      <c r="O335" s="22" t="s">
        <v>773</v>
      </c>
      <c r="P335" s="22" t="s">
        <v>802</v>
      </c>
      <c r="Q335" s="22" t="s">
        <v>803</v>
      </c>
      <c r="R335" s="22">
        <v>10</v>
      </c>
      <c r="S335" s="33"/>
    </row>
    <row r="336" spans="1:19" s="37" customFormat="1" ht="27" customHeight="1" x14ac:dyDescent="0.25">
      <c r="A336" s="22" t="s">
        <v>841</v>
      </c>
      <c r="B336" s="22" t="s">
        <v>793</v>
      </c>
      <c r="C336" s="22" t="s">
        <v>703</v>
      </c>
      <c r="D336" s="22">
        <v>38500</v>
      </c>
      <c r="E336" s="22">
        <v>8000</v>
      </c>
      <c r="F336" s="72">
        <v>0.79220779220779225</v>
      </c>
      <c r="G336" s="22" t="s">
        <v>706</v>
      </c>
      <c r="H336" s="22">
        <v>9100</v>
      </c>
      <c r="I336" s="22">
        <v>1000</v>
      </c>
      <c r="J336" s="72">
        <v>0.89010989010989006</v>
      </c>
      <c r="K336" s="73">
        <v>8.2216830123765696</v>
      </c>
      <c r="L336" s="73">
        <v>0.38900546222242083</v>
      </c>
      <c r="M336" s="22" t="s">
        <v>804</v>
      </c>
      <c r="N336" s="80">
        <v>2010</v>
      </c>
      <c r="O336" s="22" t="s">
        <v>773</v>
      </c>
      <c r="P336" s="22" t="s">
        <v>802</v>
      </c>
      <c r="Q336" s="22" t="s">
        <v>803</v>
      </c>
      <c r="R336" s="22">
        <v>10</v>
      </c>
      <c r="S336" s="33"/>
    </row>
    <row r="337" spans="1:19" s="37" customFormat="1" ht="27" customHeight="1" x14ac:dyDescent="0.25">
      <c r="A337" s="22" t="s">
        <v>806</v>
      </c>
      <c r="B337" s="22" t="s">
        <v>793</v>
      </c>
      <c r="C337" s="22" t="s">
        <v>703</v>
      </c>
      <c r="D337" s="22">
        <v>38500</v>
      </c>
      <c r="E337" s="22">
        <v>3000</v>
      </c>
      <c r="F337" s="72">
        <v>0.92207792207792205</v>
      </c>
      <c r="G337" s="72" t="s">
        <v>817</v>
      </c>
      <c r="H337" s="72" t="s">
        <v>817</v>
      </c>
      <c r="I337" s="72" t="s">
        <v>817</v>
      </c>
      <c r="J337" s="72" t="s">
        <v>817</v>
      </c>
      <c r="K337" s="73">
        <v>8.3163059626468883</v>
      </c>
      <c r="L337" s="73">
        <v>0.28386885081095575</v>
      </c>
      <c r="M337" s="22" t="s">
        <v>804</v>
      </c>
      <c r="N337" s="74">
        <v>2010</v>
      </c>
      <c r="O337" s="22" t="s">
        <v>773</v>
      </c>
      <c r="P337" s="22" t="s">
        <v>802</v>
      </c>
      <c r="Q337" s="22" t="s">
        <v>803</v>
      </c>
      <c r="R337" s="22">
        <v>10</v>
      </c>
      <c r="S337" s="33"/>
    </row>
    <row r="338" spans="1:19" s="37" customFormat="1" ht="27" customHeight="1" x14ac:dyDescent="0.25">
      <c r="A338" s="22" t="s">
        <v>765</v>
      </c>
      <c r="B338" s="22" t="s">
        <v>793</v>
      </c>
      <c r="C338" s="22" t="s">
        <v>703</v>
      </c>
      <c r="D338" s="22">
        <v>38500</v>
      </c>
      <c r="E338" s="22">
        <v>8000</v>
      </c>
      <c r="F338" s="72">
        <v>0.79220779220779225</v>
      </c>
      <c r="G338" s="72" t="s">
        <v>817</v>
      </c>
      <c r="H338" s="72" t="s">
        <v>817</v>
      </c>
      <c r="I338" s="72" t="s">
        <v>817</v>
      </c>
      <c r="J338" s="72" t="s">
        <v>817</v>
      </c>
      <c r="K338" s="73">
        <v>8.6106884745989909</v>
      </c>
      <c r="L338" s="73">
        <v>0.30489617309324873</v>
      </c>
      <c r="M338" s="22" t="s">
        <v>804</v>
      </c>
      <c r="N338" s="80">
        <v>2010</v>
      </c>
      <c r="O338" s="22" t="s">
        <v>773</v>
      </c>
      <c r="P338" s="22" t="s">
        <v>802</v>
      </c>
      <c r="Q338" s="22" t="s">
        <v>803</v>
      </c>
      <c r="R338" s="22">
        <v>10</v>
      </c>
      <c r="S338" s="33"/>
    </row>
    <row r="339" spans="1:19" s="37" customFormat="1" ht="27" customHeight="1" x14ac:dyDescent="0.25">
      <c r="A339" s="22" t="s">
        <v>755</v>
      </c>
      <c r="B339" s="22" t="s">
        <v>793</v>
      </c>
      <c r="C339" s="22" t="s">
        <v>703</v>
      </c>
      <c r="D339" s="22">
        <v>38500</v>
      </c>
      <c r="E339" s="22">
        <v>8000</v>
      </c>
      <c r="F339" s="72">
        <v>0.79220779220779225</v>
      </c>
      <c r="G339" s="72" t="s">
        <v>817</v>
      </c>
      <c r="H339" s="72" t="s">
        <v>817</v>
      </c>
      <c r="I339" s="72" t="s">
        <v>817</v>
      </c>
      <c r="J339" s="72" t="s">
        <v>817</v>
      </c>
      <c r="K339" s="73">
        <v>8.6106884745989909</v>
      </c>
      <c r="L339" s="73">
        <v>0.36797813994012779</v>
      </c>
      <c r="M339" s="22" t="s">
        <v>804</v>
      </c>
      <c r="N339" s="80">
        <v>2010</v>
      </c>
      <c r="O339" s="22" t="s">
        <v>773</v>
      </c>
      <c r="P339" s="22" t="s">
        <v>802</v>
      </c>
      <c r="Q339" s="22" t="s">
        <v>803</v>
      </c>
      <c r="R339" s="22">
        <v>10</v>
      </c>
      <c r="S339" s="33"/>
    </row>
    <row r="340" spans="1:19" s="37" customFormat="1" ht="27" customHeight="1" x14ac:dyDescent="0.25">
      <c r="A340" s="22" t="s">
        <v>736</v>
      </c>
      <c r="B340" s="22" t="s">
        <v>793</v>
      </c>
      <c r="C340" s="22" t="s">
        <v>703</v>
      </c>
      <c r="D340" s="22">
        <v>38500</v>
      </c>
      <c r="E340" s="22">
        <v>3000</v>
      </c>
      <c r="F340" s="72">
        <v>0.92207792207792205</v>
      </c>
      <c r="G340" s="22" t="s">
        <v>706</v>
      </c>
      <c r="H340" s="22">
        <v>9100</v>
      </c>
      <c r="I340" s="22">
        <v>100</v>
      </c>
      <c r="J340" s="72">
        <v>0.98901098901098905</v>
      </c>
      <c r="K340" s="73">
        <v>8.8735300031276534</v>
      </c>
      <c r="L340" s="73">
        <v>0.64133332960993705</v>
      </c>
      <c r="M340" s="22" t="s">
        <v>804</v>
      </c>
      <c r="N340" s="74">
        <v>2010</v>
      </c>
      <c r="O340" s="22" t="s">
        <v>773</v>
      </c>
      <c r="P340" s="22" t="s">
        <v>802</v>
      </c>
      <c r="Q340" s="22" t="s">
        <v>803</v>
      </c>
      <c r="R340" s="22">
        <v>10</v>
      </c>
      <c r="S340" s="33" t="s">
        <v>1287</v>
      </c>
    </row>
    <row r="341" spans="1:19" s="37" customFormat="1" ht="27" customHeight="1" x14ac:dyDescent="0.25">
      <c r="A341" s="22" t="s">
        <v>765</v>
      </c>
      <c r="B341" s="22" t="s">
        <v>793</v>
      </c>
      <c r="C341" s="22" t="s">
        <v>703</v>
      </c>
      <c r="D341" s="22">
        <v>38500</v>
      </c>
      <c r="E341" s="22">
        <v>8000</v>
      </c>
      <c r="F341" s="72">
        <v>0.79220779220779225</v>
      </c>
      <c r="G341" s="22" t="s">
        <v>706</v>
      </c>
      <c r="H341" s="22">
        <v>9100</v>
      </c>
      <c r="I341" s="22">
        <v>1000</v>
      </c>
      <c r="J341" s="72">
        <v>0.89010989010989006</v>
      </c>
      <c r="K341" s="73">
        <v>9.5569179773021755</v>
      </c>
      <c r="L341" s="73">
        <v>0.52568305705732543</v>
      </c>
      <c r="M341" s="22" t="s">
        <v>804</v>
      </c>
      <c r="N341" s="80">
        <v>2010</v>
      </c>
      <c r="O341" s="22" t="s">
        <v>773</v>
      </c>
      <c r="P341" s="22" t="s">
        <v>802</v>
      </c>
      <c r="Q341" s="22" t="s">
        <v>803</v>
      </c>
      <c r="R341" s="22">
        <v>10</v>
      </c>
      <c r="S341" s="33"/>
    </row>
    <row r="342" spans="1:19" s="37" customFormat="1" ht="27" customHeight="1" x14ac:dyDescent="0.25">
      <c r="A342" s="22" t="s">
        <v>755</v>
      </c>
      <c r="B342" s="22" t="s">
        <v>793</v>
      </c>
      <c r="C342" s="22" t="s">
        <v>703</v>
      </c>
      <c r="D342" s="22">
        <v>38500</v>
      </c>
      <c r="E342" s="22">
        <v>8000</v>
      </c>
      <c r="F342" s="72">
        <v>0.79220779220779225</v>
      </c>
      <c r="G342" s="22" t="s">
        <v>706</v>
      </c>
      <c r="H342" s="22">
        <v>9100</v>
      </c>
      <c r="I342" s="22">
        <v>1000</v>
      </c>
      <c r="J342" s="72">
        <v>0.89010989010989006</v>
      </c>
      <c r="K342" s="73">
        <v>9.5674316384433222</v>
      </c>
      <c r="L342" s="73">
        <v>0.58876502390420449</v>
      </c>
      <c r="M342" s="22" t="s">
        <v>804</v>
      </c>
      <c r="N342" s="80">
        <v>2010</v>
      </c>
      <c r="O342" s="22" t="s">
        <v>773</v>
      </c>
      <c r="P342" s="22" t="s">
        <v>802</v>
      </c>
      <c r="Q342" s="22" t="s">
        <v>803</v>
      </c>
      <c r="R342" s="22">
        <v>10</v>
      </c>
      <c r="S342" s="33"/>
    </row>
    <row r="343" spans="1:19" s="37" customFormat="1" ht="27" customHeight="1" x14ac:dyDescent="0.25">
      <c r="A343" s="22" t="s">
        <v>765</v>
      </c>
      <c r="B343" s="22" t="s">
        <v>793</v>
      </c>
      <c r="C343" s="22" t="s">
        <v>703</v>
      </c>
      <c r="D343" s="22">
        <v>38500</v>
      </c>
      <c r="E343" s="22">
        <v>3000</v>
      </c>
      <c r="F343" s="72">
        <v>0.92207792207792205</v>
      </c>
      <c r="G343" s="72" t="s">
        <v>817</v>
      </c>
      <c r="H343" s="72" t="s">
        <v>817</v>
      </c>
      <c r="I343" s="72" t="s">
        <v>817</v>
      </c>
      <c r="J343" s="72" t="s">
        <v>817</v>
      </c>
      <c r="K343" s="73">
        <v>9.6515409275724942</v>
      </c>
      <c r="L343" s="73">
        <v>0.39951912336356732</v>
      </c>
      <c r="M343" s="22" t="s">
        <v>804</v>
      </c>
      <c r="N343" s="74">
        <v>2010</v>
      </c>
      <c r="O343" s="22" t="s">
        <v>773</v>
      </c>
      <c r="P343" s="22" t="s">
        <v>802</v>
      </c>
      <c r="Q343" s="22" t="s">
        <v>803</v>
      </c>
      <c r="R343" s="22">
        <v>10</v>
      </c>
      <c r="S343" s="33"/>
    </row>
    <row r="344" spans="1:19" s="37" customFormat="1" ht="27" customHeight="1" x14ac:dyDescent="0.25">
      <c r="A344" s="22" t="s">
        <v>755</v>
      </c>
      <c r="B344" s="22" t="s">
        <v>793</v>
      </c>
      <c r="C344" s="22" t="s">
        <v>703</v>
      </c>
      <c r="D344" s="22">
        <v>38500</v>
      </c>
      <c r="E344" s="22">
        <v>3000</v>
      </c>
      <c r="F344" s="72">
        <v>0.92207792207792205</v>
      </c>
      <c r="G344" s="72" t="s">
        <v>817</v>
      </c>
      <c r="H344" s="72" t="s">
        <v>817</v>
      </c>
      <c r="I344" s="72" t="s">
        <v>817</v>
      </c>
      <c r="J344" s="72" t="s">
        <v>817</v>
      </c>
      <c r="K344" s="73">
        <v>9.6620545887136409</v>
      </c>
      <c r="L344" s="73">
        <v>0.45208742906929988</v>
      </c>
      <c r="M344" s="22" t="s">
        <v>804</v>
      </c>
      <c r="N344" s="74">
        <v>2010</v>
      </c>
      <c r="O344" s="22" t="s">
        <v>773</v>
      </c>
      <c r="P344" s="22" t="s">
        <v>802</v>
      </c>
      <c r="Q344" s="22" t="s">
        <v>803</v>
      </c>
      <c r="R344" s="22">
        <v>10</v>
      </c>
      <c r="S344" s="33"/>
    </row>
    <row r="345" spans="1:19" x14ac:dyDescent="0.2">
      <c r="A345" s="113" t="s">
        <v>213</v>
      </c>
      <c r="B345" s="113" t="s">
        <v>793</v>
      </c>
      <c r="C345" s="114" t="s">
        <v>703</v>
      </c>
      <c r="D345" s="114">
        <v>38500</v>
      </c>
      <c r="E345" s="114">
        <v>3000</v>
      </c>
      <c r="F345" s="115">
        <v>0.92207792207792205</v>
      </c>
      <c r="G345" s="114" t="s">
        <v>706</v>
      </c>
      <c r="H345" s="114">
        <v>9100</v>
      </c>
      <c r="I345" s="114">
        <v>100</v>
      </c>
      <c r="J345" s="115">
        <v>0.98901098901098905</v>
      </c>
      <c r="K345" s="116">
        <v>10.030032728653769</v>
      </c>
      <c r="L345" s="116">
        <v>0.38900546222242083</v>
      </c>
      <c r="M345" s="114" t="s">
        <v>815</v>
      </c>
      <c r="N345" s="117">
        <v>2010</v>
      </c>
      <c r="O345" s="113" t="s">
        <v>773</v>
      </c>
      <c r="P345" s="113" t="s">
        <v>802</v>
      </c>
      <c r="Q345" s="114" t="s">
        <v>803</v>
      </c>
      <c r="R345" s="22">
        <v>10</v>
      </c>
      <c r="S345" s="118"/>
    </row>
    <row r="346" spans="1:19" x14ac:dyDescent="0.2">
      <c r="A346" s="22" t="s">
        <v>719</v>
      </c>
      <c r="B346" s="22" t="s">
        <v>793</v>
      </c>
      <c r="C346" s="22" t="s">
        <v>703</v>
      </c>
      <c r="D346" s="22">
        <v>38500</v>
      </c>
      <c r="E346" s="22">
        <v>3000</v>
      </c>
      <c r="F346" s="72">
        <v>0.92207792207792205</v>
      </c>
      <c r="G346" s="22" t="s">
        <v>706</v>
      </c>
      <c r="H346" s="22">
        <v>9100</v>
      </c>
      <c r="I346" s="22">
        <v>100</v>
      </c>
      <c r="J346" s="72">
        <v>0.98901098901098905</v>
      </c>
      <c r="K346" s="73">
        <v>11.56502725526116</v>
      </c>
      <c r="L346" s="73">
        <v>0.62030600732764396</v>
      </c>
      <c r="M346" s="22" t="s">
        <v>804</v>
      </c>
      <c r="N346" s="74">
        <v>2010</v>
      </c>
      <c r="O346" s="22" t="s">
        <v>773</v>
      </c>
      <c r="P346" s="22" t="s">
        <v>802</v>
      </c>
      <c r="Q346" s="22" t="s">
        <v>803</v>
      </c>
      <c r="R346" s="22">
        <v>10</v>
      </c>
      <c r="S346" s="33"/>
    </row>
    <row r="347" spans="1:19" ht="25.5" x14ac:dyDescent="0.2">
      <c r="A347" s="22" t="s">
        <v>213</v>
      </c>
      <c r="B347" s="22" t="s">
        <v>793</v>
      </c>
      <c r="C347" s="22" t="s">
        <v>703</v>
      </c>
      <c r="D347" s="22">
        <v>38500</v>
      </c>
      <c r="E347" s="22">
        <v>8000</v>
      </c>
      <c r="F347" s="72">
        <v>0.79220779220779225</v>
      </c>
      <c r="G347" s="72" t="s">
        <v>817</v>
      </c>
      <c r="H347" s="72" t="s">
        <v>817</v>
      </c>
      <c r="I347" s="72" t="s">
        <v>817</v>
      </c>
      <c r="J347" s="72" t="s">
        <v>817</v>
      </c>
      <c r="K347" s="73">
        <v>11.659650205531477</v>
      </c>
      <c r="L347" s="73">
        <v>0.42054644564586036</v>
      </c>
      <c r="M347" s="22" t="s">
        <v>814</v>
      </c>
      <c r="N347" s="80">
        <v>2010</v>
      </c>
      <c r="O347" s="22" t="s">
        <v>773</v>
      </c>
      <c r="P347" s="22" t="s">
        <v>802</v>
      </c>
      <c r="Q347" s="22" t="s">
        <v>803</v>
      </c>
      <c r="R347" s="22">
        <v>10</v>
      </c>
      <c r="S347" s="33"/>
    </row>
    <row r="348" spans="1:19" x14ac:dyDescent="0.2">
      <c r="A348" s="22" t="s">
        <v>841</v>
      </c>
      <c r="B348" s="22" t="s">
        <v>793</v>
      </c>
      <c r="C348" s="22" t="s">
        <v>703</v>
      </c>
      <c r="D348" s="22">
        <v>38500</v>
      </c>
      <c r="E348" s="22">
        <v>3000</v>
      </c>
      <c r="F348" s="72">
        <v>0.92207792207792205</v>
      </c>
      <c r="G348" s="22" t="s">
        <v>706</v>
      </c>
      <c r="H348" s="22">
        <v>9100</v>
      </c>
      <c r="I348" s="22">
        <v>100</v>
      </c>
      <c r="J348" s="72">
        <v>0.98901098901098905</v>
      </c>
      <c r="K348" s="73">
        <v>11.743759494660651</v>
      </c>
      <c r="L348" s="73">
        <v>0.54671037933961841</v>
      </c>
      <c r="M348" s="22" t="s">
        <v>804</v>
      </c>
      <c r="N348" s="74">
        <v>2010</v>
      </c>
      <c r="O348" s="22" t="s">
        <v>773</v>
      </c>
      <c r="P348" s="22" t="s">
        <v>802</v>
      </c>
      <c r="Q348" s="22" t="s">
        <v>803</v>
      </c>
      <c r="R348" s="22">
        <v>10</v>
      </c>
      <c r="S348" s="33"/>
    </row>
    <row r="349" spans="1:19" ht="25.5" x14ac:dyDescent="0.2">
      <c r="A349" s="22" t="s">
        <v>104</v>
      </c>
      <c r="B349" s="22" t="s">
        <v>793</v>
      </c>
      <c r="C349" s="22" t="s">
        <v>703</v>
      </c>
      <c r="D349" s="22">
        <v>38500</v>
      </c>
      <c r="E349" s="22">
        <v>8000</v>
      </c>
      <c r="F349" s="72">
        <v>0.79220779220779225</v>
      </c>
      <c r="G349" s="72" t="s">
        <v>817</v>
      </c>
      <c r="H349" s="72" t="s">
        <v>817</v>
      </c>
      <c r="I349" s="72" t="s">
        <v>817</v>
      </c>
      <c r="J349" s="72" t="s">
        <v>817</v>
      </c>
      <c r="K349" s="73">
        <v>11.754273155801796</v>
      </c>
      <c r="L349" s="73">
        <v>0.24181420624636971</v>
      </c>
      <c r="M349" s="22" t="s">
        <v>814</v>
      </c>
      <c r="N349" s="80">
        <v>2010</v>
      </c>
      <c r="O349" s="22" t="s">
        <v>773</v>
      </c>
      <c r="P349" s="22" t="s">
        <v>802</v>
      </c>
      <c r="Q349" s="22" t="s">
        <v>803</v>
      </c>
      <c r="R349" s="22">
        <v>10</v>
      </c>
      <c r="S349" s="33"/>
    </row>
    <row r="350" spans="1:19" x14ac:dyDescent="0.2">
      <c r="A350" s="22" t="s">
        <v>213</v>
      </c>
      <c r="B350" s="22" t="s">
        <v>793</v>
      </c>
      <c r="C350" s="22" t="s">
        <v>703</v>
      </c>
      <c r="D350" s="22">
        <v>38500</v>
      </c>
      <c r="E350" s="22">
        <v>8000</v>
      </c>
      <c r="F350" s="72">
        <v>0.79220779220779225</v>
      </c>
      <c r="G350" s="22" t="s">
        <v>706</v>
      </c>
      <c r="H350" s="22">
        <v>9100</v>
      </c>
      <c r="I350" s="22">
        <v>1000</v>
      </c>
      <c r="J350" s="72">
        <v>0.89010989010989006</v>
      </c>
      <c r="K350" s="73">
        <v>12.143278618024219</v>
      </c>
      <c r="L350" s="73">
        <v>0.56773770162191151</v>
      </c>
      <c r="M350" s="22" t="s">
        <v>814</v>
      </c>
      <c r="N350" s="80">
        <v>2010</v>
      </c>
      <c r="O350" s="22" t="s">
        <v>773</v>
      </c>
      <c r="P350" s="22" t="s">
        <v>802</v>
      </c>
      <c r="Q350" s="22" t="s">
        <v>803</v>
      </c>
      <c r="R350" s="22">
        <v>10</v>
      </c>
      <c r="S350" s="33"/>
    </row>
    <row r="351" spans="1:19" x14ac:dyDescent="0.2">
      <c r="A351" s="22" t="s">
        <v>104</v>
      </c>
      <c r="B351" s="22" t="s">
        <v>793</v>
      </c>
      <c r="C351" s="22" t="s">
        <v>703</v>
      </c>
      <c r="D351" s="22">
        <v>38500</v>
      </c>
      <c r="E351" s="22">
        <v>8000</v>
      </c>
      <c r="F351" s="72">
        <v>0.79220779220779225</v>
      </c>
      <c r="G351" s="22" t="s">
        <v>706</v>
      </c>
      <c r="H351" s="22">
        <v>9100</v>
      </c>
      <c r="I351" s="22">
        <v>1000</v>
      </c>
      <c r="J351" s="72">
        <v>0.89010989010989006</v>
      </c>
      <c r="K351" s="73">
        <v>12.237901568294536</v>
      </c>
      <c r="L351" s="73">
        <v>0.39951912336356732</v>
      </c>
      <c r="M351" s="22" t="s">
        <v>814</v>
      </c>
      <c r="N351" s="80">
        <v>2010</v>
      </c>
      <c r="O351" s="22" t="s">
        <v>773</v>
      </c>
      <c r="P351" s="22" t="s">
        <v>802</v>
      </c>
      <c r="Q351" s="22" t="s">
        <v>803</v>
      </c>
      <c r="R351" s="22">
        <v>10</v>
      </c>
      <c r="S351" s="33"/>
    </row>
    <row r="352" spans="1:19" ht="25.5" x14ac:dyDescent="0.2">
      <c r="A352" s="22" t="s">
        <v>213</v>
      </c>
      <c r="B352" s="22" t="s">
        <v>793</v>
      </c>
      <c r="C352" s="22" t="s">
        <v>703</v>
      </c>
      <c r="D352" s="22">
        <v>38500</v>
      </c>
      <c r="E352" s="22">
        <v>3000</v>
      </c>
      <c r="F352" s="72">
        <v>0.92207792207792205</v>
      </c>
      <c r="G352" s="72" t="s">
        <v>817</v>
      </c>
      <c r="H352" s="72" t="s">
        <v>817</v>
      </c>
      <c r="I352" s="72" t="s">
        <v>817</v>
      </c>
      <c r="J352" s="72" t="s">
        <v>817</v>
      </c>
      <c r="K352" s="73">
        <v>12.448174791117466</v>
      </c>
      <c r="L352" s="73">
        <v>0.48362841249273941</v>
      </c>
      <c r="M352" s="22" t="s">
        <v>814</v>
      </c>
      <c r="N352" s="74">
        <v>2010</v>
      </c>
      <c r="O352" s="22" t="s">
        <v>773</v>
      </c>
      <c r="P352" s="22" t="s">
        <v>802</v>
      </c>
      <c r="Q352" s="22" t="s">
        <v>803</v>
      </c>
      <c r="R352" s="22">
        <v>10</v>
      </c>
      <c r="S352" s="33"/>
    </row>
    <row r="353" spans="1:19" ht="25.5" x14ac:dyDescent="0.2">
      <c r="A353" s="22" t="s">
        <v>104</v>
      </c>
      <c r="B353" s="22" t="s">
        <v>793</v>
      </c>
      <c r="C353" s="22" t="s">
        <v>703</v>
      </c>
      <c r="D353" s="22">
        <v>38500</v>
      </c>
      <c r="E353" s="22">
        <v>3000</v>
      </c>
      <c r="F353" s="72">
        <v>0.92207792207792205</v>
      </c>
      <c r="G353" s="72" t="s">
        <v>817</v>
      </c>
      <c r="H353" s="72" t="s">
        <v>817</v>
      </c>
      <c r="I353" s="72" t="s">
        <v>817</v>
      </c>
      <c r="J353" s="72" t="s">
        <v>817</v>
      </c>
      <c r="K353" s="73">
        <v>12.542797741387785</v>
      </c>
      <c r="L353" s="73">
        <v>0.31540983423439523</v>
      </c>
      <c r="M353" s="22" t="s">
        <v>814</v>
      </c>
      <c r="N353" s="74">
        <v>2010</v>
      </c>
      <c r="O353" s="22" t="s">
        <v>773</v>
      </c>
      <c r="P353" s="22" t="s">
        <v>802</v>
      </c>
      <c r="Q353" s="22" t="s">
        <v>803</v>
      </c>
      <c r="R353" s="22">
        <v>10</v>
      </c>
      <c r="S353" s="33"/>
    </row>
    <row r="354" spans="1:19" x14ac:dyDescent="0.2">
      <c r="A354" s="22" t="s">
        <v>765</v>
      </c>
      <c r="B354" s="22" t="s">
        <v>793</v>
      </c>
      <c r="C354" s="22" t="s">
        <v>703</v>
      </c>
      <c r="D354" s="22">
        <v>38500</v>
      </c>
      <c r="E354" s="22">
        <v>3000</v>
      </c>
      <c r="F354" s="72">
        <v>0.92207792207792205</v>
      </c>
      <c r="G354" s="22" t="s">
        <v>706</v>
      </c>
      <c r="H354" s="22">
        <v>9100</v>
      </c>
      <c r="I354" s="22">
        <v>100</v>
      </c>
      <c r="J354" s="72">
        <v>0.98901098901098905</v>
      </c>
      <c r="K354" s="73">
        <v>13.078994459586257</v>
      </c>
      <c r="L354" s="73">
        <v>0.68338797417452313</v>
      </c>
      <c r="M354" s="22" t="s">
        <v>804</v>
      </c>
      <c r="N354" s="74">
        <v>2010</v>
      </c>
      <c r="O354" s="22" t="s">
        <v>773</v>
      </c>
      <c r="P354" s="22" t="s">
        <v>802</v>
      </c>
      <c r="Q354" s="22" t="s">
        <v>803</v>
      </c>
      <c r="R354" s="22">
        <v>10</v>
      </c>
      <c r="S354" s="33"/>
    </row>
    <row r="355" spans="1:19" x14ac:dyDescent="0.2">
      <c r="A355" s="22" t="s">
        <v>755</v>
      </c>
      <c r="B355" s="22" t="s">
        <v>793</v>
      </c>
      <c r="C355" s="22" t="s">
        <v>703</v>
      </c>
      <c r="D355" s="22">
        <v>38500</v>
      </c>
      <c r="E355" s="22">
        <v>3000</v>
      </c>
      <c r="F355" s="72">
        <v>0.92207792207792205</v>
      </c>
      <c r="G355" s="22" t="s">
        <v>706</v>
      </c>
      <c r="H355" s="22">
        <v>9100</v>
      </c>
      <c r="I355" s="22">
        <v>100</v>
      </c>
      <c r="J355" s="72">
        <v>0.98901098901098905</v>
      </c>
      <c r="K355" s="73">
        <v>13.078994459586257</v>
      </c>
      <c r="L355" s="73">
        <v>0.74646994102140207</v>
      </c>
      <c r="M355" s="22" t="s">
        <v>804</v>
      </c>
      <c r="N355" s="74">
        <v>2010</v>
      </c>
      <c r="O355" s="22" t="s">
        <v>773</v>
      </c>
      <c r="P355" s="22" t="s">
        <v>802</v>
      </c>
      <c r="Q355" s="22" t="s">
        <v>803</v>
      </c>
      <c r="R355" s="22">
        <v>10</v>
      </c>
      <c r="S355" s="33"/>
    </row>
    <row r="356" spans="1:19" x14ac:dyDescent="0.2">
      <c r="A356" s="22" t="s">
        <v>213</v>
      </c>
      <c r="B356" s="22" t="s">
        <v>793</v>
      </c>
      <c r="C356" s="22" t="s">
        <v>703</v>
      </c>
      <c r="D356" s="22">
        <v>38500</v>
      </c>
      <c r="E356" s="22">
        <v>3000</v>
      </c>
      <c r="F356" s="72">
        <v>0.92207792207792205</v>
      </c>
      <c r="G356" s="22" t="s">
        <v>706</v>
      </c>
      <c r="H356" s="22">
        <v>9100</v>
      </c>
      <c r="I356" s="22">
        <v>100</v>
      </c>
      <c r="J356" s="72">
        <v>0.98901098901098905</v>
      </c>
      <c r="K356" s="73">
        <v>14.498338713641035</v>
      </c>
      <c r="L356" s="73">
        <v>0.7149289575979626</v>
      </c>
      <c r="M356" s="22" t="s">
        <v>814</v>
      </c>
      <c r="N356" s="74">
        <v>2010</v>
      </c>
      <c r="O356" s="22" t="s">
        <v>773</v>
      </c>
      <c r="P356" s="22" t="s">
        <v>802</v>
      </c>
      <c r="Q356" s="22" t="s">
        <v>803</v>
      </c>
      <c r="R356" s="22">
        <v>10</v>
      </c>
      <c r="S356" s="33"/>
    </row>
    <row r="357" spans="1:19" x14ac:dyDescent="0.2">
      <c r="A357" s="22" t="s">
        <v>104</v>
      </c>
      <c r="B357" s="22" t="s">
        <v>793</v>
      </c>
      <c r="C357" s="22" t="s">
        <v>703</v>
      </c>
      <c r="D357" s="22">
        <v>38500</v>
      </c>
      <c r="E357" s="22">
        <v>3000</v>
      </c>
      <c r="F357" s="72">
        <v>0.92207792207792205</v>
      </c>
      <c r="G357" s="22" t="s">
        <v>706</v>
      </c>
      <c r="H357" s="22">
        <v>9100</v>
      </c>
      <c r="I357" s="22">
        <v>100</v>
      </c>
      <c r="J357" s="72">
        <v>0.98901098901098905</v>
      </c>
      <c r="K357" s="73">
        <v>14.592961663911355</v>
      </c>
      <c r="L357" s="73">
        <v>0.54671037933961841</v>
      </c>
      <c r="M357" s="22" t="s">
        <v>814</v>
      </c>
      <c r="N357" s="74">
        <v>2010</v>
      </c>
      <c r="O357" s="22" t="s">
        <v>773</v>
      </c>
      <c r="P357" s="22" t="s">
        <v>802</v>
      </c>
      <c r="Q357" s="22" t="s">
        <v>803</v>
      </c>
      <c r="R357" s="22">
        <v>10</v>
      </c>
      <c r="S357" s="33"/>
    </row>
    <row r="358" spans="1:19" ht="25.5" x14ac:dyDescent="0.2">
      <c r="A358" s="22" t="s">
        <v>213</v>
      </c>
      <c r="B358" s="22" t="s">
        <v>793</v>
      </c>
      <c r="C358" s="22" t="s">
        <v>703</v>
      </c>
      <c r="D358" s="22">
        <v>38500</v>
      </c>
      <c r="E358" s="22">
        <v>8000</v>
      </c>
      <c r="F358" s="72">
        <v>0.79220779220779225</v>
      </c>
      <c r="G358" s="72" t="s">
        <v>817</v>
      </c>
      <c r="H358" s="72" t="s">
        <v>817</v>
      </c>
      <c r="I358" s="72" t="s">
        <v>817</v>
      </c>
      <c r="J358" s="72" t="s">
        <v>817</v>
      </c>
      <c r="K358" s="73">
        <v>17.789114650819894</v>
      </c>
      <c r="L358" s="73">
        <v>0.80955190786828113</v>
      </c>
      <c r="M358" s="22" t="s">
        <v>804</v>
      </c>
      <c r="N358" s="80">
        <v>2010</v>
      </c>
      <c r="O358" s="22" t="s">
        <v>773</v>
      </c>
      <c r="P358" s="22" t="s">
        <v>802</v>
      </c>
      <c r="Q358" s="22" t="s">
        <v>803</v>
      </c>
      <c r="R358" s="22">
        <v>10</v>
      </c>
      <c r="S358" s="33"/>
    </row>
    <row r="359" spans="1:19" ht="25.5" x14ac:dyDescent="0.2">
      <c r="A359" s="22" t="s">
        <v>104</v>
      </c>
      <c r="B359" s="22" t="s">
        <v>793</v>
      </c>
      <c r="C359" s="22" t="s">
        <v>703</v>
      </c>
      <c r="D359" s="22">
        <v>38500</v>
      </c>
      <c r="E359" s="22">
        <v>8000</v>
      </c>
      <c r="F359" s="72">
        <v>0.79220779220779225</v>
      </c>
      <c r="G359" s="72" t="s">
        <v>817</v>
      </c>
      <c r="H359" s="72" t="s">
        <v>817</v>
      </c>
      <c r="I359" s="72" t="s">
        <v>817</v>
      </c>
      <c r="J359" s="72" t="s">
        <v>817</v>
      </c>
      <c r="K359" s="73">
        <v>17.915278584513651</v>
      </c>
      <c r="L359" s="73">
        <v>0.55722404048076501</v>
      </c>
      <c r="M359" s="22" t="s">
        <v>804</v>
      </c>
      <c r="N359" s="80">
        <v>2010</v>
      </c>
      <c r="O359" s="22" t="s">
        <v>773</v>
      </c>
      <c r="P359" s="22" t="s">
        <v>802</v>
      </c>
      <c r="Q359" s="22" t="s">
        <v>803</v>
      </c>
      <c r="R359" s="22">
        <v>10</v>
      </c>
      <c r="S359" s="33"/>
    </row>
    <row r="360" spans="1:19" ht="25.5" x14ac:dyDescent="0.2">
      <c r="A360" s="22" t="s">
        <v>213</v>
      </c>
      <c r="B360" s="22" t="s">
        <v>793</v>
      </c>
      <c r="C360" s="22" t="s">
        <v>703</v>
      </c>
      <c r="D360" s="22">
        <v>38500</v>
      </c>
      <c r="E360" s="22">
        <v>3000</v>
      </c>
      <c r="F360" s="72">
        <v>0.92207792207792205</v>
      </c>
      <c r="G360" s="72" t="s">
        <v>817</v>
      </c>
      <c r="H360" s="72" t="s">
        <v>817</v>
      </c>
      <c r="I360" s="72" t="s">
        <v>817</v>
      </c>
      <c r="J360" s="72" t="s">
        <v>817</v>
      </c>
      <c r="K360" s="73">
        <v>18.577639236405883</v>
      </c>
      <c r="L360" s="73">
        <v>0.94622950270318584</v>
      </c>
      <c r="M360" s="22" t="s">
        <v>804</v>
      </c>
      <c r="N360" s="74">
        <v>2010</v>
      </c>
      <c r="O360" s="22" t="s">
        <v>773</v>
      </c>
      <c r="P360" s="22" t="s">
        <v>802</v>
      </c>
      <c r="Q360" s="22" t="s">
        <v>803</v>
      </c>
      <c r="R360" s="22">
        <v>10</v>
      </c>
      <c r="S360" s="33"/>
    </row>
    <row r="361" spans="1:19" ht="25.5" x14ac:dyDescent="0.2">
      <c r="A361" s="22" t="s">
        <v>104</v>
      </c>
      <c r="B361" s="22" t="s">
        <v>793</v>
      </c>
      <c r="C361" s="22" t="s">
        <v>703</v>
      </c>
      <c r="D361" s="22">
        <v>38500</v>
      </c>
      <c r="E361" s="22">
        <v>3000</v>
      </c>
      <c r="F361" s="72">
        <v>0.92207792207792205</v>
      </c>
      <c r="G361" s="72" t="s">
        <v>817</v>
      </c>
      <c r="H361" s="72" t="s">
        <v>817</v>
      </c>
      <c r="I361" s="72" t="s">
        <v>817</v>
      </c>
      <c r="J361" s="72" t="s">
        <v>817</v>
      </c>
      <c r="K361" s="73">
        <v>18.693289508958493</v>
      </c>
      <c r="L361" s="73">
        <v>0.70441529645681611</v>
      </c>
      <c r="M361" s="22" t="s">
        <v>804</v>
      </c>
      <c r="N361" s="74">
        <v>2010</v>
      </c>
      <c r="O361" s="22" t="s">
        <v>773</v>
      </c>
      <c r="P361" s="22" t="s">
        <v>802</v>
      </c>
      <c r="Q361" s="22" t="s">
        <v>803</v>
      </c>
      <c r="R361" s="22">
        <v>10</v>
      </c>
      <c r="S361" s="33"/>
    </row>
    <row r="362" spans="1:19" x14ac:dyDescent="0.2">
      <c r="A362" s="22" t="s">
        <v>213</v>
      </c>
      <c r="B362" s="22" t="s">
        <v>793</v>
      </c>
      <c r="C362" s="22" t="s">
        <v>703</v>
      </c>
      <c r="D362" s="22">
        <v>38500</v>
      </c>
      <c r="E362" s="22">
        <v>8000</v>
      </c>
      <c r="F362" s="72">
        <v>0.79220779220779225</v>
      </c>
      <c r="G362" s="22" t="s">
        <v>706</v>
      </c>
      <c r="H362" s="22">
        <v>9100</v>
      </c>
      <c r="I362" s="22">
        <v>1000</v>
      </c>
      <c r="J362" s="72">
        <v>0.89010989010989006</v>
      </c>
      <c r="K362" s="73">
        <v>19.082294971180911</v>
      </c>
      <c r="L362" s="73">
        <v>1.0303387918323579</v>
      </c>
      <c r="M362" s="22" t="s">
        <v>804</v>
      </c>
      <c r="N362" s="80">
        <v>2010</v>
      </c>
      <c r="O362" s="22" t="s">
        <v>773</v>
      </c>
      <c r="P362" s="22" t="s">
        <v>802</v>
      </c>
      <c r="Q362" s="22" t="s">
        <v>803</v>
      </c>
      <c r="R362" s="22">
        <v>10</v>
      </c>
      <c r="S362" s="33"/>
    </row>
    <row r="363" spans="1:19" x14ac:dyDescent="0.2">
      <c r="A363" s="22" t="s">
        <v>104</v>
      </c>
      <c r="B363" s="22" t="s">
        <v>793</v>
      </c>
      <c r="C363" s="22" t="s">
        <v>703</v>
      </c>
      <c r="D363" s="22">
        <v>38500</v>
      </c>
      <c r="E363" s="22">
        <v>8000</v>
      </c>
      <c r="F363" s="72">
        <v>0.79220779220779225</v>
      </c>
      <c r="G363" s="22" t="s">
        <v>706</v>
      </c>
      <c r="H363" s="22">
        <v>9100</v>
      </c>
      <c r="I363" s="22">
        <v>1000</v>
      </c>
      <c r="J363" s="72">
        <v>0.89010989010989006</v>
      </c>
      <c r="K363" s="73">
        <v>19.208458904874671</v>
      </c>
      <c r="L363" s="73">
        <v>0.78852458558598815</v>
      </c>
      <c r="M363" s="22" t="s">
        <v>804</v>
      </c>
      <c r="N363" s="80">
        <v>2010</v>
      </c>
      <c r="O363" s="22" t="s">
        <v>773</v>
      </c>
      <c r="P363" s="22" t="s">
        <v>802</v>
      </c>
      <c r="Q363" s="22" t="s">
        <v>803</v>
      </c>
      <c r="R363" s="22">
        <v>10</v>
      </c>
      <c r="S363" s="33"/>
    </row>
    <row r="364" spans="1:19" x14ac:dyDescent="0.2">
      <c r="A364" s="22" t="s">
        <v>213</v>
      </c>
      <c r="B364" s="22" t="s">
        <v>793</v>
      </c>
      <c r="C364" s="22" t="s">
        <v>703</v>
      </c>
      <c r="D364" s="22">
        <v>38500</v>
      </c>
      <c r="E364" s="22">
        <v>3000</v>
      </c>
      <c r="F364" s="72">
        <v>0.92207792207792205</v>
      </c>
      <c r="G364" s="22" t="s">
        <v>706</v>
      </c>
      <c r="H364" s="22">
        <v>9100</v>
      </c>
      <c r="I364" s="22">
        <v>100</v>
      </c>
      <c r="J364" s="72">
        <v>0.98901098901098905</v>
      </c>
      <c r="K364" s="73">
        <v>22.625398775747286</v>
      </c>
      <c r="L364" s="73">
        <v>1.2616393369375809</v>
      </c>
      <c r="M364" s="22" t="s">
        <v>804</v>
      </c>
      <c r="N364" s="74">
        <v>2010</v>
      </c>
      <c r="O364" s="22" t="s">
        <v>773</v>
      </c>
      <c r="P364" s="22" t="s">
        <v>802</v>
      </c>
      <c r="Q364" s="22" t="s">
        <v>803</v>
      </c>
      <c r="R364" s="22">
        <v>10</v>
      </c>
      <c r="S364" s="33"/>
    </row>
    <row r="365" spans="1:19" x14ac:dyDescent="0.2">
      <c r="A365" s="22" t="s">
        <v>104</v>
      </c>
      <c r="B365" s="22" t="s">
        <v>793</v>
      </c>
      <c r="C365" s="22" t="s">
        <v>703</v>
      </c>
      <c r="D365" s="22">
        <v>38500</v>
      </c>
      <c r="E365" s="22">
        <v>3000</v>
      </c>
      <c r="F365" s="72">
        <v>0.92207792207792205</v>
      </c>
      <c r="G365" s="22" t="s">
        <v>706</v>
      </c>
      <c r="H365" s="22">
        <v>9100</v>
      </c>
      <c r="I365" s="22">
        <v>100</v>
      </c>
      <c r="J365" s="72">
        <v>0.98901098901098905</v>
      </c>
      <c r="K365" s="73">
        <v>22.741049048299896</v>
      </c>
      <c r="L365" s="73">
        <v>1.0198251306912114</v>
      </c>
      <c r="M365" s="22" t="s">
        <v>804</v>
      </c>
      <c r="N365" s="74">
        <v>2010</v>
      </c>
      <c r="O365" s="22" t="s">
        <v>773</v>
      </c>
      <c r="P365" s="22" t="s">
        <v>802</v>
      </c>
      <c r="Q365" s="22" t="s">
        <v>803</v>
      </c>
      <c r="R365" s="22">
        <v>10</v>
      </c>
      <c r="S365" s="33"/>
    </row>
    <row r="366" spans="1:19" ht="25.5" x14ac:dyDescent="0.2">
      <c r="A366" s="22" t="s">
        <v>213</v>
      </c>
      <c r="B366" s="22" t="s">
        <v>793</v>
      </c>
      <c r="C366" s="22" t="s">
        <v>703</v>
      </c>
      <c r="D366" s="22">
        <v>38500</v>
      </c>
      <c r="E366" s="22">
        <v>8000</v>
      </c>
      <c r="F366" s="72">
        <v>0.79220779220779225</v>
      </c>
      <c r="G366" s="72" t="s">
        <v>817</v>
      </c>
      <c r="H366" s="72" t="s">
        <v>817</v>
      </c>
      <c r="I366" s="72" t="s">
        <v>817</v>
      </c>
      <c r="J366" s="72" t="s">
        <v>817</v>
      </c>
      <c r="K366" s="73">
        <v>23.329814072204105</v>
      </c>
      <c r="L366" s="73">
        <v>1.2406120146552879</v>
      </c>
      <c r="M366" s="22" t="s">
        <v>801</v>
      </c>
      <c r="N366" s="80">
        <v>2010</v>
      </c>
      <c r="O366" s="22" t="s">
        <v>773</v>
      </c>
      <c r="P366" s="22" t="s">
        <v>802</v>
      </c>
      <c r="Q366" s="22" t="s">
        <v>803</v>
      </c>
      <c r="R366" s="22">
        <v>10</v>
      </c>
      <c r="S366" s="33"/>
    </row>
    <row r="367" spans="1:19" ht="25.5" x14ac:dyDescent="0.2">
      <c r="A367" s="22" t="s">
        <v>104</v>
      </c>
      <c r="B367" s="22" t="s">
        <v>793</v>
      </c>
      <c r="C367" s="22" t="s">
        <v>703</v>
      </c>
      <c r="D367" s="22">
        <v>38500</v>
      </c>
      <c r="E367" s="22">
        <v>8000</v>
      </c>
      <c r="F367" s="72">
        <v>0.79220779220779225</v>
      </c>
      <c r="G367" s="72" t="s">
        <v>817</v>
      </c>
      <c r="H367" s="72" t="s">
        <v>817</v>
      </c>
      <c r="I367" s="72" t="s">
        <v>817</v>
      </c>
      <c r="J367" s="72" t="s">
        <v>817</v>
      </c>
      <c r="K367" s="73">
        <v>23.477005328180152</v>
      </c>
      <c r="L367" s="73">
        <v>0.95674316384433233</v>
      </c>
      <c r="M367" s="22" t="s">
        <v>801</v>
      </c>
      <c r="N367" s="80">
        <v>2010</v>
      </c>
      <c r="O367" s="22" t="s">
        <v>773</v>
      </c>
      <c r="P367" s="22" t="s">
        <v>802</v>
      </c>
      <c r="Q367" s="22" t="s">
        <v>803</v>
      </c>
      <c r="R367" s="22">
        <v>10</v>
      </c>
      <c r="S367" s="33"/>
    </row>
    <row r="368" spans="1:19" ht="25.5" x14ac:dyDescent="0.2">
      <c r="A368" s="22" t="s">
        <v>213</v>
      </c>
      <c r="B368" s="22" t="s">
        <v>793</v>
      </c>
      <c r="C368" s="22" t="s">
        <v>703</v>
      </c>
      <c r="D368" s="22">
        <v>38500</v>
      </c>
      <c r="E368" s="22">
        <v>3000</v>
      </c>
      <c r="F368" s="72">
        <v>0.92207792207792205</v>
      </c>
      <c r="G368" s="72" t="s">
        <v>817</v>
      </c>
      <c r="H368" s="72" t="s">
        <v>817</v>
      </c>
      <c r="I368" s="72" t="s">
        <v>817</v>
      </c>
      <c r="J368" s="72" t="s">
        <v>817</v>
      </c>
      <c r="K368" s="73">
        <v>24.517857781153658</v>
      </c>
      <c r="L368" s="73">
        <v>1.4161901557124348</v>
      </c>
      <c r="M368" s="22" t="s">
        <v>801</v>
      </c>
      <c r="N368" s="74">
        <v>2010</v>
      </c>
      <c r="O368" s="22" t="s">
        <v>773</v>
      </c>
      <c r="P368" s="22" t="s">
        <v>802</v>
      </c>
      <c r="Q368" s="22" t="s">
        <v>803</v>
      </c>
      <c r="R368" s="22">
        <v>10</v>
      </c>
      <c r="S368" s="33"/>
    </row>
    <row r="369" spans="1:19" ht="25.5" x14ac:dyDescent="0.2">
      <c r="A369" s="22" t="s">
        <v>104</v>
      </c>
      <c r="B369" s="22" t="s">
        <v>793</v>
      </c>
      <c r="C369" s="22" t="s">
        <v>703</v>
      </c>
      <c r="D369" s="22">
        <v>38500</v>
      </c>
      <c r="E369" s="22">
        <v>3000</v>
      </c>
      <c r="F369" s="72">
        <v>0.92207792207792205</v>
      </c>
      <c r="G369" s="72" t="s">
        <v>817</v>
      </c>
      <c r="H369" s="72" t="s">
        <v>817</v>
      </c>
      <c r="I369" s="72" t="s">
        <v>817</v>
      </c>
      <c r="J369" s="72" t="s">
        <v>817</v>
      </c>
      <c r="K369" s="73">
        <v>24.665049037129709</v>
      </c>
      <c r="L369" s="73">
        <v>1.156502725526116</v>
      </c>
      <c r="M369" s="22" t="s">
        <v>801</v>
      </c>
      <c r="N369" s="74">
        <v>2010</v>
      </c>
      <c r="O369" s="22" t="s">
        <v>773</v>
      </c>
      <c r="P369" s="22" t="s">
        <v>802</v>
      </c>
      <c r="Q369" s="22" t="s">
        <v>803</v>
      </c>
      <c r="R369" s="22">
        <v>10</v>
      </c>
      <c r="S369" s="33"/>
    </row>
    <row r="370" spans="1:19" x14ac:dyDescent="0.2">
      <c r="A370" s="22" t="s">
        <v>213</v>
      </c>
      <c r="B370" s="22" t="s">
        <v>793</v>
      </c>
      <c r="C370" s="22" t="s">
        <v>703</v>
      </c>
      <c r="D370" s="22">
        <v>38500</v>
      </c>
      <c r="E370" s="22">
        <v>8000</v>
      </c>
      <c r="F370" s="72">
        <v>0.79220779220779225</v>
      </c>
      <c r="G370" s="22" t="s">
        <v>706</v>
      </c>
      <c r="H370" s="22">
        <v>9100</v>
      </c>
      <c r="I370" s="22">
        <v>1000</v>
      </c>
      <c r="J370" s="72">
        <v>0.89010989010989006</v>
      </c>
      <c r="K370" s="73">
        <v>25.821551762655822</v>
      </c>
      <c r="L370" s="73">
        <v>1.5665355100308298</v>
      </c>
      <c r="M370" s="22" t="s">
        <v>801</v>
      </c>
      <c r="N370" s="80">
        <v>2010</v>
      </c>
      <c r="O370" s="22" t="s">
        <v>773</v>
      </c>
      <c r="P370" s="22" t="s">
        <v>802</v>
      </c>
      <c r="Q370" s="22" t="s">
        <v>803</v>
      </c>
      <c r="R370" s="22">
        <v>10</v>
      </c>
      <c r="S370" s="33"/>
    </row>
    <row r="371" spans="1:19" x14ac:dyDescent="0.2">
      <c r="A371" s="22" t="s">
        <v>104</v>
      </c>
      <c r="B371" s="22" t="s">
        <v>793</v>
      </c>
      <c r="C371" s="22" t="s">
        <v>703</v>
      </c>
      <c r="D371" s="22">
        <v>38500</v>
      </c>
      <c r="E371" s="22">
        <v>8000</v>
      </c>
      <c r="F371" s="72">
        <v>0.79220779220779225</v>
      </c>
      <c r="G371" s="22" t="s">
        <v>706</v>
      </c>
      <c r="H371" s="22">
        <v>9100</v>
      </c>
      <c r="I371" s="22">
        <v>1000</v>
      </c>
      <c r="J371" s="72">
        <v>0.89010989010989006</v>
      </c>
      <c r="K371" s="73">
        <v>25.968743018631876</v>
      </c>
      <c r="L371" s="73">
        <v>1.2721529980787276</v>
      </c>
      <c r="M371" s="22" t="s">
        <v>801</v>
      </c>
      <c r="N371" s="80">
        <v>2010</v>
      </c>
      <c r="O371" s="22" t="s">
        <v>773</v>
      </c>
      <c r="P371" s="22" t="s">
        <v>802</v>
      </c>
      <c r="Q371" s="22" t="s">
        <v>803</v>
      </c>
      <c r="R371" s="22">
        <v>10</v>
      </c>
      <c r="S371" s="33"/>
    </row>
    <row r="372" spans="1:19" x14ac:dyDescent="0.2">
      <c r="A372" s="22" t="s">
        <v>213</v>
      </c>
      <c r="B372" s="22" t="s">
        <v>793</v>
      </c>
      <c r="C372" s="22" t="s">
        <v>703</v>
      </c>
      <c r="D372" s="22">
        <v>38500</v>
      </c>
      <c r="E372" s="22">
        <v>3000</v>
      </c>
      <c r="F372" s="72">
        <v>0.92207792207792205</v>
      </c>
      <c r="G372" s="22" t="s">
        <v>706</v>
      </c>
      <c r="H372" s="22">
        <v>9100</v>
      </c>
      <c r="I372" s="22">
        <v>100</v>
      </c>
      <c r="J372" s="72">
        <v>0.98901098901098905</v>
      </c>
      <c r="K372" s="73">
        <v>29.028218410705509</v>
      </c>
      <c r="L372" s="73">
        <v>1.8504043608417855</v>
      </c>
      <c r="M372" s="22" t="s">
        <v>801</v>
      </c>
      <c r="N372" s="74">
        <v>2010</v>
      </c>
      <c r="O372" s="22" t="s">
        <v>773</v>
      </c>
      <c r="P372" s="22" t="s">
        <v>802</v>
      </c>
      <c r="Q372" s="22" t="s">
        <v>803</v>
      </c>
      <c r="R372" s="22">
        <v>10</v>
      </c>
      <c r="S372" s="33"/>
    </row>
    <row r="373" spans="1:19" x14ac:dyDescent="0.2">
      <c r="A373" s="22" t="s">
        <v>104</v>
      </c>
      <c r="B373" s="22" t="s">
        <v>793</v>
      </c>
      <c r="C373" s="22" t="s">
        <v>703</v>
      </c>
      <c r="D373" s="22">
        <v>38500</v>
      </c>
      <c r="E373" s="22">
        <v>3000</v>
      </c>
      <c r="F373" s="72">
        <v>0.92207792207792205</v>
      </c>
      <c r="G373" s="22" t="s">
        <v>706</v>
      </c>
      <c r="H373" s="22">
        <v>9100</v>
      </c>
      <c r="I373" s="22">
        <v>100</v>
      </c>
      <c r="J373" s="72">
        <v>0.98901098901098905</v>
      </c>
      <c r="K373" s="73">
        <v>29.17540966668156</v>
      </c>
      <c r="L373" s="73">
        <v>1.5665355100308298</v>
      </c>
      <c r="M373" s="22" t="s">
        <v>801</v>
      </c>
      <c r="N373" s="74">
        <v>2010</v>
      </c>
      <c r="O373" s="22" t="s">
        <v>773</v>
      </c>
      <c r="P373" s="22" t="s">
        <v>802</v>
      </c>
      <c r="Q373" s="22" t="s">
        <v>803</v>
      </c>
      <c r="R373" s="22">
        <v>10</v>
      </c>
      <c r="S373" s="33"/>
    </row>
    <row r="374" spans="1:19" x14ac:dyDescent="0.2">
      <c r="A374" s="22" t="s">
        <v>104</v>
      </c>
      <c r="B374" s="22" t="s">
        <v>793</v>
      </c>
      <c r="C374" s="22" t="s">
        <v>703</v>
      </c>
      <c r="D374" s="22">
        <v>38500</v>
      </c>
      <c r="E374" s="22">
        <v>3000</v>
      </c>
      <c r="F374" s="72">
        <v>0.92207792207792205</v>
      </c>
      <c r="G374" s="22" t="s">
        <v>706</v>
      </c>
      <c r="H374" s="22">
        <v>9100</v>
      </c>
      <c r="I374" s="22">
        <v>100</v>
      </c>
      <c r="J374" s="72">
        <v>0.98901098901098905</v>
      </c>
      <c r="K374" s="73">
        <v>98.397354619990182</v>
      </c>
      <c r="L374" s="73">
        <v>0.3574644787989813</v>
      </c>
      <c r="M374" s="22" t="s">
        <v>815</v>
      </c>
      <c r="N374" s="74">
        <v>2010</v>
      </c>
      <c r="O374" s="22" t="s">
        <v>773</v>
      </c>
      <c r="P374" s="22" t="s">
        <v>802</v>
      </c>
      <c r="Q374" s="22" t="s">
        <v>803</v>
      </c>
      <c r="R374" s="22">
        <v>10</v>
      </c>
      <c r="S374" s="33"/>
    </row>
  </sheetData>
  <autoFilter ref="A4:S374">
    <sortState ref="A6:R372">
      <sortCondition ref="Q2:Q350"/>
    </sortState>
  </autoFilter>
  <mergeCells count="13">
    <mergeCell ref="S3:S4"/>
    <mergeCell ref="M3:M4"/>
    <mergeCell ref="N3:N4"/>
    <mergeCell ref="O3:O4"/>
    <mergeCell ref="P3:P4"/>
    <mergeCell ref="Q3:Q4"/>
    <mergeCell ref="R3:R4"/>
    <mergeCell ref="L3:L4"/>
    <mergeCell ref="A3:A4"/>
    <mergeCell ref="B3:B4"/>
    <mergeCell ref="C3:F3"/>
    <mergeCell ref="G3:J3"/>
    <mergeCell ref="K3:K4"/>
  </mergeCells>
  <pageMargins left="0.7" right="0.7" top="0.75" bottom="0.75" header="0.3" footer="0.3"/>
  <pageSetup paperSize="5" scale="69" fitToHeight="2"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W25"/>
  <sheetViews>
    <sheetView showGridLines="0" zoomScaleNormal="100" workbookViewId="0">
      <pane xSplit="1" ySplit="4" topLeftCell="P5" activePane="bottomRight" state="frozen"/>
      <selection activeCell="B5" sqref="B5:C7"/>
      <selection pane="topRight" activeCell="B5" sqref="B5:C7"/>
      <selection pane="bottomLeft" activeCell="B5" sqref="B5:C7"/>
      <selection pane="bottomRight"/>
    </sheetView>
  </sheetViews>
  <sheetFormatPr defaultColWidth="8.85546875" defaultRowHeight="12.75" x14ac:dyDescent="0.2"/>
  <cols>
    <col min="1" max="1" width="13.42578125" style="85" customWidth="1"/>
    <col min="2" max="2" width="23.140625" style="85" bestFit="1" customWidth="1"/>
    <col min="3" max="3" width="17.42578125" style="85" customWidth="1"/>
    <col min="4" max="4" width="12.7109375" style="85" customWidth="1"/>
    <col min="5" max="5" width="19.5703125" style="85" customWidth="1"/>
    <col min="6" max="6" width="12.7109375" style="85" customWidth="1"/>
    <col min="7" max="7" width="18.5703125" style="85" customWidth="1"/>
    <col min="8" max="8" width="12.7109375" style="85" customWidth="1"/>
    <col min="9" max="9" width="17.85546875" style="85" customWidth="1"/>
    <col min="10" max="10" width="12.7109375" style="85" customWidth="1"/>
    <col min="11" max="11" width="16.7109375" style="85" customWidth="1"/>
    <col min="12" max="12" width="11" style="85" customWidth="1"/>
    <col min="13" max="13" width="17.7109375" style="85" customWidth="1"/>
    <col min="14" max="14" width="10.7109375" style="85" customWidth="1"/>
    <col min="15" max="15" width="10" style="85" customWidth="1"/>
    <col min="16" max="16" width="10.5703125" style="85" customWidth="1"/>
    <col min="17" max="17" width="24.7109375" style="85" bestFit="1" customWidth="1"/>
    <col min="18" max="18" width="18.5703125" style="85" customWidth="1"/>
    <col min="19" max="20" width="15.140625" style="85" customWidth="1"/>
    <col min="21" max="21" width="88.42578125" style="88" customWidth="1"/>
    <col min="22" max="22" width="10.85546875" style="85" bestFit="1" customWidth="1"/>
    <col min="23" max="23" width="181.28515625" style="85" bestFit="1" customWidth="1"/>
    <col min="24" max="16384" width="8.85546875" style="85"/>
  </cols>
  <sheetData>
    <row r="1" spans="1:23" s="5" customFormat="1" ht="16.5" customHeight="1" x14ac:dyDescent="0.2">
      <c r="A1" s="158"/>
      <c r="B1" s="11"/>
      <c r="C1" s="11"/>
      <c r="D1" s="11"/>
      <c r="E1" s="11"/>
    </row>
    <row r="2" spans="1:23" s="5" customFormat="1" ht="16.5" customHeight="1" x14ac:dyDescent="0.2">
      <c r="A2" s="123"/>
      <c r="B2" s="123"/>
      <c r="C2" s="123"/>
      <c r="D2" s="123"/>
      <c r="E2" s="11"/>
    </row>
    <row r="3" spans="1:23" ht="14.45" customHeight="1" x14ac:dyDescent="0.2">
      <c r="A3" s="211" t="s">
        <v>778</v>
      </c>
      <c r="B3" s="211" t="s">
        <v>788</v>
      </c>
      <c r="C3" s="217" t="s">
        <v>1057</v>
      </c>
      <c r="D3" s="217"/>
      <c r="E3" s="217" t="s">
        <v>1290</v>
      </c>
      <c r="F3" s="217"/>
      <c r="G3" s="217" t="s">
        <v>704</v>
      </c>
      <c r="H3" s="217"/>
      <c r="I3" s="217" t="s">
        <v>707</v>
      </c>
      <c r="J3" s="217"/>
      <c r="K3" s="211" t="s">
        <v>782</v>
      </c>
      <c r="L3" s="211" t="s">
        <v>1010</v>
      </c>
      <c r="M3" s="211" t="s">
        <v>1011</v>
      </c>
      <c r="N3" s="211" t="s">
        <v>1010</v>
      </c>
      <c r="O3" s="211" t="s">
        <v>784</v>
      </c>
      <c r="P3" s="211" t="s">
        <v>785</v>
      </c>
      <c r="Q3" s="211" t="s">
        <v>786</v>
      </c>
      <c r="R3" s="211" t="s">
        <v>787</v>
      </c>
      <c r="S3" s="211" t="s">
        <v>1261</v>
      </c>
      <c r="T3" s="215" t="s">
        <v>1262</v>
      </c>
      <c r="U3" s="211" t="s">
        <v>789</v>
      </c>
    </row>
    <row r="4" spans="1:23" ht="58.9" customHeight="1" x14ac:dyDescent="0.25">
      <c r="A4" s="211"/>
      <c r="B4" s="211"/>
      <c r="C4" s="57" t="s">
        <v>780</v>
      </c>
      <c r="D4" s="57" t="s">
        <v>781</v>
      </c>
      <c r="E4" s="57" t="s">
        <v>780</v>
      </c>
      <c r="F4" s="57" t="s">
        <v>781</v>
      </c>
      <c r="G4" s="57" t="s">
        <v>780</v>
      </c>
      <c r="H4" s="57" t="s">
        <v>781</v>
      </c>
      <c r="I4" s="57" t="s">
        <v>780</v>
      </c>
      <c r="J4" s="57" t="s">
        <v>781</v>
      </c>
      <c r="K4" s="211"/>
      <c r="L4" s="211"/>
      <c r="M4" s="211"/>
      <c r="N4" s="211"/>
      <c r="O4" s="211"/>
      <c r="P4" s="211"/>
      <c r="Q4" s="211"/>
      <c r="R4" s="211"/>
      <c r="S4" s="211"/>
      <c r="T4" s="216"/>
      <c r="U4" s="211"/>
      <c r="V4"/>
      <c r="W4"/>
    </row>
    <row r="5" spans="1:23" s="86" customFormat="1" ht="38.25" x14ac:dyDescent="0.25">
      <c r="A5" s="8" t="s">
        <v>1016</v>
      </c>
      <c r="B5" s="8" t="s">
        <v>793</v>
      </c>
      <c r="C5" s="8">
        <v>13500</v>
      </c>
      <c r="D5" s="8" t="s">
        <v>817</v>
      </c>
      <c r="E5" s="8">
        <v>3200</v>
      </c>
      <c r="F5" s="8" t="s">
        <v>817</v>
      </c>
      <c r="G5" s="8">
        <v>10300</v>
      </c>
      <c r="H5" s="8" t="s">
        <v>817</v>
      </c>
      <c r="I5" s="8">
        <v>5100</v>
      </c>
      <c r="J5" s="8" t="s">
        <v>817</v>
      </c>
      <c r="K5" s="87">
        <v>5902128.4938398479</v>
      </c>
      <c r="L5" s="8" t="s">
        <v>1017</v>
      </c>
      <c r="M5" s="87">
        <v>2785163.5412807856</v>
      </c>
      <c r="N5" s="8" t="s">
        <v>1017</v>
      </c>
      <c r="O5" s="8" t="s">
        <v>817</v>
      </c>
      <c r="P5" s="8">
        <v>2003</v>
      </c>
      <c r="Q5" s="8" t="s">
        <v>775</v>
      </c>
      <c r="R5" s="8" t="s">
        <v>1018</v>
      </c>
      <c r="S5" s="8" t="s">
        <v>817</v>
      </c>
      <c r="T5" s="8" t="s">
        <v>817</v>
      </c>
      <c r="U5" s="16" t="s">
        <v>1020</v>
      </c>
      <c r="V5"/>
      <c r="W5"/>
    </row>
    <row r="6" spans="1:23" ht="38.25" x14ac:dyDescent="0.2">
      <c r="A6" s="8" t="s">
        <v>1016</v>
      </c>
      <c r="B6" s="8" t="s">
        <v>793</v>
      </c>
      <c r="C6" s="8">
        <v>1900</v>
      </c>
      <c r="D6" s="8" t="s">
        <v>817</v>
      </c>
      <c r="E6" s="8">
        <v>1340</v>
      </c>
      <c r="F6" s="8" t="s">
        <v>817</v>
      </c>
      <c r="G6" s="8">
        <v>520</v>
      </c>
      <c r="H6" s="8" t="s">
        <v>817</v>
      </c>
      <c r="I6" s="8">
        <v>2300</v>
      </c>
      <c r="J6" s="8" t="s">
        <v>817</v>
      </c>
      <c r="K6" s="87">
        <v>5360842.2932375753</v>
      </c>
      <c r="L6" s="8" t="s">
        <v>1017</v>
      </c>
      <c r="M6" s="87">
        <v>1764452.4201450711</v>
      </c>
      <c r="N6" s="8" t="s">
        <v>1017</v>
      </c>
      <c r="O6" s="8" t="s">
        <v>817</v>
      </c>
      <c r="P6" s="8">
        <v>2003</v>
      </c>
      <c r="Q6" s="8" t="s">
        <v>775</v>
      </c>
      <c r="R6" s="8" t="s">
        <v>1018</v>
      </c>
      <c r="S6" s="8" t="s">
        <v>817</v>
      </c>
      <c r="T6" s="8" t="s">
        <v>817</v>
      </c>
      <c r="U6" s="16" t="s">
        <v>1026</v>
      </c>
    </row>
    <row r="7" spans="1:23" ht="38.25" x14ac:dyDescent="0.2">
      <c r="A7" s="8" t="s">
        <v>1016</v>
      </c>
      <c r="B7" s="8" t="s">
        <v>793</v>
      </c>
      <c r="C7" s="8">
        <v>34000</v>
      </c>
      <c r="D7" s="8" t="s">
        <v>817</v>
      </c>
      <c r="E7" s="8">
        <v>3600</v>
      </c>
      <c r="F7" s="8" t="s">
        <v>817</v>
      </c>
      <c r="G7" s="8">
        <v>30600</v>
      </c>
      <c r="H7" s="8" t="s">
        <v>817</v>
      </c>
      <c r="I7" s="8">
        <v>8300</v>
      </c>
      <c r="J7" s="8" t="s">
        <v>817</v>
      </c>
      <c r="K7" s="87">
        <v>4735199.8016323503</v>
      </c>
      <c r="L7" s="8" t="s">
        <v>1017</v>
      </c>
      <c r="M7" s="87">
        <v>2298708.9298304315</v>
      </c>
      <c r="N7" s="8" t="s">
        <v>1017</v>
      </c>
      <c r="O7" s="8" t="s">
        <v>817</v>
      </c>
      <c r="P7" s="8">
        <v>2003</v>
      </c>
      <c r="Q7" s="8" t="s">
        <v>775</v>
      </c>
      <c r="R7" s="8" t="s">
        <v>1018</v>
      </c>
      <c r="S7" s="8" t="s">
        <v>817</v>
      </c>
      <c r="T7" s="8" t="s">
        <v>817</v>
      </c>
      <c r="U7" s="16" t="s">
        <v>1019</v>
      </c>
    </row>
    <row r="8" spans="1:23" ht="38.25" x14ac:dyDescent="0.2">
      <c r="A8" s="8" t="s">
        <v>751</v>
      </c>
      <c r="B8" s="8" t="s">
        <v>793</v>
      </c>
      <c r="C8" s="8">
        <v>34000</v>
      </c>
      <c r="D8" s="8" t="s">
        <v>817</v>
      </c>
      <c r="E8" s="8">
        <v>4970</v>
      </c>
      <c r="F8" s="8" t="s">
        <v>817</v>
      </c>
      <c r="G8" s="8">
        <v>29200</v>
      </c>
      <c r="H8" s="8" t="s">
        <v>817</v>
      </c>
      <c r="I8" s="8" t="s">
        <v>817</v>
      </c>
      <c r="J8" s="8" t="s">
        <v>817</v>
      </c>
      <c r="K8" s="87">
        <v>3693399.607745898</v>
      </c>
      <c r="L8" s="8" t="s">
        <v>1017</v>
      </c>
      <c r="M8" s="87">
        <v>153247.26198869542</v>
      </c>
      <c r="N8" s="8" t="s">
        <v>1017</v>
      </c>
      <c r="O8" s="8" t="s">
        <v>817</v>
      </c>
      <c r="P8" s="8">
        <v>2003</v>
      </c>
      <c r="Q8" s="8" t="s">
        <v>775</v>
      </c>
      <c r="R8" s="8" t="s">
        <v>1018</v>
      </c>
      <c r="S8" s="8" t="s">
        <v>817</v>
      </c>
      <c r="T8" s="8" t="s">
        <v>817</v>
      </c>
      <c r="U8" s="16" t="s">
        <v>1027</v>
      </c>
    </row>
    <row r="9" spans="1:23" ht="38.25" x14ac:dyDescent="0.2">
      <c r="A9" s="8" t="s">
        <v>751</v>
      </c>
      <c r="B9" s="8" t="s">
        <v>793</v>
      </c>
      <c r="C9" s="8">
        <v>34000</v>
      </c>
      <c r="D9" s="8" t="s">
        <v>817</v>
      </c>
      <c r="E9" s="8">
        <v>3600</v>
      </c>
      <c r="F9" s="8" t="s">
        <v>817</v>
      </c>
      <c r="G9" s="8">
        <v>30600</v>
      </c>
      <c r="H9" s="8" t="s">
        <v>817</v>
      </c>
      <c r="I9" s="8" t="s">
        <v>817</v>
      </c>
      <c r="J9" s="8" t="s">
        <v>817</v>
      </c>
      <c r="K9" s="87">
        <v>3638568.0185939795</v>
      </c>
      <c r="L9" s="8" t="s">
        <v>1017</v>
      </c>
      <c r="M9" s="87">
        <v>894176.68463128712</v>
      </c>
      <c r="N9" s="8" t="s">
        <v>1017</v>
      </c>
      <c r="O9" s="8" t="s">
        <v>817</v>
      </c>
      <c r="P9" s="8">
        <v>2003</v>
      </c>
      <c r="Q9" s="8" t="s">
        <v>775</v>
      </c>
      <c r="R9" s="8" t="s">
        <v>1018</v>
      </c>
      <c r="S9" s="8" t="s">
        <v>817</v>
      </c>
      <c r="T9" s="8" t="s">
        <v>817</v>
      </c>
      <c r="U9" s="16" t="s">
        <v>1019</v>
      </c>
    </row>
    <row r="10" spans="1:23" ht="38.25" x14ac:dyDescent="0.2">
      <c r="A10" s="8" t="s">
        <v>1016</v>
      </c>
      <c r="B10" s="8" t="s">
        <v>793</v>
      </c>
      <c r="C10" s="8">
        <v>34000</v>
      </c>
      <c r="D10" s="8" t="s">
        <v>817</v>
      </c>
      <c r="E10" s="8">
        <v>4970</v>
      </c>
      <c r="F10" s="8" t="s">
        <v>817</v>
      </c>
      <c r="G10" s="8">
        <v>29200</v>
      </c>
      <c r="H10" s="8" t="s">
        <v>817</v>
      </c>
      <c r="I10" s="8">
        <v>4200</v>
      </c>
      <c r="J10" s="8" t="s">
        <v>817</v>
      </c>
      <c r="K10" s="87">
        <v>2598173.7628909098</v>
      </c>
      <c r="L10" s="8" t="s">
        <v>1017</v>
      </c>
      <c r="M10" s="87">
        <v>1024928.9356858621</v>
      </c>
      <c r="N10" s="8" t="s">
        <v>1017</v>
      </c>
      <c r="O10" s="8" t="s">
        <v>817</v>
      </c>
      <c r="P10" s="8">
        <v>2003</v>
      </c>
      <c r="Q10" s="8" t="s">
        <v>775</v>
      </c>
      <c r="R10" s="8" t="s">
        <v>1018</v>
      </c>
      <c r="S10" s="8" t="s">
        <v>817</v>
      </c>
      <c r="T10" s="8" t="s">
        <v>817</v>
      </c>
      <c r="U10" s="16" t="s">
        <v>1025</v>
      </c>
    </row>
    <row r="11" spans="1:23" ht="38.25" x14ac:dyDescent="0.2">
      <c r="A11" s="8" t="s">
        <v>751</v>
      </c>
      <c r="B11" s="8" t="s">
        <v>793</v>
      </c>
      <c r="C11" s="8">
        <v>34000</v>
      </c>
      <c r="D11" s="8" t="s">
        <v>817</v>
      </c>
      <c r="E11" s="8">
        <v>4970</v>
      </c>
      <c r="F11" s="8" t="s">
        <v>817</v>
      </c>
      <c r="G11" s="8">
        <v>29200</v>
      </c>
      <c r="H11" s="8" t="s">
        <v>817</v>
      </c>
      <c r="I11" s="8" t="s">
        <v>817</v>
      </c>
      <c r="J11" s="8" t="s">
        <v>817</v>
      </c>
      <c r="K11" s="87">
        <v>2160926.9878589436</v>
      </c>
      <c r="L11" s="8" t="s">
        <v>1017</v>
      </c>
      <c r="M11" s="87">
        <v>514573.37511800486</v>
      </c>
      <c r="N11" s="8" t="s">
        <v>1017</v>
      </c>
      <c r="O11" s="8" t="s">
        <v>817</v>
      </c>
      <c r="P11" s="8">
        <v>2003</v>
      </c>
      <c r="Q11" s="8" t="s">
        <v>775</v>
      </c>
      <c r="R11" s="8" t="s">
        <v>1018</v>
      </c>
      <c r="S11" s="8" t="s">
        <v>817</v>
      </c>
      <c r="T11" s="8" t="s">
        <v>817</v>
      </c>
      <c r="U11" s="16" t="s">
        <v>1025</v>
      </c>
    </row>
    <row r="12" spans="1:23" ht="38.25" x14ac:dyDescent="0.2">
      <c r="A12" s="8" t="s">
        <v>736</v>
      </c>
      <c r="B12" s="8" t="s">
        <v>793</v>
      </c>
      <c r="C12" s="8" t="s">
        <v>817</v>
      </c>
      <c r="D12" s="8" t="s">
        <v>817</v>
      </c>
      <c r="E12" s="8">
        <v>3600</v>
      </c>
      <c r="F12" s="8" t="s">
        <v>817</v>
      </c>
      <c r="G12" s="8" t="s">
        <v>817</v>
      </c>
      <c r="H12" s="8" t="s">
        <v>817</v>
      </c>
      <c r="I12" s="8" t="s">
        <v>817</v>
      </c>
      <c r="J12" s="8" t="s">
        <v>817</v>
      </c>
      <c r="K12" s="87">
        <v>1317364.0778294276</v>
      </c>
      <c r="L12" s="8" t="s">
        <v>1017</v>
      </c>
      <c r="M12" s="87">
        <v>390850.81498034246</v>
      </c>
      <c r="N12" s="8" t="s">
        <v>1017</v>
      </c>
      <c r="O12" s="8" t="s">
        <v>817</v>
      </c>
      <c r="P12" s="8">
        <v>2003</v>
      </c>
      <c r="Q12" s="8" t="s">
        <v>775</v>
      </c>
      <c r="R12" s="8" t="s">
        <v>1018</v>
      </c>
      <c r="S12" s="8" t="s">
        <v>817</v>
      </c>
      <c r="T12" s="8" t="s">
        <v>817</v>
      </c>
      <c r="U12" s="16" t="s">
        <v>1030</v>
      </c>
    </row>
    <row r="13" spans="1:23" ht="38.25" x14ac:dyDescent="0.2">
      <c r="A13" s="8" t="s">
        <v>1016</v>
      </c>
      <c r="B13" s="8" t="s">
        <v>793</v>
      </c>
      <c r="C13" s="8">
        <v>1900</v>
      </c>
      <c r="D13" s="8" t="s">
        <v>817</v>
      </c>
      <c r="E13" s="8">
        <v>1340</v>
      </c>
      <c r="F13" s="8" t="s">
        <v>817</v>
      </c>
      <c r="G13" s="8">
        <v>520</v>
      </c>
      <c r="H13" s="8" t="s">
        <v>817</v>
      </c>
      <c r="I13" s="8">
        <v>2300</v>
      </c>
      <c r="J13" s="8" t="s">
        <v>817</v>
      </c>
      <c r="K13" s="87">
        <v>1214730.5904425031</v>
      </c>
      <c r="L13" s="8" t="s">
        <v>1017</v>
      </c>
      <c r="M13" s="87">
        <v>507543.68420109217</v>
      </c>
      <c r="N13" s="8" t="s">
        <v>1017</v>
      </c>
      <c r="O13" s="8" t="s">
        <v>817</v>
      </c>
      <c r="P13" s="8">
        <v>2003</v>
      </c>
      <c r="Q13" s="8" t="s">
        <v>775</v>
      </c>
      <c r="R13" s="8" t="s">
        <v>1018</v>
      </c>
      <c r="S13" s="8" t="s">
        <v>817</v>
      </c>
      <c r="T13" s="8" t="s">
        <v>817</v>
      </c>
      <c r="U13" s="16" t="s">
        <v>1028</v>
      </c>
    </row>
    <row r="14" spans="1:23" ht="25.5" x14ac:dyDescent="0.2">
      <c r="A14" s="8" t="s">
        <v>736</v>
      </c>
      <c r="B14" s="8" t="s">
        <v>793</v>
      </c>
      <c r="C14" s="8" t="s">
        <v>817</v>
      </c>
      <c r="D14" s="8" t="s">
        <v>817</v>
      </c>
      <c r="E14" s="8">
        <v>4970</v>
      </c>
      <c r="F14" s="8" t="s">
        <v>817</v>
      </c>
      <c r="G14" s="8" t="s">
        <v>817</v>
      </c>
      <c r="H14" s="8" t="s">
        <v>817</v>
      </c>
      <c r="I14" s="8" t="s">
        <v>817</v>
      </c>
      <c r="J14" s="8" t="s">
        <v>817</v>
      </c>
      <c r="K14" s="87">
        <v>1034770.5029695397</v>
      </c>
      <c r="L14" s="8" t="s">
        <v>1017</v>
      </c>
      <c r="M14" s="87">
        <v>286811.38941003545</v>
      </c>
      <c r="N14" s="8" t="s">
        <v>1017</v>
      </c>
      <c r="O14" s="8" t="s">
        <v>817</v>
      </c>
      <c r="P14" s="8">
        <v>2003</v>
      </c>
      <c r="Q14" s="8" t="s">
        <v>775</v>
      </c>
      <c r="R14" s="8" t="s">
        <v>1018</v>
      </c>
      <c r="S14" s="8" t="s">
        <v>817</v>
      </c>
      <c r="T14" s="8" t="s">
        <v>817</v>
      </c>
      <c r="U14" s="16" t="s">
        <v>1033</v>
      </c>
    </row>
    <row r="15" spans="1:23" ht="38.25" x14ac:dyDescent="0.2">
      <c r="A15" s="8" t="s">
        <v>1016</v>
      </c>
      <c r="B15" s="8" t="s">
        <v>793</v>
      </c>
      <c r="C15" s="8">
        <v>13500</v>
      </c>
      <c r="D15" s="8" t="s">
        <v>817</v>
      </c>
      <c r="E15" s="8">
        <v>3200</v>
      </c>
      <c r="F15" s="8" t="s">
        <v>817</v>
      </c>
      <c r="G15" s="8">
        <v>10300</v>
      </c>
      <c r="H15" s="8" t="s">
        <v>817</v>
      </c>
      <c r="I15" s="8" t="s">
        <v>817</v>
      </c>
      <c r="J15" s="8" t="s">
        <v>817</v>
      </c>
      <c r="K15" s="87">
        <v>949008.27378320566</v>
      </c>
      <c r="L15" s="8" t="s">
        <v>1017</v>
      </c>
      <c r="M15" s="87">
        <v>830909.46637907333</v>
      </c>
      <c r="N15" s="8" t="s">
        <v>1017</v>
      </c>
      <c r="O15" s="8" t="s">
        <v>817</v>
      </c>
      <c r="P15" s="8">
        <v>2003</v>
      </c>
      <c r="Q15" s="8" t="s">
        <v>775</v>
      </c>
      <c r="R15" s="8" t="s">
        <v>1018</v>
      </c>
      <c r="S15" s="8" t="s">
        <v>817</v>
      </c>
      <c r="T15" s="8" t="s">
        <v>817</v>
      </c>
      <c r="U15" s="16" t="s">
        <v>1029</v>
      </c>
    </row>
    <row r="16" spans="1:23" ht="38.25" x14ac:dyDescent="0.2">
      <c r="A16" s="8" t="s">
        <v>1016</v>
      </c>
      <c r="B16" s="8" t="s">
        <v>793</v>
      </c>
      <c r="C16" s="8">
        <v>13500</v>
      </c>
      <c r="D16" s="8" t="s">
        <v>817</v>
      </c>
      <c r="E16" s="8">
        <v>3200</v>
      </c>
      <c r="F16" s="8" t="s">
        <v>817</v>
      </c>
      <c r="G16" s="8">
        <v>10300</v>
      </c>
      <c r="H16" s="8" t="s">
        <v>817</v>
      </c>
      <c r="I16" s="8">
        <v>5100</v>
      </c>
      <c r="J16" s="8" t="s">
        <v>817</v>
      </c>
      <c r="K16" s="87">
        <v>826691.65182892582</v>
      </c>
      <c r="L16" s="8" t="s">
        <v>1017</v>
      </c>
      <c r="M16" s="87">
        <v>309306.4003441559</v>
      </c>
      <c r="N16" s="8" t="s">
        <v>1017</v>
      </c>
      <c r="O16" s="8" t="s">
        <v>817</v>
      </c>
      <c r="P16" s="8">
        <v>2003</v>
      </c>
      <c r="Q16" s="8" t="s">
        <v>775</v>
      </c>
      <c r="R16" s="8" t="s">
        <v>1018</v>
      </c>
      <c r="S16" s="8" t="s">
        <v>817</v>
      </c>
      <c r="T16" s="8" t="s">
        <v>817</v>
      </c>
      <c r="U16" s="16" t="s">
        <v>1022</v>
      </c>
    </row>
    <row r="17" spans="1:21" ht="38.25" x14ac:dyDescent="0.2">
      <c r="A17" s="8" t="s">
        <v>1016</v>
      </c>
      <c r="B17" s="8" t="s">
        <v>793</v>
      </c>
      <c r="C17" s="8">
        <v>34000</v>
      </c>
      <c r="D17" s="8" t="s">
        <v>817</v>
      </c>
      <c r="E17" s="8">
        <v>3600</v>
      </c>
      <c r="F17" s="8" t="s">
        <v>817</v>
      </c>
      <c r="G17" s="8">
        <v>30600</v>
      </c>
      <c r="H17" s="8" t="s">
        <v>817</v>
      </c>
      <c r="I17" s="8">
        <v>5100</v>
      </c>
      <c r="J17" s="8" t="s">
        <v>817</v>
      </c>
      <c r="K17" s="87">
        <v>738117.54627582664</v>
      </c>
      <c r="L17" s="8" t="s">
        <v>1017</v>
      </c>
      <c r="M17" s="87">
        <v>607365.29522125155</v>
      </c>
      <c r="N17" s="8" t="s">
        <v>1017</v>
      </c>
      <c r="O17" s="8" t="s">
        <v>817</v>
      </c>
      <c r="P17" s="8">
        <v>2003</v>
      </c>
      <c r="Q17" s="8" t="s">
        <v>775</v>
      </c>
      <c r="R17" s="8" t="s">
        <v>1018</v>
      </c>
      <c r="S17" s="8" t="s">
        <v>817</v>
      </c>
      <c r="T17" s="8" t="s">
        <v>817</v>
      </c>
      <c r="U17" s="16" t="s">
        <v>1024</v>
      </c>
    </row>
    <row r="18" spans="1:21" ht="38.25" x14ac:dyDescent="0.2">
      <c r="A18" s="8" t="s">
        <v>1016</v>
      </c>
      <c r="B18" s="8" t="s">
        <v>793</v>
      </c>
      <c r="C18" s="8">
        <v>34000</v>
      </c>
      <c r="D18" s="8" t="s">
        <v>817</v>
      </c>
      <c r="E18" s="8">
        <v>4970</v>
      </c>
      <c r="F18" s="8" t="s">
        <v>817</v>
      </c>
      <c r="G18" s="8">
        <v>29200</v>
      </c>
      <c r="H18" s="8" t="s">
        <v>817</v>
      </c>
      <c r="I18" s="8">
        <v>4200</v>
      </c>
      <c r="J18" s="8" t="s">
        <v>817</v>
      </c>
      <c r="K18" s="87">
        <v>591899.97520404379</v>
      </c>
      <c r="L18" s="8" t="s">
        <v>1017</v>
      </c>
      <c r="M18" s="87">
        <v>229167.92389135188</v>
      </c>
      <c r="N18" s="8" t="s">
        <v>1017</v>
      </c>
      <c r="O18" s="8" t="s">
        <v>817</v>
      </c>
      <c r="P18" s="8">
        <v>2003</v>
      </c>
      <c r="Q18" s="8" t="s">
        <v>775</v>
      </c>
      <c r="R18" s="8" t="s">
        <v>1018</v>
      </c>
      <c r="S18" s="8" t="s">
        <v>817</v>
      </c>
      <c r="T18" s="8" t="s">
        <v>817</v>
      </c>
      <c r="U18" s="16" t="s">
        <v>1027</v>
      </c>
    </row>
    <row r="19" spans="1:21" ht="38.25" x14ac:dyDescent="0.2">
      <c r="A19" s="8" t="s">
        <v>751</v>
      </c>
      <c r="B19" s="8" t="s">
        <v>793</v>
      </c>
      <c r="C19" s="8">
        <v>34000</v>
      </c>
      <c r="D19" s="8" t="s">
        <v>817</v>
      </c>
      <c r="E19" s="8">
        <v>3600</v>
      </c>
      <c r="F19" s="8" t="s">
        <v>817</v>
      </c>
      <c r="G19" s="8">
        <v>30600</v>
      </c>
      <c r="H19" s="8" t="s">
        <v>817</v>
      </c>
      <c r="I19" s="8">
        <v>8300</v>
      </c>
      <c r="J19" s="8" t="s">
        <v>817</v>
      </c>
      <c r="K19" s="87">
        <v>573622.7788200709</v>
      </c>
      <c r="L19" s="8" t="s">
        <v>1017</v>
      </c>
      <c r="M19" s="87">
        <v>230573.86207473441</v>
      </c>
      <c r="N19" s="8" t="s">
        <v>1017</v>
      </c>
      <c r="O19" s="8" t="s">
        <v>817</v>
      </c>
      <c r="P19" s="8">
        <v>2003</v>
      </c>
      <c r="Q19" s="8" t="s">
        <v>775</v>
      </c>
      <c r="R19" s="8" t="s">
        <v>1018</v>
      </c>
      <c r="S19" s="8" t="s">
        <v>817</v>
      </c>
      <c r="T19" s="8" t="s">
        <v>817</v>
      </c>
      <c r="U19" s="16" t="s">
        <v>1023</v>
      </c>
    </row>
    <row r="20" spans="1:21" ht="38.25" x14ac:dyDescent="0.2">
      <c r="A20" s="8" t="s">
        <v>1016</v>
      </c>
      <c r="B20" s="8" t="s">
        <v>793</v>
      </c>
      <c r="C20" s="8">
        <v>34000</v>
      </c>
      <c r="D20" s="8" t="s">
        <v>817</v>
      </c>
      <c r="E20" s="8">
        <v>3600</v>
      </c>
      <c r="F20" s="8" t="s">
        <v>817</v>
      </c>
      <c r="G20" s="8">
        <v>30600</v>
      </c>
      <c r="H20" s="8" t="s">
        <v>817</v>
      </c>
      <c r="I20" s="8">
        <v>8300</v>
      </c>
      <c r="J20" s="8" t="s">
        <v>817</v>
      </c>
      <c r="K20" s="87">
        <v>427405.20774828817</v>
      </c>
      <c r="L20" s="8" t="s">
        <v>1017</v>
      </c>
      <c r="M20" s="87">
        <v>139187.88015487016</v>
      </c>
      <c r="N20" s="8" t="s">
        <v>1017</v>
      </c>
      <c r="O20" s="8" t="s">
        <v>817</v>
      </c>
      <c r="P20" s="8">
        <v>2003</v>
      </c>
      <c r="Q20" s="8" t="s">
        <v>775</v>
      </c>
      <c r="R20" s="8" t="s">
        <v>1018</v>
      </c>
      <c r="S20" s="8" t="s">
        <v>817</v>
      </c>
      <c r="T20" s="8" t="s">
        <v>817</v>
      </c>
      <c r="U20" s="16" t="s">
        <v>1021</v>
      </c>
    </row>
    <row r="21" spans="1:21" ht="38.25" x14ac:dyDescent="0.2">
      <c r="A21" s="8" t="s">
        <v>751</v>
      </c>
      <c r="B21" s="8" t="s">
        <v>793</v>
      </c>
      <c r="C21" s="8">
        <v>34000</v>
      </c>
      <c r="D21" s="8" t="s">
        <v>817</v>
      </c>
      <c r="E21" s="8">
        <v>3600</v>
      </c>
      <c r="F21" s="8" t="s">
        <v>817</v>
      </c>
      <c r="G21" s="8">
        <v>30600</v>
      </c>
      <c r="H21" s="8" t="s">
        <v>817</v>
      </c>
      <c r="I21" s="8" t="s">
        <v>817</v>
      </c>
      <c r="J21" s="8" t="s">
        <v>817</v>
      </c>
      <c r="K21" s="87">
        <v>395068.62953049003</v>
      </c>
      <c r="L21" s="8" t="s">
        <v>1017</v>
      </c>
      <c r="M21" s="87">
        <v>127940.37468780995</v>
      </c>
      <c r="N21" s="8" t="s">
        <v>1017</v>
      </c>
      <c r="O21" s="8" t="s">
        <v>817</v>
      </c>
      <c r="P21" s="8">
        <v>2003</v>
      </c>
      <c r="Q21" s="8" t="s">
        <v>775</v>
      </c>
      <c r="R21" s="8" t="s">
        <v>1018</v>
      </c>
      <c r="S21" s="8" t="s">
        <v>817</v>
      </c>
      <c r="T21" s="8" t="s">
        <v>817</v>
      </c>
      <c r="U21" s="16" t="s">
        <v>1021</v>
      </c>
    </row>
    <row r="22" spans="1:21" ht="38.25" x14ac:dyDescent="0.2">
      <c r="A22" s="8" t="s">
        <v>736</v>
      </c>
      <c r="B22" s="8" t="s">
        <v>793</v>
      </c>
      <c r="C22" s="8">
        <v>3600</v>
      </c>
      <c r="D22" s="8" t="s">
        <v>817</v>
      </c>
      <c r="E22" s="8" t="s">
        <v>817</v>
      </c>
      <c r="F22" s="8" t="s">
        <v>817</v>
      </c>
      <c r="G22" s="8" t="s">
        <v>817</v>
      </c>
      <c r="H22" s="8" t="s">
        <v>817</v>
      </c>
      <c r="I22" s="8" t="s">
        <v>817</v>
      </c>
      <c r="J22" s="8" t="s">
        <v>817</v>
      </c>
      <c r="K22" s="87">
        <v>388038.9386135774</v>
      </c>
      <c r="L22" s="8" t="s">
        <v>1017</v>
      </c>
      <c r="M22" s="87">
        <v>102633.48738692446</v>
      </c>
      <c r="N22" s="8" t="s">
        <v>1017</v>
      </c>
      <c r="O22" s="8" t="s">
        <v>817</v>
      </c>
      <c r="P22" s="8">
        <v>2003</v>
      </c>
      <c r="Q22" s="8" t="s">
        <v>775</v>
      </c>
      <c r="R22" s="8" t="s">
        <v>1018</v>
      </c>
      <c r="S22" s="8" t="s">
        <v>817</v>
      </c>
      <c r="T22" s="8" t="s">
        <v>817</v>
      </c>
      <c r="U22" s="16" t="s">
        <v>1031</v>
      </c>
    </row>
    <row r="23" spans="1:21" ht="25.5" x14ac:dyDescent="0.2">
      <c r="A23" s="8" t="s">
        <v>736</v>
      </c>
      <c r="B23" s="8" t="s">
        <v>793</v>
      </c>
      <c r="C23" s="8">
        <v>4970</v>
      </c>
      <c r="D23" s="8" t="s">
        <v>817</v>
      </c>
      <c r="E23" s="8" t="s">
        <v>817</v>
      </c>
      <c r="F23" s="8" t="s">
        <v>817</v>
      </c>
      <c r="G23" s="8" t="s">
        <v>817</v>
      </c>
      <c r="H23" s="8" t="s">
        <v>817</v>
      </c>
      <c r="I23" s="8" t="s">
        <v>817</v>
      </c>
      <c r="J23" s="8" t="s">
        <v>817</v>
      </c>
      <c r="K23" s="87">
        <v>209484.78932399649</v>
      </c>
      <c r="L23" s="8" t="s">
        <v>1017</v>
      </c>
      <c r="M23" s="87">
        <v>87168.16736971667</v>
      </c>
      <c r="N23" s="8" t="s">
        <v>1017</v>
      </c>
      <c r="O23" s="8" t="s">
        <v>817</v>
      </c>
      <c r="P23" s="8">
        <v>2003</v>
      </c>
      <c r="Q23" s="8" t="s">
        <v>775</v>
      </c>
      <c r="R23" s="8" t="s">
        <v>1018</v>
      </c>
      <c r="S23" s="8" t="s">
        <v>817</v>
      </c>
      <c r="T23" s="8" t="s">
        <v>817</v>
      </c>
      <c r="U23" s="16" t="s">
        <v>1034</v>
      </c>
    </row>
    <row r="24" spans="1:21" ht="25.5" x14ac:dyDescent="0.2">
      <c r="A24" s="8" t="s">
        <v>736</v>
      </c>
      <c r="B24" s="8" t="s">
        <v>793</v>
      </c>
      <c r="C24" s="8">
        <v>3600</v>
      </c>
      <c r="D24" s="8" t="s">
        <v>817</v>
      </c>
      <c r="E24" s="8" t="s">
        <v>817</v>
      </c>
      <c r="F24" s="8" t="s">
        <v>817</v>
      </c>
      <c r="G24" s="8" t="s">
        <v>817</v>
      </c>
      <c r="H24" s="8" t="s">
        <v>817</v>
      </c>
      <c r="I24" s="8" t="s">
        <v>817</v>
      </c>
      <c r="J24" s="8" t="s">
        <v>817</v>
      </c>
      <c r="K24" s="87">
        <v>105445.36375368951</v>
      </c>
      <c r="L24" s="8" t="s">
        <v>1017</v>
      </c>
      <c r="M24" s="87">
        <v>52019.712785153497</v>
      </c>
      <c r="N24" s="8" t="s">
        <v>1017</v>
      </c>
      <c r="O24" s="8" t="s">
        <v>817</v>
      </c>
      <c r="P24" s="8">
        <v>2003</v>
      </c>
      <c r="Q24" s="8" t="s">
        <v>775</v>
      </c>
      <c r="R24" s="8" t="s">
        <v>1018</v>
      </c>
      <c r="S24" s="8" t="s">
        <v>817</v>
      </c>
      <c r="T24" s="8" t="s">
        <v>817</v>
      </c>
      <c r="U24" s="16" t="s">
        <v>1032</v>
      </c>
    </row>
    <row r="25" spans="1:21" ht="25.5" x14ac:dyDescent="0.2">
      <c r="A25" s="22" t="s">
        <v>1012</v>
      </c>
      <c r="B25" s="22" t="s">
        <v>793</v>
      </c>
      <c r="C25" s="22">
        <v>12000</v>
      </c>
      <c r="D25" s="77">
        <v>0.91240875912408759</v>
      </c>
      <c r="E25" s="8" t="s">
        <v>817</v>
      </c>
      <c r="F25" s="8" t="s">
        <v>817</v>
      </c>
      <c r="G25" s="8" t="s">
        <v>817</v>
      </c>
      <c r="H25" s="8" t="s">
        <v>817</v>
      </c>
      <c r="I25" s="8" t="s">
        <v>817</v>
      </c>
      <c r="J25" s="8" t="s">
        <v>817</v>
      </c>
      <c r="K25" s="73">
        <v>15.604939684016264</v>
      </c>
      <c r="L25" s="22" t="s">
        <v>1013</v>
      </c>
      <c r="M25" s="73" t="s">
        <v>817</v>
      </c>
      <c r="N25" s="73" t="s">
        <v>1006</v>
      </c>
      <c r="O25" s="22" t="s">
        <v>1014</v>
      </c>
      <c r="P25" s="22">
        <v>1999</v>
      </c>
      <c r="Q25" s="22" t="s">
        <v>773</v>
      </c>
      <c r="R25" s="22" t="s">
        <v>819</v>
      </c>
      <c r="S25" s="22" t="s">
        <v>800</v>
      </c>
      <c r="T25" s="22">
        <v>3</v>
      </c>
      <c r="U25" s="6" t="s">
        <v>1015</v>
      </c>
    </row>
  </sheetData>
  <autoFilter ref="A4:U25">
    <sortState ref="A6:Y62">
      <sortCondition descending="1" ref="K1:K62"/>
    </sortState>
  </autoFilter>
  <mergeCells count="17">
    <mergeCell ref="Q3:Q4"/>
    <mergeCell ref="R3:R4"/>
    <mergeCell ref="S3:S4"/>
    <mergeCell ref="T3:T4"/>
    <mergeCell ref="U3:U4"/>
    <mergeCell ref="P3:P4"/>
    <mergeCell ref="A3:A4"/>
    <mergeCell ref="B3:B4"/>
    <mergeCell ref="C3:D3"/>
    <mergeCell ref="E3:F3"/>
    <mergeCell ref="G3:H3"/>
    <mergeCell ref="I3:J3"/>
    <mergeCell ref="K3:K4"/>
    <mergeCell ref="L3:L4"/>
    <mergeCell ref="M3:M4"/>
    <mergeCell ref="N3:N4"/>
    <mergeCell ref="O3:O4"/>
  </mergeCells>
  <pageMargins left="0.7" right="0.7" top="0.75" bottom="0.75" header="0.3" footer="0.3"/>
  <pageSetup paperSize="5" scale="53" fitToHeight="8"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19"/>
  <sheetViews>
    <sheetView showGridLines="0" zoomScaleNormal="100" workbookViewId="0">
      <pane xSplit="1" ySplit="3" topLeftCell="B13" activePane="bottomRight" state="frozen"/>
      <selection activeCell="B5" sqref="B5:C7"/>
      <selection pane="topRight" activeCell="B5" sqref="B5:C7"/>
      <selection pane="bottomLeft" activeCell="B5" sqref="B5:C7"/>
      <selection pane="bottomRight" activeCell="D19" sqref="D19"/>
    </sheetView>
  </sheetViews>
  <sheetFormatPr defaultColWidth="8.85546875" defaultRowHeight="15" x14ac:dyDescent="0.25"/>
  <cols>
    <col min="1" max="1" width="13.140625" style="89" customWidth="1"/>
    <col min="2" max="2" width="45.7109375" style="89" bestFit="1" customWidth="1"/>
    <col min="3" max="3" width="18.85546875" style="89" customWidth="1"/>
    <col min="4" max="4" width="13" style="89" customWidth="1"/>
    <col min="5" max="5" width="14.28515625" style="89" customWidth="1"/>
    <col min="6" max="6" width="10.7109375" style="89" bestFit="1" customWidth="1"/>
    <col min="7" max="7" width="12.42578125" style="89" customWidth="1"/>
    <col min="8" max="8" width="11.42578125" style="89" customWidth="1"/>
    <col min="9" max="9" width="14" style="89" customWidth="1"/>
    <col min="10" max="10" width="12.42578125" style="93" customWidth="1"/>
    <col min="11" max="11" width="8.85546875" style="89"/>
    <col min="12" max="12" width="19.5703125" style="89" bestFit="1" customWidth="1"/>
    <col min="13" max="14" width="18.140625" style="89" customWidth="1"/>
    <col min="15" max="15" width="22.140625" style="89" customWidth="1"/>
    <col min="16" max="16384" width="8.85546875" style="89"/>
  </cols>
  <sheetData>
    <row r="1" spans="1:15" s="5" customFormat="1" ht="16.5" customHeight="1" x14ac:dyDescent="0.2">
      <c r="A1" s="158"/>
      <c r="B1" s="11"/>
      <c r="C1" s="11"/>
      <c r="D1" s="11"/>
      <c r="E1" s="11"/>
    </row>
    <row r="2" spans="1:15" s="5" customFormat="1" ht="16.5" customHeight="1" x14ac:dyDescent="0.2">
      <c r="A2" s="123"/>
      <c r="B2" s="123"/>
      <c r="C2" s="123"/>
      <c r="D2" s="123"/>
      <c r="E2" s="11"/>
    </row>
    <row r="3" spans="1:15" ht="38.25" x14ac:dyDescent="0.25">
      <c r="A3" s="58" t="s">
        <v>777</v>
      </c>
      <c r="B3" s="57" t="s">
        <v>778</v>
      </c>
      <c r="C3" s="57" t="s">
        <v>788</v>
      </c>
      <c r="D3" s="57" t="s">
        <v>779</v>
      </c>
      <c r="E3" s="57" t="s">
        <v>780</v>
      </c>
      <c r="F3" s="57" t="s">
        <v>781</v>
      </c>
      <c r="G3" s="57" t="s">
        <v>782</v>
      </c>
      <c r="H3" s="57" t="s">
        <v>783</v>
      </c>
      <c r="I3" s="57" t="s">
        <v>784</v>
      </c>
      <c r="J3" s="57" t="s">
        <v>785</v>
      </c>
      <c r="K3" s="57" t="s">
        <v>786</v>
      </c>
      <c r="L3" s="57" t="s">
        <v>787</v>
      </c>
      <c r="M3" s="57" t="s">
        <v>1261</v>
      </c>
      <c r="N3" s="57" t="s">
        <v>1262</v>
      </c>
      <c r="O3" s="57" t="s">
        <v>789</v>
      </c>
    </row>
    <row r="4" spans="1:15" s="90" customFormat="1" ht="25.5" x14ac:dyDescent="0.25">
      <c r="A4" s="22" t="s">
        <v>72</v>
      </c>
      <c r="B4" s="22" t="s">
        <v>1035</v>
      </c>
      <c r="C4" s="22" t="s">
        <v>793</v>
      </c>
      <c r="D4" s="22" t="s">
        <v>817</v>
      </c>
      <c r="E4" s="22">
        <v>8000</v>
      </c>
      <c r="F4" s="22" t="s">
        <v>817</v>
      </c>
      <c r="G4" s="73">
        <v>12.425235894082238</v>
      </c>
      <c r="H4" s="73">
        <v>0.66905116352750504</v>
      </c>
      <c r="I4" s="22" t="s">
        <v>1036</v>
      </c>
      <c r="J4" s="80">
        <v>2010</v>
      </c>
      <c r="K4" s="22" t="s">
        <v>773</v>
      </c>
      <c r="L4" s="22" t="s">
        <v>1037</v>
      </c>
      <c r="M4" s="22" t="s">
        <v>1038</v>
      </c>
      <c r="N4" s="22">
        <v>1</v>
      </c>
      <c r="O4" s="33"/>
    </row>
    <row r="5" spans="1:15" s="90" customFormat="1" ht="25.5" x14ac:dyDescent="0.25">
      <c r="A5" s="22" t="s">
        <v>72</v>
      </c>
      <c r="B5" s="22" t="s">
        <v>1039</v>
      </c>
      <c r="C5" s="22" t="s">
        <v>793</v>
      </c>
      <c r="D5" s="22" t="s">
        <v>817</v>
      </c>
      <c r="E5" s="22">
        <v>7000</v>
      </c>
      <c r="F5" s="22" t="s">
        <v>817</v>
      </c>
      <c r="G5" s="73">
        <v>1.1586054577543452</v>
      </c>
      <c r="H5" s="73">
        <v>3.5115628211429342E-2</v>
      </c>
      <c r="I5" s="22" t="s">
        <v>1040</v>
      </c>
      <c r="J5" s="80">
        <v>2010</v>
      </c>
      <c r="K5" s="22" t="s">
        <v>773</v>
      </c>
      <c r="L5" s="22" t="s">
        <v>1037</v>
      </c>
      <c r="M5" s="22" t="s">
        <v>1038</v>
      </c>
      <c r="N5" s="22">
        <v>1</v>
      </c>
      <c r="O5" s="33"/>
    </row>
    <row r="6" spans="1:15" s="90" customFormat="1" ht="25.5" x14ac:dyDescent="0.25">
      <c r="A6" s="22" t="s">
        <v>72</v>
      </c>
      <c r="B6" s="22" t="s">
        <v>1039</v>
      </c>
      <c r="C6" s="22" t="s">
        <v>793</v>
      </c>
      <c r="D6" s="22" t="s">
        <v>817</v>
      </c>
      <c r="E6" s="22">
        <v>7000</v>
      </c>
      <c r="F6" s="22" t="s">
        <v>817</v>
      </c>
      <c r="G6" s="73">
        <v>0.53935081654081585</v>
      </c>
      <c r="H6" s="73">
        <v>1.4298579151959253E-2</v>
      </c>
      <c r="I6" s="22" t="s">
        <v>826</v>
      </c>
      <c r="J6" s="80">
        <v>2010</v>
      </c>
      <c r="K6" s="22" t="s">
        <v>773</v>
      </c>
      <c r="L6" s="22" t="s">
        <v>1037</v>
      </c>
      <c r="M6" s="22" t="s">
        <v>1038</v>
      </c>
      <c r="N6" s="22">
        <v>1</v>
      </c>
      <c r="O6" s="33"/>
    </row>
    <row r="7" spans="1:15" s="90" customFormat="1" ht="25.5" x14ac:dyDescent="0.25">
      <c r="A7" s="22" t="s">
        <v>72</v>
      </c>
      <c r="B7" s="22" t="s">
        <v>1039</v>
      </c>
      <c r="C7" s="22" t="s">
        <v>793</v>
      </c>
      <c r="D7" s="22" t="s">
        <v>817</v>
      </c>
      <c r="E7" s="22">
        <v>7000</v>
      </c>
      <c r="F7" s="22" t="s">
        <v>817</v>
      </c>
      <c r="G7" s="73">
        <v>0.25075081821634421</v>
      </c>
      <c r="H7" s="73">
        <v>5.4145354876904512E-3</v>
      </c>
      <c r="I7" s="22" t="s">
        <v>1041</v>
      </c>
      <c r="J7" s="80">
        <v>2010</v>
      </c>
      <c r="K7" s="22" t="s">
        <v>773</v>
      </c>
      <c r="L7" s="22" t="s">
        <v>1037</v>
      </c>
      <c r="M7" s="22" t="s">
        <v>1038</v>
      </c>
      <c r="N7" s="22">
        <v>1</v>
      </c>
      <c r="O7" s="33"/>
    </row>
    <row r="8" spans="1:15" s="90" customFormat="1" ht="25.5" x14ac:dyDescent="0.25">
      <c r="A8" s="22" t="s">
        <v>72</v>
      </c>
      <c r="B8" s="22" t="s">
        <v>1039</v>
      </c>
      <c r="C8" s="22" t="s">
        <v>793</v>
      </c>
      <c r="D8" s="22" t="s">
        <v>817</v>
      </c>
      <c r="E8" s="22">
        <v>7000</v>
      </c>
      <c r="F8" s="22" t="s">
        <v>817</v>
      </c>
      <c r="G8" s="73">
        <v>0.1622608369450278</v>
      </c>
      <c r="H8" s="91">
        <v>3.0139161937953324E-3</v>
      </c>
      <c r="I8" s="22" t="s">
        <v>1042</v>
      </c>
      <c r="J8" s="80">
        <v>2010</v>
      </c>
      <c r="K8" s="22" t="s">
        <v>773</v>
      </c>
      <c r="L8" s="22" t="s">
        <v>1037</v>
      </c>
      <c r="M8" s="22" t="s">
        <v>1038</v>
      </c>
      <c r="N8" s="22">
        <v>1</v>
      </c>
      <c r="O8" s="33"/>
    </row>
    <row r="9" spans="1:15" ht="25.5" x14ac:dyDescent="0.25">
      <c r="A9" s="22" t="s">
        <v>72</v>
      </c>
      <c r="B9" s="22" t="s">
        <v>1043</v>
      </c>
      <c r="C9" s="22" t="s">
        <v>793</v>
      </c>
      <c r="D9" s="22" t="s">
        <v>817</v>
      </c>
      <c r="E9" s="22">
        <v>26000</v>
      </c>
      <c r="F9" s="22" t="s">
        <v>817</v>
      </c>
      <c r="G9" s="73">
        <v>78.101482762802632</v>
      </c>
      <c r="H9" s="73">
        <v>0.66085870030063765</v>
      </c>
      <c r="I9" s="22" t="s">
        <v>1044</v>
      </c>
      <c r="J9" s="80">
        <v>2010</v>
      </c>
      <c r="K9" s="22" t="s">
        <v>773</v>
      </c>
      <c r="L9" s="22" t="s">
        <v>1037</v>
      </c>
      <c r="M9" s="22" t="s">
        <v>1038</v>
      </c>
      <c r="N9" s="22">
        <v>1</v>
      </c>
      <c r="O9" s="33"/>
    </row>
    <row r="10" spans="1:15" ht="25.5" x14ac:dyDescent="0.25">
      <c r="A10" s="22" t="s">
        <v>72</v>
      </c>
      <c r="B10" s="22" t="s">
        <v>1045</v>
      </c>
      <c r="C10" s="22" t="s">
        <v>793</v>
      </c>
      <c r="D10" s="22" t="s">
        <v>817</v>
      </c>
      <c r="E10" s="22">
        <v>19000</v>
      </c>
      <c r="F10" s="22" t="s">
        <v>817</v>
      </c>
      <c r="G10" s="73">
        <v>144.18735279286639</v>
      </c>
      <c r="H10" s="73">
        <v>7.5097579579617921</v>
      </c>
      <c r="I10" s="22" t="s">
        <v>1044</v>
      </c>
      <c r="J10" s="80">
        <v>2010</v>
      </c>
      <c r="K10" s="22" t="s">
        <v>773</v>
      </c>
      <c r="L10" s="22" t="s">
        <v>1037</v>
      </c>
      <c r="M10" s="22" t="s">
        <v>1038</v>
      </c>
      <c r="N10" s="22">
        <v>1</v>
      </c>
      <c r="O10" s="33"/>
    </row>
    <row r="11" spans="1:15" ht="25.5" x14ac:dyDescent="0.25">
      <c r="A11" s="22" t="s">
        <v>72</v>
      </c>
      <c r="B11" s="22" t="s">
        <v>1045</v>
      </c>
      <c r="C11" s="22" t="s">
        <v>793</v>
      </c>
      <c r="D11" s="22" t="s">
        <v>817</v>
      </c>
      <c r="E11" s="22">
        <v>13000</v>
      </c>
      <c r="F11" s="22" t="s">
        <v>817</v>
      </c>
      <c r="G11" s="73">
        <v>156.20296552560526</v>
      </c>
      <c r="H11" s="73">
        <v>12.015612732738866</v>
      </c>
      <c r="I11" s="22" t="s">
        <v>1044</v>
      </c>
      <c r="J11" s="80">
        <v>2010</v>
      </c>
      <c r="K11" s="22" t="s">
        <v>773</v>
      </c>
      <c r="L11" s="22" t="s">
        <v>1037</v>
      </c>
      <c r="M11" s="22" t="s">
        <v>1038</v>
      </c>
      <c r="N11" s="22">
        <v>1</v>
      </c>
      <c r="O11" s="33"/>
    </row>
    <row r="12" spans="1:15" ht="25.5" x14ac:dyDescent="0.25">
      <c r="A12" s="22" t="s">
        <v>72</v>
      </c>
      <c r="B12" s="22" t="s">
        <v>1045</v>
      </c>
      <c r="C12" s="22" t="s">
        <v>793</v>
      </c>
      <c r="D12" s="22" t="s">
        <v>817</v>
      </c>
      <c r="E12" s="22">
        <v>13000</v>
      </c>
      <c r="F12" s="22" t="s">
        <v>817</v>
      </c>
      <c r="G12" s="73">
        <v>168.21857825834414</v>
      </c>
      <c r="H12" s="73">
        <v>19.224980372382188</v>
      </c>
      <c r="I12" s="22" t="s">
        <v>1044</v>
      </c>
      <c r="J12" s="80">
        <v>2010</v>
      </c>
      <c r="K12" s="22" t="s">
        <v>773</v>
      </c>
      <c r="L12" s="22" t="s">
        <v>1037</v>
      </c>
      <c r="M12" s="22" t="s">
        <v>1038</v>
      </c>
      <c r="N12" s="22">
        <v>1</v>
      </c>
      <c r="O12" s="33"/>
    </row>
    <row r="13" spans="1:15" ht="25.5" x14ac:dyDescent="0.25">
      <c r="A13" s="22" t="s">
        <v>72</v>
      </c>
      <c r="B13" s="22" t="s">
        <v>1046</v>
      </c>
      <c r="C13" s="22" t="s">
        <v>793</v>
      </c>
      <c r="D13" s="22" t="s">
        <v>817</v>
      </c>
      <c r="E13" s="22">
        <v>15000</v>
      </c>
      <c r="F13" s="22" t="s">
        <v>817</v>
      </c>
      <c r="G13" s="73">
        <v>11.541132570849463</v>
      </c>
      <c r="H13" s="73">
        <v>0.25089418632281441</v>
      </c>
      <c r="I13" s="22" t="s">
        <v>1036</v>
      </c>
      <c r="J13" s="80">
        <v>2010</v>
      </c>
      <c r="K13" s="22" t="s">
        <v>773</v>
      </c>
      <c r="L13" s="22" t="s">
        <v>1037</v>
      </c>
      <c r="M13" s="22" t="s">
        <v>1038</v>
      </c>
      <c r="N13" s="22">
        <v>1</v>
      </c>
      <c r="O13" s="33"/>
    </row>
    <row r="14" spans="1:15" x14ac:dyDescent="0.25">
      <c r="A14" s="22" t="s">
        <v>72</v>
      </c>
      <c r="B14" s="22" t="s">
        <v>1047</v>
      </c>
      <c r="C14" s="22" t="s">
        <v>793</v>
      </c>
      <c r="D14" s="22">
        <v>36000</v>
      </c>
      <c r="E14" s="22">
        <v>10000</v>
      </c>
      <c r="F14" s="72">
        <v>0.72222222222222221</v>
      </c>
      <c r="G14" s="92">
        <v>31.953140531421063</v>
      </c>
      <c r="H14" s="73">
        <v>1.3011451764074862</v>
      </c>
      <c r="I14" s="22" t="s">
        <v>1048</v>
      </c>
      <c r="J14" s="80">
        <v>2003</v>
      </c>
      <c r="K14" s="22" t="s">
        <v>775</v>
      </c>
      <c r="L14" s="22" t="s">
        <v>1049</v>
      </c>
      <c r="M14" s="22" t="s">
        <v>828</v>
      </c>
      <c r="N14" s="22">
        <v>3</v>
      </c>
      <c r="O14" s="33"/>
    </row>
    <row r="15" spans="1:15" x14ac:dyDescent="0.25">
      <c r="A15" s="22" t="s">
        <v>72</v>
      </c>
      <c r="B15" s="22" t="s">
        <v>745</v>
      </c>
      <c r="C15" s="22" t="s">
        <v>793</v>
      </c>
      <c r="D15" s="22">
        <v>36000</v>
      </c>
      <c r="E15" s="22">
        <v>10000</v>
      </c>
      <c r="F15" s="72">
        <v>0.72222222222222221</v>
      </c>
      <c r="G15" s="92">
        <v>13.633339960072986</v>
      </c>
      <c r="H15" s="73">
        <v>2.0251156976393436</v>
      </c>
      <c r="I15" s="22" t="s">
        <v>1048</v>
      </c>
      <c r="J15" s="80">
        <v>2003</v>
      </c>
      <c r="K15" s="22" t="s">
        <v>775</v>
      </c>
      <c r="L15" s="22" t="s">
        <v>1049</v>
      </c>
      <c r="M15" s="22" t="s">
        <v>828</v>
      </c>
      <c r="N15" s="22">
        <v>3</v>
      </c>
      <c r="O15" s="33"/>
    </row>
    <row r="16" spans="1:15" x14ac:dyDescent="0.25">
      <c r="A16" s="22" t="s">
        <v>706</v>
      </c>
      <c r="B16" s="22" t="s">
        <v>732</v>
      </c>
      <c r="C16" s="22" t="s">
        <v>793</v>
      </c>
      <c r="D16" s="22" t="s">
        <v>817</v>
      </c>
      <c r="E16" s="22">
        <v>2960</v>
      </c>
      <c r="F16" s="77">
        <v>0.74</v>
      </c>
      <c r="G16" s="73">
        <v>20.854749720174148</v>
      </c>
      <c r="H16" s="73">
        <v>0.35532744354687729</v>
      </c>
      <c r="I16" s="22" t="s">
        <v>1050</v>
      </c>
      <c r="J16" s="80">
        <v>2003</v>
      </c>
      <c r="K16" s="22" t="s">
        <v>775</v>
      </c>
      <c r="L16" s="22" t="s">
        <v>1008</v>
      </c>
      <c r="M16" s="22" t="s">
        <v>1009</v>
      </c>
      <c r="N16" s="22">
        <v>6</v>
      </c>
      <c r="O16" s="33"/>
    </row>
    <row r="17" spans="1:15" x14ac:dyDescent="0.25">
      <c r="A17" s="22" t="s">
        <v>706</v>
      </c>
      <c r="B17" s="22" t="s">
        <v>732</v>
      </c>
      <c r="C17" s="22" t="s">
        <v>793</v>
      </c>
      <c r="D17" s="22" t="s">
        <v>817</v>
      </c>
      <c r="E17" s="22">
        <v>3160</v>
      </c>
      <c r="F17" s="77">
        <v>0.76</v>
      </c>
      <c r="G17" s="73">
        <v>9.4549342832474927</v>
      </c>
      <c r="H17" s="73">
        <v>0.35431399643968903</v>
      </c>
      <c r="I17" s="22" t="s">
        <v>1051</v>
      </c>
      <c r="J17" s="80">
        <v>2003</v>
      </c>
      <c r="K17" s="22" t="s">
        <v>775</v>
      </c>
      <c r="L17" s="22" t="s">
        <v>1008</v>
      </c>
      <c r="M17" s="22" t="s">
        <v>1009</v>
      </c>
      <c r="N17" s="22">
        <v>6</v>
      </c>
      <c r="O17" s="33"/>
    </row>
    <row r="18" spans="1:15" x14ac:dyDescent="0.25">
      <c r="A18" s="22" t="s">
        <v>706</v>
      </c>
      <c r="B18" s="22" t="s">
        <v>732</v>
      </c>
      <c r="C18" s="22" t="s">
        <v>793</v>
      </c>
      <c r="D18" s="22" t="s">
        <v>817</v>
      </c>
      <c r="E18" s="22">
        <v>3530</v>
      </c>
      <c r="F18" s="77">
        <v>0.78</v>
      </c>
      <c r="G18" s="73">
        <v>7.2483924121054715</v>
      </c>
      <c r="H18" s="73">
        <v>0.1440149345844835</v>
      </c>
      <c r="I18" s="22" t="s">
        <v>1052</v>
      </c>
      <c r="J18" s="80">
        <v>2003</v>
      </c>
      <c r="K18" s="22" t="s">
        <v>775</v>
      </c>
      <c r="L18" s="22" t="s">
        <v>1008</v>
      </c>
      <c r="M18" s="22" t="s">
        <v>1009</v>
      </c>
      <c r="N18" s="22">
        <v>6</v>
      </c>
      <c r="O18" s="33"/>
    </row>
    <row r="19" spans="1:15" x14ac:dyDescent="0.25">
      <c r="A19"/>
    </row>
  </sheetData>
  <autoFilter ref="A3:O18"/>
  <pageMargins left="0.7" right="0.7" top="0.75" bottom="0.75" header="0.3" footer="0.3"/>
  <pageSetup paperSize="5" scale="73" fitToHeight="3"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P76"/>
  <sheetViews>
    <sheetView showGridLines="0" zoomScaleNormal="100" zoomScaleSheetLayoutView="75" workbookViewId="0">
      <pane xSplit="1" ySplit="4" topLeftCell="B5" activePane="bottomRight" state="frozen"/>
      <selection pane="topRight" activeCell="B1" sqref="B1"/>
      <selection pane="bottomLeft" activeCell="A5" sqref="A5"/>
      <selection pane="bottomRight" activeCell="A16" sqref="A16"/>
    </sheetView>
  </sheetViews>
  <sheetFormatPr defaultRowHeight="12.75" x14ac:dyDescent="0.25"/>
  <cols>
    <col min="1" max="1" width="22.28515625" style="149" customWidth="1"/>
    <col min="2" max="2" width="11.42578125" style="149" customWidth="1"/>
    <col min="3" max="3" width="16.42578125" style="149" customWidth="1"/>
    <col min="4" max="4" width="12.85546875" style="149" customWidth="1"/>
    <col min="5" max="5" width="13.85546875" style="149" customWidth="1"/>
    <col min="6" max="7" width="8.140625" style="149" customWidth="1"/>
    <col min="8" max="12" width="14" style="149" customWidth="1"/>
    <col min="13" max="16" width="10.5703125" style="149" customWidth="1"/>
    <col min="17" max="256" width="9.140625" style="149"/>
    <col min="257" max="257" width="33.5703125" style="149" customWidth="1"/>
    <col min="258" max="258" width="11.42578125" style="149" customWidth="1"/>
    <col min="259" max="259" width="26.28515625" style="149" customWidth="1"/>
    <col min="260" max="260" width="15.42578125" style="149" customWidth="1"/>
    <col min="261" max="261" width="17.28515625" style="149" customWidth="1"/>
    <col min="262" max="262" width="12" style="149" customWidth="1"/>
    <col min="263" max="263" width="12.140625" style="149" customWidth="1"/>
    <col min="264" max="268" width="16.28515625" style="149" customWidth="1"/>
    <col min="269" max="272" width="12.85546875" style="149" customWidth="1"/>
    <col min="273" max="512" width="9.140625" style="149"/>
    <col min="513" max="513" width="33.5703125" style="149" customWidth="1"/>
    <col min="514" max="514" width="11.42578125" style="149" customWidth="1"/>
    <col min="515" max="515" width="26.28515625" style="149" customWidth="1"/>
    <col min="516" max="516" width="15.42578125" style="149" customWidth="1"/>
    <col min="517" max="517" width="17.28515625" style="149" customWidth="1"/>
    <col min="518" max="518" width="12" style="149" customWidth="1"/>
    <col min="519" max="519" width="12.140625" style="149" customWidth="1"/>
    <col min="520" max="524" width="16.28515625" style="149" customWidth="1"/>
    <col min="525" max="528" width="12.85546875" style="149" customWidth="1"/>
    <col min="529" max="768" width="9.140625" style="149"/>
    <col min="769" max="769" width="33.5703125" style="149" customWidth="1"/>
    <col min="770" max="770" width="11.42578125" style="149" customWidth="1"/>
    <col min="771" max="771" width="26.28515625" style="149" customWidth="1"/>
    <col min="772" max="772" width="15.42578125" style="149" customWidth="1"/>
    <col min="773" max="773" width="17.28515625" style="149" customWidth="1"/>
    <col min="774" max="774" width="12" style="149" customWidth="1"/>
    <col min="775" max="775" width="12.140625" style="149" customWidth="1"/>
    <col min="776" max="780" width="16.28515625" style="149" customWidth="1"/>
    <col min="781" max="784" width="12.85546875" style="149" customWidth="1"/>
    <col min="785" max="1024" width="9.140625" style="149"/>
    <col min="1025" max="1025" width="33.5703125" style="149" customWidth="1"/>
    <col min="1026" max="1026" width="11.42578125" style="149" customWidth="1"/>
    <col min="1027" max="1027" width="26.28515625" style="149" customWidth="1"/>
    <col min="1028" max="1028" width="15.42578125" style="149" customWidth="1"/>
    <col min="1029" max="1029" width="17.28515625" style="149" customWidth="1"/>
    <col min="1030" max="1030" width="12" style="149" customWidth="1"/>
    <col min="1031" max="1031" width="12.140625" style="149" customWidth="1"/>
    <col min="1032" max="1036" width="16.28515625" style="149" customWidth="1"/>
    <col min="1037" max="1040" width="12.85546875" style="149" customWidth="1"/>
    <col min="1041" max="1280" width="9.140625" style="149"/>
    <col min="1281" max="1281" width="33.5703125" style="149" customWidth="1"/>
    <col min="1282" max="1282" width="11.42578125" style="149" customWidth="1"/>
    <col min="1283" max="1283" width="26.28515625" style="149" customWidth="1"/>
    <col min="1284" max="1284" width="15.42578125" style="149" customWidth="1"/>
    <col min="1285" max="1285" width="17.28515625" style="149" customWidth="1"/>
    <col min="1286" max="1286" width="12" style="149" customWidth="1"/>
    <col min="1287" max="1287" width="12.140625" style="149" customWidth="1"/>
    <col min="1288" max="1292" width="16.28515625" style="149" customWidth="1"/>
    <col min="1293" max="1296" width="12.85546875" style="149" customWidth="1"/>
    <col min="1297" max="1536" width="9.140625" style="149"/>
    <col min="1537" max="1537" width="33.5703125" style="149" customWidth="1"/>
    <col min="1538" max="1538" width="11.42578125" style="149" customWidth="1"/>
    <col min="1539" max="1539" width="26.28515625" style="149" customWidth="1"/>
    <col min="1540" max="1540" width="15.42578125" style="149" customWidth="1"/>
    <col min="1541" max="1541" width="17.28515625" style="149" customWidth="1"/>
    <col min="1542" max="1542" width="12" style="149" customWidth="1"/>
    <col min="1543" max="1543" width="12.140625" style="149" customWidth="1"/>
    <col min="1544" max="1548" width="16.28515625" style="149" customWidth="1"/>
    <col min="1549" max="1552" width="12.85546875" style="149" customWidth="1"/>
    <col min="1553" max="1792" width="9.140625" style="149"/>
    <col min="1793" max="1793" width="33.5703125" style="149" customWidth="1"/>
    <col min="1794" max="1794" width="11.42578125" style="149" customWidth="1"/>
    <col min="1795" max="1795" width="26.28515625" style="149" customWidth="1"/>
    <col min="1796" max="1796" width="15.42578125" style="149" customWidth="1"/>
    <col min="1797" max="1797" width="17.28515625" style="149" customWidth="1"/>
    <col min="1798" max="1798" width="12" style="149" customWidth="1"/>
    <col min="1799" max="1799" width="12.140625" style="149" customWidth="1"/>
    <col min="1800" max="1804" width="16.28515625" style="149" customWidth="1"/>
    <col min="1805" max="1808" width="12.85546875" style="149" customWidth="1"/>
    <col min="1809" max="2048" width="9.140625" style="149"/>
    <col min="2049" max="2049" width="33.5703125" style="149" customWidth="1"/>
    <col min="2050" max="2050" width="11.42578125" style="149" customWidth="1"/>
    <col min="2051" max="2051" width="26.28515625" style="149" customWidth="1"/>
    <col min="2052" max="2052" width="15.42578125" style="149" customWidth="1"/>
    <col min="2053" max="2053" width="17.28515625" style="149" customWidth="1"/>
    <col min="2054" max="2054" width="12" style="149" customWidth="1"/>
    <col min="2055" max="2055" width="12.140625" style="149" customWidth="1"/>
    <col min="2056" max="2060" width="16.28515625" style="149" customWidth="1"/>
    <col min="2061" max="2064" width="12.85546875" style="149" customWidth="1"/>
    <col min="2065" max="2304" width="9.140625" style="149"/>
    <col min="2305" max="2305" width="33.5703125" style="149" customWidth="1"/>
    <col min="2306" max="2306" width="11.42578125" style="149" customWidth="1"/>
    <col min="2307" max="2307" width="26.28515625" style="149" customWidth="1"/>
    <col min="2308" max="2308" width="15.42578125" style="149" customWidth="1"/>
    <col min="2309" max="2309" width="17.28515625" style="149" customWidth="1"/>
    <col min="2310" max="2310" width="12" style="149" customWidth="1"/>
    <col min="2311" max="2311" width="12.140625" style="149" customWidth="1"/>
    <col min="2312" max="2316" width="16.28515625" style="149" customWidth="1"/>
    <col min="2317" max="2320" width="12.85546875" style="149" customWidth="1"/>
    <col min="2321" max="2560" width="9.140625" style="149"/>
    <col min="2561" max="2561" width="33.5703125" style="149" customWidth="1"/>
    <col min="2562" max="2562" width="11.42578125" style="149" customWidth="1"/>
    <col min="2563" max="2563" width="26.28515625" style="149" customWidth="1"/>
    <col min="2564" max="2564" width="15.42578125" style="149" customWidth="1"/>
    <col min="2565" max="2565" width="17.28515625" style="149" customWidth="1"/>
    <col min="2566" max="2566" width="12" style="149" customWidth="1"/>
    <col min="2567" max="2567" width="12.140625" style="149" customWidth="1"/>
    <col min="2568" max="2572" width="16.28515625" style="149" customWidth="1"/>
    <col min="2573" max="2576" width="12.85546875" style="149" customWidth="1"/>
    <col min="2577" max="2816" width="9.140625" style="149"/>
    <col min="2817" max="2817" width="33.5703125" style="149" customWidth="1"/>
    <col min="2818" max="2818" width="11.42578125" style="149" customWidth="1"/>
    <col min="2819" max="2819" width="26.28515625" style="149" customWidth="1"/>
    <col min="2820" max="2820" width="15.42578125" style="149" customWidth="1"/>
    <col min="2821" max="2821" width="17.28515625" style="149" customWidth="1"/>
    <col min="2822" max="2822" width="12" style="149" customWidth="1"/>
    <col min="2823" max="2823" width="12.140625" style="149" customWidth="1"/>
    <col min="2824" max="2828" width="16.28515625" style="149" customWidth="1"/>
    <col min="2829" max="2832" width="12.85546875" style="149" customWidth="1"/>
    <col min="2833" max="3072" width="9.140625" style="149"/>
    <col min="3073" max="3073" width="33.5703125" style="149" customWidth="1"/>
    <col min="3074" max="3074" width="11.42578125" style="149" customWidth="1"/>
    <col min="3075" max="3075" width="26.28515625" style="149" customWidth="1"/>
    <col min="3076" max="3076" width="15.42578125" style="149" customWidth="1"/>
    <col min="3077" max="3077" width="17.28515625" style="149" customWidth="1"/>
    <col min="3078" max="3078" width="12" style="149" customWidth="1"/>
    <col min="3079" max="3079" width="12.140625" style="149" customWidth="1"/>
    <col min="3080" max="3084" width="16.28515625" style="149" customWidth="1"/>
    <col min="3085" max="3088" width="12.85546875" style="149" customWidth="1"/>
    <col min="3089" max="3328" width="9.140625" style="149"/>
    <col min="3329" max="3329" width="33.5703125" style="149" customWidth="1"/>
    <col min="3330" max="3330" width="11.42578125" style="149" customWidth="1"/>
    <col min="3331" max="3331" width="26.28515625" style="149" customWidth="1"/>
    <col min="3332" max="3332" width="15.42578125" style="149" customWidth="1"/>
    <col min="3333" max="3333" width="17.28515625" style="149" customWidth="1"/>
    <col min="3334" max="3334" width="12" style="149" customWidth="1"/>
    <col min="3335" max="3335" width="12.140625" style="149" customWidth="1"/>
    <col min="3336" max="3340" width="16.28515625" style="149" customWidth="1"/>
    <col min="3341" max="3344" width="12.85546875" style="149" customWidth="1"/>
    <col min="3345" max="3584" width="9.140625" style="149"/>
    <col min="3585" max="3585" width="33.5703125" style="149" customWidth="1"/>
    <col min="3586" max="3586" width="11.42578125" style="149" customWidth="1"/>
    <col min="3587" max="3587" width="26.28515625" style="149" customWidth="1"/>
    <col min="3588" max="3588" width="15.42578125" style="149" customWidth="1"/>
    <col min="3589" max="3589" width="17.28515625" style="149" customWidth="1"/>
    <col min="3590" max="3590" width="12" style="149" customWidth="1"/>
    <col min="3591" max="3591" width="12.140625" style="149" customWidth="1"/>
    <col min="3592" max="3596" width="16.28515625" style="149" customWidth="1"/>
    <col min="3597" max="3600" width="12.85546875" style="149" customWidth="1"/>
    <col min="3601" max="3840" width="9.140625" style="149"/>
    <col min="3841" max="3841" width="33.5703125" style="149" customWidth="1"/>
    <col min="3842" max="3842" width="11.42578125" style="149" customWidth="1"/>
    <col min="3843" max="3843" width="26.28515625" style="149" customWidth="1"/>
    <col min="3844" max="3844" width="15.42578125" style="149" customWidth="1"/>
    <col min="3845" max="3845" width="17.28515625" style="149" customWidth="1"/>
    <col min="3846" max="3846" width="12" style="149" customWidth="1"/>
    <col min="3847" max="3847" width="12.140625" style="149" customWidth="1"/>
    <col min="3848" max="3852" width="16.28515625" style="149" customWidth="1"/>
    <col min="3853" max="3856" width="12.85546875" style="149" customWidth="1"/>
    <col min="3857" max="4096" width="9.140625" style="149"/>
    <col min="4097" max="4097" width="33.5703125" style="149" customWidth="1"/>
    <col min="4098" max="4098" width="11.42578125" style="149" customWidth="1"/>
    <col min="4099" max="4099" width="26.28515625" style="149" customWidth="1"/>
    <col min="4100" max="4100" width="15.42578125" style="149" customWidth="1"/>
    <col min="4101" max="4101" width="17.28515625" style="149" customWidth="1"/>
    <col min="4102" max="4102" width="12" style="149" customWidth="1"/>
    <col min="4103" max="4103" width="12.140625" style="149" customWidth="1"/>
    <col min="4104" max="4108" width="16.28515625" style="149" customWidth="1"/>
    <col min="4109" max="4112" width="12.85546875" style="149" customWidth="1"/>
    <col min="4113" max="4352" width="9.140625" style="149"/>
    <col min="4353" max="4353" width="33.5703125" style="149" customWidth="1"/>
    <col min="4354" max="4354" width="11.42578125" style="149" customWidth="1"/>
    <col min="4355" max="4355" width="26.28515625" style="149" customWidth="1"/>
    <col min="4356" max="4356" width="15.42578125" style="149" customWidth="1"/>
    <col min="4357" max="4357" width="17.28515625" style="149" customWidth="1"/>
    <col min="4358" max="4358" width="12" style="149" customWidth="1"/>
    <col min="4359" max="4359" width="12.140625" style="149" customWidth="1"/>
    <col min="4360" max="4364" width="16.28515625" style="149" customWidth="1"/>
    <col min="4365" max="4368" width="12.85546875" style="149" customWidth="1"/>
    <col min="4369" max="4608" width="9.140625" style="149"/>
    <col min="4609" max="4609" width="33.5703125" style="149" customWidth="1"/>
    <col min="4610" max="4610" width="11.42578125" style="149" customWidth="1"/>
    <col min="4611" max="4611" width="26.28515625" style="149" customWidth="1"/>
    <col min="4612" max="4612" width="15.42578125" style="149" customWidth="1"/>
    <col min="4613" max="4613" width="17.28515625" style="149" customWidth="1"/>
    <col min="4614" max="4614" width="12" style="149" customWidth="1"/>
    <col min="4615" max="4615" width="12.140625" style="149" customWidth="1"/>
    <col min="4616" max="4620" width="16.28515625" style="149" customWidth="1"/>
    <col min="4621" max="4624" width="12.85546875" style="149" customWidth="1"/>
    <col min="4625" max="4864" width="9.140625" style="149"/>
    <col min="4865" max="4865" width="33.5703125" style="149" customWidth="1"/>
    <col min="4866" max="4866" width="11.42578125" style="149" customWidth="1"/>
    <col min="4867" max="4867" width="26.28515625" style="149" customWidth="1"/>
    <col min="4868" max="4868" width="15.42578125" style="149" customWidth="1"/>
    <col min="4869" max="4869" width="17.28515625" style="149" customWidth="1"/>
    <col min="4870" max="4870" width="12" style="149" customWidth="1"/>
    <col min="4871" max="4871" width="12.140625" style="149" customWidth="1"/>
    <col min="4872" max="4876" width="16.28515625" style="149" customWidth="1"/>
    <col min="4877" max="4880" width="12.85546875" style="149" customWidth="1"/>
    <col min="4881" max="5120" width="9.140625" style="149"/>
    <col min="5121" max="5121" width="33.5703125" style="149" customWidth="1"/>
    <col min="5122" max="5122" width="11.42578125" style="149" customWidth="1"/>
    <col min="5123" max="5123" width="26.28515625" style="149" customWidth="1"/>
    <col min="5124" max="5124" width="15.42578125" style="149" customWidth="1"/>
    <col min="5125" max="5125" width="17.28515625" style="149" customWidth="1"/>
    <col min="5126" max="5126" width="12" style="149" customWidth="1"/>
    <col min="5127" max="5127" width="12.140625" style="149" customWidth="1"/>
    <col min="5128" max="5132" width="16.28515625" style="149" customWidth="1"/>
    <col min="5133" max="5136" width="12.85546875" style="149" customWidth="1"/>
    <col min="5137" max="5376" width="9.140625" style="149"/>
    <col min="5377" max="5377" width="33.5703125" style="149" customWidth="1"/>
    <col min="5378" max="5378" width="11.42578125" style="149" customWidth="1"/>
    <col min="5379" max="5379" width="26.28515625" style="149" customWidth="1"/>
    <col min="5380" max="5380" width="15.42578125" style="149" customWidth="1"/>
    <col min="5381" max="5381" width="17.28515625" style="149" customWidth="1"/>
    <col min="5382" max="5382" width="12" style="149" customWidth="1"/>
    <col min="5383" max="5383" width="12.140625" style="149" customWidth="1"/>
    <col min="5384" max="5388" width="16.28515625" style="149" customWidth="1"/>
    <col min="5389" max="5392" width="12.85546875" style="149" customWidth="1"/>
    <col min="5393" max="5632" width="9.140625" style="149"/>
    <col min="5633" max="5633" width="33.5703125" style="149" customWidth="1"/>
    <col min="5634" max="5634" width="11.42578125" style="149" customWidth="1"/>
    <col min="5635" max="5635" width="26.28515625" style="149" customWidth="1"/>
    <col min="5636" max="5636" width="15.42578125" style="149" customWidth="1"/>
    <col min="5637" max="5637" width="17.28515625" style="149" customWidth="1"/>
    <col min="5638" max="5638" width="12" style="149" customWidth="1"/>
    <col min="5639" max="5639" width="12.140625" style="149" customWidth="1"/>
    <col min="5640" max="5644" width="16.28515625" style="149" customWidth="1"/>
    <col min="5645" max="5648" width="12.85546875" style="149" customWidth="1"/>
    <col min="5649" max="5888" width="9.140625" style="149"/>
    <col min="5889" max="5889" width="33.5703125" style="149" customWidth="1"/>
    <col min="5890" max="5890" width="11.42578125" style="149" customWidth="1"/>
    <col min="5891" max="5891" width="26.28515625" style="149" customWidth="1"/>
    <col min="5892" max="5892" width="15.42578125" style="149" customWidth="1"/>
    <col min="5893" max="5893" width="17.28515625" style="149" customWidth="1"/>
    <col min="5894" max="5894" width="12" style="149" customWidth="1"/>
    <col min="5895" max="5895" width="12.140625" style="149" customWidth="1"/>
    <col min="5896" max="5900" width="16.28515625" style="149" customWidth="1"/>
    <col min="5901" max="5904" width="12.85546875" style="149" customWidth="1"/>
    <col min="5905" max="6144" width="9.140625" style="149"/>
    <col min="6145" max="6145" width="33.5703125" style="149" customWidth="1"/>
    <col min="6146" max="6146" width="11.42578125" style="149" customWidth="1"/>
    <col min="6147" max="6147" width="26.28515625" style="149" customWidth="1"/>
    <col min="6148" max="6148" width="15.42578125" style="149" customWidth="1"/>
    <col min="6149" max="6149" width="17.28515625" style="149" customWidth="1"/>
    <col min="6150" max="6150" width="12" style="149" customWidth="1"/>
    <col min="6151" max="6151" width="12.140625" style="149" customWidth="1"/>
    <col min="6152" max="6156" width="16.28515625" style="149" customWidth="1"/>
    <col min="6157" max="6160" width="12.85546875" style="149" customWidth="1"/>
    <col min="6161" max="6400" width="9.140625" style="149"/>
    <col min="6401" max="6401" width="33.5703125" style="149" customWidth="1"/>
    <col min="6402" max="6402" width="11.42578125" style="149" customWidth="1"/>
    <col min="6403" max="6403" width="26.28515625" style="149" customWidth="1"/>
    <col min="6404" max="6404" width="15.42578125" style="149" customWidth="1"/>
    <col min="6405" max="6405" width="17.28515625" style="149" customWidth="1"/>
    <col min="6406" max="6406" width="12" style="149" customWidth="1"/>
    <col min="6407" max="6407" width="12.140625" style="149" customWidth="1"/>
    <col min="6408" max="6412" width="16.28515625" style="149" customWidth="1"/>
    <col min="6413" max="6416" width="12.85546875" style="149" customWidth="1"/>
    <col min="6417" max="6656" width="9.140625" style="149"/>
    <col min="6657" max="6657" width="33.5703125" style="149" customWidth="1"/>
    <col min="6658" max="6658" width="11.42578125" style="149" customWidth="1"/>
    <col min="6659" max="6659" width="26.28515625" style="149" customWidth="1"/>
    <col min="6660" max="6660" width="15.42578125" style="149" customWidth="1"/>
    <col min="6661" max="6661" width="17.28515625" style="149" customWidth="1"/>
    <col min="6662" max="6662" width="12" style="149" customWidth="1"/>
    <col min="6663" max="6663" width="12.140625" style="149" customWidth="1"/>
    <col min="6664" max="6668" width="16.28515625" style="149" customWidth="1"/>
    <col min="6669" max="6672" width="12.85546875" style="149" customWidth="1"/>
    <col min="6673" max="6912" width="9.140625" style="149"/>
    <col min="6913" max="6913" width="33.5703125" style="149" customWidth="1"/>
    <col min="6914" max="6914" width="11.42578125" style="149" customWidth="1"/>
    <col min="6915" max="6915" width="26.28515625" style="149" customWidth="1"/>
    <col min="6916" max="6916" width="15.42578125" style="149" customWidth="1"/>
    <col min="6917" max="6917" width="17.28515625" style="149" customWidth="1"/>
    <col min="6918" max="6918" width="12" style="149" customWidth="1"/>
    <col min="6919" max="6919" width="12.140625" style="149" customWidth="1"/>
    <col min="6920" max="6924" width="16.28515625" style="149" customWidth="1"/>
    <col min="6925" max="6928" width="12.85546875" style="149" customWidth="1"/>
    <col min="6929" max="7168" width="9.140625" style="149"/>
    <col min="7169" max="7169" width="33.5703125" style="149" customWidth="1"/>
    <col min="7170" max="7170" width="11.42578125" style="149" customWidth="1"/>
    <col min="7171" max="7171" width="26.28515625" style="149" customWidth="1"/>
    <col min="7172" max="7172" width="15.42578125" style="149" customWidth="1"/>
    <col min="7173" max="7173" width="17.28515625" style="149" customWidth="1"/>
    <col min="7174" max="7174" width="12" style="149" customWidth="1"/>
    <col min="7175" max="7175" width="12.140625" style="149" customWidth="1"/>
    <col min="7176" max="7180" width="16.28515625" style="149" customWidth="1"/>
    <col min="7181" max="7184" width="12.85546875" style="149" customWidth="1"/>
    <col min="7185" max="7424" width="9.140625" style="149"/>
    <col min="7425" max="7425" width="33.5703125" style="149" customWidth="1"/>
    <col min="7426" max="7426" width="11.42578125" style="149" customWidth="1"/>
    <col min="7427" max="7427" width="26.28515625" style="149" customWidth="1"/>
    <col min="7428" max="7428" width="15.42578125" style="149" customWidth="1"/>
    <col min="7429" max="7429" width="17.28515625" style="149" customWidth="1"/>
    <col min="7430" max="7430" width="12" style="149" customWidth="1"/>
    <col min="7431" max="7431" width="12.140625" style="149" customWidth="1"/>
    <col min="7432" max="7436" width="16.28515625" style="149" customWidth="1"/>
    <col min="7437" max="7440" width="12.85546875" style="149" customWidth="1"/>
    <col min="7441" max="7680" width="9.140625" style="149"/>
    <col min="7681" max="7681" width="33.5703125" style="149" customWidth="1"/>
    <col min="7682" max="7682" width="11.42578125" style="149" customWidth="1"/>
    <col min="7683" max="7683" width="26.28515625" style="149" customWidth="1"/>
    <col min="7684" max="7684" width="15.42578125" style="149" customWidth="1"/>
    <col min="7685" max="7685" width="17.28515625" style="149" customWidth="1"/>
    <col min="7686" max="7686" width="12" style="149" customWidth="1"/>
    <col min="7687" max="7687" width="12.140625" style="149" customWidth="1"/>
    <col min="7688" max="7692" width="16.28515625" style="149" customWidth="1"/>
    <col min="7693" max="7696" width="12.85546875" style="149" customWidth="1"/>
    <col min="7697" max="7936" width="9.140625" style="149"/>
    <col min="7937" max="7937" width="33.5703125" style="149" customWidth="1"/>
    <col min="7938" max="7938" width="11.42578125" style="149" customWidth="1"/>
    <col min="7939" max="7939" width="26.28515625" style="149" customWidth="1"/>
    <col min="7940" max="7940" width="15.42578125" style="149" customWidth="1"/>
    <col min="7941" max="7941" width="17.28515625" style="149" customWidth="1"/>
    <col min="7942" max="7942" width="12" style="149" customWidth="1"/>
    <col min="7943" max="7943" width="12.140625" style="149" customWidth="1"/>
    <col min="7944" max="7948" width="16.28515625" style="149" customWidth="1"/>
    <col min="7949" max="7952" width="12.85546875" style="149" customWidth="1"/>
    <col min="7953" max="8192" width="9.140625" style="149"/>
    <col min="8193" max="8193" width="33.5703125" style="149" customWidth="1"/>
    <col min="8194" max="8194" width="11.42578125" style="149" customWidth="1"/>
    <col min="8195" max="8195" width="26.28515625" style="149" customWidth="1"/>
    <col min="8196" max="8196" width="15.42578125" style="149" customWidth="1"/>
    <col min="8197" max="8197" width="17.28515625" style="149" customWidth="1"/>
    <col min="8198" max="8198" width="12" style="149" customWidth="1"/>
    <col min="8199" max="8199" width="12.140625" style="149" customWidth="1"/>
    <col min="8200" max="8204" width="16.28515625" style="149" customWidth="1"/>
    <col min="8205" max="8208" width="12.85546875" style="149" customWidth="1"/>
    <col min="8209" max="8448" width="9.140625" style="149"/>
    <col min="8449" max="8449" width="33.5703125" style="149" customWidth="1"/>
    <col min="8450" max="8450" width="11.42578125" style="149" customWidth="1"/>
    <col min="8451" max="8451" width="26.28515625" style="149" customWidth="1"/>
    <col min="8452" max="8452" width="15.42578125" style="149" customWidth="1"/>
    <col min="8453" max="8453" width="17.28515625" style="149" customWidth="1"/>
    <col min="8454" max="8454" width="12" style="149" customWidth="1"/>
    <col min="8455" max="8455" width="12.140625" style="149" customWidth="1"/>
    <col min="8456" max="8460" width="16.28515625" style="149" customWidth="1"/>
    <col min="8461" max="8464" width="12.85546875" style="149" customWidth="1"/>
    <col min="8465" max="8704" width="9.140625" style="149"/>
    <col min="8705" max="8705" width="33.5703125" style="149" customWidth="1"/>
    <col min="8706" max="8706" width="11.42578125" style="149" customWidth="1"/>
    <col min="8707" max="8707" width="26.28515625" style="149" customWidth="1"/>
    <col min="8708" max="8708" width="15.42578125" style="149" customWidth="1"/>
    <col min="8709" max="8709" width="17.28515625" style="149" customWidth="1"/>
    <col min="8710" max="8710" width="12" style="149" customWidth="1"/>
    <col min="8711" max="8711" width="12.140625" style="149" customWidth="1"/>
    <col min="8712" max="8716" width="16.28515625" style="149" customWidth="1"/>
    <col min="8717" max="8720" width="12.85546875" style="149" customWidth="1"/>
    <col min="8721" max="8960" width="9.140625" style="149"/>
    <col min="8961" max="8961" width="33.5703125" style="149" customWidth="1"/>
    <col min="8962" max="8962" width="11.42578125" style="149" customWidth="1"/>
    <col min="8963" max="8963" width="26.28515625" style="149" customWidth="1"/>
    <col min="8964" max="8964" width="15.42578125" style="149" customWidth="1"/>
    <col min="8965" max="8965" width="17.28515625" style="149" customWidth="1"/>
    <col min="8966" max="8966" width="12" style="149" customWidth="1"/>
    <col min="8967" max="8967" width="12.140625" style="149" customWidth="1"/>
    <col min="8968" max="8972" width="16.28515625" style="149" customWidth="1"/>
    <col min="8973" max="8976" width="12.85546875" style="149" customWidth="1"/>
    <col min="8977" max="9216" width="9.140625" style="149"/>
    <col min="9217" max="9217" width="33.5703125" style="149" customWidth="1"/>
    <col min="9218" max="9218" width="11.42578125" style="149" customWidth="1"/>
    <col min="9219" max="9219" width="26.28515625" style="149" customWidth="1"/>
    <col min="9220" max="9220" width="15.42578125" style="149" customWidth="1"/>
    <col min="9221" max="9221" width="17.28515625" style="149" customWidth="1"/>
    <col min="9222" max="9222" width="12" style="149" customWidth="1"/>
    <col min="9223" max="9223" width="12.140625" style="149" customWidth="1"/>
    <col min="9224" max="9228" width="16.28515625" style="149" customWidth="1"/>
    <col min="9229" max="9232" width="12.85546875" style="149" customWidth="1"/>
    <col min="9233" max="9472" width="9.140625" style="149"/>
    <col min="9473" max="9473" width="33.5703125" style="149" customWidth="1"/>
    <col min="9474" max="9474" width="11.42578125" style="149" customWidth="1"/>
    <col min="9475" max="9475" width="26.28515625" style="149" customWidth="1"/>
    <col min="9476" max="9476" width="15.42578125" style="149" customWidth="1"/>
    <col min="9477" max="9477" width="17.28515625" style="149" customWidth="1"/>
    <col min="9478" max="9478" width="12" style="149" customWidth="1"/>
    <col min="9479" max="9479" width="12.140625" style="149" customWidth="1"/>
    <col min="9480" max="9484" width="16.28515625" style="149" customWidth="1"/>
    <col min="9485" max="9488" width="12.85546875" style="149" customWidth="1"/>
    <col min="9489" max="9728" width="9.140625" style="149"/>
    <col min="9729" max="9729" width="33.5703125" style="149" customWidth="1"/>
    <col min="9730" max="9730" width="11.42578125" style="149" customWidth="1"/>
    <col min="9731" max="9731" width="26.28515625" style="149" customWidth="1"/>
    <col min="9732" max="9732" width="15.42578125" style="149" customWidth="1"/>
    <col min="9733" max="9733" width="17.28515625" style="149" customWidth="1"/>
    <col min="9734" max="9734" width="12" style="149" customWidth="1"/>
    <col min="9735" max="9735" width="12.140625" style="149" customWidth="1"/>
    <col min="9736" max="9740" width="16.28515625" style="149" customWidth="1"/>
    <col min="9741" max="9744" width="12.85546875" style="149" customWidth="1"/>
    <col min="9745" max="9984" width="9.140625" style="149"/>
    <col min="9985" max="9985" width="33.5703125" style="149" customWidth="1"/>
    <col min="9986" max="9986" width="11.42578125" style="149" customWidth="1"/>
    <col min="9987" max="9987" width="26.28515625" style="149" customWidth="1"/>
    <col min="9988" max="9988" width="15.42578125" style="149" customWidth="1"/>
    <col min="9989" max="9989" width="17.28515625" style="149" customWidth="1"/>
    <col min="9990" max="9990" width="12" style="149" customWidth="1"/>
    <col min="9991" max="9991" width="12.140625" style="149" customWidth="1"/>
    <col min="9992" max="9996" width="16.28515625" style="149" customWidth="1"/>
    <col min="9997" max="10000" width="12.85546875" style="149" customWidth="1"/>
    <col min="10001" max="10240" width="9.140625" style="149"/>
    <col min="10241" max="10241" width="33.5703125" style="149" customWidth="1"/>
    <col min="10242" max="10242" width="11.42578125" style="149" customWidth="1"/>
    <col min="10243" max="10243" width="26.28515625" style="149" customWidth="1"/>
    <col min="10244" max="10244" width="15.42578125" style="149" customWidth="1"/>
    <col min="10245" max="10245" width="17.28515625" style="149" customWidth="1"/>
    <col min="10246" max="10246" width="12" style="149" customWidth="1"/>
    <col min="10247" max="10247" width="12.140625" style="149" customWidth="1"/>
    <col min="10248" max="10252" width="16.28515625" style="149" customWidth="1"/>
    <col min="10253" max="10256" width="12.85546875" style="149" customWidth="1"/>
    <col min="10257" max="10496" width="9.140625" style="149"/>
    <col min="10497" max="10497" width="33.5703125" style="149" customWidth="1"/>
    <col min="10498" max="10498" width="11.42578125" style="149" customWidth="1"/>
    <col min="10499" max="10499" width="26.28515625" style="149" customWidth="1"/>
    <col min="10500" max="10500" width="15.42578125" style="149" customWidth="1"/>
    <col min="10501" max="10501" width="17.28515625" style="149" customWidth="1"/>
    <col min="10502" max="10502" width="12" style="149" customWidth="1"/>
    <col min="10503" max="10503" width="12.140625" style="149" customWidth="1"/>
    <col min="10504" max="10508" width="16.28515625" style="149" customWidth="1"/>
    <col min="10509" max="10512" width="12.85546875" style="149" customWidth="1"/>
    <col min="10513" max="10752" width="9.140625" style="149"/>
    <col min="10753" max="10753" width="33.5703125" style="149" customWidth="1"/>
    <col min="10754" max="10754" width="11.42578125" style="149" customWidth="1"/>
    <col min="10755" max="10755" width="26.28515625" style="149" customWidth="1"/>
    <col min="10756" max="10756" width="15.42578125" style="149" customWidth="1"/>
    <col min="10757" max="10757" width="17.28515625" style="149" customWidth="1"/>
    <col min="10758" max="10758" width="12" style="149" customWidth="1"/>
    <col min="10759" max="10759" width="12.140625" style="149" customWidth="1"/>
    <col min="10760" max="10764" width="16.28515625" style="149" customWidth="1"/>
    <col min="10765" max="10768" width="12.85546875" style="149" customWidth="1"/>
    <col min="10769" max="11008" width="9.140625" style="149"/>
    <col min="11009" max="11009" width="33.5703125" style="149" customWidth="1"/>
    <col min="11010" max="11010" width="11.42578125" style="149" customWidth="1"/>
    <col min="11011" max="11011" width="26.28515625" style="149" customWidth="1"/>
    <col min="11012" max="11012" width="15.42578125" style="149" customWidth="1"/>
    <col min="11013" max="11013" width="17.28515625" style="149" customWidth="1"/>
    <col min="11014" max="11014" width="12" style="149" customWidth="1"/>
    <col min="11015" max="11015" width="12.140625" style="149" customWidth="1"/>
    <col min="11016" max="11020" width="16.28515625" style="149" customWidth="1"/>
    <col min="11021" max="11024" width="12.85546875" style="149" customWidth="1"/>
    <col min="11025" max="11264" width="9.140625" style="149"/>
    <col min="11265" max="11265" width="33.5703125" style="149" customWidth="1"/>
    <col min="11266" max="11266" width="11.42578125" style="149" customWidth="1"/>
    <col min="11267" max="11267" width="26.28515625" style="149" customWidth="1"/>
    <col min="11268" max="11268" width="15.42578125" style="149" customWidth="1"/>
    <col min="11269" max="11269" width="17.28515625" style="149" customWidth="1"/>
    <col min="11270" max="11270" width="12" style="149" customWidth="1"/>
    <col min="11271" max="11271" width="12.140625" style="149" customWidth="1"/>
    <col min="11272" max="11276" width="16.28515625" style="149" customWidth="1"/>
    <col min="11277" max="11280" width="12.85546875" style="149" customWidth="1"/>
    <col min="11281" max="11520" width="9.140625" style="149"/>
    <col min="11521" max="11521" width="33.5703125" style="149" customWidth="1"/>
    <col min="11522" max="11522" width="11.42578125" style="149" customWidth="1"/>
    <col min="11523" max="11523" width="26.28515625" style="149" customWidth="1"/>
    <col min="11524" max="11524" width="15.42578125" style="149" customWidth="1"/>
    <col min="11525" max="11525" width="17.28515625" style="149" customWidth="1"/>
    <col min="11526" max="11526" width="12" style="149" customWidth="1"/>
    <col min="11527" max="11527" width="12.140625" style="149" customWidth="1"/>
    <col min="11528" max="11532" width="16.28515625" style="149" customWidth="1"/>
    <col min="11533" max="11536" width="12.85546875" style="149" customWidth="1"/>
    <col min="11537" max="11776" width="9.140625" style="149"/>
    <col min="11777" max="11777" width="33.5703125" style="149" customWidth="1"/>
    <col min="11778" max="11778" width="11.42578125" style="149" customWidth="1"/>
    <col min="11779" max="11779" width="26.28515625" style="149" customWidth="1"/>
    <col min="11780" max="11780" width="15.42578125" style="149" customWidth="1"/>
    <col min="11781" max="11781" width="17.28515625" style="149" customWidth="1"/>
    <col min="11782" max="11782" width="12" style="149" customWidth="1"/>
    <col min="11783" max="11783" width="12.140625" style="149" customWidth="1"/>
    <col min="11784" max="11788" width="16.28515625" style="149" customWidth="1"/>
    <col min="11789" max="11792" width="12.85546875" style="149" customWidth="1"/>
    <col min="11793" max="12032" width="9.140625" style="149"/>
    <col min="12033" max="12033" width="33.5703125" style="149" customWidth="1"/>
    <col min="12034" max="12034" width="11.42578125" style="149" customWidth="1"/>
    <col min="12035" max="12035" width="26.28515625" style="149" customWidth="1"/>
    <col min="12036" max="12036" width="15.42578125" style="149" customWidth="1"/>
    <col min="12037" max="12037" width="17.28515625" style="149" customWidth="1"/>
    <col min="12038" max="12038" width="12" style="149" customWidth="1"/>
    <col min="12039" max="12039" width="12.140625" style="149" customWidth="1"/>
    <col min="12040" max="12044" width="16.28515625" style="149" customWidth="1"/>
    <col min="12045" max="12048" width="12.85546875" style="149" customWidth="1"/>
    <col min="12049" max="12288" width="9.140625" style="149"/>
    <col min="12289" max="12289" width="33.5703125" style="149" customWidth="1"/>
    <col min="12290" max="12290" width="11.42578125" style="149" customWidth="1"/>
    <col min="12291" max="12291" width="26.28515625" style="149" customWidth="1"/>
    <col min="12292" max="12292" width="15.42578125" style="149" customWidth="1"/>
    <col min="12293" max="12293" width="17.28515625" style="149" customWidth="1"/>
    <col min="12294" max="12294" width="12" style="149" customWidth="1"/>
    <col min="12295" max="12295" width="12.140625" style="149" customWidth="1"/>
    <col min="12296" max="12300" width="16.28515625" style="149" customWidth="1"/>
    <col min="12301" max="12304" width="12.85546875" style="149" customWidth="1"/>
    <col min="12305" max="12544" width="9.140625" style="149"/>
    <col min="12545" max="12545" width="33.5703125" style="149" customWidth="1"/>
    <col min="12546" max="12546" width="11.42578125" style="149" customWidth="1"/>
    <col min="12547" max="12547" width="26.28515625" style="149" customWidth="1"/>
    <col min="12548" max="12548" width="15.42578125" style="149" customWidth="1"/>
    <col min="12549" max="12549" width="17.28515625" style="149" customWidth="1"/>
    <col min="12550" max="12550" width="12" style="149" customWidth="1"/>
    <col min="12551" max="12551" width="12.140625" style="149" customWidth="1"/>
    <col min="12552" max="12556" width="16.28515625" style="149" customWidth="1"/>
    <col min="12557" max="12560" width="12.85546875" style="149" customWidth="1"/>
    <col min="12561" max="12800" width="9.140625" style="149"/>
    <col min="12801" max="12801" width="33.5703125" style="149" customWidth="1"/>
    <col min="12802" max="12802" width="11.42578125" style="149" customWidth="1"/>
    <col min="12803" max="12803" width="26.28515625" style="149" customWidth="1"/>
    <col min="12804" max="12804" width="15.42578125" style="149" customWidth="1"/>
    <col min="12805" max="12805" width="17.28515625" style="149" customWidth="1"/>
    <col min="12806" max="12806" width="12" style="149" customWidth="1"/>
    <col min="12807" max="12807" width="12.140625" style="149" customWidth="1"/>
    <col min="12808" max="12812" width="16.28515625" style="149" customWidth="1"/>
    <col min="12813" max="12816" width="12.85546875" style="149" customWidth="1"/>
    <col min="12817" max="13056" width="9.140625" style="149"/>
    <col min="13057" max="13057" width="33.5703125" style="149" customWidth="1"/>
    <col min="13058" max="13058" width="11.42578125" style="149" customWidth="1"/>
    <col min="13059" max="13059" width="26.28515625" style="149" customWidth="1"/>
    <col min="13060" max="13060" width="15.42578125" style="149" customWidth="1"/>
    <col min="13061" max="13061" width="17.28515625" style="149" customWidth="1"/>
    <col min="13062" max="13062" width="12" style="149" customWidth="1"/>
    <col min="13063" max="13063" width="12.140625" style="149" customWidth="1"/>
    <col min="13064" max="13068" width="16.28515625" style="149" customWidth="1"/>
    <col min="13069" max="13072" width="12.85546875" style="149" customWidth="1"/>
    <col min="13073" max="13312" width="9.140625" style="149"/>
    <col min="13313" max="13313" width="33.5703125" style="149" customWidth="1"/>
    <col min="13314" max="13314" width="11.42578125" style="149" customWidth="1"/>
    <col min="13315" max="13315" width="26.28515625" style="149" customWidth="1"/>
    <col min="13316" max="13316" width="15.42578125" style="149" customWidth="1"/>
    <col min="13317" max="13317" width="17.28515625" style="149" customWidth="1"/>
    <col min="13318" max="13318" width="12" style="149" customWidth="1"/>
    <col min="13319" max="13319" width="12.140625" style="149" customWidth="1"/>
    <col min="13320" max="13324" width="16.28515625" style="149" customWidth="1"/>
    <col min="13325" max="13328" width="12.85546875" style="149" customWidth="1"/>
    <col min="13329" max="13568" width="9.140625" style="149"/>
    <col min="13569" max="13569" width="33.5703125" style="149" customWidth="1"/>
    <col min="13570" max="13570" width="11.42578125" style="149" customWidth="1"/>
    <col min="13571" max="13571" width="26.28515625" style="149" customWidth="1"/>
    <col min="13572" max="13572" width="15.42578125" style="149" customWidth="1"/>
    <col min="13573" max="13573" width="17.28515625" style="149" customWidth="1"/>
    <col min="13574" max="13574" width="12" style="149" customWidth="1"/>
    <col min="13575" max="13575" width="12.140625" style="149" customWidth="1"/>
    <col min="13576" max="13580" width="16.28515625" style="149" customWidth="1"/>
    <col min="13581" max="13584" width="12.85546875" style="149" customWidth="1"/>
    <col min="13585" max="13824" width="9.140625" style="149"/>
    <col min="13825" max="13825" width="33.5703125" style="149" customWidth="1"/>
    <col min="13826" max="13826" width="11.42578125" style="149" customWidth="1"/>
    <col min="13827" max="13827" width="26.28515625" style="149" customWidth="1"/>
    <col min="13828" max="13828" width="15.42578125" style="149" customWidth="1"/>
    <col min="13829" max="13829" width="17.28515625" style="149" customWidth="1"/>
    <col min="13830" max="13830" width="12" style="149" customWidth="1"/>
    <col min="13831" max="13831" width="12.140625" style="149" customWidth="1"/>
    <col min="13832" max="13836" width="16.28515625" style="149" customWidth="1"/>
    <col min="13837" max="13840" width="12.85546875" style="149" customWidth="1"/>
    <col min="13841" max="14080" width="9.140625" style="149"/>
    <col min="14081" max="14081" width="33.5703125" style="149" customWidth="1"/>
    <col min="14082" max="14082" width="11.42578125" style="149" customWidth="1"/>
    <col min="14083" max="14083" width="26.28515625" style="149" customWidth="1"/>
    <col min="14084" max="14084" width="15.42578125" style="149" customWidth="1"/>
    <col min="14085" max="14085" width="17.28515625" style="149" customWidth="1"/>
    <col min="14086" max="14086" width="12" style="149" customWidth="1"/>
    <col min="14087" max="14087" width="12.140625" style="149" customWidth="1"/>
    <col min="14088" max="14092" width="16.28515625" style="149" customWidth="1"/>
    <col min="14093" max="14096" width="12.85546875" style="149" customWidth="1"/>
    <col min="14097" max="14336" width="9.140625" style="149"/>
    <col min="14337" max="14337" width="33.5703125" style="149" customWidth="1"/>
    <col min="14338" max="14338" width="11.42578125" style="149" customWidth="1"/>
    <col min="14339" max="14339" width="26.28515625" style="149" customWidth="1"/>
    <col min="14340" max="14340" width="15.42578125" style="149" customWidth="1"/>
    <col min="14341" max="14341" width="17.28515625" style="149" customWidth="1"/>
    <col min="14342" max="14342" width="12" style="149" customWidth="1"/>
    <col min="14343" max="14343" width="12.140625" style="149" customWidth="1"/>
    <col min="14344" max="14348" width="16.28515625" style="149" customWidth="1"/>
    <col min="14349" max="14352" width="12.85546875" style="149" customWidth="1"/>
    <col min="14353" max="14592" width="9.140625" style="149"/>
    <col min="14593" max="14593" width="33.5703125" style="149" customWidth="1"/>
    <col min="14594" max="14594" width="11.42578125" style="149" customWidth="1"/>
    <col min="14595" max="14595" width="26.28515625" style="149" customWidth="1"/>
    <col min="14596" max="14596" width="15.42578125" style="149" customWidth="1"/>
    <col min="14597" max="14597" width="17.28515625" style="149" customWidth="1"/>
    <col min="14598" max="14598" width="12" style="149" customWidth="1"/>
    <col min="14599" max="14599" width="12.140625" style="149" customWidth="1"/>
    <col min="14600" max="14604" width="16.28515625" style="149" customWidth="1"/>
    <col min="14605" max="14608" width="12.85546875" style="149" customWidth="1"/>
    <col min="14609" max="14848" width="9.140625" style="149"/>
    <col min="14849" max="14849" width="33.5703125" style="149" customWidth="1"/>
    <col min="14850" max="14850" width="11.42578125" style="149" customWidth="1"/>
    <col min="14851" max="14851" width="26.28515625" style="149" customWidth="1"/>
    <col min="14852" max="14852" width="15.42578125" style="149" customWidth="1"/>
    <col min="14853" max="14853" width="17.28515625" style="149" customWidth="1"/>
    <col min="14854" max="14854" width="12" style="149" customWidth="1"/>
    <col min="14855" max="14855" width="12.140625" style="149" customWidth="1"/>
    <col min="14856" max="14860" width="16.28515625" style="149" customWidth="1"/>
    <col min="14861" max="14864" width="12.85546875" style="149" customWidth="1"/>
    <col min="14865" max="15104" width="9.140625" style="149"/>
    <col min="15105" max="15105" width="33.5703125" style="149" customWidth="1"/>
    <col min="15106" max="15106" width="11.42578125" style="149" customWidth="1"/>
    <col min="15107" max="15107" width="26.28515625" style="149" customWidth="1"/>
    <col min="15108" max="15108" width="15.42578125" style="149" customWidth="1"/>
    <col min="15109" max="15109" width="17.28515625" style="149" customWidth="1"/>
    <col min="15110" max="15110" width="12" style="149" customWidth="1"/>
    <col min="15111" max="15111" width="12.140625" style="149" customWidth="1"/>
    <col min="15112" max="15116" width="16.28515625" style="149" customWidth="1"/>
    <col min="15117" max="15120" width="12.85546875" style="149" customWidth="1"/>
    <col min="15121" max="15360" width="9.140625" style="149"/>
    <col min="15361" max="15361" width="33.5703125" style="149" customWidth="1"/>
    <col min="15362" max="15362" width="11.42578125" style="149" customWidth="1"/>
    <col min="15363" max="15363" width="26.28515625" style="149" customWidth="1"/>
    <col min="15364" max="15364" width="15.42578125" style="149" customWidth="1"/>
    <col min="15365" max="15365" width="17.28515625" style="149" customWidth="1"/>
    <col min="15366" max="15366" width="12" style="149" customWidth="1"/>
    <col min="15367" max="15367" width="12.140625" style="149" customWidth="1"/>
    <col min="15368" max="15372" width="16.28515625" style="149" customWidth="1"/>
    <col min="15373" max="15376" width="12.85546875" style="149" customWidth="1"/>
    <col min="15377" max="15616" width="9.140625" style="149"/>
    <col min="15617" max="15617" width="33.5703125" style="149" customWidth="1"/>
    <col min="15618" max="15618" width="11.42578125" style="149" customWidth="1"/>
    <col min="15619" max="15619" width="26.28515625" style="149" customWidth="1"/>
    <col min="15620" max="15620" width="15.42578125" style="149" customWidth="1"/>
    <col min="15621" max="15621" width="17.28515625" style="149" customWidth="1"/>
    <col min="15622" max="15622" width="12" style="149" customWidth="1"/>
    <col min="15623" max="15623" width="12.140625" style="149" customWidth="1"/>
    <col min="15624" max="15628" width="16.28515625" style="149" customWidth="1"/>
    <col min="15629" max="15632" width="12.85546875" style="149" customWidth="1"/>
    <col min="15633" max="15872" width="9.140625" style="149"/>
    <col min="15873" max="15873" width="33.5703125" style="149" customWidth="1"/>
    <col min="15874" max="15874" width="11.42578125" style="149" customWidth="1"/>
    <col min="15875" max="15875" width="26.28515625" style="149" customWidth="1"/>
    <col min="15876" max="15876" width="15.42578125" style="149" customWidth="1"/>
    <col min="15877" max="15877" width="17.28515625" style="149" customWidth="1"/>
    <col min="15878" max="15878" width="12" style="149" customWidth="1"/>
    <col min="15879" max="15879" width="12.140625" style="149" customWidth="1"/>
    <col min="15880" max="15884" width="16.28515625" style="149" customWidth="1"/>
    <col min="15885" max="15888" width="12.85546875" style="149" customWidth="1"/>
    <col min="15889" max="16128" width="9.140625" style="149"/>
    <col min="16129" max="16129" width="33.5703125" style="149" customWidth="1"/>
    <col min="16130" max="16130" width="11.42578125" style="149" customWidth="1"/>
    <col min="16131" max="16131" width="26.28515625" style="149" customWidth="1"/>
    <col min="16132" max="16132" width="15.42578125" style="149" customWidth="1"/>
    <col min="16133" max="16133" width="17.28515625" style="149" customWidth="1"/>
    <col min="16134" max="16134" width="12" style="149" customWidth="1"/>
    <col min="16135" max="16135" width="12.140625" style="149" customWidth="1"/>
    <col min="16136" max="16140" width="16.28515625" style="149" customWidth="1"/>
    <col min="16141" max="16144" width="12.85546875" style="149" customWidth="1"/>
    <col min="16145" max="16384" width="9.140625" style="149"/>
  </cols>
  <sheetData>
    <row r="1" spans="1:16" s="5" customFormat="1" ht="16.5" customHeight="1" x14ac:dyDescent="0.2">
      <c r="A1" s="158"/>
      <c r="B1" s="11"/>
      <c r="C1" s="11"/>
      <c r="D1" s="11"/>
      <c r="E1" s="11"/>
    </row>
    <row r="2" spans="1:16" s="5" customFormat="1" ht="16.5" customHeight="1" x14ac:dyDescent="0.2">
      <c r="A2" s="123"/>
      <c r="B2" s="123"/>
      <c r="C2" s="123"/>
      <c r="D2" s="123"/>
      <c r="E2" s="11"/>
    </row>
    <row r="3" spans="1:16" x14ac:dyDescent="0.25">
      <c r="A3" s="218" t="s">
        <v>1725</v>
      </c>
      <c r="B3" s="218" t="s">
        <v>1726</v>
      </c>
      <c r="C3" s="218"/>
      <c r="D3" s="218"/>
      <c r="E3" s="218"/>
      <c r="F3" s="218" t="s">
        <v>1727</v>
      </c>
      <c r="G3" s="218"/>
      <c r="H3" s="218" t="s">
        <v>1516</v>
      </c>
      <c r="I3" s="218"/>
      <c r="J3" s="218"/>
      <c r="K3" s="218"/>
      <c r="L3" s="218"/>
      <c r="M3" s="218" t="s">
        <v>1517</v>
      </c>
      <c r="N3" s="218" t="s">
        <v>1518</v>
      </c>
      <c r="O3" s="218" t="s">
        <v>1519</v>
      </c>
      <c r="P3" s="218" t="s">
        <v>1520</v>
      </c>
    </row>
    <row r="4" spans="1:16" s="151" customFormat="1" ht="25.5" x14ac:dyDescent="0.2">
      <c r="A4" s="218"/>
      <c r="B4" s="150" t="s">
        <v>1521</v>
      </c>
      <c r="C4" s="150" t="s">
        <v>1730</v>
      </c>
      <c r="D4" s="150" t="s">
        <v>1729</v>
      </c>
      <c r="E4" s="150" t="s">
        <v>1728</v>
      </c>
      <c r="F4" s="150" t="s">
        <v>825</v>
      </c>
      <c r="G4" s="150" t="s">
        <v>1522</v>
      </c>
      <c r="H4" s="150" t="s">
        <v>1523</v>
      </c>
      <c r="I4" s="150" t="s">
        <v>1524</v>
      </c>
      <c r="J4" s="150" t="s">
        <v>1525</v>
      </c>
      <c r="K4" s="150" t="s">
        <v>1526</v>
      </c>
      <c r="L4" s="150" t="s">
        <v>1527</v>
      </c>
      <c r="M4" s="218"/>
      <c r="N4" s="218"/>
      <c r="O4" s="218"/>
      <c r="P4" s="218"/>
    </row>
    <row r="5" spans="1:16" ht="13.5" customHeight="1" x14ac:dyDescent="0.25">
      <c r="A5" s="152" t="s">
        <v>1528</v>
      </c>
      <c r="B5" s="152" t="s">
        <v>1529</v>
      </c>
      <c r="C5" s="152" t="s">
        <v>1530</v>
      </c>
      <c r="D5" s="152">
        <v>4</v>
      </c>
      <c r="E5" s="152"/>
      <c r="F5" s="152">
        <v>1998</v>
      </c>
      <c r="G5" s="152"/>
      <c r="H5" s="153">
        <v>29379234</v>
      </c>
      <c r="I5" s="153">
        <v>1317417</v>
      </c>
      <c r="J5" s="153">
        <f>I5*2</f>
        <v>2634834</v>
      </c>
      <c r="K5" s="153">
        <v>14982000</v>
      </c>
      <c r="L5" s="153">
        <v>13079817</v>
      </c>
      <c r="M5" s="154">
        <f>K5/(D5*1000000)</f>
        <v>3.7454999999999998</v>
      </c>
      <c r="N5" s="154">
        <f>(J5+K5)/(D5*1000000)</f>
        <v>4.4042085000000002</v>
      </c>
      <c r="O5" s="154">
        <f>J5/(D5*1000000)</f>
        <v>0.65870850000000003</v>
      </c>
      <c r="P5" s="154">
        <f>I5/(D5*1000000)</f>
        <v>0.32935425000000002</v>
      </c>
    </row>
    <row r="6" spans="1:16" x14ac:dyDescent="0.25">
      <c r="A6" s="152" t="s">
        <v>1531</v>
      </c>
      <c r="B6" s="152" t="s">
        <v>1532</v>
      </c>
      <c r="C6" s="152" t="s">
        <v>1533</v>
      </c>
      <c r="D6" s="152">
        <v>13</v>
      </c>
      <c r="E6" s="152"/>
      <c r="F6" s="152" t="s">
        <v>1534</v>
      </c>
      <c r="G6" s="152"/>
      <c r="H6" s="153">
        <v>40190091</v>
      </c>
      <c r="I6" s="153">
        <v>2994313</v>
      </c>
      <c r="J6" s="153">
        <f t="shared" ref="J6:J69" si="0">I6*2</f>
        <v>5988626</v>
      </c>
      <c r="K6" s="153">
        <v>13700000</v>
      </c>
      <c r="L6" s="153">
        <v>23495778</v>
      </c>
      <c r="M6" s="154">
        <f t="shared" ref="M6:M69" si="1">K6/(D6*1000000)</f>
        <v>1.0538461538461539</v>
      </c>
      <c r="N6" s="154">
        <f t="shared" ref="N6:N69" si="2">(J6+K6)/(D6*1000000)</f>
        <v>1.5145096923076924</v>
      </c>
      <c r="O6" s="154">
        <f t="shared" ref="O6:O69" si="3">J6/(D6*1000000)</f>
        <v>0.46066353846153846</v>
      </c>
      <c r="P6" s="154">
        <f t="shared" ref="P6:P69" si="4">I6/(D6*1000000)</f>
        <v>0.23033176923076923</v>
      </c>
    </row>
    <row r="7" spans="1:16" x14ac:dyDescent="0.25">
      <c r="A7" s="152" t="s">
        <v>1535</v>
      </c>
      <c r="B7" s="152" t="s">
        <v>1536</v>
      </c>
      <c r="C7" s="152" t="s">
        <v>1530</v>
      </c>
      <c r="D7" s="152">
        <v>2.8</v>
      </c>
      <c r="E7" s="152"/>
      <c r="F7" s="152" t="s">
        <v>1537</v>
      </c>
      <c r="G7" s="152">
        <v>2006</v>
      </c>
      <c r="H7" s="153" t="s">
        <v>1538</v>
      </c>
      <c r="I7" s="153">
        <v>0</v>
      </c>
      <c r="J7" s="153">
        <f t="shared" si="0"/>
        <v>0</v>
      </c>
      <c r="K7" s="153">
        <v>0</v>
      </c>
      <c r="L7" s="153" t="s">
        <v>1538</v>
      </c>
      <c r="M7" s="154">
        <f t="shared" si="1"/>
        <v>0</v>
      </c>
      <c r="N7" s="154">
        <f t="shared" si="2"/>
        <v>0</v>
      </c>
      <c r="O7" s="154">
        <f t="shared" si="3"/>
        <v>0</v>
      </c>
      <c r="P7" s="154"/>
    </row>
    <row r="8" spans="1:16" ht="25.5" x14ac:dyDescent="0.25">
      <c r="A8" s="152" t="s">
        <v>1539</v>
      </c>
      <c r="B8" s="152" t="s">
        <v>1540</v>
      </c>
      <c r="C8" s="152" t="s">
        <v>1541</v>
      </c>
      <c r="D8" s="152">
        <v>180</v>
      </c>
      <c r="E8" s="152"/>
      <c r="F8" s="152" t="s">
        <v>1542</v>
      </c>
      <c r="G8" s="152"/>
      <c r="H8" s="153">
        <v>558728187</v>
      </c>
      <c r="I8" s="153">
        <v>73135745</v>
      </c>
      <c r="J8" s="153">
        <f t="shared" si="0"/>
        <v>146271490</v>
      </c>
      <c r="K8" s="153">
        <v>267000000</v>
      </c>
      <c r="L8" s="153">
        <v>218592442</v>
      </c>
      <c r="M8" s="154">
        <f t="shared" si="1"/>
        <v>1.4833333333333334</v>
      </c>
      <c r="N8" s="154">
        <f t="shared" si="2"/>
        <v>2.2959527222222222</v>
      </c>
      <c r="O8" s="154">
        <f t="shared" si="3"/>
        <v>0.81261938888888885</v>
      </c>
      <c r="P8" s="154">
        <f t="shared" si="4"/>
        <v>0.40630969444444442</v>
      </c>
    </row>
    <row r="9" spans="1:16" x14ac:dyDescent="0.25">
      <c r="A9" s="152" t="s">
        <v>1543</v>
      </c>
      <c r="B9" s="152" t="s">
        <v>1544</v>
      </c>
      <c r="C9" s="152" t="s">
        <v>1545</v>
      </c>
      <c r="D9" s="152">
        <v>6</v>
      </c>
      <c r="E9" s="152">
        <v>15</v>
      </c>
      <c r="F9" s="152" t="s">
        <v>1546</v>
      </c>
      <c r="G9" s="152"/>
      <c r="H9" s="153">
        <v>143033621</v>
      </c>
      <c r="I9" s="153">
        <v>1000000</v>
      </c>
      <c r="J9" s="153">
        <f t="shared" si="0"/>
        <v>2000000</v>
      </c>
      <c r="K9" s="153">
        <v>31000000</v>
      </c>
      <c r="L9" s="153">
        <v>111033621</v>
      </c>
      <c r="M9" s="154">
        <f t="shared" si="1"/>
        <v>5.166666666666667</v>
      </c>
      <c r="N9" s="154">
        <f t="shared" si="2"/>
        <v>5.5</v>
      </c>
      <c r="O9" s="154">
        <f t="shared" si="3"/>
        <v>0.33333333333333331</v>
      </c>
      <c r="P9" s="154">
        <f t="shared" si="4"/>
        <v>0.16666666666666666</v>
      </c>
    </row>
    <row r="10" spans="1:16" ht="25.5" x14ac:dyDescent="0.25">
      <c r="A10" s="152" t="s">
        <v>1547</v>
      </c>
      <c r="B10" s="152" t="s">
        <v>1548</v>
      </c>
      <c r="C10" s="152" t="s">
        <v>1549</v>
      </c>
      <c r="D10" s="152">
        <v>169.6</v>
      </c>
      <c r="E10" s="152"/>
      <c r="F10" s="152"/>
      <c r="G10" s="152"/>
      <c r="H10" s="153">
        <v>1080000000</v>
      </c>
      <c r="I10" s="153">
        <v>38831231</v>
      </c>
      <c r="J10" s="153">
        <f t="shared" si="0"/>
        <v>77662462</v>
      </c>
      <c r="K10" s="153">
        <v>203298000</v>
      </c>
      <c r="L10" s="153">
        <v>837870769</v>
      </c>
      <c r="M10" s="154">
        <f t="shared" si="1"/>
        <v>1.1986910377358491</v>
      </c>
      <c r="N10" s="154">
        <f t="shared" si="2"/>
        <v>1.6566064976415094</v>
      </c>
      <c r="O10" s="154">
        <f t="shared" si="3"/>
        <v>0.4579154599056604</v>
      </c>
      <c r="P10" s="154">
        <f t="shared" si="4"/>
        <v>0.2289577299528302</v>
      </c>
    </row>
    <row r="11" spans="1:16" ht="25.5" x14ac:dyDescent="0.25">
      <c r="A11" s="152" t="s">
        <v>1550</v>
      </c>
      <c r="B11" s="152" t="s">
        <v>1551</v>
      </c>
      <c r="C11" s="152" t="s">
        <v>1552</v>
      </c>
      <c r="D11" s="152">
        <v>0.53</v>
      </c>
      <c r="E11" s="152"/>
      <c r="F11" s="152" t="s">
        <v>1553</v>
      </c>
      <c r="G11" s="152">
        <v>2010</v>
      </c>
      <c r="H11" s="153">
        <v>12556394</v>
      </c>
      <c r="I11" s="153">
        <v>2601676</v>
      </c>
      <c r="J11" s="153">
        <f t="shared" si="0"/>
        <v>5203352</v>
      </c>
      <c r="K11" s="153">
        <v>0</v>
      </c>
      <c r="L11" s="153">
        <v>9954718</v>
      </c>
      <c r="M11" s="154">
        <f t="shared" si="1"/>
        <v>0</v>
      </c>
      <c r="N11" s="154">
        <f t="shared" si="2"/>
        <v>9.8176452830188676</v>
      </c>
      <c r="O11" s="154">
        <f t="shared" si="3"/>
        <v>9.8176452830188676</v>
      </c>
      <c r="P11" s="154">
        <f t="shared" si="4"/>
        <v>4.9088226415094338</v>
      </c>
    </row>
    <row r="12" spans="1:16" x14ac:dyDescent="0.25">
      <c r="A12" s="152" t="s">
        <v>1554</v>
      </c>
      <c r="B12" s="152" t="s">
        <v>1555</v>
      </c>
      <c r="C12" s="152" t="s">
        <v>1556</v>
      </c>
      <c r="D12" s="152">
        <v>3.3</v>
      </c>
      <c r="E12" s="152"/>
      <c r="F12" s="152" t="s">
        <v>1557</v>
      </c>
      <c r="G12" s="152">
        <v>2011</v>
      </c>
      <c r="H12" s="153">
        <v>10953759</v>
      </c>
      <c r="I12" s="153">
        <v>96960</v>
      </c>
      <c r="J12" s="153">
        <f t="shared" si="0"/>
        <v>193920</v>
      </c>
      <c r="K12" s="153">
        <v>8870000</v>
      </c>
      <c r="L12" s="153">
        <v>1986799</v>
      </c>
      <c r="M12" s="154">
        <f t="shared" si="1"/>
        <v>2.687878787878788</v>
      </c>
      <c r="N12" s="154">
        <f t="shared" si="2"/>
        <v>2.7466424242424243</v>
      </c>
      <c r="O12" s="154">
        <f t="shared" si="3"/>
        <v>5.8763636363636365E-2</v>
      </c>
      <c r="P12" s="154">
        <f t="shared" si="4"/>
        <v>2.9381818181818183E-2</v>
      </c>
    </row>
    <row r="13" spans="1:16" x14ac:dyDescent="0.25">
      <c r="A13" s="152" t="s">
        <v>1558</v>
      </c>
      <c r="B13" s="152" t="s">
        <v>1559</v>
      </c>
      <c r="C13" s="152" t="s">
        <v>1533</v>
      </c>
      <c r="D13" s="152">
        <v>6</v>
      </c>
      <c r="E13" s="152">
        <v>8</v>
      </c>
      <c r="F13" s="152" t="s">
        <v>1560</v>
      </c>
      <c r="G13" s="152"/>
      <c r="H13" s="153">
        <v>29219490</v>
      </c>
      <c r="I13" s="153">
        <v>206897</v>
      </c>
      <c r="J13" s="153">
        <f t="shared" si="0"/>
        <v>413794</v>
      </c>
      <c r="K13" s="153">
        <v>7851000</v>
      </c>
      <c r="L13" s="153">
        <v>21161593</v>
      </c>
      <c r="M13" s="154">
        <f t="shared" si="1"/>
        <v>1.3085</v>
      </c>
      <c r="N13" s="154">
        <f t="shared" si="2"/>
        <v>1.3774656666666667</v>
      </c>
      <c r="O13" s="154">
        <f t="shared" si="3"/>
        <v>6.8965666666666661E-2</v>
      </c>
      <c r="P13" s="154">
        <f t="shared" si="4"/>
        <v>3.4482833333333331E-2</v>
      </c>
    </row>
    <row r="14" spans="1:16" x14ac:dyDescent="0.25">
      <c r="A14" s="152" t="s">
        <v>1561</v>
      </c>
      <c r="B14" s="152" t="s">
        <v>1562</v>
      </c>
      <c r="C14" s="152" t="s">
        <v>1533</v>
      </c>
      <c r="D14" s="152">
        <v>2</v>
      </c>
      <c r="E14" s="152"/>
      <c r="F14" s="152" t="s">
        <v>1534</v>
      </c>
      <c r="G14" s="152"/>
      <c r="H14" s="153">
        <v>18284342</v>
      </c>
      <c r="I14" s="153">
        <v>2589960</v>
      </c>
      <c r="J14" s="153">
        <f t="shared" si="0"/>
        <v>5179920</v>
      </c>
      <c r="K14" s="153">
        <v>6000000</v>
      </c>
      <c r="L14" s="153">
        <v>9694382</v>
      </c>
      <c r="M14" s="154">
        <f t="shared" si="1"/>
        <v>3</v>
      </c>
      <c r="N14" s="154">
        <f t="shared" si="2"/>
        <v>5.5899599999999996</v>
      </c>
      <c r="O14" s="154">
        <f t="shared" si="3"/>
        <v>2.58996</v>
      </c>
      <c r="P14" s="154">
        <f t="shared" si="4"/>
        <v>1.29498</v>
      </c>
    </row>
    <row r="15" spans="1:16" x14ac:dyDescent="0.25">
      <c r="A15" s="152" t="s">
        <v>1563</v>
      </c>
      <c r="B15" s="152" t="s">
        <v>1564</v>
      </c>
      <c r="C15" s="152" t="s">
        <v>1545</v>
      </c>
      <c r="D15" s="152">
        <v>1.4</v>
      </c>
      <c r="E15" s="152"/>
      <c r="F15" s="152" t="s">
        <v>1565</v>
      </c>
      <c r="G15" s="152">
        <v>2008</v>
      </c>
      <c r="H15" s="153">
        <v>14626149</v>
      </c>
      <c r="I15" s="153">
        <v>2333661.0099999998</v>
      </c>
      <c r="J15" s="153">
        <f t="shared" si="0"/>
        <v>4667322.0199999996</v>
      </c>
      <c r="K15" s="153">
        <v>8263000</v>
      </c>
      <c r="L15" s="153">
        <v>4029487.99</v>
      </c>
      <c r="M15" s="154">
        <f t="shared" si="1"/>
        <v>5.9021428571428576</v>
      </c>
      <c r="N15" s="154">
        <f t="shared" si="2"/>
        <v>9.2359442999999999</v>
      </c>
      <c r="O15" s="154">
        <f t="shared" si="3"/>
        <v>3.3338014428571427</v>
      </c>
      <c r="P15" s="154">
        <f t="shared" si="4"/>
        <v>1.6669007214285714</v>
      </c>
    </row>
    <row r="16" spans="1:16" x14ac:dyDescent="0.25">
      <c r="A16" s="152" t="s">
        <v>1566</v>
      </c>
      <c r="B16" s="152" t="s">
        <v>1567</v>
      </c>
      <c r="C16" s="152" t="s">
        <v>1568</v>
      </c>
      <c r="D16" s="152">
        <v>8.1</v>
      </c>
      <c r="E16" s="152"/>
      <c r="F16" s="152" t="s">
        <v>1569</v>
      </c>
      <c r="G16" s="152"/>
      <c r="H16" s="153">
        <v>24711388</v>
      </c>
      <c r="I16" s="153">
        <v>4728221</v>
      </c>
      <c r="J16" s="153">
        <f t="shared" si="0"/>
        <v>9456442</v>
      </c>
      <c r="K16" s="153">
        <v>8944000</v>
      </c>
      <c r="L16" s="153">
        <v>11039167</v>
      </c>
      <c r="M16" s="154">
        <f t="shared" si="1"/>
        <v>1.1041975308641976</v>
      </c>
      <c r="N16" s="154">
        <f t="shared" si="2"/>
        <v>2.2716595061728393</v>
      </c>
      <c r="O16" s="154">
        <f t="shared" si="3"/>
        <v>1.1674619753086419</v>
      </c>
      <c r="P16" s="154">
        <f t="shared" si="4"/>
        <v>0.58373098765432097</v>
      </c>
    </row>
    <row r="17" spans="1:16" x14ac:dyDescent="0.25">
      <c r="A17" s="152" t="s">
        <v>1570</v>
      </c>
      <c r="B17" s="152" t="s">
        <v>1571</v>
      </c>
      <c r="C17" s="152" t="s">
        <v>1572</v>
      </c>
      <c r="D17" s="152">
        <v>1.66</v>
      </c>
      <c r="E17" s="152"/>
      <c r="F17" s="152" t="s">
        <v>1537</v>
      </c>
      <c r="G17" s="152">
        <v>2006</v>
      </c>
      <c r="H17" s="153">
        <v>16094251</v>
      </c>
      <c r="I17" s="153">
        <v>3606579</v>
      </c>
      <c r="J17" s="153">
        <f t="shared" si="0"/>
        <v>7213158</v>
      </c>
      <c r="K17" s="153">
        <v>2333382</v>
      </c>
      <c r="L17" s="153">
        <v>10154290</v>
      </c>
      <c r="M17" s="154">
        <f t="shared" si="1"/>
        <v>1.4056518072289157</v>
      </c>
      <c r="N17" s="154">
        <f t="shared" si="2"/>
        <v>5.7509277108433734</v>
      </c>
      <c r="O17" s="154">
        <f t="shared" si="3"/>
        <v>4.3452759036144579</v>
      </c>
      <c r="P17" s="154">
        <f t="shared" si="4"/>
        <v>2.172637951807229</v>
      </c>
    </row>
    <row r="18" spans="1:16" x14ac:dyDescent="0.25">
      <c r="A18" s="152" t="s">
        <v>1573</v>
      </c>
      <c r="B18" s="152" t="s">
        <v>1574</v>
      </c>
      <c r="C18" s="152" t="s">
        <v>1575</v>
      </c>
      <c r="D18" s="152">
        <v>0.5</v>
      </c>
      <c r="E18" s="152"/>
      <c r="F18" s="152" t="s">
        <v>1576</v>
      </c>
      <c r="G18" s="152"/>
      <c r="H18" s="153">
        <v>10661900</v>
      </c>
      <c r="I18" s="153">
        <v>3279858</v>
      </c>
      <c r="J18" s="153">
        <f t="shared" si="0"/>
        <v>6559716</v>
      </c>
      <c r="K18" s="153">
        <v>1000000</v>
      </c>
      <c r="L18" s="153">
        <v>6382042</v>
      </c>
      <c r="M18" s="154">
        <f t="shared" si="1"/>
        <v>2</v>
      </c>
      <c r="N18" s="154">
        <f t="shared" si="2"/>
        <v>15.119432</v>
      </c>
      <c r="O18" s="154">
        <f t="shared" si="3"/>
        <v>13.119432</v>
      </c>
      <c r="P18" s="154">
        <f t="shared" si="4"/>
        <v>6.5597159999999999</v>
      </c>
    </row>
    <row r="19" spans="1:16" x14ac:dyDescent="0.25">
      <c r="A19" s="152" t="s">
        <v>1577</v>
      </c>
      <c r="B19" s="152" t="s">
        <v>1578</v>
      </c>
      <c r="C19" s="152" t="s">
        <v>1579</v>
      </c>
      <c r="D19" s="152">
        <v>1.18</v>
      </c>
      <c r="E19" s="152"/>
      <c r="F19" s="152" t="s">
        <v>1580</v>
      </c>
      <c r="G19" s="152"/>
      <c r="H19" s="153">
        <v>29845400</v>
      </c>
      <c r="I19" s="153">
        <v>0</v>
      </c>
      <c r="J19" s="153">
        <f t="shared" si="0"/>
        <v>0</v>
      </c>
      <c r="K19" s="153">
        <v>9157000</v>
      </c>
      <c r="L19" s="153">
        <v>20688400</v>
      </c>
      <c r="M19" s="154">
        <f t="shared" si="1"/>
        <v>7.7601694915254233</v>
      </c>
      <c r="N19" s="154">
        <f t="shared" si="2"/>
        <v>7.7601694915254233</v>
      </c>
      <c r="O19" s="154"/>
      <c r="P19" s="154"/>
    </row>
    <row r="20" spans="1:16" x14ac:dyDescent="0.25">
      <c r="A20" s="152" t="s">
        <v>1581</v>
      </c>
      <c r="B20" s="152" t="s">
        <v>1582</v>
      </c>
      <c r="C20" s="152" t="s">
        <v>1583</v>
      </c>
      <c r="D20" s="152">
        <v>0.9</v>
      </c>
      <c r="E20" s="152"/>
      <c r="F20" s="152" t="s">
        <v>1565</v>
      </c>
      <c r="G20" s="152">
        <v>2008</v>
      </c>
      <c r="H20" s="153">
        <v>9801614</v>
      </c>
      <c r="I20" s="153">
        <v>2858405</v>
      </c>
      <c r="J20" s="153">
        <f t="shared" si="0"/>
        <v>5716810</v>
      </c>
      <c r="K20" s="153">
        <v>1490854</v>
      </c>
      <c r="L20" s="153">
        <v>5452355</v>
      </c>
      <c r="M20" s="154">
        <f t="shared" si="1"/>
        <v>1.6565044444444443</v>
      </c>
      <c r="N20" s="154">
        <f t="shared" si="2"/>
        <v>8.0085155555555563</v>
      </c>
      <c r="O20" s="154">
        <f t="shared" si="3"/>
        <v>6.3520111111111115</v>
      </c>
      <c r="P20" s="154">
        <f t="shared" si="4"/>
        <v>3.1760055555555557</v>
      </c>
    </row>
    <row r="21" spans="1:16" x14ac:dyDescent="0.25">
      <c r="A21" s="152" t="s">
        <v>1584</v>
      </c>
      <c r="B21" s="152" t="s">
        <v>1585</v>
      </c>
      <c r="C21" s="152" t="s">
        <v>1552</v>
      </c>
      <c r="D21" s="152">
        <v>4.0999999999999996</v>
      </c>
      <c r="E21" s="152">
        <v>4.5</v>
      </c>
      <c r="F21" s="152" t="s">
        <v>1586</v>
      </c>
      <c r="G21" s="152"/>
      <c r="H21" s="153">
        <v>42756287</v>
      </c>
      <c r="I21" s="153">
        <v>2612390</v>
      </c>
      <c r="J21" s="153">
        <f t="shared" si="0"/>
        <v>5224780</v>
      </c>
      <c r="K21" s="153">
        <v>27537000</v>
      </c>
      <c r="L21" s="153">
        <v>12606897</v>
      </c>
      <c r="M21" s="154">
        <f t="shared" si="1"/>
        <v>6.7163414634146346</v>
      </c>
      <c r="N21" s="154">
        <f t="shared" si="2"/>
        <v>7.9906780487804889</v>
      </c>
      <c r="O21" s="154">
        <f t="shared" si="3"/>
        <v>1.2743365853658537</v>
      </c>
      <c r="P21" s="154">
        <f t="shared" si="4"/>
        <v>0.63716829268292685</v>
      </c>
    </row>
    <row r="22" spans="1:16" x14ac:dyDescent="0.25">
      <c r="A22" s="152" t="s">
        <v>1587</v>
      </c>
      <c r="B22" s="152" t="s">
        <v>1588</v>
      </c>
      <c r="C22" s="152" t="s">
        <v>1533</v>
      </c>
      <c r="D22" s="152">
        <v>15</v>
      </c>
      <c r="E22" s="152"/>
      <c r="F22" s="152" t="s">
        <v>1589</v>
      </c>
      <c r="G22" s="152"/>
      <c r="H22" s="153">
        <v>172121580</v>
      </c>
      <c r="I22" s="153">
        <v>4265000</v>
      </c>
      <c r="J22" s="153">
        <f t="shared" si="0"/>
        <v>8530000</v>
      </c>
      <c r="K22" s="153">
        <v>140485000</v>
      </c>
      <c r="L22" s="153">
        <v>27371580</v>
      </c>
      <c r="M22" s="154">
        <f t="shared" si="1"/>
        <v>9.3656666666666659</v>
      </c>
      <c r="N22" s="154">
        <f t="shared" si="2"/>
        <v>9.934333333333333</v>
      </c>
      <c r="O22" s="154">
        <f t="shared" si="3"/>
        <v>0.56866666666666665</v>
      </c>
      <c r="P22" s="154">
        <f t="shared" si="4"/>
        <v>0.28433333333333333</v>
      </c>
    </row>
    <row r="23" spans="1:16" x14ac:dyDescent="0.25">
      <c r="A23" s="152" t="s">
        <v>1590</v>
      </c>
      <c r="B23" s="152" t="s">
        <v>1591</v>
      </c>
      <c r="C23" s="152" t="s">
        <v>1592</v>
      </c>
      <c r="D23" s="152">
        <v>1</v>
      </c>
      <c r="E23" s="152"/>
      <c r="F23" s="152" t="s">
        <v>1553</v>
      </c>
      <c r="G23" s="152">
        <v>2010</v>
      </c>
      <c r="H23" s="153">
        <v>10270523</v>
      </c>
      <c r="I23" s="153">
        <v>1986639</v>
      </c>
      <c r="J23" s="153">
        <f t="shared" si="0"/>
        <v>3973278</v>
      </c>
      <c r="K23" s="153">
        <v>4231000</v>
      </c>
      <c r="L23" s="153">
        <v>4052884</v>
      </c>
      <c r="M23" s="154">
        <f t="shared" si="1"/>
        <v>4.2309999999999999</v>
      </c>
      <c r="N23" s="154">
        <f t="shared" si="2"/>
        <v>8.2042780000000004</v>
      </c>
      <c r="O23" s="154">
        <f t="shared" si="3"/>
        <v>3.9732780000000001</v>
      </c>
      <c r="P23" s="154">
        <f t="shared" si="4"/>
        <v>1.986639</v>
      </c>
    </row>
    <row r="24" spans="1:16" x14ac:dyDescent="0.25">
      <c r="A24" s="152" t="s">
        <v>1593</v>
      </c>
      <c r="B24" s="152" t="s">
        <v>1594</v>
      </c>
      <c r="C24" s="152" t="s">
        <v>1572</v>
      </c>
      <c r="D24" s="152">
        <v>15</v>
      </c>
      <c r="E24" s="152"/>
      <c r="F24" s="152" t="s">
        <v>1586</v>
      </c>
      <c r="G24" s="152">
        <v>2011</v>
      </c>
      <c r="H24" s="153">
        <v>47136060</v>
      </c>
      <c r="I24" s="153">
        <v>5091862.5</v>
      </c>
      <c r="J24" s="153">
        <f t="shared" si="0"/>
        <v>10183725</v>
      </c>
      <c r="K24" s="153">
        <v>26780000</v>
      </c>
      <c r="L24" s="153">
        <v>15264197.5</v>
      </c>
      <c r="M24" s="154">
        <f t="shared" si="1"/>
        <v>1.7853333333333334</v>
      </c>
      <c r="N24" s="154">
        <f t="shared" si="2"/>
        <v>2.4642483333333334</v>
      </c>
      <c r="O24" s="154">
        <f t="shared" si="3"/>
        <v>0.67891500000000005</v>
      </c>
      <c r="P24" s="154">
        <f t="shared" si="4"/>
        <v>0.33945750000000002</v>
      </c>
    </row>
    <row r="25" spans="1:16" x14ac:dyDescent="0.25">
      <c r="A25" s="152" t="s">
        <v>1595</v>
      </c>
      <c r="B25" s="152" t="s">
        <v>1596</v>
      </c>
      <c r="C25" s="152" t="s">
        <v>1597</v>
      </c>
      <c r="D25" s="152">
        <v>1.5</v>
      </c>
      <c r="E25" s="152"/>
      <c r="F25" s="152" t="s">
        <v>1542</v>
      </c>
      <c r="G25" s="152"/>
      <c r="H25" s="153">
        <v>32251880</v>
      </c>
      <c r="I25" s="153">
        <v>830600</v>
      </c>
      <c r="J25" s="153">
        <f t="shared" si="0"/>
        <v>1661200</v>
      </c>
      <c r="K25" s="153">
        <v>5235000</v>
      </c>
      <c r="L25" s="153">
        <v>26186280</v>
      </c>
      <c r="M25" s="154">
        <f t="shared" si="1"/>
        <v>3.49</v>
      </c>
      <c r="N25" s="154">
        <f t="shared" si="2"/>
        <v>4.5974666666666666</v>
      </c>
      <c r="O25" s="154">
        <f t="shared" si="3"/>
        <v>1.1074666666666666</v>
      </c>
      <c r="P25" s="154">
        <f t="shared" si="4"/>
        <v>0.5537333333333333</v>
      </c>
    </row>
    <row r="26" spans="1:16" x14ac:dyDescent="0.25">
      <c r="A26" s="152" t="s">
        <v>1598</v>
      </c>
      <c r="B26" s="152" t="s">
        <v>1599</v>
      </c>
      <c r="C26" s="152" t="s">
        <v>1600</v>
      </c>
      <c r="D26" s="152">
        <v>0.65</v>
      </c>
      <c r="E26" s="152"/>
      <c r="F26" s="152"/>
      <c r="G26" s="152"/>
      <c r="H26" s="153">
        <v>7810793</v>
      </c>
      <c r="I26" s="153">
        <v>515000</v>
      </c>
      <c r="J26" s="153">
        <f t="shared" si="0"/>
        <v>1030000</v>
      </c>
      <c r="K26" s="153">
        <v>2540000</v>
      </c>
      <c r="L26" s="153">
        <v>4755793</v>
      </c>
      <c r="M26" s="154">
        <f t="shared" si="1"/>
        <v>3.9076923076923076</v>
      </c>
      <c r="N26" s="154">
        <f t="shared" si="2"/>
        <v>5.4923076923076923</v>
      </c>
      <c r="O26" s="154">
        <f t="shared" si="3"/>
        <v>1.5846153846153845</v>
      </c>
      <c r="P26" s="154">
        <f t="shared" si="4"/>
        <v>0.79230769230769227</v>
      </c>
    </row>
    <row r="27" spans="1:16" x14ac:dyDescent="0.25">
      <c r="A27" s="152" t="s">
        <v>1601</v>
      </c>
      <c r="B27" s="152" t="s">
        <v>1602</v>
      </c>
      <c r="C27" s="152" t="s">
        <v>1603</v>
      </c>
      <c r="D27" s="152">
        <v>0.8</v>
      </c>
      <c r="E27" s="152"/>
      <c r="F27" s="152" t="s">
        <v>1534</v>
      </c>
      <c r="G27" s="152"/>
      <c r="H27" s="153">
        <v>11237261</v>
      </c>
      <c r="I27" s="153">
        <v>1879935</v>
      </c>
      <c r="J27" s="153">
        <f t="shared" si="0"/>
        <v>3759870</v>
      </c>
      <c r="K27" s="153">
        <v>4609000</v>
      </c>
      <c r="L27" s="153">
        <v>4748326</v>
      </c>
      <c r="M27" s="154">
        <f t="shared" si="1"/>
        <v>5.7612500000000004</v>
      </c>
      <c r="N27" s="154">
        <f t="shared" si="2"/>
        <v>10.4610875</v>
      </c>
      <c r="O27" s="154">
        <f t="shared" si="3"/>
        <v>4.6998375000000001</v>
      </c>
      <c r="P27" s="154">
        <f t="shared" si="4"/>
        <v>2.3499187500000001</v>
      </c>
    </row>
    <row r="28" spans="1:16" x14ac:dyDescent="0.25">
      <c r="A28" s="152" t="s">
        <v>1604</v>
      </c>
      <c r="B28" s="152" t="s">
        <v>1605</v>
      </c>
      <c r="C28" s="152" t="s">
        <v>1533</v>
      </c>
      <c r="D28" s="152">
        <v>2</v>
      </c>
      <c r="E28" s="152"/>
      <c r="F28" s="152" t="s">
        <v>1580</v>
      </c>
      <c r="G28" s="152"/>
      <c r="H28" s="153">
        <v>3900000</v>
      </c>
      <c r="I28" s="153">
        <v>0</v>
      </c>
      <c r="J28" s="153">
        <f t="shared" si="0"/>
        <v>0</v>
      </c>
      <c r="K28" s="153">
        <v>3900000</v>
      </c>
      <c r="L28" s="153">
        <v>0</v>
      </c>
      <c r="M28" s="154">
        <f t="shared" si="1"/>
        <v>1.95</v>
      </c>
      <c r="N28" s="154">
        <f t="shared" si="2"/>
        <v>1.95</v>
      </c>
      <c r="O28" s="154"/>
      <c r="P28" s="154"/>
    </row>
    <row r="29" spans="1:16" x14ac:dyDescent="0.25">
      <c r="A29" s="152" t="s">
        <v>1606</v>
      </c>
      <c r="B29" s="152" t="s">
        <v>1607</v>
      </c>
      <c r="C29" s="152" t="s">
        <v>1608</v>
      </c>
      <c r="D29" s="152">
        <v>2.35</v>
      </c>
      <c r="E29" s="152"/>
      <c r="F29" s="152" t="s">
        <v>1609</v>
      </c>
      <c r="G29" s="152">
        <v>2007</v>
      </c>
      <c r="H29" s="153">
        <v>39153791</v>
      </c>
      <c r="I29" s="153">
        <v>8930000</v>
      </c>
      <c r="J29" s="153">
        <f t="shared" si="0"/>
        <v>17860000</v>
      </c>
      <c r="K29" s="153">
        <v>8660000</v>
      </c>
      <c r="L29" s="153">
        <v>21563791</v>
      </c>
      <c r="M29" s="154">
        <f t="shared" si="1"/>
        <v>3.6851063829787236</v>
      </c>
      <c r="N29" s="154">
        <f t="shared" si="2"/>
        <v>11.285106382978723</v>
      </c>
      <c r="O29" s="154">
        <f t="shared" si="3"/>
        <v>7.6</v>
      </c>
      <c r="P29" s="154">
        <f t="shared" si="4"/>
        <v>3.8</v>
      </c>
    </row>
    <row r="30" spans="1:16" x14ac:dyDescent="0.25">
      <c r="A30" s="152" t="s">
        <v>1610</v>
      </c>
      <c r="B30" s="152" t="s">
        <v>1611</v>
      </c>
      <c r="C30" s="152" t="s">
        <v>1612</v>
      </c>
      <c r="D30" s="152">
        <v>2.7</v>
      </c>
      <c r="E30" s="152">
        <v>3.2</v>
      </c>
      <c r="F30" s="152" t="s">
        <v>1613</v>
      </c>
      <c r="G30" s="152">
        <v>2009</v>
      </c>
      <c r="H30" s="153">
        <v>40710912</v>
      </c>
      <c r="I30" s="153">
        <v>8842410</v>
      </c>
      <c r="J30" s="153">
        <f t="shared" si="0"/>
        <v>17684820</v>
      </c>
      <c r="K30" s="153">
        <v>7960000</v>
      </c>
      <c r="L30" s="153">
        <v>23908502</v>
      </c>
      <c r="M30" s="154">
        <f t="shared" si="1"/>
        <v>2.9481481481481482</v>
      </c>
      <c r="N30" s="154">
        <f t="shared" si="2"/>
        <v>9.4980814814814813</v>
      </c>
      <c r="O30" s="154">
        <f t="shared" si="3"/>
        <v>6.5499333333333336</v>
      </c>
      <c r="P30" s="154">
        <f t="shared" si="4"/>
        <v>3.2749666666666668</v>
      </c>
    </row>
    <row r="31" spans="1:16" x14ac:dyDescent="0.25">
      <c r="A31" s="152" t="s">
        <v>1614</v>
      </c>
      <c r="B31" s="152" t="s">
        <v>1615</v>
      </c>
      <c r="C31" s="152" t="s">
        <v>1545</v>
      </c>
      <c r="D31" s="152">
        <v>0.75</v>
      </c>
      <c r="E31" s="152"/>
      <c r="F31" s="152"/>
      <c r="G31" s="152"/>
      <c r="H31" s="153">
        <v>23860000</v>
      </c>
      <c r="I31" s="153">
        <v>5346000</v>
      </c>
      <c r="J31" s="153">
        <f t="shared" si="0"/>
        <v>10692000</v>
      </c>
      <c r="K31" s="153">
        <v>8153000</v>
      </c>
      <c r="L31" s="153">
        <v>10361000</v>
      </c>
      <c r="M31" s="154">
        <f t="shared" si="1"/>
        <v>10.870666666666667</v>
      </c>
      <c r="N31" s="154">
        <f t="shared" si="2"/>
        <v>25.126666666666665</v>
      </c>
      <c r="O31" s="154">
        <f t="shared" si="3"/>
        <v>14.256</v>
      </c>
      <c r="P31" s="154">
        <f t="shared" si="4"/>
        <v>7.1280000000000001</v>
      </c>
    </row>
    <row r="32" spans="1:16" x14ac:dyDescent="0.25">
      <c r="A32" s="152" t="s">
        <v>1616</v>
      </c>
      <c r="B32" s="152" t="s">
        <v>1617</v>
      </c>
      <c r="C32" s="152" t="s">
        <v>1603</v>
      </c>
      <c r="D32" s="152">
        <v>0.75</v>
      </c>
      <c r="E32" s="152"/>
      <c r="F32" s="152" t="s">
        <v>1553</v>
      </c>
      <c r="G32" s="152">
        <v>2010</v>
      </c>
      <c r="H32" s="153">
        <v>9487713</v>
      </c>
      <c r="I32" s="153">
        <v>2360000</v>
      </c>
      <c r="J32" s="153">
        <f t="shared" si="0"/>
        <v>4720000</v>
      </c>
      <c r="K32" s="153">
        <v>3360000</v>
      </c>
      <c r="L32" s="153">
        <v>3767713</v>
      </c>
      <c r="M32" s="154">
        <f t="shared" si="1"/>
        <v>4.4800000000000004</v>
      </c>
      <c r="N32" s="154">
        <f t="shared" si="2"/>
        <v>10.773333333333333</v>
      </c>
      <c r="O32" s="154">
        <f t="shared" si="3"/>
        <v>6.293333333333333</v>
      </c>
      <c r="P32" s="154">
        <f t="shared" si="4"/>
        <v>3.1466666666666665</v>
      </c>
    </row>
    <row r="33" spans="1:16" ht="25.5" x14ac:dyDescent="0.25">
      <c r="A33" s="152" t="s">
        <v>1618</v>
      </c>
      <c r="B33" s="152" t="s">
        <v>1619</v>
      </c>
      <c r="C33" s="152" t="s">
        <v>1545</v>
      </c>
      <c r="D33" s="152">
        <v>8</v>
      </c>
      <c r="E33" s="152">
        <v>10.49</v>
      </c>
      <c r="F33" s="152" t="s">
        <v>1589</v>
      </c>
      <c r="G33" s="152"/>
      <c r="H33" s="153">
        <v>73601196</v>
      </c>
      <c r="I33" s="153">
        <v>8450281</v>
      </c>
      <c r="J33" s="153">
        <f t="shared" si="0"/>
        <v>16900562</v>
      </c>
      <c r="K33" s="153">
        <v>27411000</v>
      </c>
      <c r="L33" s="153">
        <v>37739915</v>
      </c>
      <c r="M33" s="154">
        <f t="shared" si="1"/>
        <v>3.4263750000000002</v>
      </c>
      <c r="N33" s="154">
        <f t="shared" si="2"/>
        <v>5.5389452500000003</v>
      </c>
      <c r="O33" s="154">
        <f t="shared" si="3"/>
        <v>2.1125702500000001</v>
      </c>
      <c r="P33" s="154">
        <f t="shared" si="4"/>
        <v>1.056285125</v>
      </c>
    </row>
    <row r="34" spans="1:16" ht="25.5" x14ac:dyDescent="0.25">
      <c r="A34" s="152" t="s">
        <v>1620</v>
      </c>
      <c r="B34" s="152" t="s">
        <v>1621</v>
      </c>
      <c r="C34" s="152" t="s">
        <v>1622</v>
      </c>
      <c r="D34" s="152">
        <v>3.5</v>
      </c>
      <c r="E34" s="152"/>
      <c r="F34" s="152" t="s">
        <v>1560</v>
      </c>
      <c r="G34" s="152"/>
      <c r="H34" s="153">
        <v>33169118</v>
      </c>
      <c r="I34" s="153">
        <v>4834000</v>
      </c>
      <c r="J34" s="153">
        <f t="shared" si="0"/>
        <v>9668000</v>
      </c>
      <c r="K34" s="153">
        <v>7891000</v>
      </c>
      <c r="L34" s="153">
        <v>20444118</v>
      </c>
      <c r="M34" s="154">
        <f t="shared" si="1"/>
        <v>2.2545714285714284</v>
      </c>
      <c r="N34" s="154">
        <f t="shared" si="2"/>
        <v>5.0168571428571429</v>
      </c>
      <c r="O34" s="154">
        <f t="shared" si="3"/>
        <v>2.7622857142857145</v>
      </c>
      <c r="P34" s="154">
        <f t="shared" si="4"/>
        <v>1.3811428571428572</v>
      </c>
    </row>
    <row r="35" spans="1:16" x14ac:dyDescent="0.25">
      <c r="A35" s="152" t="s">
        <v>1623</v>
      </c>
      <c r="B35" s="152" t="s">
        <v>1624</v>
      </c>
      <c r="C35" s="152" t="s">
        <v>1600</v>
      </c>
      <c r="D35" s="152">
        <v>0.8</v>
      </c>
      <c r="E35" s="152">
        <v>1.06</v>
      </c>
      <c r="F35" s="152" t="s">
        <v>1569</v>
      </c>
      <c r="G35" s="152"/>
      <c r="H35" s="153">
        <v>15301975</v>
      </c>
      <c r="I35" s="153">
        <v>3192975</v>
      </c>
      <c r="J35" s="153">
        <f t="shared" si="0"/>
        <v>6385950</v>
      </c>
      <c r="K35" s="153">
        <v>3100000</v>
      </c>
      <c r="L35" s="153">
        <v>9009000</v>
      </c>
      <c r="M35" s="154">
        <f t="shared" si="1"/>
        <v>3.875</v>
      </c>
      <c r="N35" s="154">
        <f t="shared" si="2"/>
        <v>11.8574375</v>
      </c>
      <c r="O35" s="154">
        <f t="shared" si="3"/>
        <v>7.9824374999999996</v>
      </c>
      <c r="P35" s="154">
        <f t="shared" si="4"/>
        <v>3.9912187499999998</v>
      </c>
    </row>
    <row r="36" spans="1:16" x14ac:dyDescent="0.25">
      <c r="A36" s="152" t="s">
        <v>1625</v>
      </c>
      <c r="B36" s="152" t="s">
        <v>1626</v>
      </c>
      <c r="C36" s="152" t="s">
        <v>1572</v>
      </c>
      <c r="D36" s="152">
        <v>0.6</v>
      </c>
      <c r="E36" s="152"/>
      <c r="F36" s="152" t="s">
        <v>1553</v>
      </c>
      <c r="G36" s="152">
        <v>2010</v>
      </c>
      <c r="H36" s="153">
        <v>28664919</v>
      </c>
      <c r="I36" s="153">
        <v>5984613</v>
      </c>
      <c r="J36" s="153">
        <f t="shared" si="0"/>
        <v>11969226</v>
      </c>
      <c r="K36" s="153">
        <v>10588000</v>
      </c>
      <c r="L36" s="153">
        <v>12092306</v>
      </c>
      <c r="M36" s="154">
        <f t="shared" si="1"/>
        <v>17.646666666666668</v>
      </c>
      <c r="N36" s="154">
        <f t="shared" si="2"/>
        <v>37.595376666666667</v>
      </c>
      <c r="O36" s="154">
        <f t="shared" si="3"/>
        <v>19.948709999999998</v>
      </c>
      <c r="P36" s="154">
        <f t="shared" si="4"/>
        <v>9.9743549999999992</v>
      </c>
    </row>
    <row r="37" spans="1:16" x14ac:dyDescent="0.25">
      <c r="A37" s="152" t="s">
        <v>1627</v>
      </c>
      <c r="B37" s="152" t="s">
        <v>1628</v>
      </c>
      <c r="C37" s="152" t="s">
        <v>1552</v>
      </c>
      <c r="D37" s="152">
        <v>8</v>
      </c>
      <c r="E37" s="152">
        <v>10.5</v>
      </c>
      <c r="F37" s="152" t="s">
        <v>1534</v>
      </c>
      <c r="G37" s="152">
        <v>2010</v>
      </c>
      <c r="H37" s="153">
        <v>27071068</v>
      </c>
      <c r="I37" s="153">
        <v>4359643</v>
      </c>
      <c r="J37" s="153">
        <f t="shared" si="0"/>
        <v>8719286</v>
      </c>
      <c r="K37" s="153">
        <v>10860000</v>
      </c>
      <c r="L37" s="153">
        <v>11851425</v>
      </c>
      <c r="M37" s="154">
        <f t="shared" si="1"/>
        <v>1.3574999999999999</v>
      </c>
      <c r="N37" s="154">
        <f t="shared" si="2"/>
        <v>2.44741075</v>
      </c>
      <c r="O37" s="154">
        <f t="shared" si="3"/>
        <v>1.08991075</v>
      </c>
      <c r="P37" s="154">
        <f t="shared" si="4"/>
        <v>0.54495537500000002</v>
      </c>
    </row>
    <row r="38" spans="1:16" x14ac:dyDescent="0.25">
      <c r="A38" s="152" t="s">
        <v>1629</v>
      </c>
      <c r="B38" s="152"/>
      <c r="C38" s="152"/>
      <c r="D38" s="152">
        <v>0.9</v>
      </c>
      <c r="E38" s="152"/>
      <c r="F38" s="152"/>
      <c r="G38" s="152"/>
      <c r="H38" s="153">
        <v>22000000</v>
      </c>
      <c r="I38" s="153">
        <v>10000000</v>
      </c>
      <c r="J38" s="153">
        <f t="shared" si="0"/>
        <v>20000000</v>
      </c>
      <c r="K38" s="153">
        <v>2000000</v>
      </c>
      <c r="L38" s="153">
        <v>10000000</v>
      </c>
      <c r="M38" s="154">
        <f t="shared" si="1"/>
        <v>2.2222222222222223</v>
      </c>
      <c r="N38" s="154">
        <f t="shared" si="2"/>
        <v>24.444444444444443</v>
      </c>
      <c r="O38" s="154">
        <f t="shared" si="3"/>
        <v>22.222222222222221</v>
      </c>
      <c r="P38" s="154">
        <f t="shared" si="4"/>
        <v>11.111111111111111</v>
      </c>
    </row>
    <row r="39" spans="1:16" ht="25.5" x14ac:dyDescent="0.25">
      <c r="A39" s="152" t="s">
        <v>1630</v>
      </c>
      <c r="B39" s="152" t="s">
        <v>1631</v>
      </c>
      <c r="C39" s="152" t="s">
        <v>1530</v>
      </c>
      <c r="D39" s="152">
        <v>1.89</v>
      </c>
      <c r="E39" s="152">
        <v>3.3</v>
      </c>
      <c r="F39" s="152" t="s">
        <v>1589</v>
      </c>
      <c r="G39" s="152"/>
      <c r="H39" s="153">
        <v>53897974</v>
      </c>
      <c r="I39" s="153">
        <v>8722976.3599999994</v>
      </c>
      <c r="J39" s="153">
        <f t="shared" si="0"/>
        <v>17445952.719999999</v>
      </c>
      <c r="K39" s="153">
        <v>11289000</v>
      </c>
      <c r="L39" s="153">
        <v>33885997.640000001</v>
      </c>
      <c r="M39" s="154">
        <f t="shared" si="1"/>
        <v>5.9730158730158731</v>
      </c>
      <c r="N39" s="154">
        <f t="shared" si="2"/>
        <v>15.203678687830687</v>
      </c>
      <c r="O39" s="154">
        <f t="shared" si="3"/>
        <v>9.2306628148148135</v>
      </c>
      <c r="P39" s="154">
        <f t="shared" si="4"/>
        <v>4.6153314074074068</v>
      </c>
    </row>
    <row r="40" spans="1:16" x14ac:dyDescent="0.25">
      <c r="A40" s="152" t="s">
        <v>1632</v>
      </c>
      <c r="B40" s="152" t="s">
        <v>1633</v>
      </c>
      <c r="C40" s="152" t="s">
        <v>1568</v>
      </c>
      <c r="D40" s="152">
        <v>1.65</v>
      </c>
      <c r="E40" s="152"/>
      <c r="F40" s="152" t="s">
        <v>1537</v>
      </c>
      <c r="G40" s="152">
        <v>2006</v>
      </c>
      <c r="H40" s="153">
        <v>7585362</v>
      </c>
      <c r="I40" s="153">
        <v>2507170.91</v>
      </c>
      <c r="J40" s="153">
        <f t="shared" si="0"/>
        <v>5014341.82</v>
      </c>
      <c r="K40" s="153">
        <v>941148</v>
      </c>
      <c r="L40" s="153">
        <v>4137043.09</v>
      </c>
      <c r="M40" s="154">
        <f t="shared" si="1"/>
        <v>0.57039272727272727</v>
      </c>
      <c r="N40" s="154">
        <f t="shared" si="2"/>
        <v>3.6093877696969701</v>
      </c>
      <c r="O40" s="154">
        <f t="shared" si="3"/>
        <v>3.0389950424242427</v>
      </c>
      <c r="P40" s="154">
        <f t="shared" si="4"/>
        <v>1.5194975212121213</v>
      </c>
    </row>
    <row r="41" spans="1:16" x14ac:dyDescent="0.25">
      <c r="A41" s="152" t="s">
        <v>1634</v>
      </c>
      <c r="B41" s="152" t="s">
        <v>1635</v>
      </c>
      <c r="C41" s="152" t="s">
        <v>1636</v>
      </c>
      <c r="D41" s="152">
        <v>0.5</v>
      </c>
      <c r="E41" s="152"/>
      <c r="F41" s="152" t="s">
        <v>1565</v>
      </c>
      <c r="G41" s="152">
        <v>2008</v>
      </c>
      <c r="H41" s="153">
        <v>14941637</v>
      </c>
      <c r="I41" s="153">
        <v>2560860</v>
      </c>
      <c r="J41" s="153">
        <f t="shared" si="0"/>
        <v>5121720</v>
      </c>
      <c r="K41" s="153">
        <v>6484000</v>
      </c>
      <c r="L41" s="153">
        <v>5896777</v>
      </c>
      <c r="M41" s="154">
        <f t="shared" si="1"/>
        <v>12.968</v>
      </c>
      <c r="N41" s="154">
        <f t="shared" si="2"/>
        <v>23.21144</v>
      </c>
      <c r="O41" s="154">
        <f t="shared" si="3"/>
        <v>10.24344</v>
      </c>
      <c r="P41" s="154">
        <f t="shared" si="4"/>
        <v>5.1217199999999998</v>
      </c>
    </row>
    <row r="42" spans="1:16" x14ac:dyDescent="0.25">
      <c r="A42" s="152" t="s">
        <v>1637</v>
      </c>
      <c r="B42" s="152" t="s">
        <v>1638</v>
      </c>
      <c r="C42" s="152" t="s">
        <v>1530</v>
      </c>
      <c r="D42" s="152">
        <v>0.95</v>
      </c>
      <c r="E42" s="152"/>
      <c r="F42" s="152" t="s">
        <v>1639</v>
      </c>
      <c r="G42" s="152"/>
      <c r="H42" s="153">
        <v>7781846</v>
      </c>
      <c r="I42" s="153">
        <v>464299</v>
      </c>
      <c r="J42" s="153">
        <f t="shared" si="0"/>
        <v>928598</v>
      </c>
      <c r="K42" s="153">
        <v>2999732</v>
      </c>
      <c r="L42" s="153">
        <v>4317815</v>
      </c>
      <c r="M42" s="154">
        <f t="shared" si="1"/>
        <v>3.1576126315789472</v>
      </c>
      <c r="N42" s="154">
        <f t="shared" si="2"/>
        <v>4.1350842105263155</v>
      </c>
      <c r="O42" s="154">
        <f t="shared" si="3"/>
        <v>0.97747157894736847</v>
      </c>
      <c r="P42" s="154">
        <f t="shared" si="4"/>
        <v>0.48873578947368423</v>
      </c>
    </row>
    <row r="43" spans="1:16" x14ac:dyDescent="0.25">
      <c r="A43" s="152" t="s">
        <v>1640</v>
      </c>
      <c r="B43" s="152" t="s">
        <v>1641</v>
      </c>
      <c r="C43" s="152" t="s">
        <v>1575</v>
      </c>
      <c r="D43" s="152">
        <v>3</v>
      </c>
      <c r="E43" s="152"/>
      <c r="F43" s="152" t="s">
        <v>1609</v>
      </c>
      <c r="G43" s="152">
        <v>2007</v>
      </c>
      <c r="H43" s="153">
        <v>33992808</v>
      </c>
      <c r="I43" s="153">
        <v>7838605.8200000003</v>
      </c>
      <c r="J43" s="153">
        <f t="shared" si="0"/>
        <v>15677211.640000001</v>
      </c>
      <c r="K43" s="153">
        <v>6380645</v>
      </c>
      <c r="L43" s="153">
        <v>19773557.18</v>
      </c>
      <c r="M43" s="154">
        <f t="shared" si="1"/>
        <v>2.1268816666666668</v>
      </c>
      <c r="N43" s="154">
        <f t="shared" si="2"/>
        <v>7.3526188800000005</v>
      </c>
      <c r="O43" s="154">
        <f t="shared" si="3"/>
        <v>5.2257372133333337</v>
      </c>
      <c r="P43" s="154">
        <f t="shared" si="4"/>
        <v>2.6128686066666669</v>
      </c>
    </row>
    <row r="44" spans="1:16" x14ac:dyDescent="0.25">
      <c r="A44" s="152" t="s">
        <v>1642</v>
      </c>
      <c r="B44" s="152" t="s">
        <v>1643</v>
      </c>
      <c r="C44" s="152" t="s">
        <v>1636</v>
      </c>
      <c r="D44" s="152">
        <v>1.5</v>
      </c>
      <c r="E44" s="152"/>
      <c r="F44" s="152" t="s">
        <v>1569</v>
      </c>
      <c r="G44" s="152"/>
      <c r="H44" s="153">
        <v>20506000</v>
      </c>
      <c r="I44" s="153">
        <v>2046387</v>
      </c>
      <c r="J44" s="153">
        <f t="shared" si="0"/>
        <v>4092774</v>
      </c>
      <c r="K44" s="153">
        <v>9378000</v>
      </c>
      <c r="L44" s="153">
        <v>9081613</v>
      </c>
      <c r="M44" s="154">
        <f t="shared" si="1"/>
        <v>6.2519999999999998</v>
      </c>
      <c r="N44" s="154">
        <f t="shared" si="2"/>
        <v>8.9805159999999997</v>
      </c>
      <c r="O44" s="154">
        <f t="shared" si="3"/>
        <v>2.7285159999999999</v>
      </c>
      <c r="P44" s="154">
        <f t="shared" si="4"/>
        <v>1.364258</v>
      </c>
    </row>
    <row r="45" spans="1:16" x14ac:dyDescent="0.25">
      <c r="A45" s="152" t="s">
        <v>1644</v>
      </c>
      <c r="B45" s="152" t="s">
        <v>1645</v>
      </c>
      <c r="C45" s="152" t="s">
        <v>1646</v>
      </c>
      <c r="D45" s="152">
        <v>0.68</v>
      </c>
      <c r="E45" s="152">
        <v>1.2</v>
      </c>
      <c r="F45" s="152" t="s">
        <v>1569</v>
      </c>
      <c r="G45" s="152"/>
      <c r="H45" s="153">
        <v>21143647</v>
      </c>
      <c r="I45" s="153">
        <v>1189501</v>
      </c>
      <c r="J45" s="153">
        <f t="shared" si="0"/>
        <v>2379002</v>
      </c>
      <c r="K45" s="153">
        <v>6951000</v>
      </c>
      <c r="L45" s="153">
        <v>13003146</v>
      </c>
      <c r="M45" s="154">
        <f t="shared" si="1"/>
        <v>10.222058823529412</v>
      </c>
      <c r="N45" s="154">
        <f t="shared" si="2"/>
        <v>13.720591176470588</v>
      </c>
      <c r="O45" s="154">
        <f t="shared" si="3"/>
        <v>3.4985323529411763</v>
      </c>
      <c r="P45" s="154">
        <f t="shared" si="4"/>
        <v>1.7492661764705881</v>
      </c>
    </row>
    <row r="46" spans="1:16" x14ac:dyDescent="0.25">
      <c r="A46" s="152" t="s">
        <v>1647</v>
      </c>
      <c r="B46" s="152" t="s">
        <v>1648</v>
      </c>
      <c r="C46" s="152" t="s">
        <v>1649</v>
      </c>
      <c r="D46" s="152">
        <v>25</v>
      </c>
      <c r="E46" s="152">
        <v>29</v>
      </c>
      <c r="F46" s="152" t="s">
        <v>1560</v>
      </c>
      <c r="G46" s="152"/>
      <c r="H46" s="153">
        <v>131712500</v>
      </c>
      <c r="I46" s="153">
        <v>2000000</v>
      </c>
      <c r="J46" s="153">
        <f t="shared" si="0"/>
        <v>4000000</v>
      </c>
      <c r="K46" s="153">
        <v>35494000</v>
      </c>
      <c r="L46" s="153">
        <v>94218500</v>
      </c>
      <c r="M46" s="154">
        <f t="shared" si="1"/>
        <v>1.4197599999999999</v>
      </c>
      <c r="N46" s="154">
        <f t="shared" si="2"/>
        <v>1.5797600000000001</v>
      </c>
      <c r="O46" s="154">
        <f t="shared" si="3"/>
        <v>0.16</v>
      </c>
      <c r="P46" s="154">
        <f t="shared" si="4"/>
        <v>0.08</v>
      </c>
    </row>
    <row r="47" spans="1:16" ht="25.5" x14ac:dyDescent="0.25">
      <c r="A47" s="152" t="s">
        <v>1650</v>
      </c>
      <c r="B47" s="152" t="s">
        <v>1651</v>
      </c>
      <c r="C47" s="152" t="s">
        <v>1646</v>
      </c>
      <c r="D47" s="152">
        <v>6</v>
      </c>
      <c r="E47" s="152"/>
      <c r="F47" s="152" t="s">
        <v>1542</v>
      </c>
      <c r="G47" s="152"/>
      <c r="H47" s="153">
        <v>40925837</v>
      </c>
      <c r="I47" s="153">
        <v>1865859</v>
      </c>
      <c r="J47" s="153">
        <f t="shared" si="0"/>
        <v>3731718</v>
      </c>
      <c r="K47" s="153">
        <v>11000000</v>
      </c>
      <c r="L47" s="153">
        <v>28059978</v>
      </c>
      <c r="M47" s="154">
        <f t="shared" si="1"/>
        <v>1.8333333333333333</v>
      </c>
      <c r="N47" s="154">
        <f t="shared" si="2"/>
        <v>2.4552863333333335</v>
      </c>
      <c r="O47" s="154">
        <f t="shared" si="3"/>
        <v>0.62195299999999998</v>
      </c>
      <c r="P47" s="154">
        <f t="shared" si="4"/>
        <v>0.31097649999999999</v>
      </c>
    </row>
    <row r="48" spans="1:16" x14ac:dyDescent="0.25">
      <c r="A48" s="152" t="s">
        <v>1652</v>
      </c>
      <c r="B48" s="152" t="s">
        <v>1653</v>
      </c>
      <c r="C48" s="152" t="s">
        <v>1533</v>
      </c>
      <c r="D48" s="152">
        <v>2.5</v>
      </c>
      <c r="E48" s="152"/>
      <c r="F48" s="152" t="s">
        <v>1654</v>
      </c>
      <c r="G48" s="152"/>
      <c r="H48" s="153">
        <v>8400000</v>
      </c>
      <c r="I48" s="153">
        <v>0</v>
      </c>
      <c r="J48" s="153">
        <f t="shared" si="0"/>
        <v>0</v>
      </c>
      <c r="K48" s="153">
        <v>3400000</v>
      </c>
      <c r="L48" s="153">
        <v>5000000</v>
      </c>
      <c r="M48" s="154">
        <f t="shared" si="1"/>
        <v>1.36</v>
      </c>
      <c r="N48" s="154">
        <f t="shared" si="2"/>
        <v>1.36</v>
      </c>
      <c r="O48" s="154"/>
      <c r="P48" s="154"/>
    </row>
    <row r="49" spans="1:16" ht="25.5" x14ac:dyDescent="0.25">
      <c r="A49" s="152" t="s">
        <v>1655</v>
      </c>
      <c r="B49" s="152" t="s">
        <v>1656</v>
      </c>
      <c r="C49" s="152" t="s">
        <v>1552</v>
      </c>
      <c r="D49" s="152">
        <v>1.6</v>
      </c>
      <c r="E49" s="152"/>
      <c r="F49" s="152" t="s">
        <v>1546</v>
      </c>
      <c r="G49" s="152"/>
      <c r="H49" s="153">
        <v>3000000</v>
      </c>
      <c r="I49" s="153">
        <v>0</v>
      </c>
      <c r="J49" s="153">
        <f t="shared" si="0"/>
        <v>0</v>
      </c>
      <c r="K49" s="153">
        <v>3000000</v>
      </c>
      <c r="L49" s="153">
        <v>0</v>
      </c>
      <c r="M49" s="154">
        <f t="shared" si="1"/>
        <v>1.875</v>
      </c>
      <c r="N49" s="154">
        <f t="shared" si="2"/>
        <v>1.875</v>
      </c>
      <c r="O49" s="154"/>
      <c r="P49" s="154"/>
    </row>
    <row r="50" spans="1:16" x14ac:dyDescent="0.25">
      <c r="A50" s="152" t="s">
        <v>1657</v>
      </c>
      <c r="B50" s="152" t="s">
        <v>1658</v>
      </c>
      <c r="C50" s="152" t="s">
        <v>1636</v>
      </c>
      <c r="D50" s="152">
        <v>15</v>
      </c>
      <c r="E50" s="152"/>
      <c r="F50" s="152" t="s">
        <v>1609</v>
      </c>
      <c r="G50" s="152"/>
      <c r="H50" s="153">
        <v>29491191</v>
      </c>
      <c r="I50" s="153">
        <v>10000000.1</v>
      </c>
      <c r="J50" s="153">
        <f t="shared" si="0"/>
        <v>20000000.199999999</v>
      </c>
      <c r="K50" s="153">
        <v>0</v>
      </c>
      <c r="L50" s="153">
        <v>19491190.899999999</v>
      </c>
      <c r="M50" s="154">
        <f t="shared" si="1"/>
        <v>0</v>
      </c>
      <c r="N50" s="154">
        <f t="shared" si="2"/>
        <v>1.3333333466666666</v>
      </c>
      <c r="O50" s="154">
        <f t="shared" si="3"/>
        <v>1.3333333466666666</v>
      </c>
      <c r="P50" s="154">
        <f t="shared" si="4"/>
        <v>0.66666667333333329</v>
      </c>
    </row>
    <row r="51" spans="1:16" x14ac:dyDescent="0.25">
      <c r="A51" s="152" t="s">
        <v>1659</v>
      </c>
      <c r="B51" s="152" t="s">
        <v>1660</v>
      </c>
      <c r="C51" s="152" t="s">
        <v>1533</v>
      </c>
      <c r="D51" s="152">
        <v>0.61499999999999999</v>
      </c>
      <c r="E51" s="152">
        <v>1.1399999999999999</v>
      </c>
      <c r="F51" s="152"/>
      <c r="G51" s="152"/>
      <c r="H51" s="153">
        <v>39760000</v>
      </c>
      <c r="I51" s="153">
        <v>5456000</v>
      </c>
      <c r="J51" s="153">
        <f t="shared" si="0"/>
        <v>10912000</v>
      </c>
      <c r="K51" s="153">
        <v>3000000</v>
      </c>
      <c r="L51" s="153">
        <v>31304000</v>
      </c>
      <c r="M51" s="154">
        <f t="shared" si="1"/>
        <v>4.8780487804878048</v>
      </c>
      <c r="N51" s="154">
        <f t="shared" si="2"/>
        <v>22.621138211382114</v>
      </c>
      <c r="O51" s="154">
        <f t="shared" si="3"/>
        <v>17.743089430894308</v>
      </c>
      <c r="P51" s="154">
        <f t="shared" si="4"/>
        <v>8.8715447154471541</v>
      </c>
    </row>
    <row r="52" spans="1:16" x14ac:dyDescent="0.25">
      <c r="A52" s="152" t="s">
        <v>1661</v>
      </c>
      <c r="B52" s="152" t="s">
        <v>1662</v>
      </c>
      <c r="C52" s="152" t="s">
        <v>1622</v>
      </c>
      <c r="D52" s="152">
        <v>1.2</v>
      </c>
      <c r="E52" s="152"/>
      <c r="F52" s="152" t="s">
        <v>1663</v>
      </c>
      <c r="G52" s="152">
        <v>2010</v>
      </c>
      <c r="H52" s="153">
        <v>9143869</v>
      </c>
      <c r="I52" s="153">
        <v>2005000</v>
      </c>
      <c r="J52" s="153">
        <f t="shared" si="0"/>
        <v>4010000</v>
      </c>
      <c r="K52" s="153">
        <v>3500000</v>
      </c>
      <c r="L52" s="153">
        <v>3638869</v>
      </c>
      <c r="M52" s="154">
        <f t="shared" si="1"/>
        <v>2.9166666666666665</v>
      </c>
      <c r="N52" s="154">
        <f t="shared" si="2"/>
        <v>6.2583333333333337</v>
      </c>
      <c r="O52" s="154">
        <f t="shared" si="3"/>
        <v>3.3416666666666668</v>
      </c>
      <c r="P52" s="154">
        <f t="shared" si="4"/>
        <v>1.6708333333333334</v>
      </c>
    </row>
    <row r="53" spans="1:16" x14ac:dyDescent="0.25">
      <c r="A53" s="152" t="s">
        <v>1664</v>
      </c>
      <c r="B53" s="152" t="s">
        <v>1665</v>
      </c>
      <c r="C53" s="152" t="s">
        <v>1612</v>
      </c>
      <c r="D53" s="152">
        <v>2</v>
      </c>
      <c r="E53" s="152"/>
      <c r="F53" s="152" t="s">
        <v>1576</v>
      </c>
      <c r="G53" s="152"/>
      <c r="H53" s="153">
        <v>35385722</v>
      </c>
      <c r="I53" s="153">
        <v>1675927</v>
      </c>
      <c r="J53" s="153">
        <f t="shared" si="0"/>
        <v>3351854</v>
      </c>
      <c r="K53" s="153">
        <v>9000000</v>
      </c>
      <c r="L53" s="153">
        <v>24709795</v>
      </c>
      <c r="M53" s="154">
        <f t="shared" si="1"/>
        <v>4.5</v>
      </c>
      <c r="N53" s="154">
        <f t="shared" si="2"/>
        <v>6.1759269999999997</v>
      </c>
      <c r="O53" s="154">
        <f t="shared" si="3"/>
        <v>1.6759269999999999</v>
      </c>
      <c r="P53" s="154">
        <f t="shared" si="4"/>
        <v>0.83796349999999997</v>
      </c>
    </row>
    <row r="54" spans="1:16" x14ac:dyDescent="0.25">
      <c r="A54" s="152" t="s">
        <v>1666</v>
      </c>
      <c r="B54" s="152" t="s">
        <v>1667</v>
      </c>
      <c r="C54" s="152" t="s">
        <v>1668</v>
      </c>
      <c r="D54" s="152">
        <v>7.5</v>
      </c>
      <c r="E54" s="152"/>
      <c r="F54" s="152" t="s">
        <v>1580</v>
      </c>
      <c r="G54" s="152"/>
      <c r="H54" s="153">
        <v>34050114</v>
      </c>
      <c r="I54" s="153">
        <v>5000000</v>
      </c>
      <c r="J54" s="153">
        <f t="shared" si="0"/>
        <v>10000000</v>
      </c>
      <c r="K54" s="153">
        <v>16052000</v>
      </c>
      <c r="L54" s="153">
        <v>12998114</v>
      </c>
      <c r="M54" s="154">
        <f t="shared" si="1"/>
        <v>2.1402666666666668</v>
      </c>
      <c r="N54" s="154">
        <f t="shared" si="2"/>
        <v>3.4735999999999998</v>
      </c>
      <c r="O54" s="154">
        <f t="shared" si="3"/>
        <v>1.3333333333333333</v>
      </c>
      <c r="P54" s="154">
        <f t="shared" si="4"/>
        <v>0.66666666666666663</v>
      </c>
    </row>
    <row r="55" spans="1:16" ht="12.75" customHeight="1" x14ac:dyDescent="0.25">
      <c r="A55" s="152" t="s">
        <v>1669</v>
      </c>
      <c r="B55" s="152" t="s">
        <v>1670</v>
      </c>
      <c r="C55" s="152" t="s">
        <v>1671</v>
      </c>
      <c r="D55" s="152">
        <v>73</v>
      </c>
      <c r="E55" s="152">
        <v>81</v>
      </c>
      <c r="F55" s="152"/>
      <c r="G55" s="152"/>
      <c r="H55" s="153">
        <v>391196400</v>
      </c>
      <c r="I55" s="153">
        <v>75150000</v>
      </c>
      <c r="J55" s="153">
        <f t="shared" si="0"/>
        <v>150300000</v>
      </c>
      <c r="K55" s="153">
        <v>218500000</v>
      </c>
      <c r="L55" s="153">
        <v>97546400</v>
      </c>
      <c r="M55" s="154">
        <f t="shared" si="1"/>
        <v>2.993150684931507</v>
      </c>
      <c r="N55" s="154">
        <f t="shared" si="2"/>
        <v>5.0520547945205481</v>
      </c>
      <c r="O55" s="154">
        <f t="shared" si="3"/>
        <v>2.058904109589041</v>
      </c>
      <c r="P55" s="154">
        <f t="shared" si="4"/>
        <v>1.0294520547945205</v>
      </c>
    </row>
    <row r="56" spans="1:16" x14ac:dyDescent="0.25">
      <c r="A56" s="152" t="s">
        <v>1672</v>
      </c>
      <c r="B56" s="152" t="s">
        <v>1673</v>
      </c>
      <c r="C56" s="152" t="s">
        <v>1533</v>
      </c>
      <c r="D56" s="152">
        <v>7.5</v>
      </c>
      <c r="E56" s="152"/>
      <c r="F56" s="152" t="s">
        <v>1663</v>
      </c>
      <c r="G56" s="152"/>
      <c r="H56" s="153">
        <v>21684690</v>
      </c>
      <c r="I56" s="153">
        <v>500000</v>
      </c>
      <c r="J56" s="153">
        <f t="shared" si="0"/>
        <v>1000000</v>
      </c>
      <c r="K56" s="153">
        <v>13800000</v>
      </c>
      <c r="L56" s="153">
        <v>7384690</v>
      </c>
      <c r="M56" s="154">
        <f t="shared" si="1"/>
        <v>1.84</v>
      </c>
      <c r="N56" s="154">
        <f t="shared" si="2"/>
        <v>1.9733333333333334</v>
      </c>
      <c r="O56" s="154">
        <f t="shared" si="3"/>
        <v>0.13333333333333333</v>
      </c>
      <c r="P56" s="154">
        <f t="shared" si="4"/>
        <v>6.6666666666666666E-2</v>
      </c>
    </row>
    <row r="57" spans="1:16" x14ac:dyDescent="0.25">
      <c r="A57" s="152" t="s">
        <v>1674</v>
      </c>
      <c r="B57" s="152" t="s">
        <v>1675</v>
      </c>
      <c r="C57" s="152" t="s">
        <v>1612</v>
      </c>
      <c r="D57" s="152">
        <v>1.65</v>
      </c>
      <c r="E57" s="152"/>
      <c r="F57" s="152" t="s">
        <v>1553</v>
      </c>
      <c r="G57" s="152">
        <v>2010</v>
      </c>
      <c r="H57" s="153">
        <v>13760078</v>
      </c>
      <c r="I57" s="153">
        <v>3243974</v>
      </c>
      <c r="J57" s="153">
        <f t="shared" si="0"/>
        <v>6487948</v>
      </c>
      <c r="K57" s="153">
        <v>4000000</v>
      </c>
      <c r="L57" s="153">
        <v>6516104</v>
      </c>
      <c r="M57" s="154">
        <f t="shared" si="1"/>
        <v>2.4242424242424243</v>
      </c>
      <c r="N57" s="154">
        <f t="shared" si="2"/>
        <v>6.3563321212121213</v>
      </c>
      <c r="O57" s="154">
        <f t="shared" si="3"/>
        <v>3.932089696969697</v>
      </c>
      <c r="P57" s="154">
        <f t="shared" si="4"/>
        <v>1.9660448484848485</v>
      </c>
    </row>
    <row r="58" spans="1:16" x14ac:dyDescent="0.25">
      <c r="A58" s="152" t="s">
        <v>1676</v>
      </c>
      <c r="B58" s="152" t="s">
        <v>1677</v>
      </c>
      <c r="C58" s="152" t="s">
        <v>1668</v>
      </c>
      <c r="D58" s="152">
        <v>30</v>
      </c>
      <c r="E58" s="152"/>
      <c r="F58" s="152" t="s">
        <v>1534</v>
      </c>
      <c r="G58" s="152"/>
      <c r="H58" s="153">
        <v>27001942</v>
      </c>
      <c r="I58" s="153">
        <v>9642175</v>
      </c>
      <c r="J58" s="153">
        <f t="shared" si="0"/>
        <v>19284350</v>
      </c>
      <c r="K58" s="153">
        <v>6324000</v>
      </c>
      <c r="L58" s="153">
        <v>11035767</v>
      </c>
      <c r="M58" s="154">
        <f t="shared" si="1"/>
        <v>0.21079999999999999</v>
      </c>
      <c r="N58" s="154">
        <f t="shared" si="2"/>
        <v>0.85361166666666666</v>
      </c>
      <c r="O58" s="154">
        <f t="shared" si="3"/>
        <v>0.64281166666666667</v>
      </c>
      <c r="P58" s="154">
        <f t="shared" si="4"/>
        <v>0.32140583333333334</v>
      </c>
    </row>
    <row r="59" spans="1:16" x14ac:dyDescent="0.25">
      <c r="A59" s="152" t="s">
        <v>1678</v>
      </c>
      <c r="B59" s="152" t="s">
        <v>1679</v>
      </c>
      <c r="C59" s="152" t="s">
        <v>1680</v>
      </c>
      <c r="D59" s="152">
        <v>1.47</v>
      </c>
      <c r="E59" s="152"/>
      <c r="F59" s="152" t="s">
        <v>1681</v>
      </c>
      <c r="G59" s="152"/>
      <c r="H59" s="153">
        <v>8228788</v>
      </c>
      <c r="I59" s="153">
        <v>1578539</v>
      </c>
      <c r="J59" s="153">
        <f t="shared" si="0"/>
        <v>3157078</v>
      </c>
      <c r="K59" s="153">
        <v>3224000</v>
      </c>
      <c r="L59" s="153">
        <v>3426249</v>
      </c>
      <c r="M59" s="154">
        <f t="shared" si="1"/>
        <v>2.1931972789115646</v>
      </c>
      <c r="N59" s="154">
        <f t="shared" si="2"/>
        <v>4.3408693877551023</v>
      </c>
      <c r="O59" s="154">
        <f t="shared" si="3"/>
        <v>2.1476721088435373</v>
      </c>
      <c r="P59" s="154">
        <f t="shared" si="4"/>
        <v>1.0738360544217687</v>
      </c>
    </row>
    <row r="60" spans="1:16" x14ac:dyDescent="0.25">
      <c r="A60" s="152" t="s">
        <v>1682</v>
      </c>
      <c r="B60" s="152" t="s">
        <v>1683</v>
      </c>
      <c r="C60" s="152" t="s">
        <v>1597</v>
      </c>
      <c r="D60" s="152">
        <v>0.75</v>
      </c>
      <c r="E60" s="152"/>
      <c r="F60" s="152" t="s">
        <v>1546</v>
      </c>
      <c r="G60" s="152">
        <v>2010</v>
      </c>
      <c r="H60" s="153">
        <v>3247900</v>
      </c>
      <c r="I60" s="153">
        <v>692381</v>
      </c>
      <c r="J60" s="153">
        <f t="shared" si="0"/>
        <v>1384762</v>
      </c>
      <c r="K60" s="153">
        <v>235000</v>
      </c>
      <c r="L60" s="153">
        <v>2320519</v>
      </c>
      <c r="M60" s="154">
        <f t="shared" si="1"/>
        <v>0.31333333333333335</v>
      </c>
      <c r="N60" s="154">
        <f t="shared" si="2"/>
        <v>2.1596826666666669</v>
      </c>
      <c r="O60" s="154">
        <f t="shared" si="3"/>
        <v>1.8463493333333334</v>
      </c>
      <c r="P60" s="154">
        <f t="shared" si="4"/>
        <v>0.9231746666666667</v>
      </c>
    </row>
    <row r="61" spans="1:16" x14ac:dyDescent="0.25">
      <c r="A61" s="152" t="s">
        <v>1684</v>
      </c>
      <c r="B61" s="152" t="s">
        <v>1685</v>
      </c>
      <c r="C61" s="152" t="s">
        <v>1592</v>
      </c>
      <c r="D61" s="152">
        <v>1.26</v>
      </c>
      <c r="E61" s="152"/>
      <c r="F61" s="152" t="s">
        <v>1681</v>
      </c>
      <c r="G61" s="152"/>
      <c r="H61" s="153">
        <v>8180180</v>
      </c>
      <c r="I61" s="153">
        <v>1701116.33</v>
      </c>
      <c r="J61" s="153">
        <f t="shared" si="0"/>
        <v>3402232.66</v>
      </c>
      <c r="K61" s="153">
        <v>4000000</v>
      </c>
      <c r="L61" s="153">
        <v>2479063.67</v>
      </c>
      <c r="M61" s="154">
        <f t="shared" si="1"/>
        <v>3.1746031746031744</v>
      </c>
      <c r="N61" s="154">
        <f t="shared" si="2"/>
        <v>5.8747878253968251</v>
      </c>
      <c r="O61" s="154">
        <f t="shared" si="3"/>
        <v>2.7001846507936511</v>
      </c>
      <c r="P61" s="154">
        <f t="shared" si="4"/>
        <v>1.3500923253968256</v>
      </c>
    </row>
    <row r="62" spans="1:16" x14ac:dyDescent="0.25">
      <c r="A62" s="152" t="s">
        <v>1686</v>
      </c>
      <c r="B62" s="152" t="s">
        <v>1687</v>
      </c>
      <c r="C62" s="152" t="s">
        <v>1600</v>
      </c>
      <c r="D62" s="152">
        <v>8.5</v>
      </c>
      <c r="E62" s="152"/>
      <c r="F62" s="152" t="s">
        <v>1553</v>
      </c>
      <c r="G62" s="152">
        <v>2010</v>
      </c>
      <c r="H62" s="153">
        <v>78020887</v>
      </c>
      <c r="I62" s="153">
        <v>22817000</v>
      </c>
      <c r="J62" s="153">
        <f t="shared" si="0"/>
        <v>45634000</v>
      </c>
      <c r="K62" s="153">
        <v>3000000</v>
      </c>
      <c r="L62" s="153">
        <v>52203887</v>
      </c>
      <c r="M62" s="154">
        <f t="shared" si="1"/>
        <v>0.35294117647058826</v>
      </c>
      <c r="N62" s="154">
        <f t="shared" si="2"/>
        <v>5.7216470588235291</v>
      </c>
      <c r="O62" s="154">
        <f t="shared" si="3"/>
        <v>5.3687058823529412</v>
      </c>
      <c r="P62" s="154">
        <f t="shared" si="4"/>
        <v>2.6843529411764706</v>
      </c>
    </row>
    <row r="63" spans="1:16" ht="25.5" x14ac:dyDescent="0.25">
      <c r="A63" s="152" t="s">
        <v>1688</v>
      </c>
      <c r="B63" s="152"/>
      <c r="C63" s="152"/>
      <c r="D63" s="152"/>
      <c r="E63" s="152"/>
      <c r="F63" s="152"/>
      <c r="G63" s="152"/>
      <c r="H63" s="153">
        <v>54270000</v>
      </c>
      <c r="I63" s="153">
        <v>11000000</v>
      </c>
      <c r="J63" s="153">
        <f t="shared" si="0"/>
        <v>22000000</v>
      </c>
      <c r="K63" s="153">
        <v>12000000</v>
      </c>
      <c r="L63" s="153">
        <v>31270000</v>
      </c>
      <c r="M63" s="154"/>
      <c r="N63" s="154"/>
      <c r="O63" s="154"/>
      <c r="P63" s="154"/>
    </row>
    <row r="64" spans="1:16" x14ac:dyDescent="0.25">
      <c r="A64" s="152" t="s">
        <v>1689</v>
      </c>
      <c r="B64" s="152" t="s">
        <v>1690</v>
      </c>
      <c r="C64" s="152" t="s">
        <v>1597</v>
      </c>
      <c r="D64" s="152">
        <v>20</v>
      </c>
      <c r="E64" s="152">
        <v>26</v>
      </c>
      <c r="F64" s="152" t="s">
        <v>1569</v>
      </c>
      <c r="G64" s="152"/>
      <c r="H64" s="153">
        <v>112099941</v>
      </c>
      <c r="I64" s="153">
        <v>12011129</v>
      </c>
      <c r="J64" s="153">
        <f t="shared" si="0"/>
        <v>24022258</v>
      </c>
      <c r="K64" s="153">
        <v>6900000</v>
      </c>
      <c r="L64" s="153">
        <v>93188812</v>
      </c>
      <c r="M64" s="154">
        <f t="shared" si="1"/>
        <v>0.34499999999999997</v>
      </c>
      <c r="N64" s="154">
        <f t="shared" si="2"/>
        <v>1.5461129</v>
      </c>
      <c r="O64" s="154">
        <f t="shared" si="3"/>
        <v>1.2011129</v>
      </c>
      <c r="P64" s="154">
        <f t="shared" si="4"/>
        <v>0.60055645000000002</v>
      </c>
    </row>
    <row r="65" spans="1:16" x14ac:dyDescent="0.25">
      <c r="A65" s="152" t="s">
        <v>1691</v>
      </c>
      <c r="B65" s="152" t="s">
        <v>1692</v>
      </c>
      <c r="C65" s="152" t="s">
        <v>1680</v>
      </c>
      <c r="D65" s="152">
        <v>0.5</v>
      </c>
      <c r="E65" s="152">
        <v>0.66700000000000004</v>
      </c>
      <c r="F65" s="152"/>
      <c r="G65" s="152"/>
      <c r="H65" s="153">
        <v>14364870</v>
      </c>
      <c r="I65" s="153">
        <v>3765000</v>
      </c>
      <c r="J65" s="153">
        <f t="shared" si="0"/>
        <v>7530000</v>
      </c>
      <c r="K65" s="153">
        <v>3527000</v>
      </c>
      <c r="L65" s="153">
        <v>7072870</v>
      </c>
      <c r="M65" s="154">
        <f t="shared" si="1"/>
        <v>7.0540000000000003</v>
      </c>
      <c r="N65" s="154">
        <f t="shared" si="2"/>
        <v>22.114000000000001</v>
      </c>
      <c r="O65" s="154">
        <f t="shared" si="3"/>
        <v>15.06</v>
      </c>
      <c r="P65" s="154">
        <f t="shared" si="4"/>
        <v>7.53</v>
      </c>
    </row>
    <row r="66" spans="1:16" x14ac:dyDescent="0.25">
      <c r="A66" s="152" t="s">
        <v>1693</v>
      </c>
      <c r="B66" s="152" t="s">
        <v>1694</v>
      </c>
      <c r="C66" s="152" t="s">
        <v>1530</v>
      </c>
      <c r="D66" s="152">
        <v>20</v>
      </c>
      <c r="E66" s="152"/>
      <c r="F66" s="152" t="s">
        <v>1534</v>
      </c>
      <c r="G66" s="152"/>
      <c r="H66" s="153">
        <v>97726278</v>
      </c>
      <c r="I66" s="153">
        <v>8249178</v>
      </c>
      <c r="J66" s="153">
        <f t="shared" si="0"/>
        <v>16498356</v>
      </c>
      <c r="K66" s="153">
        <v>42633450</v>
      </c>
      <c r="L66" s="153">
        <v>46843650</v>
      </c>
      <c r="M66" s="154">
        <f t="shared" si="1"/>
        <v>2.1316725000000001</v>
      </c>
      <c r="N66" s="154">
        <f t="shared" si="2"/>
        <v>2.9565902999999998</v>
      </c>
      <c r="O66" s="154">
        <f t="shared" si="3"/>
        <v>0.82491780000000003</v>
      </c>
      <c r="P66" s="154">
        <f t="shared" si="4"/>
        <v>0.41245890000000002</v>
      </c>
    </row>
    <row r="67" spans="1:16" x14ac:dyDescent="0.25">
      <c r="A67" s="152" t="s">
        <v>1695</v>
      </c>
      <c r="B67" s="152" t="s">
        <v>1696</v>
      </c>
      <c r="C67" s="152" t="s">
        <v>1636</v>
      </c>
      <c r="D67" s="152">
        <v>0.6</v>
      </c>
      <c r="E67" s="152"/>
      <c r="F67" s="152" t="s">
        <v>1609</v>
      </c>
      <c r="G67" s="152">
        <v>2007</v>
      </c>
      <c r="H67" s="153" t="s">
        <v>1538</v>
      </c>
      <c r="I67" s="153">
        <v>0</v>
      </c>
      <c r="J67" s="153">
        <f t="shared" si="0"/>
        <v>0</v>
      </c>
      <c r="K67" s="153">
        <v>0</v>
      </c>
      <c r="L67" s="153" t="s">
        <v>1538</v>
      </c>
      <c r="M67" s="154">
        <f t="shared" si="1"/>
        <v>0</v>
      </c>
      <c r="N67" s="154">
        <f t="shared" si="2"/>
        <v>0</v>
      </c>
      <c r="O67" s="154"/>
      <c r="P67" s="154"/>
    </row>
    <row r="68" spans="1:16" ht="25.5" x14ac:dyDescent="0.25">
      <c r="A68" s="152" t="s">
        <v>1697</v>
      </c>
      <c r="B68" s="152" t="s">
        <v>1698</v>
      </c>
      <c r="C68" s="152" t="s">
        <v>1608</v>
      </c>
      <c r="D68" s="152">
        <v>0.66</v>
      </c>
      <c r="E68" s="152"/>
      <c r="F68" s="152" t="s">
        <v>1565</v>
      </c>
      <c r="G68" s="152">
        <v>2008</v>
      </c>
      <c r="H68" s="153">
        <v>13036277</v>
      </c>
      <c r="I68" s="153">
        <v>2729349</v>
      </c>
      <c r="J68" s="153">
        <f t="shared" si="0"/>
        <v>5458698</v>
      </c>
      <c r="K68" s="153">
        <v>2000000</v>
      </c>
      <c r="L68" s="153">
        <v>8306928</v>
      </c>
      <c r="M68" s="154">
        <f t="shared" si="1"/>
        <v>3.0303030303030303</v>
      </c>
      <c r="N68" s="154">
        <f t="shared" si="2"/>
        <v>11.301057575757575</v>
      </c>
      <c r="O68" s="154">
        <f t="shared" si="3"/>
        <v>8.2707545454545457</v>
      </c>
      <c r="P68" s="154">
        <f t="shared" si="4"/>
        <v>4.1353772727272728</v>
      </c>
    </row>
    <row r="69" spans="1:16" x14ac:dyDescent="0.25">
      <c r="A69" s="152" t="s">
        <v>1699</v>
      </c>
      <c r="B69" s="152" t="s">
        <v>1700</v>
      </c>
      <c r="C69" s="152" t="s">
        <v>1622</v>
      </c>
      <c r="D69" s="152">
        <v>1.1000000000000001</v>
      </c>
      <c r="E69" s="152"/>
      <c r="F69" s="152" t="s">
        <v>1534</v>
      </c>
      <c r="G69" s="152"/>
      <c r="H69" s="153">
        <v>11253995</v>
      </c>
      <c r="I69" s="153">
        <v>1497408</v>
      </c>
      <c r="J69" s="153">
        <f t="shared" si="0"/>
        <v>2994816</v>
      </c>
      <c r="K69" s="153">
        <v>2870000</v>
      </c>
      <c r="L69" s="153">
        <v>6886587</v>
      </c>
      <c r="M69" s="154">
        <f t="shared" si="1"/>
        <v>2.6090909090909089</v>
      </c>
      <c r="N69" s="154">
        <f t="shared" si="2"/>
        <v>5.331650909090909</v>
      </c>
      <c r="O69" s="154">
        <f t="shared" si="3"/>
        <v>2.7225600000000001</v>
      </c>
      <c r="P69" s="154">
        <f t="shared" si="4"/>
        <v>1.36128</v>
      </c>
    </row>
    <row r="70" spans="1:16" x14ac:dyDescent="0.25">
      <c r="A70" s="152" t="s">
        <v>1701</v>
      </c>
      <c r="B70" s="152" t="s">
        <v>1702</v>
      </c>
      <c r="C70" s="152" t="s">
        <v>1545</v>
      </c>
      <c r="D70" s="152">
        <v>1</v>
      </c>
      <c r="E70" s="152"/>
      <c r="F70" s="152" t="s">
        <v>1639</v>
      </c>
      <c r="G70" s="152"/>
      <c r="H70" s="153">
        <v>13241775</v>
      </c>
      <c r="I70" s="153">
        <v>926660</v>
      </c>
      <c r="J70" s="153">
        <f>I70*2</f>
        <v>1853320</v>
      </c>
      <c r="K70" s="153">
        <v>6889000</v>
      </c>
      <c r="L70" s="153">
        <v>5426115</v>
      </c>
      <c r="M70" s="154">
        <f>K70/(D70*1000000)</f>
        <v>6.8890000000000002</v>
      </c>
      <c r="N70" s="154">
        <f>(J70+K70)/(D70*1000000)</f>
        <v>8.7423199999999994</v>
      </c>
      <c r="O70" s="154">
        <f>J70/(D70*1000000)</f>
        <v>1.8533200000000001</v>
      </c>
      <c r="P70" s="154">
        <f>I70/(D70*1000000)</f>
        <v>0.92666000000000004</v>
      </c>
    </row>
    <row r="71" spans="1:16" x14ac:dyDescent="0.25">
      <c r="A71" s="152" t="s">
        <v>1703</v>
      </c>
      <c r="B71" s="152" t="s">
        <v>1704</v>
      </c>
      <c r="C71" s="152" t="s">
        <v>1668</v>
      </c>
      <c r="D71" s="152">
        <v>30</v>
      </c>
      <c r="E71" s="152"/>
      <c r="F71" s="152" t="s">
        <v>1546</v>
      </c>
      <c r="G71" s="152"/>
      <c r="H71" s="153">
        <v>111134060</v>
      </c>
      <c r="I71" s="153">
        <v>15739370</v>
      </c>
      <c r="J71" s="153">
        <f>I71*2</f>
        <v>31478740</v>
      </c>
      <c r="K71" s="153">
        <v>29000000</v>
      </c>
      <c r="L71" s="153">
        <v>66394690</v>
      </c>
      <c r="M71" s="154">
        <f>K71/(D71*1000000)</f>
        <v>0.96666666666666667</v>
      </c>
      <c r="N71" s="154">
        <f>(J71+K71)/(D71*1000000)</f>
        <v>2.0159579999999999</v>
      </c>
      <c r="O71" s="154">
        <f>J71/(D71*1000000)</f>
        <v>1.0492913333333334</v>
      </c>
      <c r="P71" s="154">
        <f>I71/(D71*1000000)</f>
        <v>0.52464566666666668</v>
      </c>
    </row>
    <row r="72" spans="1:16" x14ac:dyDescent="0.25">
      <c r="A72" s="152" t="s">
        <v>1705</v>
      </c>
      <c r="B72" s="152" t="s">
        <v>1706</v>
      </c>
      <c r="C72" s="152" t="s">
        <v>1622</v>
      </c>
      <c r="D72" s="152">
        <v>5</v>
      </c>
      <c r="E72" s="152"/>
      <c r="F72" s="152" t="s">
        <v>1586</v>
      </c>
      <c r="G72" s="152"/>
      <c r="H72" s="153">
        <v>32215847</v>
      </c>
      <c r="I72" s="153">
        <v>2036263</v>
      </c>
      <c r="J72" s="153">
        <f>I72*2</f>
        <v>4072526</v>
      </c>
      <c r="K72" s="153">
        <v>16940000</v>
      </c>
      <c r="L72" s="153">
        <v>13239584</v>
      </c>
      <c r="M72" s="154">
        <f>K72/(D72*1000000)</f>
        <v>3.3879999999999999</v>
      </c>
      <c r="N72" s="154">
        <f>(J72+K72)/(D72*1000000)</f>
        <v>4.2025052000000001</v>
      </c>
      <c r="O72" s="154">
        <f>J72/(D72*1000000)</f>
        <v>0.81450520000000004</v>
      </c>
      <c r="P72" s="154">
        <f>I72/(D72*1000000)</f>
        <v>0.40725260000000002</v>
      </c>
    </row>
    <row r="73" spans="1:16" x14ac:dyDescent="0.25">
      <c r="A73" s="152" t="s">
        <v>1707</v>
      </c>
      <c r="B73" s="152" t="s">
        <v>1708</v>
      </c>
      <c r="C73" s="152" t="s">
        <v>1552</v>
      </c>
      <c r="D73" s="152">
        <v>1</v>
      </c>
      <c r="E73" s="152"/>
      <c r="F73" s="152"/>
      <c r="G73" s="152"/>
      <c r="H73" s="153">
        <v>17665200</v>
      </c>
      <c r="I73" s="153">
        <v>2100000</v>
      </c>
      <c r="J73" s="153">
        <f>I73*2</f>
        <v>4200000</v>
      </c>
      <c r="K73" s="153">
        <v>7000000</v>
      </c>
      <c r="L73" s="153">
        <v>8565200</v>
      </c>
      <c r="M73" s="154">
        <f>K73/(D73*1000000)</f>
        <v>7</v>
      </c>
      <c r="N73" s="154">
        <f>(J73+K73)/(D73*1000000)</f>
        <v>11.2</v>
      </c>
      <c r="O73" s="154">
        <f>J73/(D73*1000000)</f>
        <v>4.2</v>
      </c>
      <c r="P73" s="154">
        <f>I73/(D73*1000000)</f>
        <v>2.1</v>
      </c>
    </row>
    <row r="74" spans="1:16" x14ac:dyDescent="0.25">
      <c r="A74" s="155" t="s">
        <v>1709</v>
      </c>
      <c r="B74" s="155"/>
      <c r="C74" s="155"/>
      <c r="D74" s="155"/>
      <c r="E74" s="155"/>
      <c r="F74" s="155"/>
      <c r="G74" s="155"/>
      <c r="M74" s="156"/>
      <c r="N74" s="156"/>
      <c r="O74" s="156"/>
      <c r="P74" s="156"/>
    </row>
    <row r="75" spans="1:16" x14ac:dyDescent="0.25">
      <c r="A75" s="157" t="s">
        <v>1710</v>
      </c>
      <c r="B75" s="157"/>
      <c r="C75" s="157"/>
      <c r="D75" s="157"/>
      <c r="E75" s="157"/>
      <c r="F75" s="157"/>
      <c r="G75" s="157"/>
    </row>
    <row r="76" spans="1:16" x14ac:dyDescent="0.25">
      <c r="A76" s="149" t="s">
        <v>1711</v>
      </c>
    </row>
  </sheetData>
  <autoFilter ref="A4:O73"/>
  <mergeCells count="8">
    <mergeCell ref="O3:O4"/>
    <mergeCell ref="P3:P4"/>
    <mergeCell ref="A3:A4"/>
    <mergeCell ref="B3:E3"/>
    <mergeCell ref="F3:G3"/>
    <mergeCell ref="H3:L3"/>
    <mergeCell ref="M3:M4"/>
    <mergeCell ref="N3:N4"/>
  </mergeCells>
  <printOptions horizontalCentered="1" gridLines="1"/>
  <pageMargins left="0" right="0" top="0.5" bottom="0.5" header="0.5" footer="0.5"/>
  <pageSetup paperSize="5" scale="83"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B1:D39"/>
  <sheetViews>
    <sheetView showGridLines="0" workbookViewId="0">
      <pane ySplit="2" topLeftCell="A12" activePane="bottomLeft" state="frozen"/>
      <selection pane="bottomLeft" activeCell="B6" sqref="B6:C6"/>
    </sheetView>
  </sheetViews>
  <sheetFormatPr defaultColWidth="8.85546875" defaultRowHeight="15" x14ac:dyDescent="0.25"/>
  <cols>
    <col min="1" max="1" width="2.28515625" style="36" customWidth="1"/>
    <col min="2" max="2" width="13.7109375" style="36" customWidth="1"/>
    <col min="3" max="3" width="3" style="97" customWidth="1"/>
    <col min="4" max="4" width="69" style="36" customWidth="1"/>
    <col min="5" max="16384" width="8.85546875" style="36"/>
  </cols>
  <sheetData>
    <row r="1" spans="2:4" s="21" customFormat="1" x14ac:dyDescent="0.25">
      <c r="C1" s="25"/>
    </row>
    <row r="2" spans="2:4" s="21" customFormat="1" ht="16.5" customHeight="1" x14ac:dyDescent="0.25">
      <c r="C2" s="25"/>
    </row>
    <row r="3" spans="2:4" s="21" customFormat="1" x14ac:dyDescent="0.25">
      <c r="B3" s="208" t="s">
        <v>1053</v>
      </c>
      <c r="C3" s="208"/>
      <c r="D3" s="208"/>
    </row>
    <row r="4" spans="2:4" s="3" customFormat="1" ht="30" customHeight="1" x14ac:dyDescent="0.25">
      <c r="B4" s="188" t="s">
        <v>1897</v>
      </c>
      <c r="C4" s="189"/>
      <c r="D4" s="190"/>
    </row>
    <row r="5" spans="2:4" s="3" customFormat="1" x14ac:dyDescent="0.25">
      <c r="B5" s="196" t="s">
        <v>6</v>
      </c>
      <c r="C5" s="196"/>
      <c r="D5" s="68" t="s">
        <v>0</v>
      </c>
    </row>
    <row r="6" spans="2:4" s="3" customFormat="1" ht="72" customHeight="1" x14ac:dyDescent="0.25">
      <c r="B6" s="209" t="s">
        <v>695</v>
      </c>
      <c r="C6" s="209"/>
      <c r="D6" s="65" t="s">
        <v>696</v>
      </c>
    </row>
    <row r="7" spans="2:4" s="3" customFormat="1" x14ac:dyDescent="0.25"/>
    <row r="8" spans="2:4" x14ac:dyDescent="0.25">
      <c r="B8" s="206" t="s">
        <v>1054</v>
      </c>
      <c r="C8" s="206"/>
      <c r="D8" s="206"/>
    </row>
    <row r="9" spans="2:4" x14ac:dyDescent="0.25">
      <c r="B9" s="94" t="s">
        <v>1055</v>
      </c>
      <c r="C9" s="94" t="s">
        <v>701</v>
      </c>
      <c r="D9" s="95" t="s">
        <v>1056</v>
      </c>
    </row>
    <row r="10" spans="2:4" x14ac:dyDescent="0.25">
      <c r="B10" s="94" t="s">
        <v>72</v>
      </c>
      <c r="C10" s="94" t="s">
        <v>701</v>
      </c>
      <c r="D10" s="95" t="s">
        <v>1057</v>
      </c>
    </row>
    <row r="11" spans="2:4" x14ac:dyDescent="0.25">
      <c r="B11" s="94" t="s">
        <v>706</v>
      </c>
      <c r="C11" s="94" t="s">
        <v>701</v>
      </c>
      <c r="D11" s="95" t="s">
        <v>707</v>
      </c>
    </row>
    <row r="13" spans="2:4" x14ac:dyDescent="0.25">
      <c r="B13" s="206" t="s">
        <v>1058</v>
      </c>
      <c r="C13" s="206"/>
      <c r="D13" s="206"/>
    </row>
    <row r="14" spans="2:4" x14ac:dyDescent="0.25">
      <c r="B14" s="219" t="s">
        <v>1059</v>
      </c>
      <c r="C14" s="219"/>
      <c r="D14" s="219"/>
    </row>
    <row r="15" spans="2:4" x14ac:dyDescent="0.25">
      <c r="B15" s="94" t="s">
        <v>1060</v>
      </c>
      <c r="C15" s="94" t="s">
        <v>701</v>
      </c>
      <c r="D15" s="95" t="s">
        <v>1061</v>
      </c>
    </row>
    <row r="16" spans="2:4" x14ac:dyDescent="0.25">
      <c r="B16" s="94" t="s">
        <v>1062</v>
      </c>
      <c r="C16" s="94" t="s">
        <v>701</v>
      </c>
      <c r="D16" s="95" t="s">
        <v>1063</v>
      </c>
    </row>
    <row r="17" spans="2:4" x14ac:dyDescent="0.25">
      <c r="B17" s="94" t="s">
        <v>1064</v>
      </c>
      <c r="C17" s="94" t="s">
        <v>701</v>
      </c>
      <c r="D17" s="95" t="s">
        <v>1065</v>
      </c>
    </row>
    <row r="18" spans="2:4" x14ac:dyDescent="0.25">
      <c r="B18" s="94" t="s">
        <v>1066</v>
      </c>
      <c r="C18" s="94" t="s">
        <v>701</v>
      </c>
      <c r="D18" s="95" t="s">
        <v>1067</v>
      </c>
    </row>
    <row r="19" spans="2:4" x14ac:dyDescent="0.25">
      <c r="B19" s="94" t="s">
        <v>1068</v>
      </c>
      <c r="C19" s="94" t="s">
        <v>701</v>
      </c>
      <c r="D19" s="95" t="s">
        <v>1069</v>
      </c>
    </row>
    <row r="20" spans="2:4" x14ac:dyDescent="0.25">
      <c r="B20" s="94" t="s">
        <v>1070</v>
      </c>
      <c r="C20" s="96" t="s">
        <v>701</v>
      </c>
      <c r="D20" s="95" t="s">
        <v>1071</v>
      </c>
    </row>
    <row r="21" spans="2:4" x14ac:dyDescent="0.25">
      <c r="B21" s="94" t="s">
        <v>738</v>
      </c>
      <c r="C21" s="94" t="s">
        <v>701</v>
      </c>
      <c r="D21" s="95" t="s">
        <v>1072</v>
      </c>
    </row>
    <row r="22" spans="2:4" x14ac:dyDescent="0.25">
      <c r="B22" s="94" t="s">
        <v>1073</v>
      </c>
      <c r="C22" s="96" t="s">
        <v>701</v>
      </c>
      <c r="D22" s="95" t="s">
        <v>1074</v>
      </c>
    </row>
    <row r="23" spans="2:4" x14ac:dyDescent="0.25">
      <c r="B23" s="94" t="s">
        <v>1075</v>
      </c>
      <c r="C23" s="94" t="s">
        <v>701</v>
      </c>
      <c r="D23" s="95" t="s">
        <v>1076</v>
      </c>
    </row>
    <row r="24" spans="2:4" x14ac:dyDescent="0.25">
      <c r="B24" s="94" t="s">
        <v>238</v>
      </c>
      <c r="C24" s="94" t="s">
        <v>701</v>
      </c>
      <c r="D24" s="95" t="s">
        <v>1077</v>
      </c>
    </row>
    <row r="25" spans="2:4" x14ac:dyDescent="0.25">
      <c r="B25" s="94" t="s">
        <v>1078</v>
      </c>
      <c r="C25" s="96" t="s">
        <v>701</v>
      </c>
      <c r="D25" s="95" t="s">
        <v>1079</v>
      </c>
    </row>
    <row r="26" spans="2:4" x14ac:dyDescent="0.25">
      <c r="B26" s="94" t="s">
        <v>1080</v>
      </c>
      <c r="C26" s="94" t="s">
        <v>701</v>
      </c>
      <c r="D26" s="95" t="s">
        <v>1081</v>
      </c>
    </row>
    <row r="27" spans="2:4" x14ac:dyDescent="0.25">
      <c r="B27" s="94" t="s">
        <v>1082</v>
      </c>
      <c r="C27" s="96" t="s">
        <v>701</v>
      </c>
      <c r="D27" s="95" t="s">
        <v>1083</v>
      </c>
    </row>
    <row r="28" spans="2:4" x14ac:dyDescent="0.25">
      <c r="B28" s="94" t="s">
        <v>1084</v>
      </c>
      <c r="C28" s="94" t="s">
        <v>701</v>
      </c>
      <c r="D28" s="95" t="s">
        <v>1085</v>
      </c>
    </row>
    <row r="29" spans="2:4" x14ac:dyDescent="0.25">
      <c r="B29" s="94" t="s">
        <v>761</v>
      </c>
      <c r="C29" s="94" t="s">
        <v>701</v>
      </c>
      <c r="D29" s="95" t="s">
        <v>762</v>
      </c>
    </row>
    <row r="30" spans="2:4" x14ac:dyDescent="0.25">
      <c r="B30" s="94" t="s">
        <v>1086</v>
      </c>
      <c r="C30" s="94" t="s">
        <v>701</v>
      </c>
      <c r="D30" s="95" t="s">
        <v>1087</v>
      </c>
    </row>
    <row r="31" spans="2:4" x14ac:dyDescent="0.25">
      <c r="B31" s="94" t="s">
        <v>1088</v>
      </c>
      <c r="C31" s="94" t="s">
        <v>701</v>
      </c>
      <c r="D31" s="95" t="s">
        <v>1089</v>
      </c>
    </row>
    <row r="32" spans="2:4" x14ac:dyDescent="0.25">
      <c r="B32" s="94" t="s">
        <v>1090</v>
      </c>
      <c r="C32" s="94" t="s">
        <v>701</v>
      </c>
      <c r="D32" s="95" t="s">
        <v>1091</v>
      </c>
    </row>
    <row r="33" spans="2:4" x14ac:dyDescent="0.25">
      <c r="B33" s="97"/>
      <c r="C33" s="98"/>
    </row>
    <row r="34" spans="2:4" x14ac:dyDescent="0.25">
      <c r="B34" s="206" t="s">
        <v>1093</v>
      </c>
      <c r="C34" s="206"/>
      <c r="D34" s="206"/>
    </row>
    <row r="35" spans="2:4" ht="45" x14ac:dyDescent="0.25">
      <c r="B35" s="94" t="s">
        <v>773</v>
      </c>
      <c r="C35" s="94" t="s">
        <v>701</v>
      </c>
      <c r="D35" s="95" t="s">
        <v>774</v>
      </c>
    </row>
    <row r="36" spans="2:4" x14ac:dyDescent="0.25">
      <c r="B36" s="94" t="s">
        <v>775</v>
      </c>
      <c r="C36" s="96" t="s">
        <v>701</v>
      </c>
      <c r="D36" s="95" t="s">
        <v>776</v>
      </c>
    </row>
    <row r="37" spans="2:4" x14ac:dyDescent="0.25">
      <c r="B37" s="97"/>
    </row>
    <row r="38" spans="2:4" x14ac:dyDescent="0.25">
      <c r="B38" s="97"/>
    </row>
    <row r="39" spans="2:4" x14ac:dyDescent="0.25">
      <c r="B39" s="97"/>
    </row>
  </sheetData>
  <mergeCells count="8">
    <mergeCell ref="B34:D34"/>
    <mergeCell ref="B3:D3"/>
    <mergeCell ref="B5:C5"/>
    <mergeCell ref="B6:C6"/>
    <mergeCell ref="B8:D8"/>
    <mergeCell ref="B13:D13"/>
    <mergeCell ref="B14:D14"/>
    <mergeCell ref="B4:D4"/>
  </mergeCells>
  <hyperlinks>
    <hyperlink ref="B6:C6" location="'Urban Runoff'!A1" display="Urban Runoff"/>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M140"/>
  <sheetViews>
    <sheetView showGridLines="0" zoomScaleNormal="100" workbookViewId="0">
      <pane xSplit="1" ySplit="3" topLeftCell="B4" activePane="bottomRight" state="frozen"/>
      <selection activeCell="B5" sqref="B5:C7"/>
      <selection pane="topRight" activeCell="B5" sqref="B5:C7"/>
      <selection pane="bottomLeft" activeCell="B5" sqref="B5:C7"/>
      <selection pane="bottomRight"/>
    </sheetView>
  </sheetViews>
  <sheetFormatPr defaultRowHeight="15" x14ac:dyDescent="0.25"/>
  <cols>
    <col min="1" max="1" width="13.42578125" style="105" customWidth="1"/>
    <col min="2" max="2" width="14.28515625" style="105" customWidth="1"/>
    <col min="3" max="3" width="17.140625" style="105" customWidth="1"/>
    <col min="4" max="4" width="17.28515625" style="105" customWidth="1"/>
    <col min="5" max="5" width="14.28515625" style="105" bestFit="1" customWidth="1"/>
    <col min="6" max="6" width="14.28515625" style="105" customWidth="1"/>
    <col min="7" max="7" width="27.42578125" style="105" customWidth="1"/>
    <col min="8" max="8" width="11.42578125" style="105" customWidth="1"/>
    <col min="9" max="9" width="13.85546875" style="25" customWidth="1"/>
    <col min="10" max="10" width="14.5703125" style="25" customWidth="1"/>
    <col min="11" max="12" width="25.42578125" style="105" customWidth="1"/>
    <col min="13" max="13" width="77.5703125" customWidth="1"/>
  </cols>
  <sheetData>
    <row r="1" spans="1:13" s="5" customFormat="1" ht="16.5" customHeight="1" x14ac:dyDescent="0.2">
      <c r="A1" s="158"/>
      <c r="B1" s="11"/>
      <c r="C1" s="11"/>
      <c r="D1" s="11"/>
      <c r="E1" s="11"/>
      <c r="I1" s="185"/>
      <c r="J1" s="185"/>
    </row>
    <row r="2" spans="1:13" s="5" customFormat="1" ht="16.5" customHeight="1" x14ac:dyDescent="0.2">
      <c r="A2" s="123"/>
      <c r="B2" s="123"/>
      <c r="C2" s="123"/>
      <c r="D2" s="123"/>
      <c r="E2" s="11"/>
      <c r="I2" s="185"/>
      <c r="J2" s="185"/>
    </row>
    <row r="3" spans="1:13" ht="38.25" x14ac:dyDescent="0.25">
      <c r="A3" s="58" t="s">
        <v>777</v>
      </c>
      <c r="B3" s="57" t="s">
        <v>778</v>
      </c>
      <c r="C3" s="57" t="s">
        <v>1094</v>
      </c>
      <c r="D3" s="57" t="s">
        <v>1095</v>
      </c>
      <c r="E3" s="57" t="s">
        <v>1096</v>
      </c>
      <c r="F3" s="57" t="s">
        <v>1100</v>
      </c>
      <c r="G3" s="57" t="s">
        <v>784</v>
      </c>
      <c r="H3" s="57" t="s">
        <v>786</v>
      </c>
      <c r="I3" s="184" t="s">
        <v>1097</v>
      </c>
      <c r="J3" s="184" t="s">
        <v>787</v>
      </c>
      <c r="K3" s="57" t="s">
        <v>1261</v>
      </c>
      <c r="L3" s="57" t="s">
        <v>1262</v>
      </c>
      <c r="M3" s="57" t="s">
        <v>789</v>
      </c>
    </row>
    <row r="4" spans="1:13" ht="51" x14ac:dyDescent="0.25">
      <c r="A4" s="18" t="s">
        <v>72</v>
      </c>
      <c r="B4" s="18" t="s">
        <v>1060</v>
      </c>
      <c r="C4" s="102">
        <v>0.15</v>
      </c>
      <c r="D4" s="100">
        <v>484.42635798555636</v>
      </c>
      <c r="E4" s="18" t="s">
        <v>1098</v>
      </c>
      <c r="F4" s="18">
        <v>2008</v>
      </c>
      <c r="G4" s="8" t="s">
        <v>1121</v>
      </c>
      <c r="H4" s="32" t="s">
        <v>773</v>
      </c>
      <c r="I4" s="74" t="s">
        <v>817</v>
      </c>
      <c r="J4" s="8" t="s">
        <v>610</v>
      </c>
      <c r="K4" s="18" t="s">
        <v>956</v>
      </c>
      <c r="L4" s="18">
        <v>4</v>
      </c>
      <c r="M4" s="103"/>
    </row>
    <row r="5" spans="1:13" ht="51" x14ac:dyDescent="0.25">
      <c r="A5" s="18" t="s">
        <v>72</v>
      </c>
      <c r="B5" s="18" t="s">
        <v>1060</v>
      </c>
      <c r="C5" s="102">
        <v>0.15</v>
      </c>
      <c r="D5" s="100">
        <v>484.42635798555636</v>
      </c>
      <c r="E5" s="18" t="s">
        <v>1098</v>
      </c>
      <c r="F5" s="18">
        <v>2008</v>
      </c>
      <c r="G5" s="8" t="s">
        <v>1122</v>
      </c>
      <c r="H5" s="32" t="s">
        <v>773</v>
      </c>
      <c r="I5" s="74" t="s">
        <v>817</v>
      </c>
      <c r="J5" s="8" t="s">
        <v>610</v>
      </c>
      <c r="K5" s="18" t="s">
        <v>956</v>
      </c>
      <c r="L5" s="18">
        <v>4</v>
      </c>
      <c r="M5" s="103"/>
    </row>
    <row r="6" spans="1:13" ht="51" x14ac:dyDescent="0.25">
      <c r="A6" s="18" t="s">
        <v>72</v>
      </c>
      <c r="B6" s="18" t="s">
        <v>1060</v>
      </c>
      <c r="C6" s="102">
        <v>0.15</v>
      </c>
      <c r="D6" s="100">
        <v>484.42635798555636</v>
      </c>
      <c r="E6" s="18" t="s">
        <v>1098</v>
      </c>
      <c r="F6" s="18">
        <v>2008</v>
      </c>
      <c r="G6" s="8" t="s">
        <v>1123</v>
      </c>
      <c r="H6" s="32" t="s">
        <v>773</v>
      </c>
      <c r="I6" s="74" t="s">
        <v>817</v>
      </c>
      <c r="J6" s="8" t="s">
        <v>610</v>
      </c>
      <c r="K6" s="18" t="s">
        <v>956</v>
      </c>
      <c r="L6" s="18">
        <v>4</v>
      </c>
      <c r="M6" s="103"/>
    </row>
    <row r="7" spans="1:13" ht="51" x14ac:dyDescent="0.25">
      <c r="A7" s="18" t="s">
        <v>72</v>
      </c>
      <c r="B7" s="18" t="s">
        <v>1060</v>
      </c>
      <c r="C7" s="102">
        <v>0.15</v>
      </c>
      <c r="D7" s="100">
        <v>484.42635798555636</v>
      </c>
      <c r="E7" s="18" t="s">
        <v>1098</v>
      </c>
      <c r="F7" s="18">
        <v>2008</v>
      </c>
      <c r="G7" s="8" t="s">
        <v>1124</v>
      </c>
      <c r="H7" s="32" t="s">
        <v>773</v>
      </c>
      <c r="I7" s="74" t="s">
        <v>817</v>
      </c>
      <c r="J7" s="8" t="s">
        <v>610</v>
      </c>
      <c r="K7" s="18" t="s">
        <v>956</v>
      </c>
      <c r="L7" s="18">
        <v>4</v>
      </c>
      <c r="M7" s="103"/>
    </row>
    <row r="8" spans="1:13" ht="51" x14ac:dyDescent="0.25">
      <c r="A8" s="18" t="s">
        <v>72</v>
      </c>
      <c r="B8" s="18" t="s">
        <v>1064</v>
      </c>
      <c r="C8" s="102">
        <v>0.15</v>
      </c>
      <c r="D8" s="100">
        <v>7046.2015706990014</v>
      </c>
      <c r="E8" s="18" t="s">
        <v>1098</v>
      </c>
      <c r="F8" s="18">
        <v>2008</v>
      </c>
      <c r="G8" s="8" t="s">
        <v>1121</v>
      </c>
      <c r="H8" s="32" t="s">
        <v>773</v>
      </c>
      <c r="I8" s="74" t="s">
        <v>817</v>
      </c>
      <c r="J8" s="8" t="s">
        <v>610</v>
      </c>
      <c r="K8" s="18" t="s">
        <v>956</v>
      </c>
      <c r="L8" s="18">
        <v>4</v>
      </c>
      <c r="M8" s="7"/>
    </row>
    <row r="9" spans="1:13" ht="51" x14ac:dyDescent="0.25">
      <c r="A9" s="18" t="s">
        <v>72</v>
      </c>
      <c r="B9" s="18" t="s">
        <v>1064</v>
      </c>
      <c r="C9" s="102">
        <v>0.15</v>
      </c>
      <c r="D9" s="100">
        <v>3523.1007853495007</v>
      </c>
      <c r="E9" s="18" t="s">
        <v>1098</v>
      </c>
      <c r="F9" s="18">
        <v>2008</v>
      </c>
      <c r="G9" s="8" t="s">
        <v>1121</v>
      </c>
      <c r="H9" s="32" t="s">
        <v>773</v>
      </c>
      <c r="I9" s="74" t="s">
        <v>817</v>
      </c>
      <c r="J9" s="8" t="s">
        <v>610</v>
      </c>
      <c r="K9" s="18" t="s">
        <v>956</v>
      </c>
      <c r="L9" s="18">
        <v>4</v>
      </c>
      <c r="M9" s="7"/>
    </row>
    <row r="10" spans="1:13" ht="51" x14ac:dyDescent="0.25">
      <c r="A10" s="18" t="s">
        <v>72</v>
      </c>
      <c r="B10" s="18" t="s">
        <v>1064</v>
      </c>
      <c r="C10" s="102">
        <v>0.25</v>
      </c>
      <c r="D10" s="100">
        <v>7046.2015706990014</v>
      </c>
      <c r="E10" s="18" t="s">
        <v>1098</v>
      </c>
      <c r="F10" s="18">
        <v>2008</v>
      </c>
      <c r="G10" s="8" t="s">
        <v>1122</v>
      </c>
      <c r="H10" s="32" t="s">
        <v>773</v>
      </c>
      <c r="I10" s="74" t="s">
        <v>817</v>
      </c>
      <c r="J10" s="8" t="s">
        <v>610</v>
      </c>
      <c r="K10" s="18" t="s">
        <v>956</v>
      </c>
      <c r="L10" s="18">
        <v>4</v>
      </c>
      <c r="M10" s="7"/>
    </row>
    <row r="11" spans="1:13" ht="51" x14ac:dyDescent="0.25">
      <c r="A11" s="18" t="s">
        <v>72</v>
      </c>
      <c r="B11" s="18" t="s">
        <v>1064</v>
      </c>
      <c r="C11" s="102">
        <v>0.15</v>
      </c>
      <c r="D11" s="100">
        <v>3523.1007853495007</v>
      </c>
      <c r="E11" s="18" t="s">
        <v>1098</v>
      </c>
      <c r="F11" s="18">
        <v>2008</v>
      </c>
      <c r="G11" s="8" t="s">
        <v>1122</v>
      </c>
      <c r="H11" s="32" t="s">
        <v>773</v>
      </c>
      <c r="I11" s="74" t="s">
        <v>817</v>
      </c>
      <c r="J11" s="8" t="s">
        <v>610</v>
      </c>
      <c r="K11" s="18" t="s">
        <v>956</v>
      </c>
      <c r="L11" s="18">
        <v>4</v>
      </c>
      <c r="M11" s="7"/>
    </row>
    <row r="12" spans="1:13" ht="51" x14ac:dyDescent="0.25">
      <c r="A12" s="18" t="s">
        <v>72</v>
      </c>
      <c r="B12" s="18" t="s">
        <v>1064</v>
      </c>
      <c r="C12" s="102">
        <v>0.25</v>
      </c>
      <c r="D12" s="100">
        <v>7046.2015706990014</v>
      </c>
      <c r="E12" s="18" t="s">
        <v>1098</v>
      </c>
      <c r="F12" s="18">
        <v>2008</v>
      </c>
      <c r="G12" s="8" t="s">
        <v>1123</v>
      </c>
      <c r="H12" s="32" t="s">
        <v>773</v>
      </c>
      <c r="I12" s="74" t="s">
        <v>817</v>
      </c>
      <c r="J12" s="8" t="s">
        <v>610</v>
      </c>
      <c r="K12" s="18" t="s">
        <v>956</v>
      </c>
      <c r="L12" s="18">
        <v>4</v>
      </c>
      <c r="M12" s="7"/>
    </row>
    <row r="13" spans="1:13" ht="51" x14ac:dyDescent="0.25">
      <c r="A13" s="18" t="s">
        <v>72</v>
      </c>
      <c r="B13" s="18" t="s">
        <v>1064</v>
      </c>
      <c r="C13" s="102">
        <v>0.15</v>
      </c>
      <c r="D13" s="100">
        <v>3523.1007853495007</v>
      </c>
      <c r="E13" s="18" t="s">
        <v>1098</v>
      </c>
      <c r="F13" s="18">
        <v>2008</v>
      </c>
      <c r="G13" s="8" t="s">
        <v>1123</v>
      </c>
      <c r="H13" s="32" t="s">
        <v>773</v>
      </c>
      <c r="I13" s="74" t="s">
        <v>817</v>
      </c>
      <c r="J13" s="8" t="s">
        <v>610</v>
      </c>
      <c r="K13" s="18" t="s">
        <v>956</v>
      </c>
      <c r="L13" s="18">
        <v>4</v>
      </c>
      <c r="M13" s="7"/>
    </row>
    <row r="14" spans="1:13" ht="51" x14ac:dyDescent="0.25">
      <c r="A14" s="18" t="s">
        <v>72</v>
      </c>
      <c r="B14" s="18" t="s">
        <v>1064</v>
      </c>
      <c r="C14" s="102">
        <v>0.25</v>
      </c>
      <c r="D14" s="100">
        <v>7046.2015706990014</v>
      </c>
      <c r="E14" s="18" t="s">
        <v>1098</v>
      </c>
      <c r="F14" s="18">
        <v>2008</v>
      </c>
      <c r="G14" s="8" t="s">
        <v>1124</v>
      </c>
      <c r="H14" s="32" t="s">
        <v>773</v>
      </c>
      <c r="I14" s="74" t="s">
        <v>817</v>
      </c>
      <c r="J14" s="8" t="s">
        <v>610</v>
      </c>
      <c r="K14" s="18" t="s">
        <v>956</v>
      </c>
      <c r="L14" s="18">
        <v>4</v>
      </c>
      <c r="M14" s="7"/>
    </row>
    <row r="15" spans="1:13" ht="51" x14ac:dyDescent="0.25">
      <c r="A15" s="18" t="s">
        <v>72</v>
      </c>
      <c r="B15" s="18" t="s">
        <v>1064</v>
      </c>
      <c r="C15" s="102">
        <v>0.15</v>
      </c>
      <c r="D15" s="100">
        <v>3523.1007853495007</v>
      </c>
      <c r="E15" s="18" t="s">
        <v>1098</v>
      </c>
      <c r="F15" s="18">
        <v>2008</v>
      </c>
      <c r="G15" s="8" t="s">
        <v>1124</v>
      </c>
      <c r="H15" s="32" t="s">
        <v>773</v>
      </c>
      <c r="I15" s="74" t="s">
        <v>817</v>
      </c>
      <c r="J15" s="8" t="s">
        <v>610</v>
      </c>
      <c r="K15" s="18" t="s">
        <v>956</v>
      </c>
      <c r="L15" s="18">
        <v>4</v>
      </c>
      <c r="M15" s="7"/>
    </row>
    <row r="16" spans="1:13" ht="51" x14ac:dyDescent="0.25">
      <c r="A16" s="18" t="s">
        <v>72</v>
      </c>
      <c r="B16" s="18" t="s">
        <v>1068</v>
      </c>
      <c r="C16" s="102">
        <v>0.2</v>
      </c>
      <c r="D16" s="100">
        <v>8807.751963373752</v>
      </c>
      <c r="E16" s="18" t="s">
        <v>1098</v>
      </c>
      <c r="F16" s="18">
        <v>2008</v>
      </c>
      <c r="G16" s="8" t="s">
        <v>1121</v>
      </c>
      <c r="H16" s="32" t="s">
        <v>773</v>
      </c>
      <c r="I16" s="74" t="s">
        <v>817</v>
      </c>
      <c r="J16" s="8" t="s">
        <v>610</v>
      </c>
      <c r="K16" s="18" t="s">
        <v>956</v>
      </c>
      <c r="L16" s="18">
        <v>4</v>
      </c>
      <c r="M16" s="7"/>
    </row>
    <row r="17" spans="1:13" ht="51" x14ac:dyDescent="0.25">
      <c r="A17" s="18" t="s">
        <v>72</v>
      </c>
      <c r="B17" s="18" t="s">
        <v>1068</v>
      </c>
      <c r="C17" s="102">
        <v>0.15</v>
      </c>
      <c r="D17" s="100">
        <v>4403.875981686876</v>
      </c>
      <c r="E17" s="18" t="s">
        <v>1098</v>
      </c>
      <c r="F17" s="18">
        <v>2008</v>
      </c>
      <c r="G17" s="8" t="s">
        <v>1121</v>
      </c>
      <c r="H17" s="32" t="s">
        <v>773</v>
      </c>
      <c r="I17" s="74" t="s">
        <v>817</v>
      </c>
      <c r="J17" s="8" t="s">
        <v>610</v>
      </c>
      <c r="K17" s="18" t="s">
        <v>956</v>
      </c>
      <c r="L17" s="18">
        <v>4</v>
      </c>
      <c r="M17" s="7"/>
    </row>
    <row r="18" spans="1:13" ht="51" x14ac:dyDescent="0.25">
      <c r="A18" s="18" t="s">
        <v>72</v>
      </c>
      <c r="B18" s="18" t="s">
        <v>1068</v>
      </c>
      <c r="C18" s="102">
        <v>0.2</v>
      </c>
      <c r="D18" s="100">
        <v>8807.751963373752</v>
      </c>
      <c r="E18" s="18" t="s">
        <v>1098</v>
      </c>
      <c r="F18" s="18">
        <v>2008</v>
      </c>
      <c r="G18" s="8" t="s">
        <v>1122</v>
      </c>
      <c r="H18" s="32" t="s">
        <v>773</v>
      </c>
      <c r="I18" s="74" t="s">
        <v>817</v>
      </c>
      <c r="J18" s="8" t="s">
        <v>610</v>
      </c>
      <c r="K18" s="18" t="s">
        <v>956</v>
      </c>
      <c r="L18" s="18">
        <v>4</v>
      </c>
      <c r="M18" s="7"/>
    </row>
    <row r="19" spans="1:13" ht="51" x14ac:dyDescent="0.25">
      <c r="A19" s="18" t="s">
        <v>72</v>
      </c>
      <c r="B19" s="18" t="s">
        <v>1068</v>
      </c>
      <c r="C19" s="102">
        <v>0.15</v>
      </c>
      <c r="D19" s="100">
        <v>4403.875981686876</v>
      </c>
      <c r="E19" s="18" t="s">
        <v>1098</v>
      </c>
      <c r="F19" s="18">
        <v>2008</v>
      </c>
      <c r="G19" s="8" t="s">
        <v>1122</v>
      </c>
      <c r="H19" s="32" t="s">
        <v>773</v>
      </c>
      <c r="I19" s="74" t="s">
        <v>817</v>
      </c>
      <c r="J19" s="8" t="s">
        <v>610</v>
      </c>
      <c r="K19" s="18" t="s">
        <v>956</v>
      </c>
      <c r="L19" s="18">
        <v>4</v>
      </c>
      <c r="M19" s="7"/>
    </row>
    <row r="20" spans="1:13" ht="51" x14ac:dyDescent="0.25">
      <c r="A20" s="18" t="s">
        <v>72</v>
      </c>
      <c r="B20" s="18" t="s">
        <v>1068</v>
      </c>
      <c r="C20" s="102">
        <v>0.2</v>
      </c>
      <c r="D20" s="100">
        <v>8807.751963373752</v>
      </c>
      <c r="E20" s="18" t="s">
        <v>1098</v>
      </c>
      <c r="F20" s="18">
        <v>2008</v>
      </c>
      <c r="G20" s="8" t="s">
        <v>1123</v>
      </c>
      <c r="H20" s="32" t="s">
        <v>773</v>
      </c>
      <c r="I20" s="74" t="s">
        <v>817</v>
      </c>
      <c r="J20" s="8" t="s">
        <v>610</v>
      </c>
      <c r="K20" s="18" t="s">
        <v>956</v>
      </c>
      <c r="L20" s="18">
        <v>4</v>
      </c>
      <c r="M20" s="7"/>
    </row>
    <row r="21" spans="1:13" ht="51" x14ac:dyDescent="0.25">
      <c r="A21" s="18" t="s">
        <v>72</v>
      </c>
      <c r="B21" s="18" t="s">
        <v>1068</v>
      </c>
      <c r="C21" s="102">
        <v>0.15</v>
      </c>
      <c r="D21" s="100">
        <v>4403.875981686876</v>
      </c>
      <c r="E21" s="18" t="s">
        <v>1098</v>
      </c>
      <c r="F21" s="18">
        <v>2008</v>
      </c>
      <c r="G21" s="8" t="s">
        <v>1123</v>
      </c>
      <c r="H21" s="32" t="s">
        <v>773</v>
      </c>
      <c r="I21" s="74" t="s">
        <v>817</v>
      </c>
      <c r="J21" s="8" t="s">
        <v>610</v>
      </c>
      <c r="K21" s="18" t="s">
        <v>956</v>
      </c>
      <c r="L21" s="18">
        <v>4</v>
      </c>
      <c r="M21" s="7"/>
    </row>
    <row r="22" spans="1:13" ht="51" x14ac:dyDescent="0.25">
      <c r="A22" s="18" t="s">
        <v>72</v>
      </c>
      <c r="B22" s="18" t="s">
        <v>1068</v>
      </c>
      <c r="C22" s="102">
        <v>0.2</v>
      </c>
      <c r="D22" s="100">
        <v>8807.751963373752</v>
      </c>
      <c r="E22" s="18" t="s">
        <v>1098</v>
      </c>
      <c r="F22" s="18">
        <v>2008</v>
      </c>
      <c r="G22" s="8" t="s">
        <v>1124</v>
      </c>
      <c r="H22" s="32" t="s">
        <v>773</v>
      </c>
      <c r="I22" s="74" t="s">
        <v>817</v>
      </c>
      <c r="J22" s="8" t="s">
        <v>610</v>
      </c>
      <c r="K22" s="18" t="s">
        <v>956</v>
      </c>
      <c r="L22" s="18">
        <v>4</v>
      </c>
      <c r="M22" s="7"/>
    </row>
    <row r="23" spans="1:13" ht="51" x14ac:dyDescent="0.25">
      <c r="A23" s="18" t="s">
        <v>72</v>
      </c>
      <c r="B23" s="18" t="s">
        <v>1068</v>
      </c>
      <c r="C23" s="102">
        <v>0.15</v>
      </c>
      <c r="D23" s="100">
        <v>4403.875981686876</v>
      </c>
      <c r="E23" s="18" t="s">
        <v>1098</v>
      </c>
      <c r="F23" s="18">
        <v>2008</v>
      </c>
      <c r="G23" s="8" t="s">
        <v>1124</v>
      </c>
      <c r="H23" s="32" t="s">
        <v>773</v>
      </c>
      <c r="I23" s="74" t="s">
        <v>817</v>
      </c>
      <c r="J23" s="8" t="s">
        <v>610</v>
      </c>
      <c r="K23" s="18" t="s">
        <v>956</v>
      </c>
      <c r="L23" s="18">
        <v>4</v>
      </c>
      <c r="M23" s="7"/>
    </row>
    <row r="24" spans="1:13" ht="51" x14ac:dyDescent="0.25">
      <c r="A24" s="18" t="s">
        <v>72</v>
      </c>
      <c r="B24" s="18" t="s">
        <v>1070</v>
      </c>
      <c r="C24" s="102">
        <v>0.15</v>
      </c>
      <c r="D24" s="100">
        <v>12.110658949638909</v>
      </c>
      <c r="E24" s="18" t="s">
        <v>1098</v>
      </c>
      <c r="F24" s="18">
        <v>2008</v>
      </c>
      <c r="G24" s="8" t="s">
        <v>1121</v>
      </c>
      <c r="H24" s="32" t="s">
        <v>773</v>
      </c>
      <c r="I24" s="74" t="s">
        <v>817</v>
      </c>
      <c r="J24" s="8" t="s">
        <v>610</v>
      </c>
      <c r="K24" s="18" t="s">
        <v>956</v>
      </c>
      <c r="L24" s="18">
        <v>4</v>
      </c>
      <c r="M24" s="7" t="s">
        <v>1099</v>
      </c>
    </row>
    <row r="25" spans="1:13" ht="51" x14ac:dyDescent="0.25">
      <c r="A25" s="18" t="s">
        <v>72</v>
      </c>
      <c r="B25" s="18" t="s">
        <v>1070</v>
      </c>
      <c r="C25" s="102">
        <v>0.25</v>
      </c>
      <c r="D25" s="100">
        <v>16.514534931325784</v>
      </c>
      <c r="E25" s="18" t="s">
        <v>1098</v>
      </c>
      <c r="F25" s="18">
        <v>2008</v>
      </c>
      <c r="G25" s="8" t="s">
        <v>1122</v>
      </c>
      <c r="H25" s="32" t="s">
        <v>773</v>
      </c>
      <c r="I25" s="74" t="s">
        <v>817</v>
      </c>
      <c r="J25" s="8" t="s">
        <v>610</v>
      </c>
      <c r="K25" s="18" t="s">
        <v>956</v>
      </c>
      <c r="L25" s="18">
        <v>4</v>
      </c>
      <c r="M25" s="7" t="s">
        <v>1099</v>
      </c>
    </row>
    <row r="26" spans="1:13" ht="51" x14ac:dyDescent="0.25">
      <c r="A26" s="18" t="s">
        <v>72</v>
      </c>
      <c r="B26" s="18" t="s">
        <v>1070</v>
      </c>
      <c r="C26" s="102">
        <v>0.3</v>
      </c>
      <c r="D26" s="100">
        <v>16.514534931325784</v>
      </c>
      <c r="E26" s="18" t="s">
        <v>1098</v>
      </c>
      <c r="F26" s="18">
        <v>2008</v>
      </c>
      <c r="G26" s="8" t="s">
        <v>1123</v>
      </c>
      <c r="H26" s="32" t="s">
        <v>773</v>
      </c>
      <c r="I26" s="74" t="s">
        <v>817</v>
      </c>
      <c r="J26" s="8" t="s">
        <v>610</v>
      </c>
      <c r="K26" s="18" t="s">
        <v>956</v>
      </c>
      <c r="L26" s="18">
        <v>4</v>
      </c>
      <c r="M26" s="7" t="s">
        <v>1099</v>
      </c>
    </row>
    <row r="27" spans="1:13" ht="51" x14ac:dyDescent="0.25">
      <c r="A27" s="18" t="s">
        <v>72</v>
      </c>
      <c r="B27" s="18" t="s">
        <v>1070</v>
      </c>
      <c r="C27" s="102">
        <v>0.25</v>
      </c>
      <c r="D27" s="100">
        <v>16.514534931325784</v>
      </c>
      <c r="E27" s="18" t="s">
        <v>1098</v>
      </c>
      <c r="F27" s="18">
        <v>2008</v>
      </c>
      <c r="G27" s="8" t="s">
        <v>1124</v>
      </c>
      <c r="H27" s="32" t="s">
        <v>773</v>
      </c>
      <c r="I27" s="74" t="s">
        <v>817</v>
      </c>
      <c r="J27" s="8" t="s">
        <v>610</v>
      </c>
      <c r="K27" s="18" t="s">
        <v>956</v>
      </c>
      <c r="L27" s="18">
        <v>4</v>
      </c>
      <c r="M27" s="7" t="s">
        <v>1099</v>
      </c>
    </row>
    <row r="28" spans="1:13" ht="51" x14ac:dyDescent="0.25">
      <c r="A28" s="18" t="s">
        <v>72</v>
      </c>
      <c r="B28" s="18" t="s">
        <v>1086</v>
      </c>
      <c r="C28" s="102">
        <v>0.02</v>
      </c>
      <c r="D28" s="100">
        <v>22.019379908434381</v>
      </c>
      <c r="E28" s="18" t="s">
        <v>1098</v>
      </c>
      <c r="F28" s="18">
        <v>2008</v>
      </c>
      <c r="G28" s="8" t="s">
        <v>1121</v>
      </c>
      <c r="H28" s="32" t="s">
        <v>773</v>
      </c>
      <c r="I28" s="74" t="s">
        <v>817</v>
      </c>
      <c r="J28" s="8" t="s">
        <v>610</v>
      </c>
      <c r="K28" s="18" t="s">
        <v>956</v>
      </c>
      <c r="L28" s="18">
        <v>4</v>
      </c>
      <c r="M28" s="7"/>
    </row>
    <row r="29" spans="1:13" ht="51" x14ac:dyDescent="0.25">
      <c r="A29" s="18" t="s">
        <v>72</v>
      </c>
      <c r="B29" s="18" t="s">
        <v>1086</v>
      </c>
      <c r="C29" s="102">
        <v>0.02</v>
      </c>
      <c r="D29" s="100">
        <v>22.019379908434381</v>
      </c>
      <c r="E29" s="18" t="s">
        <v>1098</v>
      </c>
      <c r="F29" s="18">
        <v>2008</v>
      </c>
      <c r="G29" s="8" t="s">
        <v>1122</v>
      </c>
      <c r="H29" s="32" t="s">
        <v>773</v>
      </c>
      <c r="I29" s="74" t="s">
        <v>817</v>
      </c>
      <c r="J29" s="8" t="s">
        <v>610</v>
      </c>
      <c r="K29" s="18" t="s">
        <v>956</v>
      </c>
      <c r="L29" s="18">
        <v>4</v>
      </c>
      <c r="M29" s="7"/>
    </row>
    <row r="30" spans="1:13" ht="51" x14ac:dyDescent="0.25">
      <c r="A30" s="18" t="s">
        <v>72</v>
      </c>
      <c r="B30" s="18" t="s">
        <v>1086</v>
      </c>
      <c r="C30" s="102">
        <v>0.02</v>
      </c>
      <c r="D30" s="100">
        <v>22.019379908434381</v>
      </c>
      <c r="E30" s="18" t="s">
        <v>1098</v>
      </c>
      <c r="F30" s="18">
        <v>2008</v>
      </c>
      <c r="G30" s="8" t="s">
        <v>1123</v>
      </c>
      <c r="H30" s="32" t="s">
        <v>773</v>
      </c>
      <c r="I30" s="74" t="s">
        <v>817</v>
      </c>
      <c r="J30" s="8" t="s">
        <v>610</v>
      </c>
      <c r="K30" s="18" t="s">
        <v>956</v>
      </c>
      <c r="L30" s="18">
        <v>4</v>
      </c>
      <c r="M30" s="7"/>
    </row>
    <row r="31" spans="1:13" ht="51" x14ac:dyDescent="0.25">
      <c r="A31" s="18" t="s">
        <v>72</v>
      </c>
      <c r="B31" s="18" t="s">
        <v>1086</v>
      </c>
      <c r="C31" s="102">
        <v>0.02</v>
      </c>
      <c r="D31" s="100">
        <v>22.019379908434381</v>
      </c>
      <c r="E31" s="18" t="s">
        <v>1098</v>
      </c>
      <c r="F31" s="18">
        <v>2008</v>
      </c>
      <c r="G31" s="8" t="s">
        <v>1124</v>
      </c>
      <c r="H31" s="32" t="s">
        <v>773</v>
      </c>
      <c r="I31" s="74" t="s">
        <v>817</v>
      </c>
      <c r="J31" s="8" t="s">
        <v>610</v>
      </c>
      <c r="K31" s="18" t="s">
        <v>956</v>
      </c>
      <c r="L31" s="18">
        <v>4</v>
      </c>
      <c r="M31" s="7"/>
    </row>
    <row r="32" spans="1:13" ht="51" x14ac:dyDescent="0.25">
      <c r="A32" s="18" t="s">
        <v>706</v>
      </c>
      <c r="B32" s="18" t="s">
        <v>1060</v>
      </c>
      <c r="C32" s="102">
        <v>0.2</v>
      </c>
      <c r="D32" s="100">
        <v>484.42635798555636</v>
      </c>
      <c r="E32" s="18" t="s">
        <v>1098</v>
      </c>
      <c r="F32" s="18">
        <v>2008</v>
      </c>
      <c r="G32" s="8" t="s">
        <v>1125</v>
      </c>
      <c r="H32" s="32" t="s">
        <v>773</v>
      </c>
      <c r="I32" s="74" t="s">
        <v>817</v>
      </c>
      <c r="J32" s="8" t="s">
        <v>610</v>
      </c>
      <c r="K32" s="18" t="s">
        <v>956</v>
      </c>
      <c r="L32" s="18">
        <v>4</v>
      </c>
      <c r="M32" s="103"/>
    </row>
    <row r="33" spans="1:13" ht="51" x14ac:dyDescent="0.25">
      <c r="A33" s="18" t="s">
        <v>706</v>
      </c>
      <c r="B33" s="18" t="s">
        <v>1060</v>
      </c>
      <c r="C33" s="102">
        <v>0.2</v>
      </c>
      <c r="D33" s="100">
        <v>484.42635798555636</v>
      </c>
      <c r="E33" s="18" t="s">
        <v>1098</v>
      </c>
      <c r="F33" s="18">
        <v>2008</v>
      </c>
      <c r="G33" s="8" t="s">
        <v>1126</v>
      </c>
      <c r="H33" s="32" t="s">
        <v>773</v>
      </c>
      <c r="I33" s="74" t="s">
        <v>817</v>
      </c>
      <c r="J33" s="8" t="s">
        <v>610</v>
      </c>
      <c r="K33" s="18" t="s">
        <v>956</v>
      </c>
      <c r="L33" s="18">
        <v>4</v>
      </c>
      <c r="M33" s="103"/>
    </row>
    <row r="34" spans="1:13" ht="51" x14ac:dyDescent="0.25">
      <c r="A34" s="18" t="s">
        <v>706</v>
      </c>
      <c r="B34" s="18" t="s">
        <v>1060</v>
      </c>
      <c r="C34" s="102">
        <v>0.2</v>
      </c>
      <c r="D34" s="100">
        <v>484.42635798555636</v>
      </c>
      <c r="E34" s="18" t="s">
        <v>1098</v>
      </c>
      <c r="F34" s="18">
        <v>2008</v>
      </c>
      <c r="G34" s="8" t="s">
        <v>1127</v>
      </c>
      <c r="H34" s="32" t="s">
        <v>773</v>
      </c>
      <c r="I34" s="74" t="s">
        <v>817</v>
      </c>
      <c r="J34" s="8" t="s">
        <v>610</v>
      </c>
      <c r="K34" s="18" t="s">
        <v>956</v>
      </c>
      <c r="L34" s="18">
        <v>4</v>
      </c>
      <c r="M34" s="103"/>
    </row>
    <row r="35" spans="1:13" ht="51" x14ac:dyDescent="0.25">
      <c r="A35" s="18" t="s">
        <v>706</v>
      </c>
      <c r="B35" s="18" t="s">
        <v>1060</v>
      </c>
      <c r="C35" s="102">
        <v>0.2</v>
      </c>
      <c r="D35" s="100">
        <v>484.42635798555636</v>
      </c>
      <c r="E35" s="18" t="s">
        <v>1098</v>
      </c>
      <c r="F35" s="18">
        <v>2008</v>
      </c>
      <c r="G35" s="8" t="s">
        <v>1128</v>
      </c>
      <c r="H35" s="32" t="s">
        <v>773</v>
      </c>
      <c r="I35" s="74" t="s">
        <v>817</v>
      </c>
      <c r="J35" s="8" t="s">
        <v>610</v>
      </c>
      <c r="K35" s="18" t="s">
        <v>956</v>
      </c>
      <c r="L35" s="18">
        <v>4</v>
      </c>
      <c r="M35" s="103"/>
    </row>
    <row r="36" spans="1:13" ht="51" x14ac:dyDescent="0.25">
      <c r="A36" s="18" t="s">
        <v>706</v>
      </c>
      <c r="B36" s="18" t="s">
        <v>1064</v>
      </c>
      <c r="C36" s="102">
        <v>0.5</v>
      </c>
      <c r="D36" s="100">
        <v>7046.2015706990014</v>
      </c>
      <c r="E36" s="18" t="s">
        <v>1098</v>
      </c>
      <c r="F36" s="18">
        <v>2008</v>
      </c>
      <c r="G36" s="8" t="s">
        <v>1125</v>
      </c>
      <c r="H36" s="32" t="s">
        <v>773</v>
      </c>
      <c r="I36" s="74" t="s">
        <v>817</v>
      </c>
      <c r="J36" s="8" t="s">
        <v>610</v>
      </c>
      <c r="K36" s="18" t="s">
        <v>956</v>
      </c>
      <c r="L36" s="18">
        <v>4</v>
      </c>
      <c r="M36" s="7"/>
    </row>
    <row r="37" spans="1:13" ht="51" x14ac:dyDescent="0.25">
      <c r="A37" s="18" t="s">
        <v>706</v>
      </c>
      <c r="B37" s="18" t="s">
        <v>1064</v>
      </c>
      <c r="C37" s="102">
        <v>0.25</v>
      </c>
      <c r="D37" s="100">
        <v>3523.1007853495007</v>
      </c>
      <c r="E37" s="18" t="s">
        <v>1098</v>
      </c>
      <c r="F37" s="18">
        <v>2008</v>
      </c>
      <c r="G37" s="8" t="s">
        <v>1125</v>
      </c>
      <c r="H37" s="32" t="s">
        <v>773</v>
      </c>
      <c r="I37" s="74" t="s">
        <v>817</v>
      </c>
      <c r="J37" s="8" t="s">
        <v>610</v>
      </c>
      <c r="K37" s="18" t="s">
        <v>956</v>
      </c>
      <c r="L37" s="18">
        <v>4</v>
      </c>
      <c r="M37" s="7"/>
    </row>
    <row r="38" spans="1:13" ht="51" x14ac:dyDescent="0.25">
      <c r="A38" s="18" t="s">
        <v>706</v>
      </c>
      <c r="B38" s="18" t="s">
        <v>1064</v>
      </c>
      <c r="C38" s="102">
        <v>0.5</v>
      </c>
      <c r="D38" s="100">
        <v>7046.2015706990014</v>
      </c>
      <c r="E38" s="18" t="s">
        <v>1098</v>
      </c>
      <c r="F38" s="18">
        <v>2008</v>
      </c>
      <c r="G38" s="8" t="s">
        <v>1126</v>
      </c>
      <c r="H38" s="32" t="s">
        <v>773</v>
      </c>
      <c r="I38" s="74" t="s">
        <v>817</v>
      </c>
      <c r="J38" s="8" t="s">
        <v>610</v>
      </c>
      <c r="K38" s="18" t="s">
        <v>956</v>
      </c>
      <c r="L38" s="18">
        <v>4</v>
      </c>
      <c r="M38" s="7"/>
    </row>
    <row r="39" spans="1:13" ht="51" x14ac:dyDescent="0.25">
      <c r="A39" s="18" t="s">
        <v>706</v>
      </c>
      <c r="B39" s="18" t="s">
        <v>1064</v>
      </c>
      <c r="C39" s="102">
        <v>0.25</v>
      </c>
      <c r="D39" s="100">
        <v>3523.1007853495007</v>
      </c>
      <c r="E39" s="18" t="s">
        <v>1098</v>
      </c>
      <c r="F39" s="18">
        <v>2008</v>
      </c>
      <c r="G39" s="8" t="s">
        <v>1126</v>
      </c>
      <c r="H39" s="32" t="s">
        <v>773</v>
      </c>
      <c r="I39" s="74" t="s">
        <v>817</v>
      </c>
      <c r="J39" s="8" t="s">
        <v>610</v>
      </c>
      <c r="K39" s="18" t="s">
        <v>956</v>
      </c>
      <c r="L39" s="18">
        <v>4</v>
      </c>
      <c r="M39" s="7"/>
    </row>
    <row r="40" spans="1:13" ht="51" x14ac:dyDescent="0.25">
      <c r="A40" s="18" t="s">
        <v>706</v>
      </c>
      <c r="B40" s="18" t="s">
        <v>1064</v>
      </c>
      <c r="C40" s="102">
        <v>0.5</v>
      </c>
      <c r="D40" s="100">
        <v>7046.2015706990014</v>
      </c>
      <c r="E40" s="18" t="s">
        <v>1098</v>
      </c>
      <c r="F40" s="18">
        <v>2008</v>
      </c>
      <c r="G40" s="8" t="s">
        <v>1127</v>
      </c>
      <c r="H40" s="32" t="s">
        <v>773</v>
      </c>
      <c r="I40" s="74" t="s">
        <v>817</v>
      </c>
      <c r="J40" s="8" t="s">
        <v>610</v>
      </c>
      <c r="K40" s="18" t="s">
        <v>956</v>
      </c>
      <c r="L40" s="18">
        <v>4</v>
      </c>
      <c r="M40" s="7"/>
    </row>
    <row r="41" spans="1:13" ht="51" x14ac:dyDescent="0.25">
      <c r="A41" s="18" t="s">
        <v>706</v>
      </c>
      <c r="B41" s="18" t="s">
        <v>1064</v>
      </c>
      <c r="C41" s="102">
        <v>0.25</v>
      </c>
      <c r="D41" s="100">
        <v>3523.1007853495007</v>
      </c>
      <c r="E41" s="18" t="s">
        <v>1098</v>
      </c>
      <c r="F41" s="18">
        <v>2008</v>
      </c>
      <c r="G41" s="8" t="s">
        <v>1127</v>
      </c>
      <c r="H41" s="32" t="s">
        <v>773</v>
      </c>
      <c r="I41" s="74" t="s">
        <v>817</v>
      </c>
      <c r="J41" s="8" t="s">
        <v>610</v>
      </c>
      <c r="K41" s="18" t="s">
        <v>956</v>
      </c>
      <c r="L41" s="18">
        <v>4</v>
      </c>
      <c r="M41" s="7"/>
    </row>
    <row r="42" spans="1:13" ht="51" x14ac:dyDescent="0.25">
      <c r="A42" s="18" t="s">
        <v>706</v>
      </c>
      <c r="B42" s="18" t="s">
        <v>1064</v>
      </c>
      <c r="C42" s="102">
        <v>0.5</v>
      </c>
      <c r="D42" s="100">
        <v>7046.2015706990014</v>
      </c>
      <c r="E42" s="18" t="s">
        <v>1098</v>
      </c>
      <c r="F42" s="18">
        <v>2008</v>
      </c>
      <c r="G42" s="8" t="s">
        <v>1128</v>
      </c>
      <c r="H42" s="32" t="s">
        <v>773</v>
      </c>
      <c r="I42" s="74" t="s">
        <v>817</v>
      </c>
      <c r="J42" s="8" t="s">
        <v>610</v>
      </c>
      <c r="K42" s="18" t="s">
        <v>956</v>
      </c>
      <c r="L42" s="18">
        <v>4</v>
      </c>
      <c r="M42" s="7"/>
    </row>
    <row r="43" spans="1:13" ht="51" x14ac:dyDescent="0.25">
      <c r="A43" s="18" t="s">
        <v>706</v>
      </c>
      <c r="B43" s="18" t="s">
        <v>1064</v>
      </c>
      <c r="C43" s="102">
        <v>0.25</v>
      </c>
      <c r="D43" s="100">
        <v>3523.1007853495007</v>
      </c>
      <c r="E43" s="18" t="s">
        <v>1098</v>
      </c>
      <c r="F43" s="18">
        <v>2008</v>
      </c>
      <c r="G43" s="8" t="s">
        <v>1128</v>
      </c>
      <c r="H43" s="32" t="s">
        <v>773</v>
      </c>
      <c r="I43" s="74" t="s">
        <v>817</v>
      </c>
      <c r="J43" s="8" t="s">
        <v>610</v>
      </c>
      <c r="K43" s="18" t="s">
        <v>956</v>
      </c>
      <c r="L43" s="18">
        <v>4</v>
      </c>
      <c r="M43" s="7"/>
    </row>
    <row r="44" spans="1:13" ht="51" x14ac:dyDescent="0.25">
      <c r="A44" s="18" t="s">
        <v>706</v>
      </c>
      <c r="B44" s="18" t="s">
        <v>1068</v>
      </c>
      <c r="C44" s="102">
        <v>0.8</v>
      </c>
      <c r="D44" s="100">
        <v>8807.751963373752</v>
      </c>
      <c r="E44" s="18" t="s">
        <v>1098</v>
      </c>
      <c r="F44" s="18">
        <v>2008</v>
      </c>
      <c r="G44" s="8" t="s">
        <v>1125</v>
      </c>
      <c r="H44" s="32" t="s">
        <v>773</v>
      </c>
      <c r="I44" s="74" t="s">
        <v>817</v>
      </c>
      <c r="J44" s="8" t="s">
        <v>610</v>
      </c>
      <c r="K44" s="18" t="s">
        <v>956</v>
      </c>
      <c r="L44" s="18">
        <v>4</v>
      </c>
      <c r="M44" s="7"/>
    </row>
    <row r="45" spans="1:13" ht="51" x14ac:dyDescent="0.25">
      <c r="A45" s="18" t="s">
        <v>706</v>
      </c>
      <c r="B45" s="18" t="s">
        <v>1068</v>
      </c>
      <c r="C45" s="102">
        <v>0.65</v>
      </c>
      <c r="D45" s="100">
        <v>4403.875981686876</v>
      </c>
      <c r="E45" s="18" t="s">
        <v>1098</v>
      </c>
      <c r="F45" s="18">
        <v>2008</v>
      </c>
      <c r="G45" s="8" t="s">
        <v>1125</v>
      </c>
      <c r="H45" s="32" t="s">
        <v>773</v>
      </c>
      <c r="I45" s="74" t="s">
        <v>817</v>
      </c>
      <c r="J45" s="8" t="s">
        <v>610</v>
      </c>
      <c r="K45" s="18" t="s">
        <v>956</v>
      </c>
      <c r="L45" s="18">
        <v>4</v>
      </c>
      <c r="M45" s="7"/>
    </row>
    <row r="46" spans="1:13" ht="51" x14ac:dyDescent="0.25">
      <c r="A46" s="18" t="s">
        <v>706</v>
      </c>
      <c r="B46" s="18" t="s">
        <v>1068</v>
      </c>
      <c r="C46" s="102">
        <v>0.8</v>
      </c>
      <c r="D46" s="100">
        <v>8807.751963373752</v>
      </c>
      <c r="E46" s="18" t="s">
        <v>1098</v>
      </c>
      <c r="F46" s="18">
        <v>2008</v>
      </c>
      <c r="G46" s="8" t="s">
        <v>1126</v>
      </c>
      <c r="H46" s="32" t="s">
        <v>773</v>
      </c>
      <c r="I46" s="74" t="s">
        <v>817</v>
      </c>
      <c r="J46" s="8" t="s">
        <v>610</v>
      </c>
      <c r="K46" s="18" t="s">
        <v>956</v>
      </c>
      <c r="L46" s="18">
        <v>4</v>
      </c>
      <c r="M46" s="7"/>
    </row>
    <row r="47" spans="1:13" ht="51" x14ac:dyDescent="0.25">
      <c r="A47" s="18" t="s">
        <v>706</v>
      </c>
      <c r="B47" s="18" t="s">
        <v>1068</v>
      </c>
      <c r="C47" s="102">
        <v>0.65</v>
      </c>
      <c r="D47" s="100">
        <v>4403.875981686876</v>
      </c>
      <c r="E47" s="18" t="s">
        <v>1098</v>
      </c>
      <c r="F47" s="18">
        <v>2008</v>
      </c>
      <c r="G47" s="8" t="s">
        <v>1126</v>
      </c>
      <c r="H47" s="32" t="s">
        <v>773</v>
      </c>
      <c r="I47" s="74" t="s">
        <v>817</v>
      </c>
      <c r="J47" s="8" t="s">
        <v>610</v>
      </c>
      <c r="K47" s="18" t="s">
        <v>956</v>
      </c>
      <c r="L47" s="18">
        <v>4</v>
      </c>
      <c r="M47" s="7"/>
    </row>
    <row r="48" spans="1:13" ht="51" x14ac:dyDescent="0.25">
      <c r="A48" s="18" t="s">
        <v>706</v>
      </c>
      <c r="B48" s="18" t="s">
        <v>1068</v>
      </c>
      <c r="C48" s="102">
        <v>0.8</v>
      </c>
      <c r="D48" s="100">
        <v>8807.751963373752</v>
      </c>
      <c r="E48" s="18" t="s">
        <v>1098</v>
      </c>
      <c r="F48" s="18">
        <v>2008</v>
      </c>
      <c r="G48" s="8" t="s">
        <v>1127</v>
      </c>
      <c r="H48" s="32" t="s">
        <v>773</v>
      </c>
      <c r="I48" s="74" t="s">
        <v>817</v>
      </c>
      <c r="J48" s="8" t="s">
        <v>610</v>
      </c>
      <c r="K48" s="18" t="s">
        <v>956</v>
      </c>
      <c r="L48" s="18">
        <v>4</v>
      </c>
      <c r="M48" s="7"/>
    </row>
    <row r="49" spans="1:13" ht="51" x14ac:dyDescent="0.25">
      <c r="A49" s="18" t="s">
        <v>706</v>
      </c>
      <c r="B49" s="18" t="s">
        <v>1068</v>
      </c>
      <c r="C49" s="102">
        <v>0.65</v>
      </c>
      <c r="D49" s="100">
        <v>4403.875981686876</v>
      </c>
      <c r="E49" s="18" t="s">
        <v>1098</v>
      </c>
      <c r="F49" s="18">
        <v>2008</v>
      </c>
      <c r="G49" s="8" t="s">
        <v>1127</v>
      </c>
      <c r="H49" s="32" t="s">
        <v>773</v>
      </c>
      <c r="I49" s="74" t="s">
        <v>817</v>
      </c>
      <c r="J49" s="8" t="s">
        <v>610</v>
      </c>
      <c r="K49" s="18" t="s">
        <v>956</v>
      </c>
      <c r="L49" s="18">
        <v>4</v>
      </c>
      <c r="M49" s="7"/>
    </row>
    <row r="50" spans="1:13" ht="51" x14ac:dyDescent="0.25">
      <c r="A50" s="18" t="s">
        <v>706</v>
      </c>
      <c r="B50" s="18" t="s">
        <v>1068</v>
      </c>
      <c r="C50" s="102">
        <v>0.8</v>
      </c>
      <c r="D50" s="100">
        <v>8807.751963373752</v>
      </c>
      <c r="E50" s="18" t="s">
        <v>1098</v>
      </c>
      <c r="F50" s="18">
        <v>2008</v>
      </c>
      <c r="G50" s="8" t="s">
        <v>1128</v>
      </c>
      <c r="H50" s="32" t="s">
        <v>773</v>
      </c>
      <c r="I50" s="74" t="s">
        <v>817</v>
      </c>
      <c r="J50" s="8" t="s">
        <v>610</v>
      </c>
      <c r="K50" s="18" t="s">
        <v>956</v>
      </c>
      <c r="L50" s="18">
        <v>4</v>
      </c>
      <c r="M50" s="7"/>
    </row>
    <row r="51" spans="1:13" ht="51" x14ac:dyDescent="0.25">
      <c r="A51" s="18" t="s">
        <v>706</v>
      </c>
      <c r="B51" s="18" t="s">
        <v>1068</v>
      </c>
      <c r="C51" s="102">
        <v>0.65</v>
      </c>
      <c r="D51" s="100">
        <v>4403.875981686876</v>
      </c>
      <c r="E51" s="18" t="s">
        <v>1098</v>
      </c>
      <c r="F51" s="18">
        <v>2008</v>
      </c>
      <c r="G51" s="8" t="s">
        <v>1128</v>
      </c>
      <c r="H51" s="32" t="s">
        <v>773</v>
      </c>
      <c r="I51" s="74" t="s">
        <v>817</v>
      </c>
      <c r="J51" s="8" t="s">
        <v>610</v>
      </c>
      <c r="K51" s="18" t="s">
        <v>956</v>
      </c>
      <c r="L51" s="18">
        <v>4</v>
      </c>
      <c r="M51" s="7"/>
    </row>
    <row r="52" spans="1:13" ht="51" x14ac:dyDescent="0.25">
      <c r="A52" s="18" t="s">
        <v>706</v>
      </c>
      <c r="B52" s="18" t="s">
        <v>1070</v>
      </c>
      <c r="C52" s="102">
        <v>0.05</v>
      </c>
      <c r="D52" s="100">
        <v>0</v>
      </c>
      <c r="E52" s="18" t="s">
        <v>1098</v>
      </c>
      <c r="F52" s="18">
        <v>2008</v>
      </c>
      <c r="G52" s="8" t="s">
        <v>1125</v>
      </c>
      <c r="H52" s="32" t="s">
        <v>773</v>
      </c>
      <c r="I52" s="74" t="s">
        <v>817</v>
      </c>
      <c r="J52" s="8" t="s">
        <v>610</v>
      </c>
      <c r="K52" s="18" t="s">
        <v>956</v>
      </c>
      <c r="L52" s="18">
        <v>4</v>
      </c>
      <c r="M52" s="7" t="s">
        <v>1099</v>
      </c>
    </row>
    <row r="53" spans="1:13" ht="51" x14ac:dyDescent="0.25">
      <c r="A53" s="18" t="s">
        <v>706</v>
      </c>
      <c r="B53" s="18" t="s">
        <v>1070</v>
      </c>
      <c r="C53" s="102">
        <v>0.05</v>
      </c>
      <c r="D53" s="100">
        <v>0</v>
      </c>
      <c r="E53" s="18" t="s">
        <v>1098</v>
      </c>
      <c r="F53" s="18">
        <v>2008</v>
      </c>
      <c r="G53" s="8" t="s">
        <v>1126</v>
      </c>
      <c r="H53" s="32" t="s">
        <v>773</v>
      </c>
      <c r="I53" s="74" t="s">
        <v>817</v>
      </c>
      <c r="J53" s="8" t="s">
        <v>610</v>
      </c>
      <c r="K53" s="18" t="s">
        <v>956</v>
      </c>
      <c r="L53" s="18">
        <v>4</v>
      </c>
      <c r="M53" s="7" t="s">
        <v>1099</v>
      </c>
    </row>
    <row r="54" spans="1:13" ht="51" x14ac:dyDescent="0.25">
      <c r="A54" s="18" t="s">
        <v>706</v>
      </c>
      <c r="B54" s="18" t="s">
        <v>1070</v>
      </c>
      <c r="C54" s="102">
        <v>0.05</v>
      </c>
      <c r="D54" s="100">
        <v>0</v>
      </c>
      <c r="E54" s="18" t="s">
        <v>1098</v>
      </c>
      <c r="F54" s="18">
        <v>2008</v>
      </c>
      <c r="G54" s="8" t="s">
        <v>1127</v>
      </c>
      <c r="H54" s="32" t="s">
        <v>773</v>
      </c>
      <c r="I54" s="74" t="s">
        <v>817</v>
      </c>
      <c r="J54" s="8" t="s">
        <v>610</v>
      </c>
      <c r="K54" s="18" t="s">
        <v>956</v>
      </c>
      <c r="L54" s="18">
        <v>4</v>
      </c>
      <c r="M54" s="7" t="s">
        <v>1099</v>
      </c>
    </row>
    <row r="55" spans="1:13" ht="51" x14ac:dyDescent="0.25">
      <c r="A55" s="18" t="s">
        <v>706</v>
      </c>
      <c r="B55" s="18" t="s">
        <v>1070</v>
      </c>
      <c r="C55" s="102">
        <v>0.05</v>
      </c>
      <c r="D55" s="100">
        <v>0</v>
      </c>
      <c r="E55" s="18" t="s">
        <v>1098</v>
      </c>
      <c r="F55" s="18">
        <v>2008</v>
      </c>
      <c r="G55" s="8" t="s">
        <v>1128</v>
      </c>
      <c r="H55" s="32" t="s">
        <v>773</v>
      </c>
      <c r="I55" s="74" t="s">
        <v>817</v>
      </c>
      <c r="J55" s="8" t="s">
        <v>610</v>
      </c>
      <c r="K55" s="18" t="s">
        <v>956</v>
      </c>
      <c r="L55" s="18">
        <v>4</v>
      </c>
      <c r="M55" s="7" t="s">
        <v>1099</v>
      </c>
    </row>
    <row r="56" spans="1:13" ht="51" x14ac:dyDescent="0.25">
      <c r="A56" s="18" t="s">
        <v>706</v>
      </c>
      <c r="B56" s="18" t="s">
        <v>1086</v>
      </c>
      <c r="C56" s="102">
        <v>0.15</v>
      </c>
      <c r="D56" s="100">
        <v>22.019379908434381</v>
      </c>
      <c r="E56" s="18" t="s">
        <v>1098</v>
      </c>
      <c r="F56" s="18">
        <v>2008</v>
      </c>
      <c r="G56" s="8" t="s">
        <v>1125</v>
      </c>
      <c r="H56" s="32" t="s">
        <v>773</v>
      </c>
      <c r="I56" s="74" t="s">
        <v>817</v>
      </c>
      <c r="J56" s="8" t="s">
        <v>610</v>
      </c>
      <c r="K56" s="18" t="s">
        <v>956</v>
      </c>
      <c r="L56" s="18">
        <v>4</v>
      </c>
      <c r="M56" s="7"/>
    </row>
    <row r="57" spans="1:13" ht="51" x14ac:dyDescent="0.25">
      <c r="A57" s="18" t="s">
        <v>706</v>
      </c>
      <c r="B57" s="18" t="s">
        <v>1086</v>
      </c>
      <c r="C57" s="102">
        <v>0.15</v>
      </c>
      <c r="D57" s="100">
        <v>22.019379908434381</v>
      </c>
      <c r="E57" s="18" t="s">
        <v>1098</v>
      </c>
      <c r="F57" s="18">
        <v>2008</v>
      </c>
      <c r="G57" s="8" t="s">
        <v>1126</v>
      </c>
      <c r="H57" s="32" t="s">
        <v>773</v>
      </c>
      <c r="I57" s="74" t="s">
        <v>817</v>
      </c>
      <c r="J57" s="8" t="s">
        <v>610</v>
      </c>
      <c r="K57" s="18" t="s">
        <v>956</v>
      </c>
      <c r="L57" s="18">
        <v>4</v>
      </c>
      <c r="M57" s="7"/>
    </row>
    <row r="58" spans="1:13" ht="51" x14ac:dyDescent="0.25">
      <c r="A58" s="18" t="s">
        <v>706</v>
      </c>
      <c r="B58" s="18" t="s">
        <v>1086</v>
      </c>
      <c r="C58" s="102">
        <v>0.15</v>
      </c>
      <c r="D58" s="100">
        <v>22.019379908434381</v>
      </c>
      <c r="E58" s="18" t="s">
        <v>1098</v>
      </c>
      <c r="F58" s="18">
        <v>2008</v>
      </c>
      <c r="G58" s="8" t="s">
        <v>1127</v>
      </c>
      <c r="H58" s="32" t="s">
        <v>773</v>
      </c>
      <c r="I58" s="74" t="s">
        <v>817</v>
      </c>
      <c r="J58" s="8" t="s">
        <v>610</v>
      </c>
      <c r="K58" s="18" t="s">
        <v>956</v>
      </c>
      <c r="L58" s="18">
        <v>4</v>
      </c>
      <c r="M58" s="7"/>
    </row>
    <row r="59" spans="1:13" ht="51" x14ac:dyDescent="0.25">
      <c r="A59" s="18" t="s">
        <v>706</v>
      </c>
      <c r="B59" s="18" t="s">
        <v>1086</v>
      </c>
      <c r="C59" s="102">
        <v>0.15</v>
      </c>
      <c r="D59" s="100">
        <v>22.019379908434381</v>
      </c>
      <c r="E59" s="18" t="s">
        <v>1098</v>
      </c>
      <c r="F59" s="18">
        <v>2008</v>
      </c>
      <c r="G59" s="8" t="s">
        <v>1128</v>
      </c>
      <c r="H59" s="32" t="s">
        <v>773</v>
      </c>
      <c r="I59" s="74" t="s">
        <v>817</v>
      </c>
      <c r="J59" s="8" t="s">
        <v>610</v>
      </c>
      <c r="K59" s="18" t="s">
        <v>956</v>
      </c>
      <c r="L59" s="18">
        <v>4</v>
      </c>
      <c r="M59" s="7"/>
    </row>
    <row r="60" spans="1:13" ht="51" x14ac:dyDescent="0.25">
      <c r="A60" s="18" t="s">
        <v>706</v>
      </c>
      <c r="B60" s="18" t="s">
        <v>1146</v>
      </c>
      <c r="C60" s="102">
        <v>0.7</v>
      </c>
      <c r="D60" s="100">
        <v>3523.1007853495007</v>
      </c>
      <c r="E60" s="18" t="s">
        <v>1098</v>
      </c>
      <c r="F60" s="18">
        <v>2008</v>
      </c>
      <c r="G60" s="8" t="s">
        <v>1125</v>
      </c>
      <c r="H60" s="32" t="s">
        <v>773</v>
      </c>
      <c r="I60" s="74" t="s">
        <v>817</v>
      </c>
      <c r="J60" s="8" t="s">
        <v>610</v>
      </c>
      <c r="K60" s="18" t="s">
        <v>956</v>
      </c>
      <c r="L60" s="18">
        <v>4</v>
      </c>
      <c r="M60" s="7"/>
    </row>
    <row r="61" spans="1:13" ht="51" x14ac:dyDescent="0.25">
      <c r="A61" s="18" t="s">
        <v>706</v>
      </c>
      <c r="B61" s="18" t="s">
        <v>1146</v>
      </c>
      <c r="C61" s="102">
        <v>0.7</v>
      </c>
      <c r="D61" s="100">
        <v>3523.1007853495007</v>
      </c>
      <c r="E61" s="18" t="s">
        <v>1098</v>
      </c>
      <c r="F61" s="18">
        <v>2008</v>
      </c>
      <c r="G61" s="8" t="s">
        <v>1127</v>
      </c>
      <c r="H61" s="32" t="s">
        <v>773</v>
      </c>
      <c r="I61" s="74" t="s">
        <v>817</v>
      </c>
      <c r="J61" s="8" t="s">
        <v>610</v>
      </c>
      <c r="K61" s="18" t="s">
        <v>956</v>
      </c>
      <c r="L61" s="18">
        <v>4</v>
      </c>
      <c r="M61" s="7"/>
    </row>
    <row r="62" spans="1:13" ht="51" x14ac:dyDescent="0.25">
      <c r="A62" s="18" t="s">
        <v>706</v>
      </c>
      <c r="B62" s="18" t="s">
        <v>1146</v>
      </c>
      <c r="C62" s="102">
        <v>0.7</v>
      </c>
      <c r="D62" s="100">
        <v>3523.1007853495007</v>
      </c>
      <c r="E62" s="18" t="s">
        <v>1098</v>
      </c>
      <c r="F62" s="18">
        <v>2008</v>
      </c>
      <c r="G62" s="8" t="s">
        <v>1127</v>
      </c>
      <c r="H62" s="32" t="s">
        <v>773</v>
      </c>
      <c r="I62" s="74" t="s">
        <v>817</v>
      </c>
      <c r="J62" s="8" t="s">
        <v>610</v>
      </c>
      <c r="K62" s="18" t="s">
        <v>956</v>
      </c>
      <c r="L62" s="18">
        <v>4</v>
      </c>
      <c r="M62" s="7"/>
    </row>
    <row r="63" spans="1:13" ht="51" x14ac:dyDescent="0.25">
      <c r="A63" s="18" t="s">
        <v>706</v>
      </c>
      <c r="B63" s="18" t="s">
        <v>1146</v>
      </c>
      <c r="C63" s="102">
        <v>0.7</v>
      </c>
      <c r="D63" s="100">
        <v>3523.1007853495007</v>
      </c>
      <c r="E63" s="18" t="s">
        <v>1098</v>
      </c>
      <c r="F63" s="18">
        <v>2008</v>
      </c>
      <c r="G63" s="8" t="s">
        <v>1128</v>
      </c>
      <c r="H63" s="32" t="s">
        <v>773</v>
      </c>
      <c r="I63" s="74" t="s">
        <v>817</v>
      </c>
      <c r="J63" s="8" t="s">
        <v>610</v>
      </c>
      <c r="K63" s="18" t="s">
        <v>956</v>
      </c>
      <c r="L63" s="18">
        <v>4</v>
      </c>
      <c r="M63" s="7"/>
    </row>
    <row r="64" spans="1:13" ht="63.75" x14ac:dyDescent="0.25">
      <c r="A64" s="32" t="s">
        <v>706</v>
      </c>
      <c r="B64" s="32" t="s">
        <v>1062</v>
      </c>
      <c r="C64" s="99">
        <v>0.72</v>
      </c>
      <c r="D64" s="100">
        <v>939.51113657980477</v>
      </c>
      <c r="E64" s="32" t="s">
        <v>1129</v>
      </c>
      <c r="F64" s="32">
        <v>2007</v>
      </c>
      <c r="G64" s="32" t="s">
        <v>1130</v>
      </c>
      <c r="H64" s="32" t="s">
        <v>773</v>
      </c>
      <c r="I64" s="74" t="s">
        <v>817</v>
      </c>
      <c r="J64" s="22" t="s">
        <v>612</v>
      </c>
      <c r="K64" s="22" t="s">
        <v>1131</v>
      </c>
      <c r="L64" s="22" t="s">
        <v>1291</v>
      </c>
      <c r="M64" s="7"/>
    </row>
    <row r="65" spans="1:13" ht="63.75" x14ac:dyDescent="0.25">
      <c r="A65" s="32" t="s">
        <v>706</v>
      </c>
      <c r="B65" s="32" t="s">
        <v>1062</v>
      </c>
      <c r="C65" s="99">
        <v>0.72</v>
      </c>
      <c r="D65" s="100">
        <v>694.79384479565931</v>
      </c>
      <c r="E65" s="32" t="s">
        <v>1129</v>
      </c>
      <c r="F65" s="32">
        <v>2007</v>
      </c>
      <c r="G65" s="32" t="s">
        <v>1132</v>
      </c>
      <c r="H65" s="32" t="s">
        <v>773</v>
      </c>
      <c r="I65" s="74" t="s">
        <v>817</v>
      </c>
      <c r="J65" s="22" t="s">
        <v>612</v>
      </c>
      <c r="K65" s="22" t="s">
        <v>1131</v>
      </c>
      <c r="L65" s="22" t="s">
        <v>1291</v>
      </c>
      <c r="M65" s="7"/>
    </row>
    <row r="66" spans="1:13" ht="63.75" x14ac:dyDescent="0.25">
      <c r="A66" s="32" t="s">
        <v>706</v>
      </c>
      <c r="B66" s="32" t="s">
        <v>1062</v>
      </c>
      <c r="C66" s="99">
        <v>0.72</v>
      </c>
      <c r="D66" s="100">
        <v>484.49207929071258</v>
      </c>
      <c r="E66" s="32" t="s">
        <v>1129</v>
      </c>
      <c r="F66" s="32">
        <v>2007</v>
      </c>
      <c r="G66" s="32" t="s">
        <v>1133</v>
      </c>
      <c r="H66" s="32" t="s">
        <v>773</v>
      </c>
      <c r="I66" s="74" t="s">
        <v>817</v>
      </c>
      <c r="J66" s="22" t="s">
        <v>612</v>
      </c>
      <c r="K66" s="22" t="s">
        <v>1131</v>
      </c>
      <c r="L66" s="22" t="s">
        <v>1291</v>
      </c>
      <c r="M66" s="7"/>
    </row>
    <row r="67" spans="1:13" ht="63.75" x14ac:dyDescent="0.25">
      <c r="A67" s="32" t="s">
        <v>706</v>
      </c>
      <c r="B67" s="32" t="s">
        <v>1062</v>
      </c>
      <c r="C67" s="99">
        <v>0.72</v>
      </c>
      <c r="D67" s="100">
        <v>415.75136021013878</v>
      </c>
      <c r="E67" s="32" t="s">
        <v>1129</v>
      </c>
      <c r="F67" s="32">
        <v>2007</v>
      </c>
      <c r="G67" s="32" t="s">
        <v>1134</v>
      </c>
      <c r="H67" s="32" t="s">
        <v>773</v>
      </c>
      <c r="I67" s="74" t="s">
        <v>817</v>
      </c>
      <c r="J67" s="22" t="s">
        <v>612</v>
      </c>
      <c r="K67" s="22" t="s">
        <v>1131</v>
      </c>
      <c r="L67" s="22" t="s">
        <v>1291</v>
      </c>
      <c r="M67" s="7"/>
    </row>
    <row r="68" spans="1:13" ht="63.75" x14ac:dyDescent="0.25">
      <c r="A68" s="32" t="s">
        <v>706</v>
      </c>
      <c r="B68" s="32" t="s">
        <v>1068</v>
      </c>
      <c r="C68" s="99">
        <v>0.25</v>
      </c>
      <c r="D68" s="100">
        <v>318.53223698968503</v>
      </c>
      <c r="E68" s="32" t="s">
        <v>1129</v>
      </c>
      <c r="F68" s="32">
        <v>2007</v>
      </c>
      <c r="G68" s="32" t="s">
        <v>1135</v>
      </c>
      <c r="H68" s="32" t="s">
        <v>773</v>
      </c>
      <c r="I68" s="74" t="s">
        <v>817</v>
      </c>
      <c r="J68" s="22" t="s">
        <v>612</v>
      </c>
      <c r="K68" s="22" t="s">
        <v>1131</v>
      </c>
      <c r="L68" s="22" t="s">
        <v>1291</v>
      </c>
      <c r="M68" s="10"/>
    </row>
    <row r="69" spans="1:13" ht="63.75" x14ac:dyDescent="0.25">
      <c r="A69" s="32" t="s">
        <v>706</v>
      </c>
      <c r="B69" s="32" t="s">
        <v>1068</v>
      </c>
      <c r="C69" s="99">
        <v>0.25</v>
      </c>
      <c r="D69" s="100">
        <v>129.21731671855031</v>
      </c>
      <c r="E69" s="32" t="s">
        <v>1129</v>
      </c>
      <c r="F69" s="32">
        <v>2007</v>
      </c>
      <c r="G69" s="32" t="s">
        <v>1136</v>
      </c>
      <c r="H69" s="32" t="s">
        <v>773</v>
      </c>
      <c r="I69" s="74" t="s">
        <v>817</v>
      </c>
      <c r="J69" s="22" t="s">
        <v>612</v>
      </c>
      <c r="K69" s="22" t="s">
        <v>1131</v>
      </c>
      <c r="L69" s="22" t="s">
        <v>1291</v>
      </c>
      <c r="M69" s="10"/>
    </row>
    <row r="70" spans="1:13" ht="63.75" x14ac:dyDescent="0.25">
      <c r="A70" s="32" t="s">
        <v>706</v>
      </c>
      <c r="B70" s="32" t="s">
        <v>1068</v>
      </c>
      <c r="C70" s="99">
        <v>0.25</v>
      </c>
      <c r="D70" s="100">
        <v>55.631493383671298</v>
      </c>
      <c r="E70" s="32" t="s">
        <v>1129</v>
      </c>
      <c r="F70" s="32">
        <v>2007</v>
      </c>
      <c r="G70" s="32" t="s">
        <v>1137</v>
      </c>
      <c r="H70" s="32" t="s">
        <v>773</v>
      </c>
      <c r="I70" s="74" t="s">
        <v>817</v>
      </c>
      <c r="J70" s="22" t="s">
        <v>612</v>
      </c>
      <c r="K70" s="22" t="s">
        <v>1131</v>
      </c>
      <c r="L70" s="22" t="s">
        <v>1291</v>
      </c>
      <c r="M70" s="10"/>
    </row>
    <row r="71" spans="1:13" ht="63.75" x14ac:dyDescent="0.25">
      <c r="A71" s="32" t="s">
        <v>706</v>
      </c>
      <c r="B71" s="32" t="s">
        <v>1068</v>
      </c>
      <c r="C71" s="99">
        <v>0.25</v>
      </c>
      <c r="D71" s="100">
        <v>23.950838283063952</v>
      </c>
      <c r="E71" s="32" t="s">
        <v>1129</v>
      </c>
      <c r="F71" s="32">
        <v>2007</v>
      </c>
      <c r="G71" s="32" t="s">
        <v>1138</v>
      </c>
      <c r="H71" s="32" t="s">
        <v>773</v>
      </c>
      <c r="I71" s="74" t="s">
        <v>817</v>
      </c>
      <c r="J71" s="22" t="s">
        <v>612</v>
      </c>
      <c r="K71" s="22" t="s">
        <v>1131</v>
      </c>
      <c r="L71" s="22" t="s">
        <v>1291</v>
      </c>
      <c r="M71" s="10"/>
    </row>
    <row r="72" spans="1:13" ht="63.75" x14ac:dyDescent="0.25">
      <c r="A72" s="32" t="s">
        <v>706</v>
      </c>
      <c r="B72" s="32" t="s">
        <v>1080</v>
      </c>
      <c r="C72" s="99">
        <v>0.65</v>
      </c>
      <c r="D72" s="100">
        <v>1768.4221228752183</v>
      </c>
      <c r="E72" s="32" t="s">
        <v>1129</v>
      </c>
      <c r="F72" s="32">
        <v>2007</v>
      </c>
      <c r="G72" s="32" t="s">
        <v>1139</v>
      </c>
      <c r="H72" s="32" t="s">
        <v>773</v>
      </c>
      <c r="I72" s="74" t="s">
        <v>817</v>
      </c>
      <c r="J72" s="22" t="s">
        <v>612</v>
      </c>
      <c r="K72" s="22" t="s">
        <v>1131</v>
      </c>
      <c r="L72" s="22" t="s">
        <v>1291</v>
      </c>
      <c r="M72" s="10"/>
    </row>
    <row r="73" spans="1:13" ht="63.75" x14ac:dyDescent="0.25">
      <c r="A73" s="32" t="s">
        <v>706</v>
      </c>
      <c r="B73" s="32" t="s">
        <v>1080</v>
      </c>
      <c r="C73" s="99">
        <v>0.65</v>
      </c>
      <c r="D73" s="100">
        <v>1382.057340475197</v>
      </c>
      <c r="E73" s="32" t="s">
        <v>1129</v>
      </c>
      <c r="F73" s="32">
        <v>2007</v>
      </c>
      <c r="G73" s="32" t="s">
        <v>1140</v>
      </c>
      <c r="H73" s="32" t="s">
        <v>773</v>
      </c>
      <c r="I73" s="74" t="s">
        <v>817</v>
      </c>
      <c r="J73" s="22" t="s">
        <v>612</v>
      </c>
      <c r="K73" s="22" t="s">
        <v>1131</v>
      </c>
      <c r="L73" s="22" t="s">
        <v>1291</v>
      </c>
      <c r="M73" s="10"/>
    </row>
    <row r="74" spans="1:13" ht="63.75" x14ac:dyDescent="0.25">
      <c r="A74" s="32" t="s">
        <v>706</v>
      </c>
      <c r="B74" s="32" t="s">
        <v>1080</v>
      </c>
      <c r="C74" s="99">
        <v>0.65</v>
      </c>
      <c r="D74" s="100">
        <v>1029.4720288246317</v>
      </c>
      <c r="E74" s="32" t="s">
        <v>1129</v>
      </c>
      <c r="F74" s="32">
        <v>2007</v>
      </c>
      <c r="G74" s="32" t="s">
        <v>1141</v>
      </c>
      <c r="H74" s="32" t="s">
        <v>773</v>
      </c>
      <c r="I74" s="74" t="s">
        <v>817</v>
      </c>
      <c r="J74" s="22" t="s">
        <v>612</v>
      </c>
      <c r="K74" s="22" t="s">
        <v>1131</v>
      </c>
      <c r="L74" s="22" t="s">
        <v>1291</v>
      </c>
      <c r="M74" s="10"/>
    </row>
    <row r="75" spans="1:13" ht="63.75" x14ac:dyDescent="0.25">
      <c r="A75" s="32" t="s">
        <v>706</v>
      </c>
      <c r="B75" s="32" t="s">
        <v>1080</v>
      </c>
      <c r="C75" s="99">
        <v>0.65</v>
      </c>
      <c r="D75" s="100">
        <v>819.41809382426595</v>
      </c>
      <c r="E75" s="32" t="s">
        <v>1129</v>
      </c>
      <c r="F75" s="32">
        <v>2007</v>
      </c>
      <c r="G75" s="32" t="s">
        <v>1142</v>
      </c>
      <c r="H75" s="32" t="s">
        <v>773</v>
      </c>
      <c r="I75" s="74" t="s">
        <v>817</v>
      </c>
      <c r="J75" s="22" t="s">
        <v>612</v>
      </c>
      <c r="K75" s="22" t="s">
        <v>1131</v>
      </c>
      <c r="L75" s="22" t="s">
        <v>1291</v>
      </c>
      <c r="M75" s="10"/>
    </row>
    <row r="76" spans="1:13" ht="63.75" x14ac:dyDescent="0.25">
      <c r="A76" s="32" t="s">
        <v>706</v>
      </c>
      <c r="B76" s="32" t="s">
        <v>761</v>
      </c>
      <c r="C76" s="99">
        <v>0.42</v>
      </c>
      <c r="D76" s="100">
        <v>4979.0590204516811</v>
      </c>
      <c r="E76" s="32" t="s">
        <v>1129</v>
      </c>
      <c r="F76" s="32">
        <v>2007</v>
      </c>
      <c r="G76" s="32" t="s">
        <v>1143</v>
      </c>
      <c r="H76" s="32" t="s">
        <v>773</v>
      </c>
      <c r="I76" s="74" t="s">
        <v>817</v>
      </c>
      <c r="J76" s="22" t="s">
        <v>612</v>
      </c>
      <c r="K76" s="22" t="s">
        <v>1131</v>
      </c>
      <c r="L76" s="22" t="s">
        <v>1291</v>
      </c>
      <c r="M76" s="7"/>
    </row>
    <row r="77" spans="1:13" ht="63.75" x14ac:dyDescent="0.25">
      <c r="A77" s="32" t="s">
        <v>706</v>
      </c>
      <c r="B77" s="32" t="s">
        <v>761</v>
      </c>
      <c r="C77" s="99">
        <v>0.42</v>
      </c>
      <c r="D77" s="100">
        <v>2590.3917756923174</v>
      </c>
      <c r="E77" s="32" t="s">
        <v>1129</v>
      </c>
      <c r="F77" s="32">
        <v>2007</v>
      </c>
      <c r="G77" s="32" t="s">
        <v>1144</v>
      </c>
      <c r="H77" s="32" t="s">
        <v>773</v>
      </c>
      <c r="I77" s="74" t="s">
        <v>817</v>
      </c>
      <c r="J77" s="22" t="s">
        <v>612</v>
      </c>
      <c r="K77" s="22" t="s">
        <v>1131</v>
      </c>
      <c r="L77" s="22" t="s">
        <v>1291</v>
      </c>
      <c r="M77" s="7"/>
    </row>
    <row r="78" spans="1:13" ht="63.75" x14ac:dyDescent="0.25">
      <c r="A78" s="32" t="s">
        <v>706</v>
      </c>
      <c r="B78" s="32" t="s">
        <v>761</v>
      </c>
      <c r="C78" s="99">
        <v>0.42</v>
      </c>
      <c r="D78" s="100">
        <v>1199.1085613062749</v>
      </c>
      <c r="E78" s="32" t="s">
        <v>1129</v>
      </c>
      <c r="F78" s="32">
        <v>2007</v>
      </c>
      <c r="G78" s="32" t="s">
        <v>1132</v>
      </c>
      <c r="H78" s="32" t="s">
        <v>773</v>
      </c>
      <c r="I78" s="74" t="s">
        <v>817</v>
      </c>
      <c r="J78" s="22" t="s">
        <v>612</v>
      </c>
      <c r="K78" s="22" t="s">
        <v>1131</v>
      </c>
      <c r="L78" s="22" t="s">
        <v>1291</v>
      </c>
      <c r="M78" s="7"/>
    </row>
    <row r="79" spans="1:13" ht="63.75" x14ac:dyDescent="0.25">
      <c r="A79" s="32" t="s">
        <v>706</v>
      </c>
      <c r="B79" s="32" t="s">
        <v>761</v>
      </c>
      <c r="C79" s="99">
        <v>0.42</v>
      </c>
      <c r="D79" s="100">
        <v>470.82390359120922</v>
      </c>
      <c r="E79" s="32" t="s">
        <v>1129</v>
      </c>
      <c r="F79" s="32">
        <v>2007</v>
      </c>
      <c r="G79" s="32" t="s">
        <v>1136</v>
      </c>
      <c r="H79" s="32" t="s">
        <v>773</v>
      </c>
      <c r="I79" s="74" t="s">
        <v>817</v>
      </c>
      <c r="J79" s="22" t="s">
        <v>612</v>
      </c>
      <c r="K79" s="22" t="s">
        <v>1131</v>
      </c>
      <c r="L79" s="22" t="s">
        <v>1291</v>
      </c>
      <c r="M79" s="7"/>
    </row>
    <row r="80" spans="1:13" ht="63.75" x14ac:dyDescent="0.25">
      <c r="A80" s="32" t="s">
        <v>706</v>
      </c>
      <c r="B80" s="32" t="s">
        <v>761</v>
      </c>
      <c r="C80" s="99">
        <v>0.42</v>
      </c>
      <c r="D80" s="100">
        <v>235.6520660851603</v>
      </c>
      <c r="E80" s="32" t="s">
        <v>1129</v>
      </c>
      <c r="F80" s="32">
        <v>2007</v>
      </c>
      <c r="G80" s="32" t="s">
        <v>1145</v>
      </c>
      <c r="H80" s="32" t="s">
        <v>773</v>
      </c>
      <c r="I80" s="74" t="s">
        <v>817</v>
      </c>
      <c r="J80" s="22" t="s">
        <v>612</v>
      </c>
      <c r="K80" s="22" t="s">
        <v>1131</v>
      </c>
      <c r="L80" s="22" t="s">
        <v>1291</v>
      </c>
      <c r="M80" s="7"/>
    </row>
    <row r="81" spans="1:13" ht="63.75" x14ac:dyDescent="0.25">
      <c r="A81" s="32" t="s">
        <v>706</v>
      </c>
      <c r="B81" s="32" t="s">
        <v>1090</v>
      </c>
      <c r="C81" s="99">
        <v>0.52</v>
      </c>
      <c r="D81" s="100">
        <v>295.11296643006636</v>
      </c>
      <c r="E81" s="32" t="s">
        <v>1129</v>
      </c>
      <c r="F81" s="32">
        <v>2007</v>
      </c>
      <c r="G81" s="32" t="s">
        <v>1147</v>
      </c>
      <c r="H81" s="32" t="s">
        <v>773</v>
      </c>
      <c r="I81" s="74" t="s">
        <v>817</v>
      </c>
      <c r="J81" s="22" t="s">
        <v>612</v>
      </c>
      <c r="K81" s="22" t="s">
        <v>1131</v>
      </c>
      <c r="L81" s="22" t="s">
        <v>1291</v>
      </c>
      <c r="M81" s="7"/>
    </row>
    <row r="82" spans="1:13" ht="63.75" x14ac:dyDescent="0.25">
      <c r="A82" s="32" t="s">
        <v>706</v>
      </c>
      <c r="B82" s="32" t="s">
        <v>1090</v>
      </c>
      <c r="C82" s="99">
        <v>0.52</v>
      </c>
      <c r="D82" s="100">
        <v>190.99711779967703</v>
      </c>
      <c r="E82" s="32" t="s">
        <v>1129</v>
      </c>
      <c r="F82" s="32">
        <v>2007</v>
      </c>
      <c r="G82" s="32" t="s">
        <v>1136</v>
      </c>
      <c r="H82" s="32" t="s">
        <v>773</v>
      </c>
      <c r="I82" s="74" t="s">
        <v>817</v>
      </c>
      <c r="J82" s="22" t="s">
        <v>612</v>
      </c>
      <c r="K82" s="22" t="s">
        <v>1131</v>
      </c>
      <c r="L82" s="22" t="s">
        <v>1291</v>
      </c>
      <c r="M82" s="7"/>
    </row>
    <row r="83" spans="1:13" ht="63.75" x14ac:dyDescent="0.25">
      <c r="A83" s="32" t="s">
        <v>706</v>
      </c>
      <c r="B83" s="32" t="s">
        <v>1090</v>
      </c>
      <c r="C83" s="99">
        <v>0.52</v>
      </c>
      <c r="D83" s="100">
        <v>62.090736833904408</v>
      </c>
      <c r="E83" s="32" t="s">
        <v>1129</v>
      </c>
      <c r="F83" s="32">
        <v>2007</v>
      </c>
      <c r="G83" s="32" t="s">
        <v>1137</v>
      </c>
      <c r="H83" s="32" t="s">
        <v>773</v>
      </c>
      <c r="I83" s="74" t="s">
        <v>817</v>
      </c>
      <c r="J83" s="22" t="s">
        <v>612</v>
      </c>
      <c r="K83" s="22" t="s">
        <v>1131</v>
      </c>
      <c r="L83" s="22" t="s">
        <v>1291</v>
      </c>
      <c r="M83" s="7"/>
    </row>
    <row r="84" spans="1:13" ht="63.75" x14ac:dyDescent="0.25">
      <c r="A84" s="32" t="s">
        <v>706</v>
      </c>
      <c r="B84" s="32" t="s">
        <v>1090</v>
      </c>
      <c r="C84" s="99">
        <v>0.52</v>
      </c>
      <c r="D84" s="100">
        <v>16.561294469658382</v>
      </c>
      <c r="E84" s="32" t="s">
        <v>1129</v>
      </c>
      <c r="F84" s="32">
        <v>2007</v>
      </c>
      <c r="G84" s="32" t="s">
        <v>1148</v>
      </c>
      <c r="H84" s="32" t="s">
        <v>773</v>
      </c>
      <c r="I84" s="74" t="s">
        <v>817</v>
      </c>
      <c r="J84" s="22" t="s">
        <v>612</v>
      </c>
      <c r="K84" s="22" t="s">
        <v>1131</v>
      </c>
      <c r="L84" s="22" t="s">
        <v>1291</v>
      </c>
      <c r="M84" s="7"/>
    </row>
    <row r="85" spans="1:13" ht="63.75" x14ac:dyDescent="0.25">
      <c r="A85" s="32" t="s">
        <v>706</v>
      </c>
      <c r="B85" s="32" t="s">
        <v>1090</v>
      </c>
      <c r="C85" s="99">
        <v>0.52</v>
      </c>
      <c r="D85" s="100">
        <v>13.893025896377475</v>
      </c>
      <c r="E85" s="32" t="s">
        <v>1129</v>
      </c>
      <c r="F85" s="32">
        <v>2007</v>
      </c>
      <c r="G85" s="32" t="s">
        <v>1149</v>
      </c>
      <c r="H85" s="32" t="s">
        <v>773</v>
      </c>
      <c r="I85" s="74" t="s">
        <v>817</v>
      </c>
      <c r="J85" s="22" t="s">
        <v>612</v>
      </c>
      <c r="K85" s="22" t="s">
        <v>1131</v>
      </c>
      <c r="L85" s="22" t="s">
        <v>1291</v>
      </c>
      <c r="M85" s="7"/>
    </row>
    <row r="86" spans="1:13" ht="63.75" x14ac:dyDescent="0.25">
      <c r="A86" s="32" t="s">
        <v>706</v>
      </c>
      <c r="B86" s="32" t="s">
        <v>1092</v>
      </c>
      <c r="C86" s="99">
        <v>0.46</v>
      </c>
      <c r="D86" s="100">
        <v>191.08921369475829</v>
      </c>
      <c r="E86" s="32" t="s">
        <v>1129</v>
      </c>
      <c r="F86" s="32">
        <v>2007</v>
      </c>
      <c r="G86" s="32" t="s">
        <v>1150</v>
      </c>
      <c r="H86" s="32" t="s">
        <v>773</v>
      </c>
      <c r="I86" s="74" t="s">
        <v>817</v>
      </c>
      <c r="J86" s="22" t="s">
        <v>612</v>
      </c>
      <c r="K86" s="22" t="s">
        <v>1131</v>
      </c>
      <c r="L86" s="22" t="s">
        <v>1291</v>
      </c>
      <c r="M86" s="7"/>
    </row>
    <row r="87" spans="1:13" ht="63.75" x14ac:dyDescent="0.25">
      <c r="A87" s="32" t="s">
        <v>706</v>
      </c>
      <c r="B87" s="32" t="s">
        <v>1092</v>
      </c>
      <c r="C87" s="99">
        <v>0.46</v>
      </c>
      <c r="D87" s="100">
        <v>94.882085413600549</v>
      </c>
      <c r="E87" s="32" t="s">
        <v>1129</v>
      </c>
      <c r="F87" s="32">
        <v>2007</v>
      </c>
      <c r="G87" s="32" t="s">
        <v>1136</v>
      </c>
      <c r="H87" s="32" t="s">
        <v>773</v>
      </c>
      <c r="I87" s="74" t="s">
        <v>817</v>
      </c>
      <c r="J87" s="22" t="s">
        <v>612</v>
      </c>
      <c r="K87" s="22" t="s">
        <v>1131</v>
      </c>
      <c r="L87" s="22" t="s">
        <v>1291</v>
      </c>
      <c r="M87" s="7"/>
    </row>
    <row r="88" spans="1:13" ht="63.75" x14ac:dyDescent="0.25">
      <c r="A88" s="32" t="s">
        <v>706</v>
      </c>
      <c r="B88" s="32" t="s">
        <v>1092</v>
      </c>
      <c r="C88" s="99">
        <v>0.46</v>
      </c>
      <c r="D88" s="100">
        <v>34.848510606762922</v>
      </c>
      <c r="E88" s="32" t="s">
        <v>1129</v>
      </c>
      <c r="F88" s="32">
        <v>2007</v>
      </c>
      <c r="G88" s="32" t="s">
        <v>1137</v>
      </c>
      <c r="H88" s="32" t="s">
        <v>773</v>
      </c>
      <c r="I88" s="74" t="s">
        <v>817</v>
      </c>
      <c r="J88" s="22" t="s">
        <v>612</v>
      </c>
      <c r="K88" s="22" t="s">
        <v>1131</v>
      </c>
      <c r="L88" s="22" t="s">
        <v>1291</v>
      </c>
      <c r="M88" s="7"/>
    </row>
    <row r="89" spans="1:13" ht="63.75" x14ac:dyDescent="0.25">
      <c r="A89" s="32" t="s">
        <v>706</v>
      </c>
      <c r="B89" s="32" t="s">
        <v>1092</v>
      </c>
      <c r="C89" s="99">
        <v>0.46</v>
      </c>
      <c r="D89" s="100">
        <v>17.303432757902137</v>
      </c>
      <c r="E89" s="32" t="s">
        <v>1129</v>
      </c>
      <c r="F89" s="32">
        <v>2007</v>
      </c>
      <c r="G89" s="32" t="s">
        <v>1151</v>
      </c>
      <c r="H89" s="32" t="s">
        <v>773</v>
      </c>
      <c r="I89" s="74" t="s">
        <v>817</v>
      </c>
      <c r="J89" s="22" t="s">
        <v>612</v>
      </c>
      <c r="K89" s="22" t="s">
        <v>1131</v>
      </c>
      <c r="L89" s="22" t="s">
        <v>1291</v>
      </c>
      <c r="M89" s="10"/>
    </row>
    <row r="90" spans="1:13" ht="63.75" x14ac:dyDescent="0.25">
      <c r="A90" s="32" t="s">
        <v>706</v>
      </c>
      <c r="B90" s="32" t="s">
        <v>1092</v>
      </c>
      <c r="C90" s="99">
        <v>0.46</v>
      </c>
      <c r="D90" s="100">
        <v>9.1743117018808551</v>
      </c>
      <c r="E90" s="32" t="s">
        <v>1129</v>
      </c>
      <c r="F90" s="32">
        <v>2007</v>
      </c>
      <c r="G90" s="32" t="s">
        <v>1149</v>
      </c>
      <c r="H90" s="32" t="s">
        <v>773</v>
      </c>
      <c r="I90" s="74" t="s">
        <v>817</v>
      </c>
      <c r="J90" s="22" t="s">
        <v>612</v>
      </c>
      <c r="K90" s="22" t="s">
        <v>1131</v>
      </c>
      <c r="L90" s="22" t="s">
        <v>1291</v>
      </c>
      <c r="M90" s="10"/>
    </row>
    <row r="91" spans="1:13" ht="26.25" x14ac:dyDescent="0.25">
      <c r="A91" s="18" t="s">
        <v>72</v>
      </c>
      <c r="B91" s="32" t="s">
        <v>1062</v>
      </c>
      <c r="C91" s="32" t="s">
        <v>817</v>
      </c>
      <c r="D91" s="32" t="s">
        <v>817</v>
      </c>
      <c r="E91" s="32" t="s">
        <v>1006</v>
      </c>
      <c r="F91" s="32">
        <v>2013</v>
      </c>
      <c r="G91" s="32" t="s">
        <v>817</v>
      </c>
      <c r="H91" s="32" t="s">
        <v>775</v>
      </c>
      <c r="I91" s="87">
        <v>338</v>
      </c>
      <c r="J91" s="22" t="s">
        <v>611</v>
      </c>
      <c r="K91" s="22" t="s">
        <v>800</v>
      </c>
      <c r="L91" s="22">
        <v>3</v>
      </c>
      <c r="M91" s="104" t="s">
        <v>1101</v>
      </c>
    </row>
    <row r="92" spans="1:13" ht="26.25" x14ac:dyDescent="0.25">
      <c r="A92" s="18" t="s">
        <v>72</v>
      </c>
      <c r="B92" s="32" t="s">
        <v>1062</v>
      </c>
      <c r="C92" s="32" t="s">
        <v>817</v>
      </c>
      <c r="D92" s="32" t="s">
        <v>817</v>
      </c>
      <c r="E92" s="32" t="s">
        <v>1006</v>
      </c>
      <c r="F92" s="32">
        <v>2013</v>
      </c>
      <c r="G92" s="32" t="s">
        <v>817</v>
      </c>
      <c r="H92" s="32" t="s">
        <v>775</v>
      </c>
      <c r="I92" s="87">
        <v>385</v>
      </c>
      <c r="J92" s="22" t="s">
        <v>611</v>
      </c>
      <c r="K92" s="22" t="s">
        <v>800</v>
      </c>
      <c r="L92" s="22">
        <v>3</v>
      </c>
      <c r="M92" s="104" t="s">
        <v>1102</v>
      </c>
    </row>
    <row r="93" spans="1:13" ht="26.25" x14ac:dyDescent="0.25">
      <c r="A93" s="18" t="s">
        <v>72</v>
      </c>
      <c r="B93" s="32" t="s">
        <v>1062</v>
      </c>
      <c r="C93" s="32" t="s">
        <v>817</v>
      </c>
      <c r="D93" s="32" t="s">
        <v>817</v>
      </c>
      <c r="E93" s="32" t="s">
        <v>1006</v>
      </c>
      <c r="F93" s="32">
        <v>2013</v>
      </c>
      <c r="G93" s="32" t="s">
        <v>817</v>
      </c>
      <c r="H93" s="32" t="s">
        <v>775</v>
      </c>
      <c r="I93" s="87">
        <v>1079</v>
      </c>
      <c r="J93" s="22" t="s">
        <v>611</v>
      </c>
      <c r="K93" s="22" t="s">
        <v>800</v>
      </c>
      <c r="L93" s="22">
        <v>3</v>
      </c>
      <c r="M93" s="104" t="s">
        <v>1103</v>
      </c>
    </row>
    <row r="94" spans="1:13" x14ac:dyDescent="0.25">
      <c r="A94" s="18" t="s">
        <v>72</v>
      </c>
      <c r="B94" s="32" t="s">
        <v>1062</v>
      </c>
      <c r="C94" s="32" t="s">
        <v>817</v>
      </c>
      <c r="D94" s="32" t="s">
        <v>817</v>
      </c>
      <c r="E94" s="32" t="s">
        <v>1006</v>
      </c>
      <c r="F94" s="32">
        <v>2013</v>
      </c>
      <c r="G94" s="32" t="s">
        <v>817</v>
      </c>
      <c r="H94" s="32" t="s">
        <v>775</v>
      </c>
      <c r="I94" s="87">
        <v>2069</v>
      </c>
      <c r="J94" s="22" t="s">
        <v>611</v>
      </c>
      <c r="K94" s="22" t="s">
        <v>800</v>
      </c>
      <c r="L94" s="22">
        <v>3</v>
      </c>
      <c r="M94" s="104" t="s">
        <v>1104</v>
      </c>
    </row>
    <row r="95" spans="1:13" x14ac:dyDescent="0.25">
      <c r="A95" s="18" t="s">
        <v>72</v>
      </c>
      <c r="B95" s="32" t="s">
        <v>1064</v>
      </c>
      <c r="C95" s="32" t="s">
        <v>817</v>
      </c>
      <c r="D95" s="32" t="s">
        <v>817</v>
      </c>
      <c r="E95" s="32" t="s">
        <v>1006</v>
      </c>
      <c r="F95" s="32">
        <v>2013</v>
      </c>
      <c r="G95" s="32" t="s">
        <v>817</v>
      </c>
      <c r="H95" s="32" t="s">
        <v>775</v>
      </c>
      <c r="I95" s="8">
        <v>308</v>
      </c>
      <c r="J95" s="22" t="s">
        <v>611</v>
      </c>
      <c r="K95" s="22" t="s">
        <v>800</v>
      </c>
      <c r="L95" s="22">
        <v>3</v>
      </c>
      <c r="M95" s="104" t="s">
        <v>1105</v>
      </c>
    </row>
    <row r="96" spans="1:13" x14ac:dyDescent="0.25">
      <c r="A96" s="18" t="s">
        <v>72</v>
      </c>
      <c r="B96" s="32" t="s">
        <v>1068</v>
      </c>
      <c r="C96" s="32" t="s">
        <v>817</v>
      </c>
      <c r="D96" s="32" t="s">
        <v>817</v>
      </c>
      <c r="E96" s="32" t="s">
        <v>1006</v>
      </c>
      <c r="F96" s="32">
        <v>2013</v>
      </c>
      <c r="G96" s="32" t="s">
        <v>817</v>
      </c>
      <c r="H96" s="32" t="s">
        <v>775</v>
      </c>
      <c r="I96" s="8">
        <v>4577</v>
      </c>
      <c r="J96" s="22" t="s">
        <v>611</v>
      </c>
      <c r="K96" s="22" t="s">
        <v>800</v>
      </c>
      <c r="L96" s="22">
        <v>3</v>
      </c>
      <c r="M96" s="104" t="s">
        <v>1105</v>
      </c>
    </row>
    <row r="97" spans="1:13" x14ac:dyDescent="0.25">
      <c r="A97" s="18" t="s">
        <v>72</v>
      </c>
      <c r="B97" s="32" t="s">
        <v>1068</v>
      </c>
      <c r="C97" s="32" t="s">
        <v>817</v>
      </c>
      <c r="D97" s="32" t="s">
        <v>817</v>
      </c>
      <c r="E97" s="32" t="s">
        <v>1006</v>
      </c>
      <c r="F97" s="32">
        <v>2013</v>
      </c>
      <c r="G97" s="32" t="s">
        <v>817</v>
      </c>
      <c r="H97" s="32" t="s">
        <v>775</v>
      </c>
      <c r="I97" s="8">
        <v>1144</v>
      </c>
      <c r="J97" s="22" t="s">
        <v>611</v>
      </c>
      <c r="K97" s="22" t="s">
        <v>800</v>
      </c>
      <c r="L97" s="22">
        <v>3</v>
      </c>
      <c r="M97" s="104" t="s">
        <v>1105</v>
      </c>
    </row>
    <row r="98" spans="1:13" x14ac:dyDescent="0.25">
      <c r="A98" s="18" t="s">
        <v>72</v>
      </c>
      <c r="B98" s="32" t="s">
        <v>738</v>
      </c>
      <c r="C98" s="32" t="s">
        <v>817</v>
      </c>
      <c r="D98" s="32" t="s">
        <v>817</v>
      </c>
      <c r="E98" s="32" t="s">
        <v>1006</v>
      </c>
      <c r="F98" s="32">
        <v>2013</v>
      </c>
      <c r="G98" s="32" t="s">
        <v>817</v>
      </c>
      <c r="H98" s="32" t="s">
        <v>775</v>
      </c>
      <c r="I98" s="8">
        <v>975</v>
      </c>
      <c r="J98" s="22" t="s">
        <v>611</v>
      </c>
      <c r="K98" s="22" t="s">
        <v>800</v>
      </c>
      <c r="L98" s="22">
        <v>3</v>
      </c>
      <c r="M98" s="104" t="s">
        <v>1106</v>
      </c>
    </row>
    <row r="99" spans="1:13" x14ac:dyDescent="0.25">
      <c r="A99" s="18" t="s">
        <v>72</v>
      </c>
      <c r="B99" s="32" t="s">
        <v>738</v>
      </c>
      <c r="C99" s="32" t="s">
        <v>817</v>
      </c>
      <c r="D99" s="32" t="s">
        <v>817</v>
      </c>
      <c r="E99" s="32" t="s">
        <v>1006</v>
      </c>
      <c r="F99" s="32">
        <v>2013</v>
      </c>
      <c r="G99" s="32" t="s">
        <v>817</v>
      </c>
      <c r="H99" s="32" t="s">
        <v>775</v>
      </c>
      <c r="I99" s="8">
        <v>1060</v>
      </c>
      <c r="J99" s="22" t="s">
        <v>611</v>
      </c>
      <c r="K99" s="22" t="s">
        <v>800</v>
      </c>
      <c r="L99" s="22">
        <v>3</v>
      </c>
      <c r="M99" s="104" t="s">
        <v>1107</v>
      </c>
    </row>
    <row r="100" spans="1:13" x14ac:dyDescent="0.25">
      <c r="A100" s="18" t="s">
        <v>72</v>
      </c>
      <c r="B100" s="32" t="s">
        <v>1108</v>
      </c>
      <c r="C100" s="32" t="s">
        <v>817</v>
      </c>
      <c r="D100" s="32" t="s">
        <v>817</v>
      </c>
      <c r="E100" s="32" t="s">
        <v>1006</v>
      </c>
      <c r="F100" s="32">
        <v>2013</v>
      </c>
      <c r="G100" s="32" t="s">
        <v>817</v>
      </c>
      <c r="H100" s="32" t="s">
        <v>775</v>
      </c>
      <c r="I100" s="8">
        <v>149</v>
      </c>
      <c r="J100" s="22" t="s">
        <v>611</v>
      </c>
      <c r="K100" s="22" t="s">
        <v>800</v>
      </c>
      <c r="L100" s="22">
        <v>3</v>
      </c>
      <c r="M100" s="104" t="s">
        <v>1105</v>
      </c>
    </row>
    <row r="101" spans="1:13" x14ac:dyDescent="0.25">
      <c r="A101" s="18" t="s">
        <v>72</v>
      </c>
      <c r="B101" s="32" t="s">
        <v>1073</v>
      </c>
      <c r="C101" s="32" t="s">
        <v>817</v>
      </c>
      <c r="D101" s="32" t="s">
        <v>817</v>
      </c>
      <c r="E101" s="32" t="s">
        <v>1006</v>
      </c>
      <c r="F101" s="32">
        <v>2013</v>
      </c>
      <c r="G101" s="32" t="s">
        <v>817</v>
      </c>
      <c r="H101" s="32" t="s">
        <v>775</v>
      </c>
      <c r="I101" s="8">
        <v>7115</v>
      </c>
      <c r="J101" s="22" t="s">
        <v>611</v>
      </c>
      <c r="K101" s="22" t="s">
        <v>800</v>
      </c>
      <c r="L101" s="22">
        <v>3</v>
      </c>
      <c r="M101" s="104" t="s">
        <v>1105</v>
      </c>
    </row>
    <row r="102" spans="1:13" x14ac:dyDescent="0.25">
      <c r="A102" s="18" t="s">
        <v>72</v>
      </c>
      <c r="B102" s="32" t="s">
        <v>238</v>
      </c>
      <c r="C102" s="32" t="s">
        <v>817</v>
      </c>
      <c r="D102" s="32" t="s">
        <v>817</v>
      </c>
      <c r="E102" s="32" t="s">
        <v>1006</v>
      </c>
      <c r="F102" s="32">
        <v>2013</v>
      </c>
      <c r="G102" s="32" t="s">
        <v>817</v>
      </c>
      <c r="H102" s="32" t="s">
        <v>775</v>
      </c>
      <c r="I102" s="8">
        <v>17.62</v>
      </c>
      <c r="J102" s="22" t="s">
        <v>611</v>
      </c>
      <c r="K102" s="22" t="s">
        <v>800</v>
      </c>
      <c r="L102" s="22">
        <v>3</v>
      </c>
      <c r="M102" s="104" t="s">
        <v>1109</v>
      </c>
    </row>
    <row r="103" spans="1:13" x14ac:dyDescent="0.25">
      <c r="A103" s="18" t="s">
        <v>72</v>
      </c>
      <c r="B103" s="32" t="s">
        <v>238</v>
      </c>
      <c r="C103" s="32" t="s">
        <v>817</v>
      </c>
      <c r="D103" s="32" t="s">
        <v>817</v>
      </c>
      <c r="E103" s="32" t="s">
        <v>1006</v>
      </c>
      <c r="F103" s="32">
        <v>2013</v>
      </c>
      <c r="G103" s="32" t="s">
        <v>817</v>
      </c>
      <c r="H103" s="32" t="s">
        <v>775</v>
      </c>
      <c r="I103" s="8">
        <v>8.82</v>
      </c>
      <c r="J103" s="22" t="s">
        <v>611</v>
      </c>
      <c r="K103" s="22" t="s">
        <v>800</v>
      </c>
      <c r="L103" s="22">
        <v>3</v>
      </c>
      <c r="M103" s="104" t="s">
        <v>1110</v>
      </c>
    </row>
    <row r="104" spans="1:13" x14ac:dyDescent="0.25">
      <c r="A104" s="18" t="s">
        <v>72</v>
      </c>
      <c r="B104" s="32" t="s">
        <v>1078</v>
      </c>
      <c r="C104" s="32" t="s">
        <v>817</v>
      </c>
      <c r="D104" s="32" t="s">
        <v>817</v>
      </c>
      <c r="E104" s="32" t="s">
        <v>1006</v>
      </c>
      <c r="F104" s="32">
        <v>2013</v>
      </c>
      <c r="G104" s="32" t="s">
        <v>817</v>
      </c>
      <c r="H104" s="32" t="s">
        <v>775</v>
      </c>
      <c r="I104" s="8">
        <v>2428</v>
      </c>
      <c r="J104" s="22" t="s">
        <v>611</v>
      </c>
      <c r="K104" s="22" t="s">
        <v>800</v>
      </c>
      <c r="L104" s="22">
        <v>3</v>
      </c>
      <c r="M104" s="104" t="s">
        <v>1105</v>
      </c>
    </row>
    <row r="105" spans="1:13" x14ac:dyDescent="0.25">
      <c r="A105" s="18" t="s">
        <v>72</v>
      </c>
      <c r="B105" s="32" t="s">
        <v>1075</v>
      </c>
      <c r="C105" s="32" t="s">
        <v>817</v>
      </c>
      <c r="D105" s="32" t="s">
        <v>817</v>
      </c>
      <c r="E105" s="32" t="s">
        <v>1006</v>
      </c>
      <c r="F105" s="32">
        <v>2013</v>
      </c>
      <c r="G105" s="32" t="s">
        <v>817</v>
      </c>
      <c r="H105" s="32" t="s">
        <v>775</v>
      </c>
      <c r="I105" s="8">
        <v>486</v>
      </c>
      <c r="J105" s="22" t="s">
        <v>611</v>
      </c>
      <c r="K105" s="22" t="s">
        <v>800</v>
      </c>
      <c r="L105" s="22">
        <v>3</v>
      </c>
      <c r="M105" s="104" t="s">
        <v>1111</v>
      </c>
    </row>
    <row r="106" spans="1:13" x14ac:dyDescent="0.25">
      <c r="A106" s="18" t="s">
        <v>72</v>
      </c>
      <c r="B106" s="32" t="s">
        <v>1075</v>
      </c>
      <c r="C106" s="32" t="s">
        <v>817</v>
      </c>
      <c r="D106" s="32" t="s">
        <v>817</v>
      </c>
      <c r="E106" s="32" t="s">
        <v>1006</v>
      </c>
      <c r="F106" s="32">
        <v>2013</v>
      </c>
      <c r="G106" s="32" t="s">
        <v>817</v>
      </c>
      <c r="H106" s="32" t="s">
        <v>775</v>
      </c>
      <c r="I106" s="8">
        <v>494</v>
      </c>
      <c r="J106" s="22" t="s">
        <v>611</v>
      </c>
      <c r="K106" s="22" t="s">
        <v>800</v>
      </c>
      <c r="L106" s="22">
        <v>3</v>
      </c>
      <c r="M106" s="104" t="s">
        <v>1112</v>
      </c>
    </row>
    <row r="107" spans="1:13" x14ac:dyDescent="0.25">
      <c r="A107" s="18" t="s">
        <v>72</v>
      </c>
      <c r="B107" s="32" t="s">
        <v>1084</v>
      </c>
      <c r="C107" s="32" t="s">
        <v>817</v>
      </c>
      <c r="D107" s="32" t="s">
        <v>817</v>
      </c>
      <c r="E107" s="32" t="s">
        <v>1006</v>
      </c>
      <c r="F107" s="32">
        <v>2013</v>
      </c>
      <c r="G107" s="32" t="s">
        <v>817</v>
      </c>
      <c r="H107" s="32" t="s">
        <v>775</v>
      </c>
      <c r="I107" s="8">
        <v>2517</v>
      </c>
      <c r="J107" s="22" t="s">
        <v>611</v>
      </c>
      <c r="K107" s="22" t="s">
        <v>800</v>
      </c>
      <c r="L107" s="22">
        <v>3</v>
      </c>
      <c r="M107" s="104" t="s">
        <v>1113</v>
      </c>
    </row>
    <row r="108" spans="1:13" x14ac:dyDescent="0.25">
      <c r="A108" s="18" t="s">
        <v>72</v>
      </c>
      <c r="B108" s="32" t="s">
        <v>1084</v>
      </c>
      <c r="C108" s="32" t="s">
        <v>817</v>
      </c>
      <c r="D108" s="32" t="s">
        <v>817</v>
      </c>
      <c r="E108" s="32" t="s">
        <v>1006</v>
      </c>
      <c r="F108" s="32">
        <v>2013</v>
      </c>
      <c r="G108" s="32" t="s">
        <v>817</v>
      </c>
      <c r="H108" s="32" t="s">
        <v>775</v>
      </c>
      <c r="I108" s="8">
        <v>4027</v>
      </c>
      <c r="J108" s="22" t="s">
        <v>611</v>
      </c>
      <c r="K108" s="22" t="s">
        <v>800</v>
      </c>
      <c r="L108" s="22">
        <v>3</v>
      </c>
      <c r="M108" s="104" t="s">
        <v>1114</v>
      </c>
    </row>
    <row r="109" spans="1:13" x14ac:dyDescent="0.25">
      <c r="A109" s="18" t="s">
        <v>72</v>
      </c>
      <c r="B109" s="32" t="s">
        <v>1084</v>
      </c>
      <c r="C109" s="32" t="s">
        <v>817</v>
      </c>
      <c r="D109" s="32" t="s">
        <v>817</v>
      </c>
      <c r="E109" s="32" t="s">
        <v>1006</v>
      </c>
      <c r="F109" s="32">
        <v>2013</v>
      </c>
      <c r="G109" s="32" t="s">
        <v>817</v>
      </c>
      <c r="H109" s="32" t="s">
        <v>775</v>
      </c>
      <c r="I109" s="8">
        <v>10068</v>
      </c>
      <c r="J109" s="22" t="s">
        <v>611</v>
      </c>
      <c r="K109" s="22" t="s">
        <v>800</v>
      </c>
      <c r="L109" s="22">
        <v>3</v>
      </c>
      <c r="M109" s="104" t="s">
        <v>1115</v>
      </c>
    </row>
    <row r="110" spans="1:13" x14ac:dyDescent="0.25">
      <c r="A110" s="18" t="s">
        <v>72</v>
      </c>
      <c r="B110" s="32" t="s">
        <v>1084</v>
      </c>
      <c r="C110" s="32" t="s">
        <v>817</v>
      </c>
      <c r="D110" s="32" t="s">
        <v>817</v>
      </c>
      <c r="E110" s="32" t="s">
        <v>1006</v>
      </c>
      <c r="F110" s="32">
        <v>2013</v>
      </c>
      <c r="G110" s="32" t="s">
        <v>817</v>
      </c>
      <c r="H110" s="32" t="s">
        <v>775</v>
      </c>
      <c r="I110" s="8">
        <v>1918</v>
      </c>
      <c r="J110" s="22" t="s">
        <v>611</v>
      </c>
      <c r="K110" s="22" t="s">
        <v>800</v>
      </c>
      <c r="L110" s="22">
        <v>3</v>
      </c>
      <c r="M110" s="104" t="s">
        <v>1116</v>
      </c>
    </row>
    <row r="111" spans="1:13" x14ac:dyDescent="0.25">
      <c r="A111" s="18" t="s">
        <v>72</v>
      </c>
      <c r="B111" s="32" t="s">
        <v>1084</v>
      </c>
      <c r="C111" s="32" t="s">
        <v>817</v>
      </c>
      <c r="D111" s="32" t="s">
        <v>817</v>
      </c>
      <c r="E111" s="32" t="s">
        <v>1006</v>
      </c>
      <c r="F111" s="32">
        <v>2013</v>
      </c>
      <c r="G111" s="32" t="s">
        <v>817</v>
      </c>
      <c r="H111" s="32" t="s">
        <v>775</v>
      </c>
      <c r="I111" s="8">
        <v>3196</v>
      </c>
      <c r="J111" s="22" t="s">
        <v>611</v>
      </c>
      <c r="K111" s="22" t="s">
        <v>800</v>
      </c>
      <c r="L111" s="22">
        <v>3</v>
      </c>
      <c r="M111" s="104" t="s">
        <v>1117</v>
      </c>
    </row>
    <row r="112" spans="1:13" x14ac:dyDescent="0.25">
      <c r="A112" s="18" t="s">
        <v>72</v>
      </c>
      <c r="B112" s="32" t="s">
        <v>1084</v>
      </c>
      <c r="C112" s="32" t="s">
        <v>817</v>
      </c>
      <c r="D112" s="32" t="s">
        <v>817</v>
      </c>
      <c r="E112" s="32" t="s">
        <v>1006</v>
      </c>
      <c r="F112" s="32">
        <v>2013</v>
      </c>
      <c r="G112" s="32" t="s">
        <v>817</v>
      </c>
      <c r="H112" s="32" t="s">
        <v>775</v>
      </c>
      <c r="I112" s="8">
        <v>14386</v>
      </c>
      <c r="J112" s="22" t="s">
        <v>611</v>
      </c>
      <c r="K112" s="22" t="s">
        <v>800</v>
      </c>
      <c r="L112" s="22">
        <v>3</v>
      </c>
      <c r="M112" s="104" t="s">
        <v>1118</v>
      </c>
    </row>
    <row r="113" spans="1:13" x14ac:dyDescent="0.25">
      <c r="A113" s="18" t="s">
        <v>72</v>
      </c>
      <c r="B113" s="32" t="s">
        <v>1082</v>
      </c>
      <c r="C113" s="32" t="s">
        <v>817</v>
      </c>
      <c r="D113" s="32" t="s">
        <v>817</v>
      </c>
      <c r="E113" s="32" t="s">
        <v>1006</v>
      </c>
      <c r="F113" s="32">
        <v>2013</v>
      </c>
      <c r="G113" s="32" t="s">
        <v>817</v>
      </c>
      <c r="H113" s="32" t="s">
        <v>775</v>
      </c>
      <c r="I113" s="8">
        <v>0.438</v>
      </c>
      <c r="J113" s="22" t="s">
        <v>611</v>
      </c>
      <c r="K113" s="22" t="s">
        <v>800</v>
      </c>
      <c r="L113" s="22">
        <v>3</v>
      </c>
      <c r="M113" s="104" t="s">
        <v>1105</v>
      </c>
    </row>
    <row r="114" spans="1:13" x14ac:dyDescent="0.25">
      <c r="A114" s="18" t="s">
        <v>72</v>
      </c>
      <c r="B114" s="32" t="s">
        <v>1086</v>
      </c>
      <c r="C114" s="32" t="s">
        <v>817</v>
      </c>
      <c r="D114" s="32" t="s">
        <v>817</v>
      </c>
      <c r="E114" s="32" t="s">
        <v>1006</v>
      </c>
      <c r="F114" s="32">
        <v>2013</v>
      </c>
      <c r="G114" s="32" t="s">
        <v>817</v>
      </c>
      <c r="H114" s="32" t="s">
        <v>775</v>
      </c>
      <c r="I114" s="8">
        <v>1384</v>
      </c>
      <c r="J114" s="22" t="s">
        <v>611</v>
      </c>
      <c r="K114" s="22" t="s">
        <v>800</v>
      </c>
      <c r="L114" s="22">
        <v>3</v>
      </c>
      <c r="M114" s="104" t="s">
        <v>1119</v>
      </c>
    </row>
    <row r="115" spans="1:13" x14ac:dyDescent="0.25">
      <c r="A115" s="18" t="s">
        <v>72</v>
      </c>
      <c r="B115" s="32" t="s">
        <v>1086</v>
      </c>
      <c r="C115" s="32" t="s">
        <v>817</v>
      </c>
      <c r="D115" s="32" t="s">
        <v>817</v>
      </c>
      <c r="E115" s="32" t="s">
        <v>1006</v>
      </c>
      <c r="F115" s="32">
        <v>2013</v>
      </c>
      <c r="G115" s="32" t="s">
        <v>817</v>
      </c>
      <c r="H115" s="32" t="s">
        <v>775</v>
      </c>
      <c r="I115" s="8">
        <v>2249</v>
      </c>
      <c r="J115" s="22" t="s">
        <v>611</v>
      </c>
      <c r="K115" s="22" t="s">
        <v>800</v>
      </c>
      <c r="L115" s="22">
        <v>3</v>
      </c>
      <c r="M115" s="104" t="s">
        <v>1120</v>
      </c>
    </row>
    <row r="116" spans="1:13" ht="26.25" x14ac:dyDescent="0.25">
      <c r="A116" s="32" t="s">
        <v>706</v>
      </c>
      <c r="B116" s="32" t="s">
        <v>1062</v>
      </c>
      <c r="C116" s="32" t="s">
        <v>817</v>
      </c>
      <c r="D116" s="32" t="s">
        <v>817</v>
      </c>
      <c r="E116" s="32" t="s">
        <v>1006</v>
      </c>
      <c r="F116" s="32">
        <v>2013</v>
      </c>
      <c r="G116" s="32" t="s">
        <v>817</v>
      </c>
      <c r="H116" s="32" t="s">
        <v>775</v>
      </c>
      <c r="I116" s="87" t="s">
        <v>1152</v>
      </c>
      <c r="J116" s="22" t="s">
        <v>611</v>
      </c>
      <c r="K116" s="22" t="s">
        <v>800</v>
      </c>
      <c r="L116" s="22">
        <v>3</v>
      </c>
      <c r="M116" s="104" t="s">
        <v>1101</v>
      </c>
    </row>
    <row r="117" spans="1:13" ht="26.25" x14ac:dyDescent="0.25">
      <c r="A117" s="32" t="s">
        <v>706</v>
      </c>
      <c r="B117" s="32" t="s">
        <v>1062</v>
      </c>
      <c r="C117" s="32" t="s">
        <v>817</v>
      </c>
      <c r="D117" s="32" t="s">
        <v>817</v>
      </c>
      <c r="E117" s="32" t="s">
        <v>1006</v>
      </c>
      <c r="F117" s="32">
        <v>2013</v>
      </c>
      <c r="G117" s="32" t="s">
        <v>817</v>
      </c>
      <c r="H117" s="32" t="s">
        <v>775</v>
      </c>
      <c r="I117" s="87" t="s">
        <v>1153</v>
      </c>
      <c r="J117" s="22" t="s">
        <v>611</v>
      </c>
      <c r="K117" s="22" t="s">
        <v>800</v>
      </c>
      <c r="L117" s="22">
        <v>3</v>
      </c>
      <c r="M117" s="104" t="s">
        <v>1102</v>
      </c>
    </row>
    <row r="118" spans="1:13" ht="26.25" x14ac:dyDescent="0.25">
      <c r="A118" s="32" t="s">
        <v>706</v>
      </c>
      <c r="B118" s="32" t="s">
        <v>1062</v>
      </c>
      <c r="C118" s="32" t="s">
        <v>817</v>
      </c>
      <c r="D118" s="32" t="s">
        <v>817</v>
      </c>
      <c r="E118" s="32" t="s">
        <v>1006</v>
      </c>
      <c r="F118" s="32">
        <v>2013</v>
      </c>
      <c r="G118" s="32" t="s">
        <v>817</v>
      </c>
      <c r="H118" s="32" t="s">
        <v>775</v>
      </c>
      <c r="I118" s="87" t="s">
        <v>1154</v>
      </c>
      <c r="J118" s="22" t="s">
        <v>611</v>
      </c>
      <c r="K118" s="22" t="s">
        <v>800</v>
      </c>
      <c r="L118" s="22">
        <v>3</v>
      </c>
      <c r="M118" s="104" t="s">
        <v>1103</v>
      </c>
    </row>
    <row r="119" spans="1:13" ht="25.5" x14ac:dyDescent="0.25">
      <c r="A119" s="32" t="s">
        <v>706</v>
      </c>
      <c r="B119" s="32" t="s">
        <v>1062</v>
      </c>
      <c r="C119" s="32" t="s">
        <v>817</v>
      </c>
      <c r="D119" s="32" t="s">
        <v>817</v>
      </c>
      <c r="E119" s="32" t="s">
        <v>1006</v>
      </c>
      <c r="F119" s="32">
        <v>2013</v>
      </c>
      <c r="G119" s="32" t="s">
        <v>817</v>
      </c>
      <c r="H119" s="32" t="s">
        <v>775</v>
      </c>
      <c r="I119" s="87" t="s">
        <v>1155</v>
      </c>
      <c r="J119" s="22" t="s">
        <v>611</v>
      </c>
      <c r="K119" s="22" t="s">
        <v>800</v>
      </c>
      <c r="L119" s="22">
        <v>3</v>
      </c>
      <c r="M119" s="104" t="s">
        <v>1104</v>
      </c>
    </row>
    <row r="120" spans="1:13" ht="25.5" x14ac:dyDescent="0.25">
      <c r="A120" s="32" t="s">
        <v>706</v>
      </c>
      <c r="B120" s="32" t="s">
        <v>1064</v>
      </c>
      <c r="C120" s="32" t="s">
        <v>817</v>
      </c>
      <c r="D120" s="32" t="s">
        <v>817</v>
      </c>
      <c r="E120" s="32" t="s">
        <v>1006</v>
      </c>
      <c r="F120" s="32">
        <v>2013</v>
      </c>
      <c r="G120" s="32" t="s">
        <v>817</v>
      </c>
      <c r="H120" s="32" t="s">
        <v>775</v>
      </c>
      <c r="I120" s="87" t="s">
        <v>1156</v>
      </c>
      <c r="J120" s="22" t="s">
        <v>611</v>
      </c>
      <c r="K120" s="22" t="s">
        <v>800</v>
      </c>
      <c r="L120" s="22">
        <v>3</v>
      </c>
      <c r="M120" s="104" t="s">
        <v>1105</v>
      </c>
    </row>
    <row r="121" spans="1:13" ht="25.5" x14ac:dyDescent="0.25">
      <c r="A121" s="32" t="s">
        <v>706</v>
      </c>
      <c r="B121" s="32" t="s">
        <v>1068</v>
      </c>
      <c r="C121" s="32" t="s">
        <v>817</v>
      </c>
      <c r="D121" s="32" t="s">
        <v>817</v>
      </c>
      <c r="E121" s="32" t="s">
        <v>1006</v>
      </c>
      <c r="F121" s="32">
        <v>2013</v>
      </c>
      <c r="G121" s="32" t="s">
        <v>817</v>
      </c>
      <c r="H121" s="32" t="s">
        <v>775</v>
      </c>
      <c r="I121" s="87" t="s">
        <v>1157</v>
      </c>
      <c r="J121" s="22" t="s">
        <v>611</v>
      </c>
      <c r="K121" s="22" t="s">
        <v>800</v>
      </c>
      <c r="L121" s="22">
        <v>3</v>
      </c>
      <c r="M121" s="104" t="s">
        <v>1105</v>
      </c>
    </row>
    <row r="122" spans="1:13" ht="25.5" x14ac:dyDescent="0.25">
      <c r="A122" s="32" t="s">
        <v>706</v>
      </c>
      <c r="B122" s="32" t="s">
        <v>1068</v>
      </c>
      <c r="C122" s="32" t="s">
        <v>817</v>
      </c>
      <c r="D122" s="32" t="s">
        <v>817</v>
      </c>
      <c r="E122" s="32" t="s">
        <v>1006</v>
      </c>
      <c r="F122" s="32">
        <v>2013</v>
      </c>
      <c r="G122" s="32" t="s">
        <v>817</v>
      </c>
      <c r="H122" s="32" t="s">
        <v>775</v>
      </c>
      <c r="I122" s="87" t="s">
        <v>1158</v>
      </c>
      <c r="J122" s="22" t="s">
        <v>611</v>
      </c>
      <c r="K122" s="22" t="s">
        <v>800</v>
      </c>
      <c r="L122" s="22">
        <v>3</v>
      </c>
      <c r="M122" s="104" t="s">
        <v>1105</v>
      </c>
    </row>
    <row r="123" spans="1:13" ht="25.5" x14ac:dyDescent="0.25">
      <c r="A123" s="32" t="s">
        <v>706</v>
      </c>
      <c r="B123" s="32" t="s">
        <v>738</v>
      </c>
      <c r="C123" s="32" t="s">
        <v>817</v>
      </c>
      <c r="D123" s="32" t="s">
        <v>817</v>
      </c>
      <c r="E123" s="32" t="s">
        <v>1006</v>
      </c>
      <c r="F123" s="32">
        <v>2013</v>
      </c>
      <c r="G123" s="32" t="s">
        <v>817</v>
      </c>
      <c r="H123" s="32" t="s">
        <v>775</v>
      </c>
      <c r="I123" s="87" t="s">
        <v>1159</v>
      </c>
      <c r="J123" s="22" t="s">
        <v>611</v>
      </c>
      <c r="K123" s="22" t="s">
        <v>800</v>
      </c>
      <c r="L123" s="22">
        <v>3</v>
      </c>
      <c r="M123" s="104" t="s">
        <v>1106</v>
      </c>
    </row>
    <row r="124" spans="1:13" ht="25.5" x14ac:dyDescent="0.25">
      <c r="A124" s="32" t="s">
        <v>706</v>
      </c>
      <c r="B124" s="32" t="s">
        <v>738</v>
      </c>
      <c r="C124" s="32" t="s">
        <v>817</v>
      </c>
      <c r="D124" s="32" t="s">
        <v>817</v>
      </c>
      <c r="E124" s="32" t="s">
        <v>1006</v>
      </c>
      <c r="F124" s="32">
        <v>2013</v>
      </c>
      <c r="G124" s="32" t="s">
        <v>817</v>
      </c>
      <c r="H124" s="32" t="s">
        <v>775</v>
      </c>
      <c r="I124" s="87" t="s">
        <v>1160</v>
      </c>
      <c r="J124" s="22" t="s">
        <v>611</v>
      </c>
      <c r="K124" s="22" t="s">
        <v>800</v>
      </c>
      <c r="L124" s="22">
        <v>3</v>
      </c>
      <c r="M124" s="104" t="s">
        <v>1107</v>
      </c>
    </row>
    <row r="125" spans="1:13" ht="25.5" x14ac:dyDescent="0.25">
      <c r="A125" s="32" t="s">
        <v>706</v>
      </c>
      <c r="B125" s="32" t="s">
        <v>1108</v>
      </c>
      <c r="C125" s="32" t="s">
        <v>817</v>
      </c>
      <c r="D125" s="32" t="s">
        <v>817</v>
      </c>
      <c r="E125" s="32" t="s">
        <v>1006</v>
      </c>
      <c r="F125" s="32">
        <v>2013</v>
      </c>
      <c r="G125" s="32" t="s">
        <v>817</v>
      </c>
      <c r="H125" s="32" t="s">
        <v>775</v>
      </c>
      <c r="I125" s="87" t="s">
        <v>1161</v>
      </c>
      <c r="J125" s="22" t="s">
        <v>611</v>
      </c>
      <c r="K125" s="22" t="s">
        <v>800</v>
      </c>
      <c r="L125" s="22">
        <v>3</v>
      </c>
      <c r="M125" s="104" t="s">
        <v>1105</v>
      </c>
    </row>
    <row r="126" spans="1:13" ht="25.5" x14ac:dyDescent="0.25">
      <c r="A126" s="32" t="s">
        <v>706</v>
      </c>
      <c r="B126" s="32" t="s">
        <v>1073</v>
      </c>
      <c r="C126" s="32" t="s">
        <v>817</v>
      </c>
      <c r="D126" s="32" t="s">
        <v>817</v>
      </c>
      <c r="E126" s="32" t="s">
        <v>1006</v>
      </c>
      <c r="F126" s="32">
        <v>2013</v>
      </c>
      <c r="G126" s="32" t="s">
        <v>817</v>
      </c>
      <c r="H126" s="32" t="s">
        <v>775</v>
      </c>
      <c r="I126" s="87" t="s">
        <v>1162</v>
      </c>
      <c r="J126" s="22" t="s">
        <v>611</v>
      </c>
      <c r="K126" s="22" t="s">
        <v>800</v>
      </c>
      <c r="L126" s="22">
        <v>3</v>
      </c>
      <c r="M126" s="104" t="s">
        <v>1105</v>
      </c>
    </row>
    <row r="127" spans="1:13" ht="25.5" x14ac:dyDescent="0.25">
      <c r="A127" s="32" t="s">
        <v>706</v>
      </c>
      <c r="B127" s="32" t="s">
        <v>238</v>
      </c>
      <c r="C127" s="32" t="s">
        <v>817</v>
      </c>
      <c r="D127" s="32" t="s">
        <v>817</v>
      </c>
      <c r="E127" s="32" t="s">
        <v>1006</v>
      </c>
      <c r="F127" s="32">
        <v>2013</v>
      </c>
      <c r="G127" s="32" t="s">
        <v>817</v>
      </c>
      <c r="H127" s="32" t="s">
        <v>775</v>
      </c>
      <c r="I127" s="87" t="s">
        <v>1163</v>
      </c>
      <c r="J127" s="22" t="s">
        <v>611</v>
      </c>
      <c r="K127" s="22" t="s">
        <v>800</v>
      </c>
      <c r="L127" s="22">
        <v>3</v>
      </c>
      <c r="M127" s="104" t="s">
        <v>1109</v>
      </c>
    </row>
    <row r="128" spans="1:13" ht="25.5" x14ac:dyDescent="0.25">
      <c r="A128" s="32" t="s">
        <v>706</v>
      </c>
      <c r="B128" s="32" t="s">
        <v>238</v>
      </c>
      <c r="C128" s="32" t="s">
        <v>817</v>
      </c>
      <c r="D128" s="32" t="s">
        <v>817</v>
      </c>
      <c r="E128" s="32" t="s">
        <v>1006</v>
      </c>
      <c r="F128" s="32">
        <v>2013</v>
      </c>
      <c r="G128" s="32" t="s">
        <v>817</v>
      </c>
      <c r="H128" s="32" t="s">
        <v>775</v>
      </c>
      <c r="I128" s="87" t="s">
        <v>1164</v>
      </c>
      <c r="J128" s="22" t="s">
        <v>611</v>
      </c>
      <c r="K128" s="22" t="s">
        <v>800</v>
      </c>
      <c r="L128" s="22">
        <v>3</v>
      </c>
      <c r="M128" s="104" t="s">
        <v>1110</v>
      </c>
    </row>
    <row r="129" spans="1:13" ht="25.5" x14ac:dyDescent="0.25">
      <c r="A129" s="32" t="s">
        <v>706</v>
      </c>
      <c r="B129" s="32" t="s">
        <v>1078</v>
      </c>
      <c r="C129" s="32" t="s">
        <v>817</v>
      </c>
      <c r="D129" s="32" t="s">
        <v>817</v>
      </c>
      <c r="E129" s="32" t="s">
        <v>1006</v>
      </c>
      <c r="F129" s="32">
        <v>2013</v>
      </c>
      <c r="G129" s="32" t="s">
        <v>817</v>
      </c>
      <c r="H129" s="32" t="s">
        <v>775</v>
      </c>
      <c r="I129" s="87" t="s">
        <v>1165</v>
      </c>
      <c r="J129" s="22" t="s">
        <v>611</v>
      </c>
      <c r="K129" s="22" t="s">
        <v>800</v>
      </c>
      <c r="L129" s="22">
        <v>3</v>
      </c>
      <c r="M129" s="104" t="s">
        <v>1105</v>
      </c>
    </row>
    <row r="130" spans="1:13" ht="25.5" x14ac:dyDescent="0.25">
      <c r="A130" s="32" t="s">
        <v>706</v>
      </c>
      <c r="B130" s="32" t="s">
        <v>1075</v>
      </c>
      <c r="C130" s="32" t="s">
        <v>817</v>
      </c>
      <c r="D130" s="32" t="s">
        <v>817</v>
      </c>
      <c r="E130" s="32" t="s">
        <v>1006</v>
      </c>
      <c r="F130" s="32">
        <v>2013</v>
      </c>
      <c r="G130" s="32" t="s">
        <v>817</v>
      </c>
      <c r="H130" s="32" t="s">
        <v>775</v>
      </c>
      <c r="I130" s="87" t="s">
        <v>1166</v>
      </c>
      <c r="J130" s="22" t="s">
        <v>611</v>
      </c>
      <c r="K130" s="22" t="s">
        <v>800</v>
      </c>
      <c r="L130" s="22">
        <v>3</v>
      </c>
      <c r="M130" s="104" t="s">
        <v>1111</v>
      </c>
    </row>
    <row r="131" spans="1:13" ht="25.5" x14ac:dyDescent="0.25">
      <c r="A131" s="32" t="s">
        <v>706</v>
      </c>
      <c r="B131" s="32" t="s">
        <v>1075</v>
      </c>
      <c r="C131" s="32" t="s">
        <v>817</v>
      </c>
      <c r="D131" s="32" t="s">
        <v>817</v>
      </c>
      <c r="E131" s="32" t="s">
        <v>1006</v>
      </c>
      <c r="F131" s="32">
        <v>2013</v>
      </c>
      <c r="G131" s="32" t="s">
        <v>817</v>
      </c>
      <c r="H131" s="32" t="s">
        <v>775</v>
      </c>
      <c r="I131" s="87" t="s">
        <v>1167</v>
      </c>
      <c r="J131" s="22" t="s">
        <v>611</v>
      </c>
      <c r="K131" s="22" t="s">
        <v>800</v>
      </c>
      <c r="L131" s="22">
        <v>3</v>
      </c>
      <c r="M131" s="104" t="s">
        <v>1112</v>
      </c>
    </row>
    <row r="132" spans="1:13" ht="25.5" x14ac:dyDescent="0.25">
      <c r="A132" s="32" t="s">
        <v>706</v>
      </c>
      <c r="B132" s="32" t="s">
        <v>1084</v>
      </c>
      <c r="C132" s="32" t="s">
        <v>817</v>
      </c>
      <c r="D132" s="32" t="s">
        <v>817</v>
      </c>
      <c r="E132" s="32" t="s">
        <v>1006</v>
      </c>
      <c r="F132" s="32">
        <v>2013</v>
      </c>
      <c r="G132" s="32" t="s">
        <v>817</v>
      </c>
      <c r="H132" s="32" t="s">
        <v>775</v>
      </c>
      <c r="I132" s="87" t="s">
        <v>1168</v>
      </c>
      <c r="J132" s="22" t="s">
        <v>611</v>
      </c>
      <c r="K132" s="22" t="s">
        <v>800</v>
      </c>
      <c r="L132" s="22">
        <v>3</v>
      </c>
      <c r="M132" s="104" t="s">
        <v>1113</v>
      </c>
    </row>
    <row r="133" spans="1:13" ht="25.5" x14ac:dyDescent="0.25">
      <c r="A133" s="32" t="s">
        <v>706</v>
      </c>
      <c r="B133" s="32" t="s">
        <v>1084</v>
      </c>
      <c r="C133" s="32" t="s">
        <v>817</v>
      </c>
      <c r="D133" s="32" t="s">
        <v>817</v>
      </c>
      <c r="E133" s="32" t="s">
        <v>1006</v>
      </c>
      <c r="F133" s="32">
        <v>2013</v>
      </c>
      <c r="G133" s="32" t="s">
        <v>817</v>
      </c>
      <c r="H133" s="32" t="s">
        <v>775</v>
      </c>
      <c r="I133" s="87" t="s">
        <v>1169</v>
      </c>
      <c r="J133" s="22" t="s">
        <v>611</v>
      </c>
      <c r="K133" s="22" t="s">
        <v>800</v>
      </c>
      <c r="L133" s="22">
        <v>3</v>
      </c>
      <c r="M133" s="104" t="s">
        <v>1114</v>
      </c>
    </row>
    <row r="134" spans="1:13" ht="25.5" x14ac:dyDescent="0.25">
      <c r="A134" s="32" t="s">
        <v>706</v>
      </c>
      <c r="B134" s="32" t="s">
        <v>1084</v>
      </c>
      <c r="C134" s="32" t="s">
        <v>817</v>
      </c>
      <c r="D134" s="32" t="s">
        <v>817</v>
      </c>
      <c r="E134" s="32" t="s">
        <v>1006</v>
      </c>
      <c r="F134" s="32">
        <v>2013</v>
      </c>
      <c r="G134" s="32" t="s">
        <v>817</v>
      </c>
      <c r="H134" s="32" t="s">
        <v>775</v>
      </c>
      <c r="I134" s="87" t="s">
        <v>1170</v>
      </c>
      <c r="J134" s="22" t="s">
        <v>611</v>
      </c>
      <c r="K134" s="22" t="s">
        <v>800</v>
      </c>
      <c r="L134" s="22">
        <v>3</v>
      </c>
      <c r="M134" s="104" t="s">
        <v>1115</v>
      </c>
    </row>
    <row r="135" spans="1:13" ht="25.5" x14ac:dyDescent="0.25">
      <c r="A135" s="32" t="s">
        <v>706</v>
      </c>
      <c r="B135" s="32" t="s">
        <v>1084</v>
      </c>
      <c r="C135" s="32" t="s">
        <v>817</v>
      </c>
      <c r="D135" s="32" t="s">
        <v>817</v>
      </c>
      <c r="E135" s="32" t="s">
        <v>1006</v>
      </c>
      <c r="F135" s="32">
        <v>2013</v>
      </c>
      <c r="G135" s="32" t="s">
        <v>817</v>
      </c>
      <c r="H135" s="32" t="s">
        <v>775</v>
      </c>
      <c r="I135" s="87" t="s">
        <v>1171</v>
      </c>
      <c r="J135" s="22" t="s">
        <v>611</v>
      </c>
      <c r="K135" s="22" t="s">
        <v>800</v>
      </c>
      <c r="L135" s="22">
        <v>3</v>
      </c>
      <c r="M135" s="104" t="s">
        <v>1116</v>
      </c>
    </row>
    <row r="136" spans="1:13" ht="25.5" x14ac:dyDescent="0.25">
      <c r="A136" s="32" t="s">
        <v>706</v>
      </c>
      <c r="B136" s="32" t="s">
        <v>1084</v>
      </c>
      <c r="C136" s="32" t="s">
        <v>817</v>
      </c>
      <c r="D136" s="32" t="s">
        <v>817</v>
      </c>
      <c r="E136" s="32" t="s">
        <v>1006</v>
      </c>
      <c r="F136" s="32">
        <v>2013</v>
      </c>
      <c r="G136" s="32" t="s">
        <v>817</v>
      </c>
      <c r="H136" s="32" t="s">
        <v>775</v>
      </c>
      <c r="I136" s="87" t="s">
        <v>1172</v>
      </c>
      <c r="J136" s="22" t="s">
        <v>611</v>
      </c>
      <c r="K136" s="22" t="s">
        <v>800</v>
      </c>
      <c r="L136" s="22">
        <v>3</v>
      </c>
      <c r="M136" s="104" t="s">
        <v>1117</v>
      </c>
    </row>
    <row r="137" spans="1:13" ht="25.5" x14ac:dyDescent="0.25">
      <c r="A137" s="32" t="s">
        <v>706</v>
      </c>
      <c r="B137" s="32" t="s">
        <v>1084</v>
      </c>
      <c r="C137" s="32" t="s">
        <v>817</v>
      </c>
      <c r="D137" s="32" t="s">
        <v>817</v>
      </c>
      <c r="E137" s="32" t="s">
        <v>1006</v>
      </c>
      <c r="F137" s="32">
        <v>2013</v>
      </c>
      <c r="G137" s="32" t="s">
        <v>817</v>
      </c>
      <c r="H137" s="32" t="s">
        <v>775</v>
      </c>
      <c r="I137" s="87" t="s">
        <v>1173</v>
      </c>
      <c r="J137" s="22" t="s">
        <v>611</v>
      </c>
      <c r="K137" s="22" t="s">
        <v>800</v>
      </c>
      <c r="L137" s="22">
        <v>3</v>
      </c>
      <c r="M137" s="104" t="s">
        <v>1118</v>
      </c>
    </row>
    <row r="138" spans="1:13" ht="25.5" x14ac:dyDescent="0.25">
      <c r="A138" s="32" t="s">
        <v>706</v>
      </c>
      <c r="B138" s="32" t="s">
        <v>1082</v>
      </c>
      <c r="C138" s="32" t="s">
        <v>817</v>
      </c>
      <c r="D138" s="32" t="s">
        <v>817</v>
      </c>
      <c r="E138" s="32" t="s">
        <v>1006</v>
      </c>
      <c r="F138" s="32">
        <v>2013</v>
      </c>
      <c r="G138" s="32" t="s">
        <v>817</v>
      </c>
      <c r="H138" s="32" t="s">
        <v>775</v>
      </c>
      <c r="I138" s="78" t="s">
        <v>1174</v>
      </c>
      <c r="J138" s="22" t="s">
        <v>611</v>
      </c>
      <c r="K138" s="22" t="s">
        <v>800</v>
      </c>
      <c r="L138" s="22">
        <v>3</v>
      </c>
      <c r="M138" s="104" t="s">
        <v>1105</v>
      </c>
    </row>
    <row r="139" spans="1:13" ht="25.5" x14ac:dyDescent="0.25">
      <c r="A139" s="32" t="s">
        <v>706</v>
      </c>
      <c r="B139" s="32" t="s">
        <v>1086</v>
      </c>
      <c r="C139" s="32" t="s">
        <v>817</v>
      </c>
      <c r="D139" s="32" t="s">
        <v>817</v>
      </c>
      <c r="E139" s="32" t="s">
        <v>1006</v>
      </c>
      <c r="F139" s="32">
        <v>2013</v>
      </c>
      <c r="G139" s="32" t="s">
        <v>817</v>
      </c>
      <c r="H139" s="32" t="s">
        <v>775</v>
      </c>
      <c r="I139" s="87" t="s">
        <v>1175</v>
      </c>
      <c r="J139" s="22" t="s">
        <v>611</v>
      </c>
      <c r="K139" s="22" t="s">
        <v>800</v>
      </c>
      <c r="L139" s="22">
        <v>3</v>
      </c>
      <c r="M139" s="104" t="s">
        <v>1119</v>
      </c>
    </row>
    <row r="140" spans="1:13" ht="25.5" x14ac:dyDescent="0.25">
      <c r="A140" s="32" t="s">
        <v>706</v>
      </c>
      <c r="B140" s="32" t="s">
        <v>1086</v>
      </c>
      <c r="C140" s="32" t="s">
        <v>817</v>
      </c>
      <c r="D140" s="32" t="s">
        <v>817</v>
      </c>
      <c r="E140" s="32" t="s">
        <v>1006</v>
      </c>
      <c r="F140" s="32">
        <v>2013</v>
      </c>
      <c r="G140" s="32" t="s">
        <v>817</v>
      </c>
      <c r="H140" s="32" t="s">
        <v>775</v>
      </c>
      <c r="I140" s="87" t="s">
        <v>1176</v>
      </c>
      <c r="J140" s="22" t="s">
        <v>611</v>
      </c>
      <c r="K140" s="22" t="s">
        <v>800</v>
      </c>
      <c r="L140" s="22">
        <v>3</v>
      </c>
      <c r="M140" s="104" t="s">
        <v>1120</v>
      </c>
    </row>
  </sheetData>
  <autoFilter ref="A3:M140">
    <sortState ref="A2:M138">
      <sortCondition ref="K1:K138"/>
    </sortState>
  </autoFilter>
  <pageMargins left="0.7" right="0.7" top="0.75" bottom="0.75" header="0.3" footer="0.3"/>
  <pageSetup scale="56" fitToHeight="6" orientation="landscape"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B2:E20"/>
  <sheetViews>
    <sheetView showGridLines="0" workbookViewId="0">
      <pane ySplit="2" topLeftCell="A3" activePane="bottomLeft" state="frozen"/>
      <selection pane="bottomLeft"/>
    </sheetView>
  </sheetViews>
  <sheetFormatPr defaultColWidth="9.140625" defaultRowHeight="15" x14ac:dyDescent="0.25"/>
  <cols>
    <col min="1" max="1" width="2.28515625" style="21" customWidth="1"/>
    <col min="2" max="2" width="13.7109375" style="21" customWidth="1"/>
    <col min="3" max="3" width="3" style="25" customWidth="1"/>
    <col min="4" max="4" width="70.5703125" style="21" customWidth="1"/>
    <col min="5" max="16384" width="9.140625" style="21"/>
  </cols>
  <sheetData>
    <row r="2" spans="2:5" ht="16.5" customHeight="1" x14ac:dyDescent="0.25"/>
    <row r="3" spans="2:5" x14ac:dyDescent="0.25">
      <c r="B3" s="208" t="s">
        <v>1891</v>
      </c>
      <c r="C3" s="208"/>
      <c r="D3" s="208"/>
    </row>
    <row r="4" spans="2:5" s="3" customFormat="1" ht="78" customHeight="1" x14ac:dyDescent="0.25">
      <c r="B4" s="188" t="s">
        <v>1892</v>
      </c>
      <c r="C4" s="189"/>
      <c r="D4" s="190"/>
    </row>
    <row r="5" spans="2:5" s="3" customFormat="1" x14ac:dyDescent="0.25">
      <c r="B5" s="196" t="s">
        <v>6</v>
      </c>
      <c r="C5" s="196"/>
      <c r="D5" s="68" t="s">
        <v>0</v>
      </c>
    </row>
    <row r="6" spans="2:5" s="3" customFormat="1" ht="76.5" customHeight="1" x14ac:dyDescent="0.25">
      <c r="B6" s="222" t="s">
        <v>1894</v>
      </c>
      <c r="C6" s="222"/>
      <c r="D6" s="59" t="s">
        <v>1893</v>
      </c>
    </row>
    <row r="7" spans="2:5" s="3" customFormat="1" ht="77.25" customHeight="1" x14ac:dyDescent="0.25">
      <c r="B7" s="222" t="s">
        <v>686</v>
      </c>
      <c r="C7" s="222"/>
      <c r="D7" s="59" t="s">
        <v>1455</v>
      </c>
    </row>
    <row r="8" spans="2:5" s="3" customFormat="1" ht="77.25" customHeight="1" x14ac:dyDescent="0.25">
      <c r="B8" s="220" t="s">
        <v>1816</v>
      </c>
      <c r="C8" s="221"/>
      <c r="D8" s="59" t="s">
        <v>1837</v>
      </c>
    </row>
    <row r="9" spans="2:5" s="3" customFormat="1" x14ac:dyDescent="0.25"/>
    <row r="10" spans="2:5" x14ac:dyDescent="0.25">
      <c r="B10" s="208" t="s">
        <v>446</v>
      </c>
      <c r="C10" s="208"/>
      <c r="D10" s="208"/>
    </row>
    <row r="11" spans="2:5" s="3" customFormat="1" ht="15" customHeight="1" x14ac:dyDescent="0.25">
      <c r="B11" s="204" t="s">
        <v>1836</v>
      </c>
      <c r="C11" s="204"/>
      <c r="D11" s="204"/>
      <c r="E11" s="119"/>
    </row>
    <row r="12" spans="2:5" s="3" customFormat="1" ht="15" customHeight="1" x14ac:dyDescent="0.25">
      <c r="B12" s="204" t="s">
        <v>1824</v>
      </c>
      <c r="C12" s="204"/>
      <c r="D12" s="204"/>
      <c r="E12" s="119"/>
    </row>
    <row r="13" spans="2:5" s="3" customFormat="1" ht="45.75" customHeight="1" x14ac:dyDescent="0.25">
      <c r="B13" s="204" t="s">
        <v>1825</v>
      </c>
      <c r="C13" s="204"/>
      <c r="D13" s="204"/>
      <c r="E13" s="119"/>
    </row>
    <row r="14" spans="2:5" s="3" customFormat="1" ht="31.5" customHeight="1" x14ac:dyDescent="0.25">
      <c r="B14" s="204" t="s">
        <v>1826</v>
      </c>
      <c r="C14" s="204"/>
      <c r="D14" s="204"/>
      <c r="E14" s="119"/>
    </row>
    <row r="15" spans="2:5" s="3" customFormat="1" x14ac:dyDescent="0.25">
      <c r="B15" s="204" t="s">
        <v>1827</v>
      </c>
      <c r="C15" s="204"/>
      <c r="D15" s="204"/>
      <c r="E15" s="119"/>
    </row>
    <row r="16" spans="2:5" s="3" customFormat="1" ht="30" customHeight="1" x14ac:dyDescent="0.25">
      <c r="B16" s="204" t="s">
        <v>1828</v>
      </c>
      <c r="C16" s="204"/>
      <c r="D16" s="204"/>
      <c r="E16" s="119"/>
    </row>
    <row r="17" spans="2:5" s="3" customFormat="1" ht="15" customHeight="1" x14ac:dyDescent="0.25">
      <c r="B17" s="204" t="s">
        <v>1829</v>
      </c>
      <c r="C17" s="204"/>
      <c r="D17" s="204"/>
      <c r="E17" s="119"/>
    </row>
    <row r="18" spans="2:5" s="3" customFormat="1" ht="54" customHeight="1" x14ac:dyDescent="0.25">
      <c r="B18" s="210" t="s">
        <v>1817</v>
      </c>
      <c r="C18" s="210"/>
      <c r="D18" s="210"/>
    </row>
    <row r="19" spans="2:5" s="3" customFormat="1" x14ac:dyDescent="0.25"/>
    <row r="20" spans="2:5" x14ac:dyDescent="0.25">
      <c r="B20" s="25"/>
    </row>
  </sheetData>
  <mergeCells count="15">
    <mergeCell ref="B10:D10"/>
    <mergeCell ref="B8:C8"/>
    <mergeCell ref="B3:D3"/>
    <mergeCell ref="B5:C5"/>
    <mergeCell ref="B6:C6"/>
    <mergeCell ref="B7:C7"/>
    <mergeCell ref="B4:D4"/>
    <mergeCell ref="B16:D16"/>
    <mergeCell ref="B17:D17"/>
    <mergeCell ref="B18:D18"/>
    <mergeCell ref="B11:D11"/>
    <mergeCell ref="B12:D12"/>
    <mergeCell ref="B13:D13"/>
    <mergeCell ref="B14:D14"/>
    <mergeCell ref="B15:D15"/>
  </mergeCells>
  <hyperlinks>
    <hyperlink ref="B6:C6" location="Planning!A1" display="Planning"/>
    <hyperlink ref="B8:C8" location="'Mitigation Anecdotal'!A1" display="Mitigation Anecdotal"/>
    <hyperlink ref="B7:C7" location="Mitigation!A1" display="Mitigation"/>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L19"/>
  <sheetViews>
    <sheetView showGridLines="0" zoomScaleNormal="100" workbookViewId="0">
      <pane xSplit="1" ySplit="3" topLeftCell="B4" activePane="bottomRight" state="frozen"/>
      <selection pane="topRight" activeCell="B1" sqref="B1"/>
      <selection pane="bottomLeft" activeCell="A4" sqref="A4"/>
      <selection pane="bottomRight"/>
    </sheetView>
  </sheetViews>
  <sheetFormatPr defaultColWidth="9.140625" defaultRowHeight="12.75" x14ac:dyDescent="0.2"/>
  <cols>
    <col min="1" max="1" width="16.85546875" style="5" customWidth="1"/>
    <col min="2" max="2" width="15.140625" style="5" customWidth="1"/>
    <col min="3" max="3" width="15.85546875" style="5" customWidth="1"/>
    <col min="4" max="4" width="29.7109375" style="5" customWidth="1"/>
    <col min="5" max="5" width="18.42578125" style="5" customWidth="1"/>
    <col min="6" max="6" width="13.7109375" style="38" bestFit="1" customWidth="1"/>
    <col min="7" max="10" width="20.7109375" style="5" customWidth="1"/>
    <col min="11" max="11" width="41.28515625" style="5" bestFit="1" customWidth="1"/>
    <col min="12" max="12" width="36.42578125" style="5" customWidth="1"/>
    <col min="13" max="16384" width="9.140625" style="5"/>
  </cols>
  <sheetData>
    <row r="1" spans="1:12" ht="16.5" customHeight="1" x14ac:dyDescent="0.2">
      <c r="A1" s="158"/>
      <c r="B1" s="11"/>
      <c r="C1" s="11"/>
      <c r="D1" s="11"/>
      <c r="E1" s="11"/>
      <c r="F1" s="5"/>
    </row>
    <row r="2" spans="1:12" ht="16.5" customHeight="1" x14ac:dyDescent="0.2">
      <c r="A2" s="123"/>
      <c r="B2" s="123"/>
      <c r="C2" s="123"/>
      <c r="D2" s="123"/>
      <c r="E2" s="11"/>
      <c r="F2" s="5"/>
    </row>
    <row r="3" spans="1:12" ht="25.5" x14ac:dyDescent="0.2">
      <c r="A3" s="58" t="s">
        <v>17</v>
      </c>
      <c r="B3" s="57" t="s">
        <v>1177</v>
      </c>
      <c r="C3" s="57" t="s">
        <v>1178</v>
      </c>
      <c r="D3" s="57" t="s">
        <v>1179</v>
      </c>
      <c r="E3" s="58" t="s">
        <v>1180</v>
      </c>
      <c r="F3" s="57" t="s">
        <v>30</v>
      </c>
      <c r="G3" s="57" t="s">
        <v>16</v>
      </c>
      <c r="H3" s="58" t="s">
        <v>12</v>
      </c>
      <c r="I3" s="58" t="s">
        <v>1181</v>
      </c>
      <c r="J3" s="58" t="s">
        <v>40</v>
      </c>
      <c r="K3" s="58" t="s">
        <v>569</v>
      </c>
      <c r="L3" s="58" t="s">
        <v>9</v>
      </c>
    </row>
    <row r="4" spans="1:12" ht="63.75" x14ac:dyDescent="0.2">
      <c r="A4" s="16" t="s">
        <v>1182</v>
      </c>
      <c r="B4" s="7" t="s">
        <v>1183</v>
      </c>
      <c r="C4" s="7" t="s">
        <v>1184</v>
      </c>
      <c r="D4" s="16" t="s">
        <v>1185</v>
      </c>
      <c r="E4" s="7" t="s">
        <v>1186</v>
      </c>
      <c r="F4" s="7" t="s">
        <v>1187</v>
      </c>
      <c r="G4" s="16" t="s">
        <v>1188</v>
      </c>
      <c r="H4" s="16" t="s">
        <v>1189</v>
      </c>
      <c r="I4" s="16" t="s">
        <v>1190</v>
      </c>
      <c r="J4" s="7" t="s">
        <v>1191</v>
      </c>
      <c r="K4" s="16" t="s">
        <v>1192</v>
      </c>
      <c r="L4" s="30" t="s">
        <v>1193</v>
      </c>
    </row>
    <row r="5" spans="1:12" ht="76.150000000000006" customHeight="1" x14ac:dyDescent="0.2">
      <c r="A5" s="16" t="s">
        <v>1182</v>
      </c>
      <c r="B5" s="7" t="s">
        <v>1183</v>
      </c>
      <c r="C5" s="7" t="s">
        <v>1184</v>
      </c>
      <c r="D5" s="16" t="s">
        <v>1194</v>
      </c>
      <c r="E5" s="7" t="s">
        <v>1186</v>
      </c>
      <c r="F5" s="7" t="s">
        <v>1187</v>
      </c>
      <c r="G5" s="16" t="s">
        <v>1188</v>
      </c>
      <c r="H5" s="16" t="s">
        <v>1189</v>
      </c>
      <c r="I5" s="16" t="s">
        <v>1190</v>
      </c>
      <c r="J5" s="7" t="s">
        <v>1191</v>
      </c>
      <c r="K5" s="16" t="s">
        <v>1195</v>
      </c>
      <c r="L5" s="30" t="s">
        <v>1196</v>
      </c>
    </row>
    <row r="6" spans="1:12" ht="93" customHeight="1" x14ac:dyDescent="0.2">
      <c r="A6" s="16" t="s">
        <v>1182</v>
      </c>
      <c r="B6" s="7" t="s">
        <v>1183</v>
      </c>
      <c r="C6" s="7" t="s">
        <v>1184</v>
      </c>
      <c r="D6" s="16" t="s">
        <v>1197</v>
      </c>
      <c r="E6" s="7" t="s">
        <v>1186</v>
      </c>
      <c r="F6" s="7" t="s">
        <v>1187</v>
      </c>
      <c r="G6" s="16" t="s">
        <v>1188</v>
      </c>
      <c r="H6" s="16" t="s">
        <v>1189</v>
      </c>
      <c r="I6" s="16" t="s">
        <v>1190</v>
      </c>
      <c r="J6" s="7" t="s">
        <v>1191</v>
      </c>
      <c r="K6" s="16" t="s">
        <v>1198</v>
      </c>
      <c r="L6" s="30" t="s">
        <v>1199</v>
      </c>
    </row>
    <row r="7" spans="1:12" ht="83.45" customHeight="1" x14ac:dyDescent="0.2">
      <c r="A7" s="33" t="s">
        <v>1200</v>
      </c>
      <c r="B7" s="6" t="s">
        <v>1006</v>
      </c>
      <c r="C7" s="6" t="s">
        <v>1201</v>
      </c>
      <c r="D7" s="6" t="s">
        <v>1202</v>
      </c>
      <c r="E7" s="6" t="s">
        <v>1203</v>
      </c>
      <c r="F7" s="33">
        <v>2005</v>
      </c>
      <c r="G7" s="6" t="s">
        <v>1204</v>
      </c>
      <c r="H7" s="6" t="s">
        <v>1189</v>
      </c>
      <c r="I7" s="6" t="s">
        <v>1205</v>
      </c>
      <c r="J7" s="6" t="s">
        <v>1206</v>
      </c>
      <c r="K7" s="6" t="s">
        <v>1207</v>
      </c>
      <c r="L7" s="33" t="s">
        <v>1208</v>
      </c>
    </row>
    <row r="8" spans="1:12" ht="135" customHeight="1" x14ac:dyDescent="0.2">
      <c r="A8" s="33" t="s">
        <v>1200</v>
      </c>
      <c r="B8" s="6" t="s">
        <v>1006</v>
      </c>
      <c r="C8" s="6" t="s">
        <v>1201</v>
      </c>
      <c r="D8" s="6" t="s">
        <v>1202</v>
      </c>
      <c r="E8" s="6" t="s">
        <v>1209</v>
      </c>
      <c r="F8" s="33">
        <v>2005</v>
      </c>
      <c r="G8" s="6" t="s">
        <v>1204</v>
      </c>
      <c r="H8" s="6" t="s">
        <v>1189</v>
      </c>
      <c r="I8" s="6" t="s">
        <v>1205</v>
      </c>
      <c r="J8" s="6" t="s">
        <v>1210</v>
      </c>
      <c r="K8" s="106" t="s">
        <v>1211</v>
      </c>
      <c r="L8" s="33" t="s">
        <v>1208</v>
      </c>
    </row>
    <row r="9" spans="1:12" s="107" customFormat="1" ht="96" customHeight="1" x14ac:dyDescent="0.2">
      <c r="A9" s="33" t="s">
        <v>1212</v>
      </c>
      <c r="B9" s="108" t="s">
        <v>1213</v>
      </c>
      <c r="C9" s="33" t="s">
        <v>1863</v>
      </c>
      <c r="D9" s="33" t="s">
        <v>1215</v>
      </c>
      <c r="E9" s="33" t="s">
        <v>1216</v>
      </c>
      <c r="F9" s="33">
        <v>2004</v>
      </c>
      <c r="G9" s="33" t="s">
        <v>1864</v>
      </c>
      <c r="H9" s="33" t="s">
        <v>1189</v>
      </c>
      <c r="I9" s="33" t="s">
        <v>1217</v>
      </c>
      <c r="J9" s="33" t="s">
        <v>1218</v>
      </c>
      <c r="K9" s="33" t="s">
        <v>1219</v>
      </c>
      <c r="L9" s="33"/>
    </row>
    <row r="10" spans="1:12" s="107" customFormat="1" ht="127.5" x14ac:dyDescent="0.2">
      <c r="A10" s="33" t="s">
        <v>1212</v>
      </c>
      <c r="B10" s="108" t="s">
        <v>1220</v>
      </c>
      <c r="C10" s="33" t="s">
        <v>1214</v>
      </c>
      <c r="D10" s="33" t="s">
        <v>1221</v>
      </c>
      <c r="E10" s="33" t="s">
        <v>1216</v>
      </c>
      <c r="F10" s="33">
        <v>2004</v>
      </c>
      <c r="G10" s="33" t="s">
        <v>1222</v>
      </c>
      <c r="H10" s="33" t="s">
        <v>1189</v>
      </c>
      <c r="I10" s="33" t="s">
        <v>1223</v>
      </c>
      <c r="J10" s="33" t="s">
        <v>1218</v>
      </c>
      <c r="K10" s="33" t="s">
        <v>1224</v>
      </c>
      <c r="L10" s="33"/>
    </row>
    <row r="11" spans="1:12" s="107" customFormat="1" ht="147.6" customHeight="1" x14ac:dyDescent="0.2">
      <c r="A11" s="33" t="s">
        <v>1212</v>
      </c>
      <c r="B11" s="108" t="s">
        <v>1213</v>
      </c>
      <c r="C11" s="33" t="s">
        <v>1214</v>
      </c>
      <c r="D11" s="33" t="s">
        <v>1225</v>
      </c>
      <c r="E11" s="33" t="s">
        <v>1216</v>
      </c>
      <c r="F11" s="33">
        <v>2004</v>
      </c>
      <c r="G11" s="33" t="s">
        <v>1222</v>
      </c>
      <c r="H11" s="33" t="s">
        <v>1189</v>
      </c>
      <c r="I11" s="33" t="s">
        <v>1226</v>
      </c>
      <c r="J11" s="33" t="s">
        <v>1218</v>
      </c>
      <c r="K11" s="33" t="s">
        <v>1227</v>
      </c>
      <c r="L11" s="33"/>
    </row>
    <row r="12" spans="1:12" s="107" customFormat="1" ht="154.9" customHeight="1" x14ac:dyDescent="0.2">
      <c r="A12" s="33" t="s">
        <v>1212</v>
      </c>
      <c r="B12" s="108" t="s">
        <v>1228</v>
      </c>
      <c r="C12" s="33" t="s">
        <v>1214</v>
      </c>
      <c r="D12" s="33" t="s">
        <v>1229</v>
      </c>
      <c r="E12" s="33" t="s">
        <v>1230</v>
      </c>
      <c r="F12" s="33">
        <v>2004</v>
      </c>
      <c r="G12" s="33" t="s">
        <v>1231</v>
      </c>
      <c r="H12" s="33" t="s">
        <v>1189</v>
      </c>
      <c r="I12" s="33" t="s">
        <v>1232</v>
      </c>
      <c r="J12" s="33" t="s">
        <v>1218</v>
      </c>
      <c r="K12" s="33" t="s">
        <v>1233</v>
      </c>
      <c r="L12" s="33"/>
    </row>
    <row r="13" spans="1:12" s="107" customFormat="1" ht="178.5" x14ac:dyDescent="0.2">
      <c r="A13" s="33" t="s">
        <v>1212</v>
      </c>
      <c r="B13" s="108" t="s">
        <v>1006</v>
      </c>
      <c r="C13" s="33" t="s">
        <v>1214</v>
      </c>
      <c r="D13" s="108" t="s">
        <v>1865</v>
      </c>
      <c r="E13" s="108" t="s">
        <v>973</v>
      </c>
      <c r="F13" s="108">
        <v>2004</v>
      </c>
      <c r="G13" s="108" t="s">
        <v>1866</v>
      </c>
      <c r="H13" s="108" t="s">
        <v>1189</v>
      </c>
      <c r="I13" s="108" t="s">
        <v>1234</v>
      </c>
      <c r="J13" s="108" t="s">
        <v>1218</v>
      </c>
      <c r="K13" s="108" t="s">
        <v>1235</v>
      </c>
      <c r="L13" s="33" t="s">
        <v>1236</v>
      </c>
    </row>
    <row r="14" spans="1:12" s="107" customFormat="1" ht="209.45" customHeight="1" x14ac:dyDescent="0.2">
      <c r="A14" s="33" t="s">
        <v>1212</v>
      </c>
      <c r="B14" s="108" t="s">
        <v>1237</v>
      </c>
      <c r="C14" s="33" t="s">
        <v>1214</v>
      </c>
      <c r="D14" s="33" t="s">
        <v>1238</v>
      </c>
      <c r="E14" s="33" t="s">
        <v>862</v>
      </c>
      <c r="F14" s="33">
        <v>2004</v>
      </c>
      <c r="G14" s="33" t="s">
        <v>1222</v>
      </c>
      <c r="H14" s="33" t="s">
        <v>1189</v>
      </c>
      <c r="I14" s="33" t="s">
        <v>1239</v>
      </c>
      <c r="J14" s="33" t="s">
        <v>1218</v>
      </c>
      <c r="K14" s="33" t="s">
        <v>1240</v>
      </c>
      <c r="L14" s="109"/>
    </row>
    <row r="15" spans="1:12" s="107" customFormat="1" ht="63.75" x14ac:dyDescent="0.2">
      <c r="A15" s="33" t="s">
        <v>1212</v>
      </c>
      <c r="B15" s="108" t="s">
        <v>1213</v>
      </c>
      <c r="C15" s="33" t="s">
        <v>1214</v>
      </c>
      <c r="D15" s="33" t="s">
        <v>1241</v>
      </c>
      <c r="E15" s="33" t="s">
        <v>840</v>
      </c>
      <c r="F15" s="33">
        <v>2004</v>
      </c>
      <c r="G15" s="33" t="s">
        <v>1242</v>
      </c>
      <c r="H15" s="33" t="s">
        <v>1189</v>
      </c>
      <c r="I15" s="33" t="s">
        <v>1243</v>
      </c>
      <c r="J15" s="33" t="s">
        <v>1218</v>
      </c>
      <c r="K15" s="33" t="s">
        <v>1244</v>
      </c>
      <c r="L15" s="33"/>
    </row>
    <row r="16" spans="1:12" s="107" customFormat="1" ht="75" customHeight="1" x14ac:dyDescent="0.2">
      <c r="A16" s="33" t="s">
        <v>1212</v>
      </c>
      <c r="B16" s="108" t="s">
        <v>1237</v>
      </c>
      <c r="C16" s="33" t="s">
        <v>1214</v>
      </c>
      <c r="D16" s="33" t="s">
        <v>1245</v>
      </c>
      <c r="E16" s="33" t="s">
        <v>1246</v>
      </c>
      <c r="F16" s="33">
        <v>2004</v>
      </c>
      <c r="G16" s="33" t="s">
        <v>1242</v>
      </c>
      <c r="H16" s="33" t="s">
        <v>1189</v>
      </c>
      <c r="I16" s="33" t="s">
        <v>1247</v>
      </c>
      <c r="J16" s="33" t="s">
        <v>1218</v>
      </c>
      <c r="K16" s="30" t="s">
        <v>1248</v>
      </c>
      <c r="L16" s="33"/>
    </row>
    <row r="17" spans="1:12" s="107" customFormat="1" ht="63.75" x14ac:dyDescent="0.2">
      <c r="A17" s="33" t="s">
        <v>606</v>
      </c>
      <c r="B17" s="108" t="s">
        <v>1213</v>
      </c>
      <c r="C17" s="33" t="s">
        <v>1214</v>
      </c>
      <c r="D17" s="33" t="s">
        <v>1249</v>
      </c>
      <c r="E17" s="33" t="s">
        <v>869</v>
      </c>
      <c r="F17" s="33">
        <v>2012</v>
      </c>
      <c r="G17" s="33" t="s">
        <v>1250</v>
      </c>
      <c r="H17" s="33" t="s">
        <v>1189</v>
      </c>
      <c r="I17" s="33" t="s">
        <v>1251</v>
      </c>
      <c r="J17" s="33" t="s">
        <v>1252</v>
      </c>
      <c r="K17" s="30" t="s">
        <v>1253</v>
      </c>
      <c r="L17" s="33" t="s">
        <v>1254</v>
      </c>
    </row>
    <row r="18" spans="1:12" s="107" customFormat="1" x14ac:dyDescent="0.2">
      <c r="A18" s="11"/>
      <c r="B18" s="11"/>
      <c r="C18" s="11"/>
      <c r="D18" s="11"/>
      <c r="E18" s="11"/>
      <c r="F18" s="37"/>
      <c r="G18" s="11"/>
      <c r="H18" s="11"/>
      <c r="I18" s="11"/>
      <c r="J18" s="11"/>
      <c r="K18" s="11"/>
      <c r="L18" s="11"/>
    </row>
    <row r="19" spans="1:12" s="11" customFormat="1" x14ac:dyDescent="0.2">
      <c r="A19" s="5" t="s">
        <v>570</v>
      </c>
      <c r="B19" s="5"/>
      <c r="C19" s="5"/>
      <c r="D19" s="5"/>
      <c r="E19" s="5"/>
      <c r="F19" s="5"/>
      <c r="G19" s="5"/>
      <c r="H19" s="5"/>
      <c r="I19" s="5"/>
      <c r="J19" s="5"/>
      <c r="K19" s="5"/>
      <c r="L19" s="5"/>
    </row>
  </sheetData>
  <autoFilter ref="A3:L17"/>
  <pageMargins left="0.7" right="0.7" top="0.75" bottom="0.75" header="0.3" footer="0.3"/>
  <pageSetup scale="33" orientation="landscape"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T34"/>
  <sheetViews>
    <sheetView showGridLines="0" zoomScaleNormal="100" workbookViewId="0">
      <pane xSplit="1" ySplit="3" topLeftCell="M6" activePane="bottomRight" state="frozen"/>
      <selection activeCell="B2" sqref="B2"/>
      <selection pane="topRight" activeCell="B2" sqref="B2"/>
      <selection pane="bottomLeft" activeCell="B2" sqref="B2"/>
      <selection pane="bottomRight"/>
    </sheetView>
  </sheetViews>
  <sheetFormatPr defaultColWidth="9.140625" defaultRowHeight="15" x14ac:dyDescent="0.25"/>
  <cols>
    <col min="1" max="1" width="14.28515625" style="138" bestFit="1" customWidth="1"/>
    <col min="2" max="2" width="18.85546875" style="138" customWidth="1"/>
    <col min="3" max="3" width="16" style="138" customWidth="1"/>
    <col min="4" max="4" width="13.7109375" style="138" customWidth="1"/>
    <col min="5" max="5" width="12.7109375" style="138" customWidth="1"/>
    <col min="6" max="6" width="12" style="138" customWidth="1"/>
    <col min="7" max="7" width="37.5703125" style="138" customWidth="1"/>
    <col min="8" max="8" width="22.42578125" style="138" customWidth="1"/>
    <col min="9" max="9" width="21.7109375" style="138" customWidth="1"/>
    <col min="10" max="10" width="10" style="138" customWidth="1"/>
    <col min="11" max="11" width="14.5703125" style="138" customWidth="1"/>
    <col min="12" max="12" width="17.28515625" style="139" customWidth="1"/>
    <col min="13" max="13" width="16.28515625" style="138" bestFit="1" customWidth="1"/>
    <col min="14" max="15" width="14.5703125" style="138" customWidth="1"/>
    <col min="16" max="17" width="14.5703125" style="139" customWidth="1"/>
    <col min="18" max="18" width="18.85546875" style="138" customWidth="1"/>
    <col min="19" max="19" width="50.42578125" style="138" customWidth="1"/>
    <col min="20" max="20" width="29.85546875" customWidth="1"/>
    <col min="21" max="21" width="11.5703125" style="138" bestFit="1" customWidth="1"/>
    <col min="22" max="16384" width="9.140625" style="138"/>
  </cols>
  <sheetData>
    <row r="1" spans="1:20" s="5" customFormat="1" ht="16.5" customHeight="1" x14ac:dyDescent="0.2">
      <c r="A1" s="158"/>
      <c r="B1" s="11"/>
      <c r="C1" s="11"/>
      <c r="D1" s="11"/>
      <c r="E1" s="11"/>
    </row>
    <row r="2" spans="1:20" s="5" customFormat="1" ht="16.5" customHeight="1" x14ac:dyDescent="0.2">
      <c r="A2" s="123"/>
      <c r="B2" s="123"/>
      <c r="C2" s="123"/>
      <c r="D2" s="123"/>
      <c r="E2" s="11"/>
    </row>
    <row r="3" spans="1:20" ht="25.5" x14ac:dyDescent="0.25">
      <c r="A3" s="124" t="s">
        <v>1453</v>
      </c>
      <c r="B3" s="124" t="s">
        <v>1302</v>
      </c>
      <c r="C3" s="124" t="s">
        <v>1452</v>
      </c>
      <c r="D3" s="124" t="s">
        <v>12</v>
      </c>
      <c r="E3" s="124" t="s">
        <v>1303</v>
      </c>
      <c r="F3" s="124" t="s">
        <v>205</v>
      </c>
      <c r="G3" s="124" t="s">
        <v>40</v>
      </c>
      <c r="H3" s="124" t="s">
        <v>1304</v>
      </c>
      <c r="I3" s="124" t="s">
        <v>1305</v>
      </c>
      <c r="J3" s="124" t="s">
        <v>1306</v>
      </c>
      <c r="K3" s="124" t="s">
        <v>1451</v>
      </c>
      <c r="L3" s="126" t="s">
        <v>1450</v>
      </c>
      <c r="M3" s="124" t="s">
        <v>1449</v>
      </c>
      <c r="N3" s="124" t="s">
        <v>1448</v>
      </c>
      <c r="O3" s="124" t="s">
        <v>1447</v>
      </c>
      <c r="P3" s="126" t="s">
        <v>1446</v>
      </c>
      <c r="Q3" s="126" t="s">
        <v>1445</v>
      </c>
      <c r="R3" s="124" t="s">
        <v>17</v>
      </c>
      <c r="S3" s="124" t="s">
        <v>9</v>
      </c>
      <c r="T3" s="138"/>
    </row>
    <row r="4" spans="1:20" ht="51" x14ac:dyDescent="0.25">
      <c r="A4" s="8" t="s">
        <v>1307</v>
      </c>
      <c r="B4" s="127" t="s">
        <v>1308</v>
      </c>
      <c r="C4" s="128">
        <v>74</v>
      </c>
      <c r="D4" s="127" t="s">
        <v>1309</v>
      </c>
      <c r="E4" s="127" t="s">
        <v>1310</v>
      </c>
      <c r="F4" s="129" t="s">
        <v>215</v>
      </c>
      <c r="G4" s="129" t="s">
        <v>1441</v>
      </c>
      <c r="H4" s="22" t="s">
        <v>1311</v>
      </c>
      <c r="I4" s="22" t="s">
        <v>1311</v>
      </c>
      <c r="J4" s="22">
        <v>2005</v>
      </c>
      <c r="K4" s="130">
        <v>141000</v>
      </c>
      <c r="L4" s="137">
        <f>K4*(VLOOKUP(2012,CPI,2,0)/VLOOKUP(J4,CPI,2,0))</f>
        <v>165759.10906298002</v>
      </c>
      <c r="M4" s="131" t="s">
        <v>1311</v>
      </c>
      <c r="N4" s="130"/>
      <c r="O4" s="137" t="s">
        <v>1312</v>
      </c>
      <c r="P4" s="137">
        <f>L4/C4</f>
        <v>2239.987960310541</v>
      </c>
      <c r="Q4" s="132" t="s">
        <v>1312</v>
      </c>
      <c r="R4" s="22" t="s">
        <v>1313</v>
      </c>
      <c r="S4" s="22" t="s">
        <v>1314</v>
      </c>
      <c r="T4" s="138"/>
    </row>
    <row r="5" spans="1:20" ht="51" x14ac:dyDescent="0.25">
      <c r="A5" s="8" t="s">
        <v>1315</v>
      </c>
      <c r="B5" s="127" t="s">
        <v>1308</v>
      </c>
      <c r="C5" s="128">
        <v>74</v>
      </c>
      <c r="D5" s="127" t="s">
        <v>1309</v>
      </c>
      <c r="E5" s="127" t="s">
        <v>1310</v>
      </c>
      <c r="F5" s="129" t="s">
        <v>215</v>
      </c>
      <c r="G5" s="129" t="s">
        <v>1444</v>
      </c>
      <c r="H5" s="22" t="s">
        <v>1311</v>
      </c>
      <c r="I5" s="22" t="s">
        <v>1311</v>
      </c>
      <c r="J5" s="22">
        <v>2005</v>
      </c>
      <c r="K5" s="130" t="s">
        <v>1316</v>
      </c>
      <c r="L5" s="137" t="s">
        <v>1443</v>
      </c>
      <c r="M5" s="131" t="s">
        <v>1311</v>
      </c>
      <c r="N5" s="130"/>
      <c r="O5" s="137" t="s">
        <v>1312</v>
      </c>
      <c r="P5" s="137" t="s">
        <v>1442</v>
      </c>
      <c r="Q5" s="132" t="s">
        <v>1312</v>
      </c>
      <c r="R5" s="22" t="s">
        <v>1313</v>
      </c>
      <c r="S5" s="22" t="s">
        <v>1317</v>
      </c>
      <c r="T5" s="138"/>
    </row>
    <row r="6" spans="1:20" ht="51" x14ac:dyDescent="0.25">
      <c r="A6" s="8" t="s">
        <v>1307</v>
      </c>
      <c r="B6" s="127" t="s">
        <v>1318</v>
      </c>
      <c r="C6" s="128">
        <v>72</v>
      </c>
      <c r="D6" s="127" t="s">
        <v>1309</v>
      </c>
      <c r="E6" s="127" t="s">
        <v>1310</v>
      </c>
      <c r="F6" s="129" t="s">
        <v>215</v>
      </c>
      <c r="G6" s="129" t="s">
        <v>1441</v>
      </c>
      <c r="H6" s="22" t="s">
        <v>1311</v>
      </c>
      <c r="I6" s="22" t="s">
        <v>1311</v>
      </c>
      <c r="J6" s="22">
        <v>2005</v>
      </c>
      <c r="K6" s="130">
        <v>50000</v>
      </c>
      <c r="L6" s="137">
        <f>K6*(VLOOKUP(2012,CPI,2,0)/VLOOKUP(J6,CPI,2,0))</f>
        <v>58779.825908858162</v>
      </c>
      <c r="M6" s="131" t="s">
        <v>1311</v>
      </c>
      <c r="N6" s="130"/>
      <c r="O6" s="137" t="s">
        <v>1312</v>
      </c>
      <c r="P6" s="137">
        <f>L6/C6</f>
        <v>816.38647095636338</v>
      </c>
      <c r="Q6" s="132" t="s">
        <v>1312</v>
      </c>
      <c r="R6" s="22" t="s">
        <v>1313</v>
      </c>
      <c r="S6" s="22" t="s">
        <v>1314</v>
      </c>
      <c r="T6" s="138"/>
    </row>
    <row r="7" spans="1:20" ht="51" x14ac:dyDescent="0.25">
      <c r="A7" s="8" t="s">
        <v>1315</v>
      </c>
      <c r="B7" s="127" t="s">
        <v>1318</v>
      </c>
      <c r="C7" s="128">
        <v>72</v>
      </c>
      <c r="D7" s="127" t="s">
        <v>1309</v>
      </c>
      <c r="E7" s="127" t="s">
        <v>1310</v>
      </c>
      <c r="F7" s="129" t="s">
        <v>215</v>
      </c>
      <c r="G7" s="129" t="s">
        <v>1440</v>
      </c>
      <c r="H7" s="22" t="s">
        <v>1311</v>
      </c>
      <c r="I7" s="22" t="s">
        <v>1311</v>
      </c>
      <c r="J7" s="22">
        <v>2005</v>
      </c>
      <c r="K7" s="130" t="s">
        <v>1319</v>
      </c>
      <c r="L7" s="137" t="s">
        <v>1439</v>
      </c>
      <c r="M7" s="131" t="s">
        <v>1311</v>
      </c>
      <c r="N7" s="130"/>
      <c r="O7" s="137" t="s">
        <v>1312</v>
      </c>
      <c r="P7" s="137" t="s">
        <v>1438</v>
      </c>
      <c r="Q7" s="132" t="s">
        <v>1312</v>
      </c>
      <c r="R7" s="22" t="s">
        <v>1313</v>
      </c>
      <c r="S7" s="22" t="s">
        <v>1317</v>
      </c>
      <c r="T7" s="138"/>
    </row>
    <row r="8" spans="1:20" ht="51" x14ac:dyDescent="0.25">
      <c r="A8" s="8" t="s">
        <v>1307</v>
      </c>
      <c r="B8" s="133" t="s">
        <v>1320</v>
      </c>
      <c r="C8" s="134">
        <f>194+215</f>
        <v>409</v>
      </c>
      <c r="D8" s="127" t="s">
        <v>1309</v>
      </c>
      <c r="E8" s="127" t="s">
        <v>1310</v>
      </c>
      <c r="F8" s="129" t="s">
        <v>215</v>
      </c>
      <c r="G8" s="129" t="s">
        <v>1321</v>
      </c>
      <c r="H8" s="22" t="s">
        <v>1311</v>
      </c>
      <c r="I8" s="22" t="s">
        <v>1322</v>
      </c>
      <c r="J8" s="8">
        <v>2012</v>
      </c>
      <c r="K8" s="8" t="s">
        <v>1323</v>
      </c>
      <c r="L8" s="8" t="s">
        <v>1323</v>
      </c>
      <c r="M8" s="131" t="s">
        <v>1437</v>
      </c>
      <c r="N8" s="8"/>
      <c r="O8" s="137" t="s">
        <v>1312</v>
      </c>
      <c r="P8" s="137" t="s">
        <v>1436</v>
      </c>
      <c r="Q8" s="132" t="s">
        <v>1312</v>
      </c>
      <c r="R8" s="8" t="s">
        <v>1324</v>
      </c>
      <c r="S8" s="8" t="s">
        <v>1435</v>
      </c>
      <c r="T8" s="138"/>
    </row>
    <row r="9" spans="1:20" ht="53.25" customHeight="1" x14ac:dyDescent="0.25">
      <c r="A9" s="8" t="s">
        <v>1325</v>
      </c>
      <c r="B9" s="133" t="s">
        <v>1326</v>
      </c>
      <c r="C9" s="134">
        <v>617</v>
      </c>
      <c r="D9" s="133" t="s">
        <v>1327</v>
      </c>
      <c r="E9" s="127" t="s">
        <v>1310</v>
      </c>
      <c r="F9" s="129" t="s">
        <v>245</v>
      </c>
      <c r="G9" s="135" t="s">
        <v>1328</v>
      </c>
      <c r="H9" s="22" t="s">
        <v>1311</v>
      </c>
      <c r="I9" s="22" t="s">
        <v>1311</v>
      </c>
      <c r="J9" s="8">
        <v>1999</v>
      </c>
      <c r="K9" s="136">
        <v>125000</v>
      </c>
      <c r="L9" s="137">
        <f>K9*(VLOOKUP(2012,CPI,2,0)/VLOOKUP(J9,CPI,2,0))</f>
        <v>172264.40576230493</v>
      </c>
      <c r="M9" s="131" t="s">
        <v>1311</v>
      </c>
      <c r="N9" s="136"/>
      <c r="O9" s="137" t="s">
        <v>1312</v>
      </c>
      <c r="P9" s="137">
        <f>L9/C9</f>
        <v>279.19676784814413</v>
      </c>
      <c r="Q9" s="132" t="s">
        <v>1312</v>
      </c>
      <c r="R9" s="8" t="s">
        <v>1329</v>
      </c>
      <c r="S9" s="8"/>
      <c r="T9" s="138"/>
    </row>
    <row r="10" spans="1:20" ht="112.5" customHeight="1" x14ac:dyDescent="0.25">
      <c r="A10" s="8" t="s">
        <v>1330</v>
      </c>
      <c r="B10" s="133" t="s">
        <v>1326</v>
      </c>
      <c r="C10" s="134">
        <v>617</v>
      </c>
      <c r="D10" s="133" t="s">
        <v>1327</v>
      </c>
      <c r="E10" s="127" t="s">
        <v>1310</v>
      </c>
      <c r="F10" s="129" t="s">
        <v>245</v>
      </c>
      <c r="G10" s="129" t="s">
        <v>1331</v>
      </c>
      <c r="H10" s="22" t="s">
        <v>1311</v>
      </c>
      <c r="I10" s="22" t="s">
        <v>1311</v>
      </c>
      <c r="J10" s="8">
        <v>2003</v>
      </c>
      <c r="K10" s="136" t="s">
        <v>1332</v>
      </c>
      <c r="L10" s="131" t="s">
        <v>1434</v>
      </c>
      <c r="M10" s="131" t="s">
        <v>1311</v>
      </c>
      <c r="N10" s="136">
        <v>40000</v>
      </c>
      <c r="O10" s="137">
        <f>N10*(VLOOKUP(2012,CPI,2,0)/VLOOKUP(J10,CPI,2,0))</f>
        <v>49911.739130434777</v>
      </c>
      <c r="P10" s="137" t="s">
        <v>1433</v>
      </c>
      <c r="Q10" s="132">
        <f>O10/C10</f>
        <v>80.894228736523132</v>
      </c>
      <c r="R10" s="8" t="s">
        <v>1329</v>
      </c>
      <c r="S10" s="8" t="s">
        <v>1333</v>
      </c>
      <c r="T10" s="138"/>
    </row>
    <row r="11" spans="1:20" ht="78.75" customHeight="1" x14ac:dyDescent="0.25">
      <c r="A11" s="8" t="s">
        <v>1307</v>
      </c>
      <c r="B11" s="133" t="s">
        <v>1334</v>
      </c>
      <c r="C11" s="134">
        <v>25.5</v>
      </c>
      <c r="D11" s="133" t="s">
        <v>1335</v>
      </c>
      <c r="E11" s="127" t="s">
        <v>1310</v>
      </c>
      <c r="F11" s="129" t="s">
        <v>264</v>
      </c>
      <c r="G11" s="129" t="s">
        <v>1336</v>
      </c>
      <c r="H11" s="22" t="s">
        <v>1337</v>
      </c>
      <c r="I11" s="22" t="s">
        <v>1458</v>
      </c>
      <c r="J11" s="8">
        <v>2011</v>
      </c>
      <c r="K11" s="136">
        <v>194000</v>
      </c>
      <c r="L11" s="137">
        <f t="shared" ref="L11:L20" si="0">K11*(VLOOKUP(2012,CPI,2,0)/VLOOKUP(J11,CPI,2,0))</f>
        <v>198014.73288313719</v>
      </c>
      <c r="M11" s="131" t="s">
        <v>1459</v>
      </c>
      <c r="N11" s="136"/>
      <c r="O11" s="137" t="s">
        <v>1312</v>
      </c>
      <c r="P11" s="137">
        <f>L11/C11</f>
        <v>7765.283642475968</v>
      </c>
      <c r="Q11" s="132" t="s">
        <v>1312</v>
      </c>
      <c r="R11" s="8" t="s">
        <v>1338</v>
      </c>
      <c r="S11" s="8" t="s">
        <v>1339</v>
      </c>
      <c r="T11" s="138"/>
    </row>
    <row r="12" spans="1:20" ht="72" customHeight="1" x14ac:dyDescent="0.25">
      <c r="A12" s="8" t="s">
        <v>1340</v>
      </c>
      <c r="B12" s="133" t="s">
        <v>1334</v>
      </c>
      <c r="C12" s="134">
        <v>25.5</v>
      </c>
      <c r="D12" s="133" t="s">
        <v>1335</v>
      </c>
      <c r="E12" s="127" t="s">
        <v>1310</v>
      </c>
      <c r="F12" s="129" t="s">
        <v>264</v>
      </c>
      <c r="G12" s="129" t="s">
        <v>1341</v>
      </c>
      <c r="H12" s="22" t="s">
        <v>1337</v>
      </c>
      <c r="I12" s="22" t="s">
        <v>1311</v>
      </c>
      <c r="J12" s="8">
        <v>2011</v>
      </c>
      <c r="K12" s="136">
        <v>36000</v>
      </c>
      <c r="L12" s="130">
        <f t="shared" si="0"/>
        <v>36745.001978314118</v>
      </c>
      <c r="M12" s="131" t="s">
        <v>1342</v>
      </c>
      <c r="N12" s="136"/>
      <c r="O12" s="137" t="s">
        <v>1312</v>
      </c>
      <c r="P12" s="137">
        <f>L12/C12</f>
        <v>1440.9804697378086</v>
      </c>
      <c r="Q12" s="132" t="s">
        <v>1312</v>
      </c>
      <c r="R12" s="8" t="s">
        <v>1338</v>
      </c>
      <c r="S12" s="8" t="s">
        <v>1343</v>
      </c>
      <c r="T12" s="138"/>
    </row>
    <row r="13" spans="1:20" ht="78.75" x14ac:dyDescent="0.25">
      <c r="A13" s="8" t="s">
        <v>1307</v>
      </c>
      <c r="B13" s="133" t="s">
        <v>1344</v>
      </c>
      <c r="C13" s="134" t="s">
        <v>1311</v>
      </c>
      <c r="D13" s="133" t="s">
        <v>1335</v>
      </c>
      <c r="E13" s="133" t="s">
        <v>1310</v>
      </c>
      <c r="F13" s="129" t="s">
        <v>211</v>
      </c>
      <c r="G13" s="129" t="s">
        <v>1345</v>
      </c>
      <c r="H13" s="22" t="s">
        <v>1346</v>
      </c>
      <c r="I13" s="22" t="s">
        <v>1347</v>
      </c>
      <c r="J13" s="8">
        <v>2013</v>
      </c>
      <c r="K13" s="136">
        <v>2200000</v>
      </c>
      <c r="L13" s="130">
        <f t="shared" si="0"/>
        <v>2175880.8300199453</v>
      </c>
      <c r="M13" s="131" t="s">
        <v>1460</v>
      </c>
      <c r="N13" s="136"/>
      <c r="O13" s="137" t="s">
        <v>1312</v>
      </c>
      <c r="P13" s="137" t="s">
        <v>1312</v>
      </c>
      <c r="Q13" s="132" t="s">
        <v>1312</v>
      </c>
      <c r="R13" s="8" t="s">
        <v>1348</v>
      </c>
      <c r="S13" s="8"/>
      <c r="T13" s="138"/>
    </row>
    <row r="14" spans="1:20" ht="84" customHeight="1" x14ac:dyDescent="0.25">
      <c r="A14" s="8" t="s">
        <v>1307</v>
      </c>
      <c r="B14" s="133" t="s">
        <v>1349</v>
      </c>
      <c r="C14" s="134">
        <v>19</v>
      </c>
      <c r="D14" s="133" t="s">
        <v>1335</v>
      </c>
      <c r="E14" s="133" t="s">
        <v>1310</v>
      </c>
      <c r="F14" s="129" t="s">
        <v>215</v>
      </c>
      <c r="G14" s="129" t="s">
        <v>1350</v>
      </c>
      <c r="H14" s="22" t="s">
        <v>1351</v>
      </c>
      <c r="I14" s="22" t="s">
        <v>1352</v>
      </c>
      <c r="J14" s="8">
        <v>2013</v>
      </c>
      <c r="K14" s="136">
        <v>148000</v>
      </c>
      <c r="L14" s="130">
        <f t="shared" si="0"/>
        <v>146377.43765588722</v>
      </c>
      <c r="M14" s="131" t="s">
        <v>1353</v>
      </c>
      <c r="N14" s="136">
        <v>0</v>
      </c>
      <c r="O14" s="137">
        <f t="shared" ref="O14:O20" si="1">N14*(VLOOKUP(2012,CPI,2,0)/VLOOKUP(J14,CPI,2,0))</f>
        <v>0</v>
      </c>
      <c r="P14" s="137">
        <f t="shared" ref="P14:P20" si="2">L14/C14</f>
        <v>7704.0756660993275</v>
      </c>
      <c r="Q14" s="132">
        <f t="shared" ref="Q14:Q20" si="3">O14/C14</f>
        <v>0</v>
      </c>
      <c r="R14" s="8" t="s">
        <v>1354</v>
      </c>
      <c r="S14" s="8" t="s">
        <v>1849</v>
      </c>
      <c r="T14" s="138"/>
    </row>
    <row r="15" spans="1:20" ht="89.25" x14ac:dyDescent="0.25">
      <c r="A15" s="8" t="s">
        <v>1355</v>
      </c>
      <c r="B15" s="133" t="s">
        <v>1349</v>
      </c>
      <c r="C15" s="134">
        <v>20</v>
      </c>
      <c r="D15" s="133" t="s">
        <v>1335</v>
      </c>
      <c r="E15" s="133" t="s">
        <v>1310</v>
      </c>
      <c r="F15" s="129" t="s">
        <v>215</v>
      </c>
      <c r="G15" s="129" t="s">
        <v>1356</v>
      </c>
      <c r="H15" s="22" t="s">
        <v>1351</v>
      </c>
      <c r="I15" s="22" t="s">
        <v>1311</v>
      </c>
      <c r="J15" s="8">
        <v>2013</v>
      </c>
      <c r="K15" s="130">
        <f>400000*1.45+10000</f>
        <v>590000</v>
      </c>
      <c r="L15" s="130">
        <f t="shared" si="0"/>
        <v>583531.67714171251</v>
      </c>
      <c r="M15" s="131" t="s">
        <v>1357</v>
      </c>
      <c r="N15" s="130">
        <v>40000</v>
      </c>
      <c r="O15" s="137">
        <f t="shared" si="1"/>
        <v>39561.469636726273</v>
      </c>
      <c r="P15" s="137">
        <f t="shared" si="2"/>
        <v>29176.583857085625</v>
      </c>
      <c r="Q15" s="132">
        <f t="shared" si="3"/>
        <v>1978.0734818363137</v>
      </c>
      <c r="R15" s="8" t="s">
        <v>1354</v>
      </c>
      <c r="S15" s="8" t="s">
        <v>1852</v>
      </c>
      <c r="T15" s="138"/>
    </row>
    <row r="16" spans="1:20" ht="114" customHeight="1" x14ac:dyDescent="0.25">
      <c r="A16" s="8" t="s">
        <v>1358</v>
      </c>
      <c r="B16" s="133" t="s">
        <v>1349</v>
      </c>
      <c r="C16" s="134">
        <v>20</v>
      </c>
      <c r="D16" s="133" t="s">
        <v>1335</v>
      </c>
      <c r="E16" s="133" t="s">
        <v>1310</v>
      </c>
      <c r="F16" s="129" t="s">
        <v>215</v>
      </c>
      <c r="G16" s="129" t="s">
        <v>1359</v>
      </c>
      <c r="H16" s="22" t="s">
        <v>1351</v>
      </c>
      <c r="I16" s="22" t="s">
        <v>1311</v>
      </c>
      <c r="J16" s="8">
        <v>2013</v>
      </c>
      <c r="K16" s="130">
        <f>223600+55900+3000</f>
        <v>282500</v>
      </c>
      <c r="L16" s="130">
        <f t="shared" si="0"/>
        <v>279402.87930937932</v>
      </c>
      <c r="M16" s="131" t="s">
        <v>1389</v>
      </c>
      <c r="N16" s="130">
        <v>0</v>
      </c>
      <c r="O16" s="137">
        <f t="shared" si="1"/>
        <v>0</v>
      </c>
      <c r="P16" s="137">
        <f t="shared" si="2"/>
        <v>13970.143965468966</v>
      </c>
      <c r="Q16" s="132">
        <f t="shared" si="3"/>
        <v>0</v>
      </c>
      <c r="R16" s="8" t="s">
        <v>1354</v>
      </c>
      <c r="S16" s="8" t="s">
        <v>1853</v>
      </c>
      <c r="T16" s="138"/>
    </row>
    <row r="17" spans="1:20" ht="65.25" customHeight="1" x14ac:dyDescent="0.25">
      <c r="A17" s="8" t="s">
        <v>1360</v>
      </c>
      <c r="B17" s="133" t="s">
        <v>1349</v>
      </c>
      <c r="C17" s="134">
        <v>20</v>
      </c>
      <c r="D17" s="133" t="s">
        <v>1335</v>
      </c>
      <c r="E17" s="133" t="s">
        <v>1310</v>
      </c>
      <c r="F17" s="129" t="s">
        <v>215</v>
      </c>
      <c r="G17" s="129" t="s">
        <v>1361</v>
      </c>
      <c r="H17" s="22" t="s">
        <v>1351</v>
      </c>
      <c r="I17" s="22" t="s">
        <v>1311</v>
      </c>
      <c r="J17" s="8">
        <v>2013</v>
      </c>
      <c r="K17" s="136">
        <v>11180</v>
      </c>
      <c r="L17" s="130">
        <f t="shared" si="0"/>
        <v>11057.430763464994</v>
      </c>
      <c r="M17" s="131" t="s">
        <v>1342</v>
      </c>
      <c r="N17" s="136">
        <v>0</v>
      </c>
      <c r="O17" s="137">
        <f t="shared" si="1"/>
        <v>0</v>
      </c>
      <c r="P17" s="137">
        <f t="shared" si="2"/>
        <v>552.87153817324975</v>
      </c>
      <c r="Q17" s="132">
        <f t="shared" si="3"/>
        <v>0</v>
      </c>
      <c r="R17" s="8" t="s">
        <v>1354</v>
      </c>
      <c r="S17" s="8" t="s">
        <v>1854</v>
      </c>
      <c r="T17" s="138"/>
    </row>
    <row r="18" spans="1:20" ht="63.75" x14ac:dyDescent="0.25">
      <c r="A18" s="8" t="s">
        <v>1362</v>
      </c>
      <c r="B18" s="133" t="s">
        <v>1349</v>
      </c>
      <c r="C18" s="134">
        <v>20</v>
      </c>
      <c r="D18" s="133" t="s">
        <v>1335</v>
      </c>
      <c r="E18" s="133" t="s">
        <v>1310</v>
      </c>
      <c r="F18" s="129" t="s">
        <v>215</v>
      </c>
      <c r="G18" s="129" t="s">
        <v>1363</v>
      </c>
      <c r="H18" s="22" t="s">
        <v>1351</v>
      </c>
      <c r="I18" s="22" t="s">
        <v>1311</v>
      </c>
      <c r="J18" s="8">
        <v>2013</v>
      </c>
      <c r="K18" s="130">
        <f>160000+32000+40000+3000</f>
        <v>235000</v>
      </c>
      <c r="L18" s="130">
        <f t="shared" si="0"/>
        <v>232423.63411576685</v>
      </c>
      <c r="M18" s="131" t="s">
        <v>1357</v>
      </c>
      <c r="N18" s="130">
        <v>35000</v>
      </c>
      <c r="O18" s="137">
        <f t="shared" si="1"/>
        <v>34616.285932135492</v>
      </c>
      <c r="P18" s="137">
        <f t="shared" si="2"/>
        <v>11621.181705788342</v>
      </c>
      <c r="Q18" s="132">
        <f t="shared" si="3"/>
        <v>1730.8142966067746</v>
      </c>
      <c r="R18" s="8" t="s">
        <v>1354</v>
      </c>
      <c r="S18" s="8" t="s">
        <v>1850</v>
      </c>
      <c r="T18" s="138"/>
    </row>
    <row r="19" spans="1:20" ht="76.5" x14ac:dyDescent="0.25">
      <c r="A19" s="8" t="s">
        <v>1364</v>
      </c>
      <c r="B19" s="133" t="s">
        <v>1349</v>
      </c>
      <c r="C19" s="134">
        <v>20</v>
      </c>
      <c r="D19" s="133" t="s">
        <v>1335</v>
      </c>
      <c r="E19" s="133" t="s">
        <v>1310</v>
      </c>
      <c r="F19" s="129" t="s">
        <v>215</v>
      </c>
      <c r="G19" s="129" t="s">
        <v>1365</v>
      </c>
      <c r="H19" s="22" t="s">
        <v>1351</v>
      </c>
      <c r="I19" s="22" t="s">
        <v>1311</v>
      </c>
      <c r="J19" s="8">
        <v>2013</v>
      </c>
      <c r="K19" s="130">
        <f>102000+35700+3000</f>
        <v>140700</v>
      </c>
      <c r="L19" s="130">
        <f t="shared" si="0"/>
        <v>139157.46944718467</v>
      </c>
      <c r="M19" s="131" t="s">
        <v>1357</v>
      </c>
      <c r="N19" s="130">
        <v>5000</v>
      </c>
      <c r="O19" s="137">
        <f t="shared" si="1"/>
        <v>4945.1837045907841</v>
      </c>
      <c r="P19" s="137">
        <f t="shared" si="2"/>
        <v>6957.8734723592333</v>
      </c>
      <c r="Q19" s="132">
        <f t="shared" si="3"/>
        <v>247.25918522953921</v>
      </c>
      <c r="R19" s="8" t="s">
        <v>1354</v>
      </c>
      <c r="S19" s="8" t="s">
        <v>1851</v>
      </c>
      <c r="T19" s="138"/>
    </row>
    <row r="20" spans="1:20" ht="76.5" x14ac:dyDescent="0.25">
      <c r="A20" s="8" t="s">
        <v>1315</v>
      </c>
      <c r="B20" s="133" t="s">
        <v>1349</v>
      </c>
      <c r="C20" s="134">
        <v>20</v>
      </c>
      <c r="D20" s="133" t="s">
        <v>1335</v>
      </c>
      <c r="E20" s="133" t="s">
        <v>1310</v>
      </c>
      <c r="F20" s="129" t="s">
        <v>215</v>
      </c>
      <c r="G20" s="129" t="s">
        <v>1366</v>
      </c>
      <c r="H20" s="22" t="s">
        <v>1351</v>
      </c>
      <c r="I20" s="22" t="s">
        <v>1311</v>
      </c>
      <c r="J20" s="8">
        <v>2013</v>
      </c>
      <c r="K20" s="136">
        <v>2570000</v>
      </c>
      <c r="L20" s="130">
        <f t="shared" si="0"/>
        <v>2541824.4241596633</v>
      </c>
      <c r="M20" s="131" t="s">
        <v>1311</v>
      </c>
      <c r="N20" s="136">
        <v>0</v>
      </c>
      <c r="O20" s="137">
        <f t="shared" si="1"/>
        <v>0</v>
      </c>
      <c r="P20" s="137">
        <f t="shared" si="2"/>
        <v>127091.22120798317</v>
      </c>
      <c r="Q20" s="132">
        <f t="shared" si="3"/>
        <v>0</v>
      </c>
      <c r="R20" s="8" t="s">
        <v>1354</v>
      </c>
      <c r="S20" s="8" t="s">
        <v>1855</v>
      </c>
      <c r="T20" s="138"/>
    </row>
    <row r="21" spans="1:20" ht="38.25" x14ac:dyDescent="0.25">
      <c r="A21" s="8" t="s">
        <v>1330</v>
      </c>
      <c r="B21" s="133" t="s">
        <v>1367</v>
      </c>
      <c r="C21" s="134">
        <v>1013</v>
      </c>
      <c r="D21" s="133" t="s">
        <v>1335</v>
      </c>
      <c r="E21" s="133" t="s">
        <v>1310</v>
      </c>
      <c r="F21" s="129" t="s">
        <v>264</v>
      </c>
      <c r="G21" s="129" t="s">
        <v>1368</v>
      </c>
      <c r="H21" s="22" t="s">
        <v>1311</v>
      </c>
      <c r="I21" s="22" t="s">
        <v>1311</v>
      </c>
      <c r="J21" s="8">
        <v>2012</v>
      </c>
      <c r="K21" s="136" t="s">
        <v>1461</v>
      </c>
      <c r="L21" s="140" t="s">
        <v>1312</v>
      </c>
      <c r="M21" s="131" t="s">
        <v>1311</v>
      </c>
      <c r="N21" s="136" t="s">
        <v>1462</v>
      </c>
      <c r="O21" s="136" t="s">
        <v>1462</v>
      </c>
      <c r="P21" s="141" t="s">
        <v>1312</v>
      </c>
      <c r="Q21" s="132" t="s">
        <v>1463</v>
      </c>
      <c r="R21" s="8" t="s">
        <v>1369</v>
      </c>
      <c r="S21" s="8" t="s">
        <v>1370</v>
      </c>
      <c r="T21" s="138"/>
    </row>
    <row r="22" spans="1:20" ht="89.25" x14ac:dyDescent="0.25">
      <c r="A22" s="8" t="s">
        <v>1315</v>
      </c>
      <c r="B22" s="133" t="s">
        <v>1371</v>
      </c>
      <c r="C22" s="128">
        <f>10.18+8.83</f>
        <v>19.009999999999998</v>
      </c>
      <c r="D22" s="133" t="s">
        <v>1372</v>
      </c>
      <c r="E22" s="133" t="s">
        <v>1310</v>
      </c>
      <c r="F22" s="129" t="s">
        <v>245</v>
      </c>
      <c r="G22" s="129" t="s">
        <v>1373</v>
      </c>
      <c r="H22" s="22" t="s">
        <v>1374</v>
      </c>
      <c r="I22" s="22" t="s">
        <v>1465</v>
      </c>
      <c r="J22" s="8">
        <v>2008</v>
      </c>
      <c r="K22" s="136">
        <v>1450000</v>
      </c>
      <c r="L22" s="130">
        <f>K22*(VLOOKUP(2012,CPI,2,0)/VLOOKUP(J22,CPI,2,0))</f>
        <v>1546245.5237502498</v>
      </c>
      <c r="M22" s="131" t="s">
        <v>1375</v>
      </c>
      <c r="N22" s="136">
        <v>0</v>
      </c>
      <c r="O22" s="137">
        <f t="shared" ref="O22:O28" si="4">N22*(VLOOKUP(2012,CPI,2,0)/VLOOKUP(J22,CPI,2,0))</f>
        <v>0</v>
      </c>
      <c r="P22" s="137">
        <f>L22/C22</f>
        <v>81338.533600749608</v>
      </c>
      <c r="Q22" s="137">
        <f>O22/C22</f>
        <v>0</v>
      </c>
      <c r="R22" s="8" t="s">
        <v>1376</v>
      </c>
      <c r="S22" s="8" t="s">
        <v>1464</v>
      </c>
      <c r="T22" s="138"/>
    </row>
    <row r="23" spans="1:20" ht="102" x14ac:dyDescent="0.25">
      <c r="A23" s="8" t="s">
        <v>1377</v>
      </c>
      <c r="B23" s="133" t="s">
        <v>1371</v>
      </c>
      <c r="C23" s="134">
        <f>37.7+17.8</f>
        <v>55.5</v>
      </c>
      <c r="D23" s="133" t="s">
        <v>1372</v>
      </c>
      <c r="E23" s="133" t="s">
        <v>1310</v>
      </c>
      <c r="F23" s="129" t="s">
        <v>245</v>
      </c>
      <c r="G23" s="129" t="s">
        <v>1378</v>
      </c>
      <c r="H23" s="22" t="s">
        <v>1374</v>
      </c>
      <c r="I23" s="22" t="s">
        <v>1379</v>
      </c>
      <c r="J23" s="8">
        <v>2008</v>
      </c>
      <c r="K23" s="137">
        <f>1800*C23+10000</f>
        <v>109900</v>
      </c>
      <c r="L23" s="130">
        <f>K23*(VLOOKUP(2012,CPI,2,0)/VLOOKUP(J23,CPI,2,0))</f>
        <v>117194.74693803617</v>
      </c>
      <c r="M23" s="131" t="s">
        <v>1380</v>
      </c>
      <c r="N23" s="137">
        <f>135*C23</f>
        <v>7492.5</v>
      </c>
      <c r="O23" s="137">
        <f t="shared" si="4"/>
        <v>7989.8238528956872</v>
      </c>
      <c r="P23" s="137">
        <f>L23/C23</f>
        <v>2111.6170619465979</v>
      </c>
      <c r="Q23" s="137">
        <f>O23/C23</f>
        <v>143.96079014226464</v>
      </c>
      <c r="R23" s="8" t="s">
        <v>1376</v>
      </c>
      <c r="S23" s="8" t="s">
        <v>1856</v>
      </c>
      <c r="T23" s="138"/>
    </row>
    <row r="24" spans="1:20" ht="51" x14ac:dyDescent="0.25">
      <c r="A24" s="8" t="s">
        <v>1466</v>
      </c>
      <c r="B24" s="133" t="s">
        <v>1371</v>
      </c>
      <c r="C24" s="134">
        <f>37.7+17.8</f>
        <v>55.5</v>
      </c>
      <c r="D24" s="133" t="s">
        <v>1372</v>
      </c>
      <c r="E24" s="133" t="s">
        <v>1310</v>
      </c>
      <c r="F24" s="129" t="s">
        <v>245</v>
      </c>
      <c r="G24" s="129" t="s">
        <v>1381</v>
      </c>
      <c r="H24" s="22" t="s">
        <v>1374</v>
      </c>
      <c r="I24" s="22" t="s">
        <v>1311</v>
      </c>
      <c r="J24" s="8">
        <v>2008</v>
      </c>
      <c r="K24" s="130">
        <v>89000</v>
      </c>
      <c r="L24" s="130">
        <f>K24*(VLOOKUP(2012,CPI,2,0)/VLOOKUP(J24,CPI,2,0))</f>
        <v>94907.483871567048</v>
      </c>
      <c r="M24" s="131" t="s">
        <v>1380</v>
      </c>
      <c r="N24" s="130">
        <v>4933</v>
      </c>
      <c r="O24" s="137">
        <f t="shared" si="4"/>
        <v>5260.4339094206771</v>
      </c>
      <c r="P24" s="137">
        <f>L24/C24</f>
        <v>1710.0447544426495</v>
      </c>
      <c r="Q24" s="137">
        <f>O24/C24</f>
        <v>94.782592962534721</v>
      </c>
      <c r="R24" s="8" t="s">
        <v>1376</v>
      </c>
      <c r="S24" s="8" t="s">
        <v>1467</v>
      </c>
      <c r="T24" s="138"/>
    </row>
    <row r="25" spans="1:20" ht="51" x14ac:dyDescent="0.25">
      <c r="A25" s="8" t="s">
        <v>1307</v>
      </c>
      <c r="B25" s="133" t="s">
        <v>1371</v>
      </c>
      <c r="C25" s="134">
        <v>28.25</v>
      </c>
      <c r="D25" s="133" t="s">
        <v>1372</v>
      </c>
      <c r="E25" s="133" t="s">
        <v>1310</v>
      </c>
      <c r="F25" s="129" t="s">
        <v>245</v>
      </c>
      <c r="G25" s="129" t="s">
        <v>1382</v>
      </c>
      <c r="H25" s="22" t="s">
        <v>1374</v>
      </c>
      <c r="I25" s="22" t="s">
        <v>1383</v>
      </c>
      <c r="J25" s="8">
        <v>2008</v>
      </c>
      <c r="K25" s="130" t="s">
        <v>1384</v>
      </c>
      <c r="L25" s="131" t="s">
        <v>1432</v>
      </c>
      <c r="M25" s="131" t="s">
        <v>1380</v>
      </c>
      <c r="N25" s="130">
        <v>0</v>
      </c>
      <c r="O25" s="137">
        <f t="shared" si="4"/>
        <v>0</v>
      </c>
      <c r="P25" s="137" t="s">
        <v>1468</v>
      </c>
      <c r="Q25" s="137">
        <f>O25/C25</f>
        <v>0</v>
      </c>
      <c r="R25" s="8" t="s">
        <v>1376</v>
      </c>
      <c r="S25" s="8" t="s">
        <v>1385</v>
      </c>
      <c r="T25" s="138"/>
    </row>
    <row r="26" spans="1:20" ht="51" x14ac:dyDescent="0.25">
      <c r="A26" s="8" t="s">
        <v>1307</v>
      </c>
      <c r="B26" s="133" t="s">
        <v>1386</v>
      </c>
      <c r="C26" s="134">
        <f>105*2.47</f>
        <v>259.35000000000002</v>
      </c>
      <c r="D26" s="133" t="s">
        <v>1372</v>
      </c>
      <c r="E26" s="133" t="s">
        <v>1310</v>
      </c>
      <c r="F26" s="129" t="s">
        <v>264</v>
      </c>
      <c r="G26" s="129" t="s">
        <v>1387</v>
      </c>
      <c r="H26" s="22" t="s">
        <v>1469</v>
      </c>
      <c r="I26" s="22" t="s">
        <v>1388</v>
      </c>
      <c r="J26" s="8">
        <v>2003</v>
      </c>
      <c r="K26" s="130">
        <v>1509156</v>
      </c>
      <c r="L26" s="130">
        <f>K26*(VLOOKUP(2012,CPI,2,0)/VLOOKUP(J26,CPI,2,0))</f>
        <v>1883115.0144782609</v>
      </c>
      <c r="M26" s="131" t="s">
        <v>1389</v>
      </c>
      <c r="N26" s="130">
        <v>0</v>
      </c>
      <c r="O26" s="137">
        <f t="shared" si="4"/>
        <v>0</v>
      </c>
      <c r="P26" s="137">
        <f>L26/C26</f>
        <v>7260.9023114642787</v>
      </c>
      <c r="Q26" s="137">
        <v>0</v>
      </c>
      <c r="R26" s="8" t="s">
        <v>1390</v>
      </c>
      <c r="S26" s="8" t="s">
        <v>1470</v>
      </c>
      <c r="T26" s="138"/>
    </row>
    <row r="27" spans="1:20" ht="63.75" x14ac:dyDescent="0.25">
      <c r="A27" s="8" t="s">
        <v>1307</v>
      </c>
      <c r="B27" s="133" t="s">
        <v>1391</v>
      </c>
      <c r="C27" s="134">
        <v>40.6</v>
      </c>
      <c r="D27" s="133" t="s">
        <v>1372</v>
      </c>
      <c r="E27" s="133" t="s">
        <v>1310</v>
      </c>
      <c r="F27" s="129" t="s">
        <v>211</v>
      </c>
      <c r="G27" s="129" t="s">
        <v>1392</v>
      </c>
      <c r="H27" s="22" t="s">
        <v>1393</v>
      </c>
      <c r="I27" s="22" t="s">
        <v>1394</v>
      </c>
      <c r="J27" s="8">
        <v>2011</v>
      </c>
      <c r="K27" s="136">
        <v>164810</v>
      </c>
      <c r="L27" s="130">
        <f>K27*(VLOOKUP(2012,CPI,2,0)/VLOOKUP(J27,CPI,2,0))</f>
        <v>168220.66044572083</v>
      </c>
      <c r="M27" s="131" t="s">
        <v>1311</v>
      </c>
      <c r="N27" s="136">
        <v>0</v>
      </c>
      <c r="O27" s="137">
        <f t="shared" si="4"/>
        <v>0</v>
      </c>
      <c r="P27" s="137">
        <f>L27/C27</f>
        <v>4143.3660208305619</v>
      </c>
      <c r="Q27" s="137">
        <f>O27/C27</f>
        <v>0</v>
      </c>
      <c r="R27" s="8" t="s">
        <v>1395</v>
      </c>
      <c r="S27" s="8" t="s">
        <v>1396</v>
      </c>
      <c r="T27" s="138"/>
    </row>
    <row r="28" spans="1:20" ht="76.5" x14ac:dyDescent="0.25">
      <c r="A28" s="8" t="s">
        <v>1307</v>
      </c>
      <c r="B28" s="133" t="s">
        <v>1397</v>
      </c>
      <c r="C28" s="134">
        <v>4</v>
      </c>
      <c r="D28" s="133" t="s">
        <v>1335</v>
      </c>
      <c r="E28" s="133" t="s">
        <v>1310</v>
      </c>
      <c r="F28" s="129" t="s">
        <v>264</v>
      </c>
      <c r="G28" s="129" t="s">
        <v>1398</v>
      </c>
      <c r="H28" s="22" t="s">
        <v>1471</v>
      </c>
      <c r="I28" s="22" t="s">
        <v>1311</v>
      </c>
      <c r="J28" s="8">
        <v>2005</v>
      </c>
      <c r="K28" s="136">
        <v>46582</v>
      </c>
      <c r="L28" s="130">
        <f>K28*(VLOOKUP(2012,CPI,2,0)/VLOOKUP(J28,CPI,2,0))</f>
        <v>54761.63700972862</v>
      </c>
      <c r="M28" s="131" t="s">
        <v>1311</v>
      </c>
      <c r="N28" s="136">
        <v>0</v>
      </c>
      <c r="O28" s="137">
        <f t="shared" si="4"/>
        <v>0</v>
      </c>
      <c r="P28" s="137">
        <f>L28/C28</f>
        <v>13690.409252432155</v>
      </c>
      <c r="Q28" s="137">
        <f>O28/C28</f>
        <v>0</v>
      </c>
      <c r="R28" s="8" t="s">
        <v>1399</v>
      </c>
      <c r="S28" s="8" t="s">
        <v>1472</v>
      </c>
      <c r="T28" s="138"/>
    </row>
    <row r="29" spans="1:20" ht="63.75" x14ac:dyDescent="0.25">
      <c r="A29" s="8" t="s">
        <v>1307</v>
      </c>
      <c r="B29" s="133" t="s">
        <v>1400</v>
      </c>
      <c r="C29" s="134" t="s">
        <v>1401</v>
      </c>
      <c r="D29" s="133" t="s">
        <v>1335</v>
      </c>
      <c r="E29" s="133" t="s">
        <v>1310</v>
      </c>
      <c r="F29" s="129" t="s">
        <v>260</v>
      </c>
      <c r="G29" s="129" t="s">
        <v>1476</v>
      </c>
      <c r="H29" s="22" t="s">
        <v>1473</v>
      </c>
      <c r="I29" s="22" t="s">
        <v>1474</v>
      </c>
      <c r="J29" s="8">
        <v>2002</v>
      </c>
      <c r="K29" s="8" t="s">
        <v>1475</v>
      </c>
      <c r="L29" s="131" t="s">
        <v>1477</v>
      </c>
      <c r="M29" s="131" t="s">
        <v>1342</v>
      </c>
      <c r="N29" s="8">
        <v>0</v>
      </c>
      <c r="O29" s="137" t="s">
        <v>1312</v>
      </c>
      <c r="P29" s="137" t="s">
        <v>1478</v>
      </c>
      <c r="Q29" s="132" t="s">
        <v>1312</v>
      </c>
      <c r="R29" s="8" t="s">
        <v>1402</v>
      </c>
      <c r="S29" s="8" t="s">
        <v>1857</v>
      </c>
      <c r="T29" s="138"/>
    </row>
    <row r="30" spans="1:20" ht="51" x14ac:dyDescent="0.25">
      <c r="A30" s="8" t="s">
        <v>1307</v>
      </c>
      <c r="B30" s="133" t="s">
        <v>1403</v>
      </c>
      <c r="C30" s="134">
        <v>330</v>
      </c>
      <c r="D30" s="133" t="s">
        <v>1335</v>
      </c>
      <c r="E30" s="133" t="s">
        <v>1310</v>
      </c>
      <c r="F30" s="129" t="s">
        <v>264</v>
      </c>
      <c r="G30" s="129" t="s">
        <v>1404</v>
      </c>
      <c r="H30" s="22" t="s">
        <v>1405</v>
      </c>
      <c r="I30" s="22" t="s">
        <v>1311</v>
      </c>
      <c r="J30" s="8">
        <v>2004</v>
      </c>
      <c r="K30" s="136">
        <v>811996</v>
      </c>
      <c r="L30" s="130">
        <f>K30*(VLOOKUP(2012,CPI,2,0)/VLOOKUP(J30,CPI,2,0))</f>
        <v>986921.17323451559</v>
      </c>
      <c r="M30" s="131" t="s">
        <v>1406</v>
      </c>
      <c r="N30" s="136">
        <v>168000</v>
      </c>
      <c r="O30" s="137">
        <f>N30*(VLOOKUP(2012,CPI,2,0)/VLOOKUP(J30,CPI,2,0))</f>
        <v>204191.59343568023</v>
      </c>
      <c r="P30" s="137">
        <f>L30/C30</f>
        <v>2990.6702219227745</v>
      </c>
      <c r="Q30" s="137">
        <f>O30/C30</f>
        <v>618.76240435054615</v>
      </c>
      <c r="R30" s="8" t="s">
        <v>1407</v>
      </c>
      <c r="S30" s="8" t="s">
        <v>1408</v>
      </c>
      <c r="T30" s="138"/>
    </row>
    <row r="31" spans="1:20" ht="51" x14ac:dyDescent="0.25">
      <c r="A31" s="8" t="s">
        <v>1409</v>
      </c>
      <c r="B31" s="133" t="s">
        <v>1403</v>
      </c>
      <c r="C31" s="134">
        <v>330</v>
      </c>
      <c r="D31" s="133" t="s">
        <v>1335</v>
      </c>
      <c r="E31" s="133" t="s">
        <v>1310</v>
      </c>
      <c r="F31" s="129" t="s">
        <v>264</v>
      </c>
      <c r="G31" s="129" t="s">
        <v>1410</v>
      </c>
      <c r="H31" s="22" t="s">
        <v>1405</v>
      </c>
      <c r="I31" s="22" t="s">
        <v>1311</v>
      </c>
      <c r="J31" s="8">
        <v>2004</v>
      </c>
      <c r="K31" s="136">
        <v>23139318</v>
      </c>
      <c r="L31" s="130">
        <f>K31*(VLOOKUP(2012,CPI,2,0)/VLOOKUP(J31,CPI,2,0))</f>
        <v>28124132.222826891</v>
      </c>
      <c r="M31" s="131" t="s">
        <v>1411</v>
      </c>
      <c r="N31" s="136">
        <v>1155330</v>
      </c>
      <c r="O31" s="137">
        <f>N31*(VLOOKUP(2012,CPI,2,0)/VLOOKUP(J31,CPI,2,0))</f>
        <v>1404218.2955002645</v>
      </c>
      <c r="P31" s="137">
        <f>L31/C31</f>
        <v>85224.643099475419</v>
      </c>
      <c r="Q31" s="137">
        <f>O31/C31</f>
        <v>4255.2069560614073</v>
      </c>
      <c r="R31" s="8" t="s">
        <v>1407</v>
      </c>
      <c r="S31" s="8" t="s">
        <v>1412</v>
      </c>
      <c r="T31" s="138"/>
    </row>
    <row r="32" spans="1:20" ht="25.5" x14ac:dyDescent="0.25">
      <c r="A32" s="8" t="s">
        <v>1484</v>
      </c>
      <c r="B32" s="133" t="s">
        <v>1413</v>
      </c>
      <c r="C32" s="134">
        <v>35</v>
      </c>
      <c r="D32" s="133" t="s">
        <v>1372</v>
      </c>
      <c r="E32" s="133" t="s">
        <v>1310</v>
      </c>
      <c r="F32" s="129" t="s">
        <v>253</v>
      </c>
      <c r="G32" s="129" t="s">
        <v>1414</v>
      </c>
      <c r="H32" s="22" t="s">
        <v>1311</v>
      </c>
      <c r="I32" s="22" t="s">
        <v>1311</v>
      </c>
      <c r="J32" s="8">
        <v>2001</v>
      </c>
      <c r="K32" s="136">
        <v>22500</v>
      </c>
      <c r="L32" s="130">
        <f>K32*(VLOOKUP(2012,CPI,2,0)/VLOOKUP(J32,CPI,2,0))</f>
        <v>29169.198193111239</v>
      </c>
      <c r="M32" s="131" t="s">
        <v>1481</v>
      </c>
      <c r="N32" s="142" t="s">
        <v>1312</v>
      </c>
      <c r="O32" s="137" t="s">
        <v>1312</v>
      </c>
      <c r="P32" s="137">
        <f>L32/C32</f>
        <v>833.40566266032113</v>
      </c>
      <c r="Q32" s="132" t="s">
        <v>1312</v>
      </c>
      <c r="R32" s="8" t="s">
        <v>1415</v>
      </c>
      <c r="S32" s="8" t="s">
        <v>1482</v>
      </c>
      <c r="T32" s="138"/>
    </row>
    <row r="33" spans="1:20" ht="25.5" x14ac:dyDescent="0.25">
      <c r="A33" s="8" t="s">
        <v>1307</v>
      </c>
      <c r="B33" s="133" t="s">
        <v>1413</v>
      </c>
      <c r="C33" s="134">
        <v>35</v>
      </c>
      <c r="D33" s="133" t="s">
        <v>1372</v>
      </c>
      <c r="E33" s="133" t="s">
        <v>1310</v>
      </c>
      <c r="F33" s="129" t="s">
        <v>253</v>
      </c>
      <c r="G33" s="129" t="s">
        <v>1414</v>
      </c>
      <c r="H33" s="22" t="s">
        <v>1311</v>
      </c>
      <c r="I33" s="22" t="s">
        <v>1311</v>
      </c>
      <c r="J33" s="8">
        <v>2001</v>
      </c>
      <c r="K33" s="136">
        <v>17500</v>
      </c>
      <c r="L33" s="130">
        <f>K33*(VLOOKUP(2012,CPI,2,0)/VLOOKUP(J33,CPI,2,0))</f>
        <v>22687.154150197628</v>
      </c>
      <c r="M33" s="131" t="s">
        <v>1481</v>
      </c>
      <c r="N33" s="142" t="s">
        <v>1312</v>
      </c>
      <c r="O33" s="137" t="s">
        <v>1312</v>
      </c>
      <c r="P33" s="137">
        <f>L33/C33</f>
        <v>648.20440429136079</v>
      </c>
      <c r="Q33" s="132" t="s">
        <v>1312</v>
      </c>
      <c r="R33" s="8" t="s">
        <v>1415</v>
      </c>
      <c r="S33" s="8" t="s">
        <v>1483</v>
      </c>
      <c r="T33" s="138"/>
    </row>
    <row r="34" spans="1:20" ht="38.25" x14ac:dyDescent="0.25">
      <c r="A34" s="8" t="s">
        <v>1315</v>
      </c>
      <c r="B34" s="133" t="s">
        <v>1413</v>
      </c>
      <c r="C34" s="134">
        <v>300</v>
      </c>
      <c r="D34" s="133" t="s">
        <v>1372</v>
      </c>
      <c r="E34" s="133" t="s">
        <v>1310</v>
      </c>
      <c r="F34" s="129" t="s">
        <v>253</v>
      </c>
      <c r="G34" s="129" t="s">
        <v>1416</v>
      </c>
      <c r="H34" s="22" t="s">
        <v>1311</v>
      </c>
      <c r="I34" s="22" t="s">
        <v>1311</v>
      </c>
      <c r="J34" s="8">
        <v>2001</v>
      </c>
      <c r="K34" s="136" t="s">
        <v>1485</v>
      </c>
      <c r="L34" s="131" t="s">
        <v>1486</v>
      </c>
      <c r="M34" s="131" t="s">
        <v>1311</v>
      </c>
      <c r="N34" s="142" t="s">
        <v>1312</v>
      </c>
      <c r="O34" s="137" t="s">
        <v>1312</v>
      </c>
      <c r="P34" s="137" t="s">
        <v>1487</v>
      </c>
      <c r="Q34" s="132" t="s">
        <v>1312</v>
      </c>
      <c r="R34" s="8" t="s">
        <v>1415</v>
      </c>
      <c r="S34" s="8"/>
      <c r="T34" s="138"/>
    </row>
  </sheetData>
  <autoFilter ref="A3:S34"/>
  <pageMargins left="0.7" right="0.7" top="0.75" bottom="0.75" header="0.3" footer="0.3"/>
  <pageSetup scale="53" fitToHeight="6"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pageSetUpPr fitToPage="1"/>
  </sheetPr>
  <dimension ref="A1:T34"/>
  <sheetViews>
    <sheetView showGridLines="0" zoomScaleNormal="100" workbookViewId="0">
      <pane xSplit="1" ySplit="3" topLeftCell="B4" activePane="bottomRight" state="frozen"/>
      <selection activeCell="B2" sqref="B2"/>
      <selection pane="topRight" activeCell="B2" sqref="B2"/>
      <selection pane="bottomLeft" activeCell="B2" sqref="B2"/>
      <selection pane="bottomRight"/>
    </sheetView>
  </sheetViews>
  <sheetFormatPr defaultColWidth="9.140625" defaultRowHeight="15" x14ac:dyDescent="0.25"/>
  <cols>
    <col min="1" max="1" width="15.28515625" style="138" customWidth="1"/>
    <col min="2" max="2" width="48.5703125" style="138" customWidth="1"/>
    <col min="3" max="3" width="16" style="138" customWidth="1"/>
    <col min="4" max="4" width="13.7109375" style="138" customWidth="1"/>
    <col min="5" max="5" width="29.7109375" style="138" customWidth="1"/>
    <col min="6" max="6" width="26.42578125" style="138" customWidth="1"/>
    <col min="7" max="7" width="37.5703125" style="138" customWidth="1"/>
    <col min="8" max="8" width="22.42578125" style="138" customWidth="1"/>
    <col min="9" max="9" width="21.7109375" style="138" customWidth="1"/>
    <col min="10" max="10" width="10" style="138" customWidth="1"/>
    <col min="11" max="11" width="14.5703125" style="138" customWidth="1"/>
    <col min="12" max="12" width="14.5703125" style="139" customWidth="1"/>
    <col min="13" max="13" width="16.28515625" style="138" bestFit="1" customWidth="1"/>
    <col min="14" max="15" width="14.5703125" style="138" customWidth="1"/>
    <col min="16" max="17" width="14.5703125" style="139" customWidth="1"/>
    <col min="18" max="18" width="18.85546875" style="138" customWidth="1"/>
    <col min="19" max="19" width="50.42578125" style="138" customWidth="1"/>
    <col min="20" max="20" width="29.85546875" customWidth="1"/>
    <col min="21" max="21" width="11.5703125" style="138" bestFit="1" customWidth="1"/>
    <col min="22" max="16384" width="9.140625" style="138"/>
  </cols>
  <sheetData>
    <row r="1" spans="1:7" s="5" customFormat="1" ht="16.5" customHeight="1" x14ac:dyDescent="0.2">
      <c r="A1" s="158"/>
      <c r="B1" s="11"/>
      <c r="C1" s="11"/>
      <c r="D1" s="11"/>
      <c r="E1" s="11"/>
    </row>
    <row r="2" spans="1:7" s="5" customFormat="1" ht="16.5" customHeight="1" x14ac:dyDescent="0.2">
      <c r="A2" s="123"/>
      <c r="B2" s="123"/>
      <c r="C2" s="123"/>
      <c r="D2" s="123"/>
      <c r="E2" s="11"/>
    </row>
    <row r="3" spans="1:7" customFormat="1" ht="51" x14ac:dyDescent="0.25">
      <c r="A3" s="171" t="s">
        <v>1756</v>
      </c>
      <c r="B3" s="171" t="s">
        <v>1757</v>
      </c>
      <c r="C3" s="171" t="s">
        <v>1758</v>
      </c>
      <c r="D3" s="171" t="s">
        <v>1759</v>
      </c>
      <c r="E3" s="171" t="s">
        <v>1760</v>
      </c>
      <c r="F3" s="174" t="s">
        <v>1754</v>
      </c>
      <c r="G3" s="171" t="s">
        <v>1753</v>
      </c>
    </row>
    <row r="4" spans="1:7" customFormat="1" ht="51" x14ac:dyDescent="0.25">
      <c r="A4" s="8" t="s">
        <v>1761</v>
      </c>
      <c r="B4" s="127" t="s">
        <v>1744</v>
      </c>
      <c r="C4" s="128">
        <v>5000</v>
      </c>
      <c r="D4" s="127" t="s">
        <v>1762</v>
      </c>
      <c r="E4" s="127" t="s">
        <v>1763</v>
      </c>
      <c r="F4" s="173">
        <v>5200000</v>
      </c>
      <c r="G4" s="183" t="s">
        <v>1847</v>
      </c>
    </row>
    <row r="5" spans="1:7" customFormat="1" ht="51" x14ac:dyDescent="0.25">
      <c r="A5" s="8" t="s">
        <v>1764</v>
      </c>
      <c r="B5" s="127" t="s">
        <v>1745</v>
      </c>
      <c r="C5" s="128" t="s">
        <v>1765</v>
      </c>
      <c r="D5" s="127" t="s">
        <v>1766</v>
      </c>
      <c r="E5" s="127" t="s">
        <v>1767</v>
      </c>
      <c r="F5" s="173">
        <v>12000000</v>
      </c>
      <c r="G5" s="183" t="s">
        <v>1848</v>
      </c>
    </row>
    <row r="6" spans="1:7" customFormat="1" ht="63.75" x14ac:dyDescent="0.25">
      <c r="A6" s="8" t="s">
        <v>1768</v>
      </c>
      <c r="B6" s="127" t="s">
        <v>1769</v>
      </c>
      <c r="C6" s="128" t="s">
        <v>1765</v>
      </c>
      <c r="D6" s="127" t="s">
        <v>1766</v>
      </c>
      <c r="E6" s="175" t="s">
        <v>1755</v>
      </c>
      <c r="F6" s="173" t="s">
        <v>1770</v>
      </c>
      <c r="G6" s="129" t="s">
        <v>1771</v>
      </c>
    </row>
    <row r="7" spans="1:7" customFormat="1" ht="76.5" x14ac:dyDescent="0.25">
      <c r="A7" s="8" t="s">
        <v>1772</v>
      </c>
      <c r="B7" s="127" t="s">
        <v>1746</v>
      </c>
      <c r="C7" s="128" t="s">
        <v>1765</v>
      </c>
      <c r="D7" s="127" t="s">
        <v>1773</v>
      </c>
      <c r="E7" s="127" t="s">
        <v>1774</v>
      </c>
      <c r="F7" s="173" t="s">
        <v>1770</v>
      </c>
      <c r="G7" s="129" t="s">
        <v>1771</v>
      </c>
    </row>
    <row r="8" spans="1:7" customFormat="1" ht="102" x14ac:dyDescent="0.25">
      <c r="A8" s="8" t="s">
        <v>1775</v>
      </c>
      <c r="B8" s="133" t="s">
        <v>1747</v>
      </c>
      <c r="C8" s="134" t="s">
        <v>1776</v>
      </c>
      <c r="D8" s="127" t="s">
        <v>1777</v>
      </c>
      <c r="E8" s="127" t="s">
        <v>1778</v>
      </c>
      <c r="F8" s="173" t="s">
        <v>1779</v>
      </c>
      <c r="G8" s="129" t="s">
        <v>1771</v>
      </c>
    </row>
    <row r="9" spans="1:7" customFormat="1" ht="102" x14ac:dyDescent="0.25">
      <c r="A9" s="8" t="s">
        <v>1780</v>
      </c>
      <c r="B9" s="133" t="s">
        <v>1748</v>
      </c>
      <c r="C9" s="134">
        <v>41450</v>
      </c>
      <c r="D9" s="133" t="s">
        <v>1781</v>
      </c>
      <c r="E9" s="127" t="s">
        <v>1782</v>
      </c>
      <c r="F9" s="173" t="s">
        <v>1783</v>
      </c>
      <c r="G9" s="135" t="s">
        <v>1771</v>
      </c>
    </row>
    <row r="10" spans="1:7" customFormat="1" ht="89.25" x14ac:dyDescent="0.25">
      <c r="A10" s="8" t="s">
        <v>1784</v>
      </c>
      <c r="B10" s="133" t="s">
        <v>1749</v>
      </c>
      <c r="C10" s="134" t="s">
        <v>1765</v>
      </c>
      <c r="D10" s="133" t="s">
        <v>1781</v>
      </c>
      <c r="E10" s="127" t="s">
        <v>1785</v>
      </c>
      <c r="F10" s="173" t="s">
        <v>1786</v>
      </c>
      <c r="G10" s="129" t="s">
        <v>1771</v>
      </c>
    </row>
    <row r="11" spans="1:7" customFormat="1" ht="84.75" customHeight="1" x14ac:dyDescent="0.25">
      <c r="A11" s="8" t="s">
        <v>1787</v>
      </c>
      <c r="B11" s="133" t="s">
        <v>1750</v>
      </c>
      <c r="C11" s="134">
        <v>6665</v>
      </c>
      <c r="D11" s="133" t="s">
        <v>1788</v>
      </c>
      <c r="E11" s="127" t="s">
        <v>1789</v>
      </c>
      <c r="F11" s="173">
        <v>550000</v>
      </c>
      <c r="G11" s="129" t="s">
        <v>1771</v>
      </c>
    </row>
    <row r="12" spans="1:7" customFormat="1" ht="51" x14ac:dyDescent="0.25">
      <c r="A12" s="8" t="s">
        <v>1790</v>
      </c>
      <c r="B12" s="133" t="s">
        <v>1791</v>
      </c>
      <c r="C12" s="134" t="s">
        <v>1765</v>
      </c>
      <c r="D12" s="133" t="s">
        <v>1788</v>
      </c>
      <c r="E12" s="127" t="s">
        <v>1789</v>
      </c>
      <c r="F12" s="173">
        <v>5000000</v>
      </c>
      <c r="G12" s="183" t="s">
        <v>1847</v>
      </c>
    </row>
    <row r="13" spans="1:7" customFormat="1" ht="76.5" x14ac:dyDescent="0.25">
      <c r="A13" s="8" t="s">
        <v>1792</v>
      </c>
      <c r="B13" s="133" t="s">
        <v>1751</v>
      </c>
      <c r="C13" s="134" t="s">
        <v>1793</v>
      </c>
      <c r="D13" s="133" t="s">
        <v>1794</v>
      </c>
      <c r="E13" s="133" t="s">
        <v>1795</v>
      </c>
      <c r="F13" s="173" t="s">
        <v>1796</v>
      </c>
      <c r="G13" s="129" t="s">
        <v>1771</v>
      </c>
    </row>
    <row r="14" spans="1:7" customFormat="1" ht="38.25" x14ac:dyDescent="0.25">
      <c r="A14" s="8" t="s">
        <v>1797</v>
      </c>
      <c r="B14" s="133" t="s">
        <v>1752</v>
      </c>
      <c r="C14" s="134">
        <v>99960</v>
      </c>
      <c r="D14" s="133" t="s">
        <v>1794</v>
      </c>
      <c r="E14" s="176" t="s">
        <v>1799</v>
      </c>
      <c r="F14" s="173" t="s">
        <v>1798</v>
      </c>
      <c r="G14" s="129" t="s">
        <v>1771</v>
      </c>
    </row>
    <row r="15" spans="1:7" customFormat="1" ht="51" x14ac:dyDescent="0.25">
      <c r="A15" s="177" t="s">
        <v>1812</v>
      </c>
      <c r="B15" s="177" t="s">
        <v>1813</v>
      </c>
      <c r="C15" s="177" t="s">
        <v>1538</v>
      </c>
      <c r="D15" s="177" t="s">
        <v>1800</v>
      </c>
      <c r="E15" s="177" t="s">
        <v>1801</v>
      </c>
      <c r="F15" s="177" t="s">
        <v>1802</v>
      </c>
      <c r="G15" s="177" t="s">
        <v>1803</v>
      </c>
    </row>
    <row r="16" spans="1:7" customFormat="1" ht="63.75" x14ac:dyDescent="0.25">
      <c r="A16" s="177" t="s">
        <v>1804</v>
      </c>
      <c r="B16" s="178" t="s">
        <v>1805</v>
      </c>
      <c r="C16" s="177" t="s">
        <v>1538</v>
      </c>
      <c r="D16" s="177" t="s">
        <v>1800</v>
      </c>
      <c r="E16" s="177" t="s">
        <v>1815</v>
      </c>
      <c r="F16" s="177" t="s">
        <v>1806</v>
      </c>
      <c r="G16" s="177" t="s">
        <v>1803</v>
      </c>
    </row>
    <row r="17" spans="1:7" customFormat="1" ht="102" x14ac:dyDescent="0.25">
      <c r="A17" s="177" t="s">
        <v>1807</v>
      </c>
      <c r="B17" s="177" t="s">
        <v>1814</v>
      </c>
      <c r="C17" s="177" t="s">
        <v>1808</v>
      </c>
      <c r="D17" s="177" t="s">
        <v>1809</v>
      </c>
      <c r="E17" s="177" t="s">
        <v>1810</v>
      </c>
      <c r="F17" s="179" t="s">
        <v>1811</v>
      </c>
      <c r="G17" s="177" t="s">
        <v>1803</v>
      </c>
    </row>
    <row r="18" spans="1:7" customFormat="1" ht="15" customHeight="1" x14ac:dyDescent="0.25">
      <c r="A18" s="182" t="s">
        <v>1838</v>
      </c>
    </row>
    <row r="19" spans="1:7" customFormat="1" ht="15" customHeight="1" x14ac:dyDescent="0.25"/>
    <row r="20" spans="1:7" customFormat="1" ht="15" customHeight="1" x14ac:dyDescent="0.25"/>
    <row r="21" spans="1:7" customFormat="1" ht="15" customHeight="1" x14ac:dyDescent="0.25"/>
    <row r="22" spans="1:7" customFormat="1" ht="15" customHeight="1" x14ac:dyDescent="0.25"/>
    <row r="23" spans="1:7" customFormat="1" ht="15" customHeight="1" x14ac:dyDescent="0.25"/>
    <row r="24" spans="1:7" customFormat="1" ht="15" customHeight="1" x14ac:dyDescent="0.25"/>
    <row r="25" spans="1:7" customFormat="1" ht="15" customHeight="1" x14ac:dyDescent="0.25"/>
    <row r="26" spans="1:7" customFormat="1" ht="15" customHeight="1" x14ac:dyDescent="0.25"/>
    <row r="27" spans="1:7" customFormat="1" ht="15" customHeight="1" x14ac:dyDescent="0.25"/>
    <row r="28" spans="1:7" customFormat="1" ht="15" customHeight="1" x14ac:dyDescent="0.25"/>
    <row r="29" spans="1:7" customFormat="1" ht="15" customHeight="1" x14ac:dyDescent="0.25"/>
    <row r="30" spans="1:7" customFormat="1" ht="15" customHeight="1" x14ac:dyDescent="0.25"/>
    <row r="31" spans="1:7" customFormat="1" ht="15" customHeight="1" x14ac:dyDescent="0.25"/>
    <row r="32" spans="1:7" customFormat="1" ht="15" customHeight="1" x14ac:dyDescent="0.25"/>
    <row r="33" customFormat="1" x14ac:dyDescent="0.25"/>
    <row r="34" customFormat="1" x14ac:dyDescent="0.25"/>
  </sheetData>
  <pageMargins left="0.7" right="0.7" top="0.75" bottom="0.75" header="0.3" footer="0.3"/>
  <pageSetup scale="53" fitToHeight="6"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F22"/>
  <sheetViews>
    <sheetView showGridLines="0" workbookViewId="0">
      <pane ySplit="2" topLeftCell="A3" activePane="bottomLeft" state="frozen"/>
      <selection pane="bottomLeft"/>
    </sheetView>
  </sheetViews>
  <sheetFormatPr defaultColWidth="9.140625" defaultRowHeight="15" x14ac:dyDescent="0.25"/>
  <cols>
    <col min="1" max="1" width="2.28515625" style="21" customWidth="1"/>
    <col min="2" max="2" width="13.7109375" style="21" customWidth="1"/>
    <col min="3" max="3" width="3" style="25" customWidth="1"/>
    <col min="4" max="4" width="69" style="21" customWidth="1"/>
    <col min="5" max="16384" width="9.140625" style="21"/>
  </cols>
  <sheetData>
    <row r="2" spans="2:6" ht="16.5" customHeight="1" x14ac:dyDescent="0.25"/>
    <row r="3" spans="2:6" x14ac:dyDescent="0.25">
      <c r="B3" s="208" t="s">
        <v>678</v>
      </c>
      <c r="C3" s="208"/>
      <c r="D3" s="208"/>
    </row>
    <row r="4" spans="2:6" s="3" customFormat="1" ht="63.75" customHeight="1" x14ac:dyDescent="0.25">
      <c r="B4" s="188" t="s">
        <v>1457</v>
      </c>
      <c r="C4" s="189"/>
      <c r="D4" s="190"/>
    </row>
    <row r="5" spans="2:6" s="3" customFormat="1" x14ac:dyDescent="0.25">
      <c r="B5" s="196" t="s">
        <v>6</v>
      </c>
      <c r="C5" s="196"/>
      <c r="D5" s="64" t="s">
        <v>0</v>
      </c>
    </row>
    <row r="6" spans="2:6" s="3" customFormat="1" ht="45.75" customHeight="1" x14ac:dyDescent="0.25">
      <c r="B6" s="220" t="s">
        <v>417</v>
      </c>
      <c r="C6" s="221"/>
      <c r="D6" s="65" t="s">
        <v>434</v>
      </c>
    </row>
    <row r="7" spans="2:6" s="3" customFormat="1" ht="63.75" customHeight="1" x14ac:dyDescent="0.25">
      <c r="B7" s="209" t="s">
        <v>87</v>
      </c>
      <c r="C7" s="209"/>
      <c r="D7" s="59" t="s">
        <v>1297</v>
      </c>
    </row>
    <row r="8" spans="2:6" s="3" customFormat="1" ht="62.25" customHeight="1" x14ac:dyDescent="0.25">
      <c r="B8" s="209" t="s">
        <v>84</v>
      </c>
      <c r="C8" s="209"/>
      <c r="D8" s="59" t="s">
        <v>1298</v>
      </c>
    </row>
    <row r="9" spans="2:6" s="3" customFormat="1" ht="60.75" customHeight="1" x14ac:dyDescent="0.25">
      <c r="B9" s="209" t="s">
        <v>83</v>
      </c>
      <c r="C9" s="209"/>
      <c r="D9" s="59" t="s">
        <v>1299</v>
      </c>
    </row>
    <row r="10" spans="2:6" s="3" customFormat="1" ht="62.25" customHeight="1" x14ac:dyDescent="0.25">
      <c r="B10" s="209" t="s">
        <v>86</v>
      </c>
      <c r="C10" s="209"/>
      <c r="D10" s="59" t="s">
        <v>1300</v>
      </c>
    </row>
    <row r="11" spans="2:6" s="3" customFormat="1" ht="69" customHeight="1" x14ac:dyDescent="0.25">
      <c r="B11" s="209" t="s">
        <v>85</v>
      </c>
      <c r="C11" s="209"/>
      <c r="D11" s="59" t="s">
        <v>1301</v>
      </c>
    </row>
    <row r="12" spans="2:6" s="3" customFormat="1" x14ac:dyDescent="0.25"/>
    <row r="13" spans="2:6" x14ac:dyDescent="0.25">
      <c r="B13" s="208" t="s">
        <v>678</v>
      </c>
      <c r="C13" s="208"/>
      <c r="D13" s="208"/>
    </row>
    <row r="14" spans="2:6" s="3" customFormat="1" x14ac:dyDescent="0.25">
      <c r="B14" s="204" t="s">
        <v>1820</v>
      </c>
      <c r="C14" s="204"/>
      <c r="D14" s="204"/>
      <c r="E14" s="119"/>
      <c r="F14" s="3" t="s">
        <v>1724</v>
      </c>
    </row>
    <row r="15" spans="2:6" s="3" customFormat="1" x14ac:dyDescent="0.25">
      <c r="B15" s="204" t="s">
        <v>1821</v>
      </c>
      <c r="C15" s="204"/>
      <c r="D15" s="204"/>
      <c r="E15" s="119"/>
    </row>
    <row r="16" spans="2:6" s="3" customFormat="1" x14ac:dyDescent="0.25">
      <c r="B16" s="205" t="s">
        <v>1822</v>
      </c>
      <c r="C16" s="205"/>
      <c r="D16" s="205"/>
      <c r="E16" s="120"/>
    </row>
    <row r="17" spans="2:5" s="3" customFormat="1" ht="29.25" customHeight="1" x14ac:dyDescent="0.25">
      <c r="B17" s="204" t="s">
        <v>1819</v>
      </c>
      <c r="C17" s="204"/>
      <c r="D17" s="204"/>
      <c r="E17" s="119"/>
    </row>
    <row r="18" spans="2:5" s="3" customFormat="1" x14ac:dyDescent="0.25">
      <c r="B18" s="204" t="s">
        <v>1823</v>
      </c>
      <c r="C18" s="204"/>
      <c r="D18" s="204"/>
      <c r="E18" s="119"/>
    </row>
    <row r="19" spans="2:5" s="3" customFormat="1" ht="51.75" customHeight="1" x14ac:dyDescent="0.2">
      <c r="B19" s="223" t="s">
        <v>447</v>
      </c>
      <c r="C19" s="223"/>
      <c r="D19" s="223"/>
      <c r="E19" s="121"/>
    </row>
    <row r="20" spans="2:5" s="3" customFormat="1" x14ac:dyDescent="0.25"/>
    <row r="21" spans="2:5" x14ac:dyDescent="0.25">
      <c r="B21" s="25"/>
    </row>
    <row r="22" spans="2:5" x14ac:dyDescent="0.25">
      <c r="B22" s="25"/>
    </row>
  </sheetData>
  <mergeCells count="16">
    <mergeCell ref="B3:D3"/>
    <mergeCell ref="B5:C5"/>
    <mergeCell ref="B7:C7"/>
    <mergeCell ref="B6:C6"/>
    <mergeCell ref="B13:D13"/>
    <mergeCell ref="B19:D19"/>
    <mergeCell ref="B4:D4"/>
    <mergeCell ref="B14:D14"/>
    <mergeCell ref="B15:D15"/>
    <mergeCell ref="B16:D16"/>
    <mergeCell ref="B17:D17"/>
    <mergeCell ref="B18:D18"/>
    <mergeCell ref="B10:C10"/>
    <mergeCell ref="B11:C11"/>
    <mergeCell ref="B8:C8"/>
    <mergeCell ref="B9:C9"/>
  </mergeCells>
  <hyperlinks>
    <hyperlink ref="B7:C7" location="Tourism!A2" display="Tourism"/>
    <hyperlink ref="B10:C10" location="'Health Effects'!A2" display="Health Effects"/>
    <hyperlink ref="B11:C11" location="'Drinking Water Treatment'!A2" display="Drinking Water Treatment"/>
    <hyperlink ref="B8:C8" location="Fisheries!A2" display="Fisheries"/>
    <hyperlink ref="B9:C9" location="'Property Value'!A2" display="Property Value"/>
    <hyperlink ref="B6" location="Index!A1" display="Index"/>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H57"/>
  <sheetViews>
    <sheetView showGridLines="0" workbookViewId="0">
      <pane ySplit="3" topLeftCell="A4" activePane="bottomLeft" state="frozen"/>
      <selection activeCell="H16" sqref="H16"/>
      <selection pane="bottomLeft"/>
    </sheetView>
  </sheetViews>
  <sheetFormatPr defaultColWidth="9.140625" defaultRowHeight="15" x14ac:dyDescent="0.25"/>
  <cols>
    <col min="1" max="1" width="13" style="25" customWidth="1"/>
    <col min="2" max="2" width="18.140625" style="29" customWidth="1"/>
    <col min="3" max="3" width="14.5703125" style="25" customWidth="1"/>
    <col min="4" max="4" width="16.140625" style="25" customWidth="1"/>
    <col min="5" max="5" width="12.140625" style="25" customWidth="1"/>
    <col min="6" max="6" width="24.7109375" style="25" customWidth="1"/>
    <col min="7" max="7" width="25.42578125" style="25" customWidth="1"/>
    <col min="8" max="8" width="36.85546875" style="25" customWidth="1"/>
    <col min="9" max="16384" width="9.140625" style="21"/>
  </cols>
  <sheetData>
    <row r="1" spans="1:8" s="5" customFormat="1" ht="16.5" customHeight="1" x14ac:dyDescent="0.2">
      <c r="A1" s="158"/>
      <c r="B1" s="11"/>
      <c r="C1" s="11"/>
      <c r="D1" s="11"/>
      <c r="E1" s="11"/>
    </row>
    <row r="2" spans="1:8" s="5" customFormat="1" ht="16.5" customHeight="1" x14ac:dyDescent="0.2">
      <c r="A2" s="123"/>
      <c r="B2" s="123"/>
      <c r="C2" s="123"/>
      <c r="D2" s="123"/>
      <c r="E2" s="11"/>
    </row>
    <row r="3" spans="1:8" ht="30" x14ac:dyDescent="0.25">
      <c r="A3" s="55" t="s">
        <v>205</v>
      </c>
      <c r="B3" s="53" t="s">
        <v>223</v>
      </c>
      <c r="C3" s="54" t="s">
        <v>404</v>
      </c>
      <c r="D3" s="54" t="s">
        <v>403</v>
      </c>
      <c r="E3" s="54" t="s">
        <v>221</v>
      </c>
      <c r="F3" s="54" t="s">
        <v>227</v>
      </c>
      <c r="G3" s="54" t="s">
        <v>1</v>
      </c>
      <c r="H3" s="54" t="s">
        <v>17</v>
      </c>
    </row>
    <row r="4" spans="1:8" x14ac:dyDescent="0.25">
      <c r="A4" s="27" t="s">
        <v>209</v>
      </c>
      <c r="B4" s="28" t="str">
        <f>IFERROR((VLOOKUP(A4,Regions!D:F,3,0)),"ENTER")</f>
        <v>Mid-Atlantic</v>
      </c>
      <c r="C4" s="26" t="s">
        <v>402</v>
      </c>
      <c r="D4" s="27">
        <v>2003</v>
      </c>
      <c r="E4" s="27" t="s">
        <v>59</v>
      </c>
      <c r="F4" s="27" t="s">
        <v>222</v>
      </c>
      <c r="G4" s="26" t="s">
        <v>220</v>
      </c>
      <c r="H4" s="42" t="s">
        <v>58</v>
      </c>
    </row>
    <row r="5" spans="1:8" x14ac:dyDescent="0.25">
      <c r="A5" s="27" t="s">
        <v>217</v>
      </c>
      <c r="B5" s="28" t="str">
        <f>IFERROR((VLOOKUP(A5,Regions!D:F,3,0)),"ENTER")</f>
        <v>Midwest</v>
      </c>
      <c r="C5" s="26" t="s">
        <v>402</v>
      </c>
      <c r="D5" s="27">
        <v>1996</v>
      </c>
      <c r="E5" s="26" t="s">
        <v>15</v>
      </c>
      <c r="F5" s="27" t="s">
        <v>216</v>
      </c>
      <c r="G5" s="26" t="s">
        <v>220</v>
      </c>
      <c r="H5" s="42" t="s">
        <v>225</v>
      </c>
    </row>
    <row r="6" spans="1:8" x14ac:dyDescent="0.25">
      <c r="A6" s="27" t="s">
        <v>217</v>
      </c>
      <c r="B6" s="28" t="str">
        <f>IFERROR((VLOOKUP(A6,Regions!D:F,3,0)),"ENTER")</f>
        <v>Midwest</v>
      </c>
      <c r="C6" s="26" t="s">
        <v>402</v>
      </c>
      <c r="D6" s="27">
        <v>2010</v>
      </c>
      <c r="E6" s="26" t="s">
        <v>15</v>
      </c>
      <c r="F6" s="27" t="s">
        <v>212</v>
      </c>
      <c r="G6" s="26" t="s">
        <v>318</v>
      </c>
      <c r="H6" s="42" t="s">
        <v>22</v>
      </c>
    </row>
    <row r="7" spans="1:8" x14ac:dyDescent="0.25">
      <c r="A7" s="27" t="s">
        <v>217</v>
      </c>
      <c r="B7" s="28" t="str">
        <f>IFERROR((VLOOKUP(A7,Regions!D:F,3,0)),"ENTER")</f>
        <v>Midwest</v>
      </c>
      <c r="C7" s="26" t="s">
        <v>402</v>
      </c>
      <c r="D7" s="27">
        <v>2010</v>
      </c>
      <c r="E7" s="26" t="s">
        <v>15</v>
      </c>
      <c r="F7" s="27" t="s">
        <v>212</v>
      </c>
      <c r="G7" s="26" t="s">
        <v>85</v>
      </c>
      <c r="H7" s="42" t="s">
        <v>22</v>
      </c>
    </row>
    <row r="8" spans="1:8" x14ac:dyDescent="0.25">
      <c r="A8" s="27" t="s">
        <v>217</v>
      </c>
      <c r="B8" s="28" t="str">
        <f>IFERROR((VLOOKUP(A8,Regions!D:F,3,0)),"ENTER")</f>
        <v>Midwest</v>
      </c>
      <c r="C8" s="26" t="s">
        <v>402</v>
      </c>
      <c r="D8" s="27">
        <v>2010</v>
      </c>
      <c r="E8" s="26" t="s">
        <v>15</v>
      </c>
      <c r="F8" s="27" t="s">
        <v>212</v>
      </c>
      <c r="G8" s="26" t="s">
        <v>318</v>
      </c>
      <c r="H8" s="42" t="s">
        <v>106</v>
      </c>
    </row>
    <row r="9" spans="1:8" x14ac:dyDescent="0.25">
      <c r="A9" s="27" t="s">
        <v>206</v>
      </c>
      <c r="B9" s="28" t="str">
        <f>IFERROR((VLOOKUP(A9,Regions!D:F,3,0)),"ENTER")</f>
        <v>South Central</v>
      </c>
      <c r="C9" s="26" t="s">
        <v>402</v>
      </c>
      <c r="D9" s="27">
        <v>2000</v>
      </c>
      <c r="E9" s="27" t="s">
        <v>228</v>
      </c>
      <c r="F9" s="27" t="s">
        <v>207</v>
      </c>
      <c r="G9" s="26" t="s">
        <v>84</v>
      </c>
      <c r="H9" s="42" t="s">
        <v>29</v>
      </c>
    </row>
    <row r="10" spans="1:8" x14ac:dyDescent="0.25">
      <c r="A10" s="27" t="s">
        <v>206</v>
      </c>
      <c r="B10" s="28" t="str">
        <f>IFERROR((VLOOKUP(A10,Regions!D:F,3,0)),"ENTER")</f>
        <v>South Central</v>
      </c>
      <c r="C10" s="26" t="s">
        <v>402</v>
      </c>
      <c r="D10" s="27">
        <v>2000</v>
      </c>
      <c r="E10" s="27" t="s">
        <v>228</v>
      </c>
      <c r="F10" s="27" t="s">
        <v>207</v>
      </c>
      <c r="G10" s="26" t="s">
        <v>318</v>
      </c>
      <c r="H10" s="42" t="s">
        <v>29</v>
      </c>
    </row>
    <row r="11" spans="1:8" x14ac:dyDescent="0.25">
      <c r="A11" s="26" t="s">
        <v>211</v>
      </c>
      <c r="B11" s="28" t="str">
        <f>IFERROR((VLOOKUP(A11,Regions!D:F,3,0)),"ENTER")</f>
        <v>Midwest</v>
      </c>
      <c r="C11" s="26" t="s">
        <v>402</v>
      </c>
      <c r="D11" s="26">
        <v>2010</v>
      </c>
      <c r="E11" s="26" t="s">
        <v>15</v>
      </c>
      <c r="F11" s="26" t="s">
        <v>212</v>
      </c>
      <c r="G11" s="26" t="s">
        <v>220</v>
      </c>
      <c r="H11" s="42" t="s">
        <v>349</v>
      </c>
    </row>
    <row r="12" spans="1:8" x14ac:dyDescent="0.25">
      <c r="A12" s="27" t="s">
        <v>213</v>
      </c>
      <c r="B12" s="28" t="str">
        <f>IFERROR((VLOOKUP(A12,Regions!D:F,3,0)),"ENTER")</f>
        <v>Southeast</v>
      </c>
      <c r="C12" s="26" t="s">
        <v>402</v>
      </c>
      <c r="D12" s="27">
        <v>2006</v>
      </c>
      <c r="E12" s="27" t="s">
        <v>24</v>
      </c>
      <c r="F12" s="27" t="s">
        <v>207</v>
      </c>
      <c r="G12" s="26" t="s">
        <v>229</v>
      </c>
      <c r="H12" s="42" t="s">
        <v>26</v>
      </c>
    </row>
    <row r="13" spans="1:8" x14ac:dyDescent="0.25">
      <c r="A13" s="27" t="s">
        <v>155</v>
      </c>
      <c r="B13" s="28" t="str">
        <f>IFERROR((VLOOKUP(A13,Regions!D:F,3,0)),"ENTER")</f>
        <v>New England</v>
      </c>
      <c r="C13" s="26" t="s">
        <v>402</v>
      </c>
      <c r="D13" s="27">
        <v>2005</v>
      </c>
      <c r="E13" s="27" t="s">
        <v>24</v>
      </c>
      <c r="F13" s="27" t="s">
        <v>207</v>
      </c>
      <c r="G13" s="26" t="s">
        <v>84</v>
      </c>
      <c r="H13" s="42" t="s">
        <v>27</v>
      </c>
    </row>
    <row r="14" spans="1:8" x14ac:dyDescent="0.25">
      <c r="A14" s="27" t="s">
        <v>215</v>
      </c>
      <c r="B14" s="28" t="str">
        <f>IFERROR((VLOOKUP(A14,Regions!D:F,3,0)),"ENTER")</f>
        <v>Midwest</v>
      </c>
      <c r="C14" s="26" t="s">
        <v>402</v>
      </c>
      <c r="D14" s="27">
        <v>2001</v>
      </c>
      <c r="E14" s="26" t="s">
        <v>15</v>
      </c>
      <c r="F14" s="27" t="s">
        <v>216</v>
      </c>
      <c r="G14" s="26" t="s">
        <v>220</v>
      </c>
      <c r="H14" s="42" t="s">
        <v>224</v>
      </c>
    </row>
    <row r="15" spans="1:8" x14ac:dyDescent="0.25">
      <c r="A15" s="27" t="s">
        <v>155</v>
      </c>
      <c r="B15" s="28" t="str">
        <f>IFERROR((VLOOKUP(A15,Regions!D:F,3,0)),"ENTER")</f>
        <v>New England</v>
      </c>
      <c r="C15" s="26" t="s">
        <v>402</v>
      </c>
      <c r="D15" s="27">
        <v>1995</v>
      </c>
      <c r="E15" s="26" t="s">
        <v>15</v>
      </c>
      <c r="F15" s="27" t="s">
        <v>216</v>
      </c>
      <c r="G15" s="26" t="s">
        <v>220</v>
      </c>
      <c r="H15" s="42" t="s">
        <v>226</v>
      </c>
    </row>
    <row r="16" spans="1:8" x14ac:dyDescent="0.25">
      <c r="A16" s="27" t="s">
        <v>156</v>
      </c>
      <c r="B16" s="28" t="str">
        <f>IFERROR((VLOOKUP(A16,Regions!D:F,3,0)),"ENTER")</f>
        <v>New England</v>
      </c>
      <c r="C16" s="26" t="s">
        <v>402</v>
      </c>
      <c r="D16" s="27">
        <v>1995</v>
      </c>
      <c r="E16" s="26" t="s">
        <v>15</v>
      </c>
      <c r="F16" s="27" t="s">
        <v>216</v>
      </c>
      <c r="G16" s="26" t="s">
        <v>220</v>
      </c>
      <c r="H16" s="42" t="s">
        <v>64</v>
      </c>
    </row>
    <row r="17" spans="1:8" x14ac:dyDescent="0.25">
      <c r="A17" s="27" t="s">
        <v>209</v>
      </c>
      <c r="B17" s="28" t="str">
        <f>IFERROR((VLOOKUP(A17,Regions!D:F,3,0)),"ENTER")</f>
        <v>Mid-Atlantic</v>
      </c>
      <c r="C17" s="26" t="s">
        <v>402</v>
      </c>
      <c r="D17" s="27" t="s">
        <v>277</v>
      </c>
      <c r="E17" s="27" t="s">
        <v>59</v>
      </c>
      <c r="F17" s="27" t="s">
        <v>210</v>
      </c>
      <c r="G17" s="26" t="s">
        <v>84</v>
      </c>
      <c r="H17" s="42" t="s">
        <v>20</v>
      </c>
    </row>
    <row r="18" spans="1:8" x14ac:dyDescent="0.25">
      <c r="A18" s="27" t="s">
        <v>206</v>
      </c>
      <c r="B18" s="28" t="str">
        <f>IFERROR((VLOOKUP(A18,Regions!D:F,3,0)),"ENTER")</f>
        <v>South Central</v>
      </c>
      <c r="C18" s="26" t="s">
        <v>402</v>
      </c>
      <c r="D18" s="27">
        <v>2003</v>
      </c>
      <c r="E18" s="26" t="s">
        <v>15</v>
      </c>
      <c r="F18" s="27" t="s">
        <v>212</v>
      </c>
      <c r="G18" s="26" t="s">
        <v>318</v>
      </c>
      <c r="H18" s="42" t="s">
        <v>47</v>
      </c>
    </row>
    <row r="19" spans="1:8" x14ac:dyDescent="0.25">
      <c r="A19" s="27" t="s">
        <v>155</v>
      </c>
      <c r="B19" s="28" t="str">
        <f>IFERROR((VLOOKUP(A19,Regions!D:F,3,0)),"ENTER")</f>
        <v>New England</v>
      </c>
      <c r="C19" s="26" t="s">
        <v>402</v>
      </c>
      <c r="D19" s="27">
        <v>1994</v>
      </c>
      <c r="E19" s="26" t="s">
        <v>15</v>
      </c>
      <c r="F19" s="27" t="s">
        <v>216</v>
      </c>
      <c r="G19" s="26" t="s">
        <v>220</v>
      </c>
      <c r="H19" s="42" t="s">
        <v>61</v>
      </c>
    </row>
    <row r="20" spans="1:8" x14ac:dyDescent="0.25">
      <c r="A20" s="27" t="s">
        <v>155</v>
      </c>
      <c r="B20" s="28" t="str">
        <f>IFERROR((VLOOKUP(A20,Regions!D:F,3,0)),"ENTER")</f>
        <v>New England</v>
      </c>
      <c r="C20" s="26" t="s">
        <v>402</v>
      </c>
      <c r="D20" s="27">
        <v>1995</v>
      </c>
      <c r="E20" s="27" t="s">
        <v>15</v>
      </c>
      <c r="F20" s="27" t="s">
        <v>216</v>
      </c>
      <c r="G20" s="26" t="s">
        <v>220</v>
      </c>
      <c r="H20" s="42" t="s">
        <v>361</v>
      </c>
    </row>
    <row r="21" spans="1:8" x14ac:dyDescent="0.25">
      <c r="A21" s="27" t="s">
        <v>165</v>
      </c>
      <c r="B21" s="28" t="str">
        <f>IFERROR((VLOOKUP(A21,Regions!D:F,3,0)),"ENTER")</f>
        <v>Pacific Northwest</v>
      </c>
      <c r="C21" s="26" t="s">
        <v>402</v>
      </c>
      <c r="D21" s="27">
        <v>1998</v>
      </c>
      <c r="E21" s="27" t="s">
        <v>24</v>
      </c>
      <c r="F21" s="27" t="s">
        <v>212</v>
      </c>
      <c r="G21" s="26" t="s">
        <v>84</v>
      </c>
      <c r="H21" s="42" t="s">
        <v>363</v>
      </c>
    </row>
    <row r="22" spans="1:8" x14ac:dyDescent="0.25">
      <c r="A22" s="26" t="s">
        <v>213</v>
      </c>
      <c r="B22" s="28" t="str">
        <f>IFERROR((VLOOKUP(A22,Regions!D:F,3,0)),"ENTER")</f>
        <v>Southeast</v>
      </c>
      <c r="C22" s="26" t="s">
        <v>402</v>
      </c>
      <c r="D22" s="26">
        <v>2004</v>
      </c>
      <c r="E22" s="26" t="s">
        <v>15</v>
      </c>
      <c r="F22" s="26" t="s">
        <v>222</v>
      </c>
      <c r="G22" s="26" t="s">
        <v>220</v>
      </c>
      <c r="H22" s="42" t="s">
        <v>56</v>
      </c>
    </row>
    <row r="23" spans="1:8" x14ac:dyDescent="0.25">
      <c r="A23" s="26" t="s">
        <v>206</v>
      </c>
      <c r="B23" s="28" t="str">
        <f>IFERROR((VLOOKUP(A23,Regions!D:F,3,0)),"ENTER")</f>
        <v>South Central</v>
      </c>
      <c r="C23" s="26" t="s">
        <v>402</v>
      </c>
      <c r="D23" s="26">
        <v>2012</v>
      </c>
      <c r="E23" s="26" t="s">
        <v>15</v>
      </c>
      <c r="F23" s="26" t="s">
        <v>222</v>
      </c>
      <c r="G23" s="26" t="s">
        <v>85</v>
      </c>
      <c r="H23" s="42" t="s">
        <v>1870</v>
      </c>
    </row>
    <row r="24" spans="1:8" x14ac:dyDescent="0.25">
      <c r="A24" s="27" t="s">
        <v>241</v>
      </c>
      <c r="B24" s="28" t="str">
        <f>IFERROR((VLOOKUP(A24,Regions!D:F,3,0)),"ENTER")</f>
        <v>Midwest</v>
      </c>
      <c r="C24" s="39" t="s">
        <v>283</v>
      </c>
      <c r="D24" s="27">
        <v>2013</v>
      </c>
      <c r="E24" s="27" t="s">
        <v>59</v>
      </c>
      <c r="F24" s="27" t="s">
        <v>372</v>
      </c>
      <c r="G24" s="26" t="s">
        <v>85</v>
      </c>
      <c r="H24" s="42" t="s">
        <v>370</v>
      </c>
    </row>
    <row r="25" spans="1:8" x14ac:dyDescent="0.25">
      <c r="A25" s="27" t="s">
        <v>217</v>
      </c>
      <c r="B25" s="28" t="str">
        <f>IFERROR((VLOOKUP(A25,Regions!D:F,3,0)),"ENTER")</f>
        <v>Midwest</v>
      </c>
      <c r="C25" s="39" t="s">
        <v>283</v>
      </c>
      <c r="D25" s="27">
        <v>2013</v>
      </c>
      <c r="E25" s="27" t="s">
        <v>15</v>
      </c>
      <c r="F25" s="27" t="s">
        <v>212</v>
      </c>
      <c r="G25" s="26" t="s">
        <v>85</v>
      </c>
      <c r="H25" s="42" t="s">
        <v>374</v>
      </c>
    </row>
    <row r="26" spans="1:8" x14ac:dyDescent="0.25">
      <c r="A26" s="27" t="s">
        <v>217</v>
      </c>
      <c r="B26" s="28" t="str">
        <f>IFERROR((VLOOKUP(A26,Regions!D:F,3,0)),"ENTER")</f>
        <v>Midwest</v>
      </c>
      <c r="C26" s="39" t="s">
        <v>283</v>
      </c>
      <c r="D26" s="27">
        <v>2013</v>
      </c>
      <c r="E26" s="26" t="s">
        <v>15</v>
      </c>
      <c r="F26" s="27" t="s">
        <v>212</v>
      </c>
      <c r="G26" s="26" t="s">
        <v>318</v>
      </c>
      <c r="H26" s="42" t="s">
        <v>280</v>
      </c>
    </row>
    <row r="27" spans="1:8" x14ac:dyDescent="0.25">
      <c r="A27" s="27" t="s">
        <v>217</v>
      </c>
      <c r="B27" s="28" t="str">
        <f>IFERROR((VLOOKUP(A27,Regions!D:F,3,0)),"ENTER")</f>
        <v>Midwest</v>
      </c>
      <c r="C27" s="26" t="s">
        <v>283</v>
      </c>
      <c r="D27" s="27">
        <v>2010</v>
      </c>
      <c r="E27" s="27" t="s">
        <v>15</v>
      </c>
      <c r="F27" s="27" t="s">
        <v>212</v>
      </c>
      <c r="G27" s="26" t="s">
        <v>85</v>
      </c>
      <c r="H27" s="42" t="s">
        <v>293</v>
      </c>
    </row>
    <row r="28" spans="1:8" x14ac:dyDescent="0.25">
      <c r="A28" s="27" t="s">
        <v>242</v>
      </c>
      <c r="B28" s="28" t="str">
        <f>IFERROR((VLOOKUP(A28,Regions!D:F,3,0)),"ENTER")</f>
        <v>Midwest</v>
      </c>
      <c r="C28" s="26" t="s">
        <v>283</v>
      </c>
      <c r="D28" s="27">
        <v>2011</v>
      </c>
      <c r="E28" s="27" t="s">
        <v>15</v>
      </c>
      <c r="F28" s="27" t="s">
        <v>212</v>
      </c>
      <c r="G28" s="26" t="s">
        <v>85</v>
      </c>
      <c r="H28" s="42" t="s">
        <v>1881</v>
      </c>
    </row>
    <row r="29" spans="1:8" x14ac:dyDescent="0.25">
      <c r="A29" s="27" t="s">
        <v>213</v>
      </c>
      <c r="B29" s="28" t="str">
        <f>IFERROR((VLOOKUP(A29,Regions!D:F,3,0)),"ENTER")</f>
        <v>Southeast</v>
      </c>
      <c r="C29" s="26" t="s">
        <v>283</v>
      </c>
      <c r="D29" s="27">
        <v>2008</v>
      </c>
      <c r="E29" s="27" t="s">
        <v>59</v>
      </c>
      <c r="F29" s="27" t="s">
        <v>212</v>
      </c>
      <c r="G29" s="26" t="s">
        <v>85</v>
      </c>
      <c r="H29" s="42" t="s">
        <v>320</v>
      </c>
    </row>
    <row r="30" spans="1:8" x14ac:dyDescent="0.25">
      <c r="A30" s="27" t="s">
        <v>209</v>
      </c>
      <c r="B30" s="28" t="str">
        <f>IFERROR((VLOOKUP(A30,Regions!D:F,3,0)),"ENTER")</f>
        <v>Mid-Atlantic</v>
      </c>
      <c r="C30" s="26" t="s">
        <v>283</v>
      </c>
      <c r="D30" s="27">
        <v>2013</v>
      </c>
      <c r="E30" s="26" t="s">
        <v>59</v>
      </c>
      <c r="F30" s="27" t="s">
        <v>212</v>
      </c>
      <c r="G30" s="26" t="s">
        <v>318</v>
      </c>
      <c r="H30" s="42" t="s">
        <v>282</v>
      </c>
    </row>
    <row r="31" spans="1:8" x14ac:dyDescent="0.25">
      <c r="A31" s="27" t="s">
        <v>209</v>
      </c>
      <c r="B31" s="28" t="str">
        <f>IFERROR((VLOOKUP(A31,Regions!D:F,3,0)),"ENTER")</f>
        <v>Mid-Atlantic</v>
      </c>
      <c r="C31" s="26" t="s">
        <v>283</v>
      </c>
      <c r="D31" s="27">
        <v>2013</v>
      </c>
      <c r="E31" s="26" t="s">
        <v>59</v>
      </c>
      <c r="F31" s="27" t="s">
        <v>212</v>
      </c>
      <c r="G31" s="26" t="s">
        <v>220</v>
      </c>
      <c r="H31" s="42" t="s">
        <v>282</v>
      </c>
    </row>
    <row r="32" spans="1:8" x14ac:dyDescent="0.25">
      <c r="A32" s="27" t="s">
        <v>213</v>
      </c>
      <c r="B32" s="28" t="str">
        <f>IFERROR((VLOOKUP(A32,Regions!D:F,3,0)),"ENTER")</f>
        <v>Southeast</v>
      </c>
      <c r="C32" s="26" t="s">
        <v>422</v>
      </c>
      <c r="D32" s="27">
        <v>2000</v>
      </c>
      <c r="E32" s="27" t="s">
        <v>24</v>
      </c>
      <c r="F32" s="27" t="s">
        <v>207</v>
      </c>
      <c r="G32" s="26" t="s">
        <v>318</v>
      </c>
      <c r="H32" s="42" t="s">
        <v>295</v>
      </c>
    </row>
    <row r="33" spans="1:8" x14ac:dyDescent="0.25">
      <c r="A33" s="27" t="s">
        <v>42</v>
      </c>
      <c r="B33" s="28" t="s">
        <v>308</v>
      </c>
      <c r="C33" s="26" t="s">
        <v>422</v>
      </c>
      <c r="D33" s="27">
        <v>1992</v>
      </c>
      <c r="E33" s="27" t="s">
        <v>24</v>
      </c>
      <c r="F33" s="27" t="s">
        <v>212</v>
      </c>
      <c r="G33" s="26" t="s">
        <v>229</v>
      </c>
      <c r="H33" s="42" t="s">
        <v>326</v>
      </c>
    </row>
    <row r="34" spans="1:8" x14ac:dyDescent="0.25">
      <c r="A34" s="27" t="s">
        <v>42</v>
      </c>
      <c r="B34" s="28" t="s">
        <v>308</v>
      </c>
      <c r="C34" s="26" t="s">
        <v>422</v>
      </c>
      <c r="D34" s="27">
        <v>1992</v>
      </c>
      <c r="E34" s="27" t="s">
        <v>24</v>
      </c>
      <c r="F34" s="27" t="s">
        <v>212</v>
      </c>
      <c r="G34" s="26" t="s">
        <v>318</v>
      </c>
      <c r="H34" s="42" t="s">
        <v>326</v>
      </c>
    </row>
    <row r="35" spans="1:8" x14ac:dyDescent="0.25">
      <c r="A35" s="27" t="s">
        <v>42</v>
      </c>
      <c r="B35" s="28" t="s">
        <v>308</v>
      </c>
      <c r="C35" s="26" t="s">
        <v>422</v>
      </c>
      <c r="D35" s="27">
        <v>1992</v>
      </c>
      <c r="E35" s="27" t="s">
        <v>24</v>
      </c>
      <c r="F35" s="27" t="s">
        <v>212</v>
      </c>
      <c r="G35" s="26" t="s">
        <v>84</v>
      </c>
      <c r="H35" s="42" t="s">
        <v>326</v>
      </c>
    </row>
    <row r="36" spans="1:8" s="36" customFormat="1" x14ac:dyDescent="0.25">
      <c r="A36" s="27" t="s">
        <v>155</v>
      </c>
      <c r="B36" s="28" t="str">
        <f>IFERROR((VLOOKUP(A36,Regions!D:F,3,0)),"ENTER")</f>
        <v>New England</v>
      </c>
      <c r="C36" s="26" t="s">
        <v>422</v>
      </c>
      <c r="D36" s="27">
        <v>2005</v>
      </c>
      <c r="E36" s="27" t="s">
        <v>24</v>
      </c>
      <c r="F36" s="27" t="s">
        <v>207</v>
      </c>
      <c r="G36" s="26" t="s">
        <v>84</v>
      </c>
      <c r="H36" s="42" t="s">
        <v>287</v>
      </c>
    </row>
    <row r="37" spans="1:8" x14ac:dyDescent="0.25">
      <c r="A37" s="34" t="s">
        <v>111</v>
      </c>
      <c r="B37" s="35" t="str">
        <f>IFERROR((VLOOKUP(A37,Regions!D:F,3,0)),"ENTER")</f>
        <v>Southeast</v>
      </c>
      <c r="C37" s="40" t="s">
        <v>422</v>
      </c>
      <c r="D37" s="34">
        <v>1999</v>
      </c>
      <c r="E37" s="34" t="s">
        <v>15</v>
      </c>
      <c r="F37" s="34" t="s">
        <v>212</v>
      </c>
      <c r="G37" s="40" t="s">
        <v>220</v>
      </c>
      <c r="H37" s="42" t="s">
        <v>296</v>
      </c>
    </row>
    <row r="38" spans="1:8" x14ac:dyDescent="0.25">
      <c r="A38" s="27" t="s">
        <v>105</v>
      </c>
      <c r="B38" s="28" t="str">
        <f>IFERROR((VLOOKUP(A38,Regions!D:F,3,0)),"ENTER")</f>
        <v>Pacific Southwest</v>
      </c>
      <c r="C38" s="26" t="s">
        <v>422</v>
      </c>
      <c r="D38" s="27">
        <v>2010</v>
      </c>
      <c r="E38" s="27" t="s">
        <v>24</v>
      </c>
      <c r="F38" s="27" t="s">
        <v>207</v>
      </c>
      <c r="G38" s="26" t="s">
        <v>85</v>
      </c>
      <c r="H38" s="42" t="s">
        <v>278</v>
      </c>
    </row>
    <row r="39" spans="1:8" x14ac:dyDescent="0.25">
      <c r="A39" s="27" t="s">
        <v>237</v>
      </c>
      <c r="B39" s="28" t="str">
        <f>IFERROR((VLOOKUP(A39,Regions!D:F,3,0)),"ENTER")</f>
        <v>Pacific Southwest</v>
      </c>
      <c r="C39" s="26" t="s">
        <v>422</v>
      </c>
      <c r="D39" s="27">
        <v>2002</v>
      </c>
      <c r="E39" s="27" t="s">
        <v>24</v>
      </c>
      <c r="F39" s="27" t="s">
        <v>212</v>
      </c>
      <c r="G39" s="26" t="s">
        <v>220</v>
      </c>
      <c r="H39" s="42" t="s">
        <v>294</v>
      </c>
    </row>
    <row r="40" spans="1:8" x14ac:dyDescent="0.25">
      <c r="A40" s="27" t="s">
        <v>42</v>
      </c>
      <c r="B40" s="28" t="s">
        <v>308</v>
      </c>
      <c r="C40" s="26" t="s">
        <v>422</v>
      </c>
      <c r="D40" s="27">
        <v>2008</v>
      </c>
      <c r="E40" s="27" t="s">
        <v>307</v>
      </c>
      <c r="F40" s="27" t="s">
        <v>387</v>
      </c>
      <c r="G40" s="26" t="s">
        <v>85</v>
      </c>
      <c r="H40" s="42" t="s">
        <v>388</v>
      </c>
    </row>
    <row r="41" spans="1:8" x14ac:dyDescent="0.25">
      <c r="A41" s="27" t="s">
        <v>42</v>
      </c>
      <c r="B41" s="28" t="s">
        <v>308</v>
      </c>
      <c r="C41" s="26" t="s">
        <v>422</v>
      </c>
      <c r="D41" s="27">
        <v>2008</v>
      </c>
      <c r="E41" s="27" t="s">
        <v>307</v>
      </c>
      <c r="F41" s="27" t="s">
        <v>387</v>
      </c>
      <c r="G41" s="26" t="s">
        <v>220</v>
      </c>
      <c r="H41" s="42" t="s">
        <v>388</v>
      </c>
    </row>
    <row r="42" spans="1:8" x14ac:dyDescent="0.25">
      <c r="A42" s="27" t="s">
        <v>42</v>
      </c>
      <c r="B42" s="28" t="s">
        <v>308</v>
      </c>
      <c r="C42" s="26" t="s">
        <v>422</v>
      </c>
      <c r="D42" s="27">
        <v>2008</v>
      </c>
      <c r="E42" s="27" t="s">
        <v>307</v>
      </c>
      <c r="F42" s="27" t="s">
        <v>387</v>
      </c>
      <c r="G42" s="26" t="s">
        <v>318</v>
      </c>
      <c r="H42" s="42" t="s">
        <v>388</v>
      </c>
    </row>
    <row r="43" spans="1:8" x14ac:dyDescent="0.25">
      <c r="A43" s="27" t="s">
        <v>213</v>
      </c>
      <c r="B43" s="28" t="str">
        <f>IFERROR((VLOOKUP(A43,Regions!D:F,3,0)),"ENTER")</f>
        <v>Southeast</v>
      </c>
      <c r="C43" s="26" t="s">
        <v>422</v>
      </c>
      <c r="D43" s="27">
        <v>1994</v>
      </c>
      <c r="E43" s="27" t="s">
        <v>228</v>
      </c>
      <c r="F43" s="27" t="s">
        <v>212</v>
      </c>
      <c r="G43" s="26" t="s">
        <v>84</v>
      </c>
      <c r="H43" s="42" t="s">
        <v>297</v>
      </c>
    </row>
    <row r="44" spans="1:8" x14ac:dyDescent="0.25">
      <c r="A44" s="27" t="s">
        <v>213</v>
      </c>
      <c r="B44" s="28" t="str">
        <f>IFERROR((VLOOKUP(A44,Regions!D:F,3,0)),"ENTER")</f>
        <v>Southeast</v>
      </c>
      <c r="C44" s="26" t="s">
        <v>402</v>
      </c>
      <c r="D44" s="27">
        <v>1999</v>
      </c>
      <c r="E44" s="27" t="s">
        <v>24</v>
      </c>
      <c r="F44" s="27" t="s">
        <v>207</v>
      </c>
      <c r="G44" s="26" t="s">
        <v>318</v>
      </c>
      <c r="H44" s="42" t="s">
        <v>289</v>
      </c>
    </row>
    <row r="45" spans="1:8" x14ac:dyDescent="0.25">
      <c r="A45" s="27" t="s">
        <v>213</v>
      </c>
      <c r="B45" s="28" t="str">
        <f>IFERROR((VLOOKUP(A45,Regions!D:F,3,0)),"ENTER")</f>
        <v>Southeast</v>
      </c>
      <c r="C45" s="26" t="s">
        <v>422</v>
      </c>
      <c r="D45" s="27">
        <v>2005</v>
      </c>
      <c r="E45" s="27" t="s">
        <v>24</v>
      </c>
      <c r="F45" s="27" t="s">
        <v>207</v>
      </c>
      <c r="G45" s="26" t="s">
        <v>318</v>
      </c>
      <c r="H45" s="42" t="s">
        <v>292</v>
      </c>
    </row>
    <row r="46" spans="1:8" x14ac:dyDescent="0.25">
      <c r="A46" s="27" t="s">
        <v>213</v>
      </c>
      <c r="B46" s="28" t="str">
        <f>IFERROR((VLOOKUP(A46,Regions!D:F,3,0)),"ENTER")</f>
        <v>Southeast</v>
      </c>
      <c r="C46" s="26" t="s">
        <v>402</v>
      </c>
      <c r="D46" s="27">
        <v>2005</v>
      </c>
      <c r="E46" s="27" t="s">
        <v>24</v>
      </c>
      <c r="F46" s="27" t="s">
        <v>207</v>
      </c>
      <c r="G46" s="26" t="s">
        <v>318</v>
      </c>
      <c r="H46" s="42" t="s">
        <v>1490</v>
      </c>
    </row>
    <row r="47" spans="1:8" x14ac:dyDescent="0.25">
      <c r="A47" s="27" t="s">
        <v>42</v>
      </c>
      <c r="B47" s="28" t="s">
        <v>308</v>
      </c>
      <c r="C47" s="26" t="s">
        <v>422</v>
      </c>
      <c r="D47" s="27">
        <v>1996</v>
      </c>
      <c r="E47" s="27" t="s">
        <v>307</v>
      </c>
      <c r="F47" s="27" t="s">
        <v>222</v>
      </c>
      <c r="G47" s="26" t="s">
        <v>85</v>
      </c>
      <c r="H47" s="42" t="s">
        <v>290</v>
      </c>
    </row>
    <row r="48" spans="1:8" x14ac:dyDescent="0.25">
      <c r="A48" s="27" t="s">
        <v>215</v>
      </c>
      <c r="B48" s="28" t="str">
        <f>IFERROR((VLOOKUP(A48,Regions!D:F,3,0)),"ENTER")</f>
        <v>Midwest</v>
      </c>
      <c r="C48" s="26" t="s">
        <v>422</v>
      </c>
      <c r="D48" s="27">
        <v>1989</v>
      </c>
      <c r="E48" s="27" t="s">
        <v>15</v>
      </c>
      <c r="F48" s="27" t="s">
        <v>216</v>
      </c>
      <c r="G48" s="26" t="s">
        <v>220</v>
      </c>
      <c r="H48" s="42" t="s">
        <v>298</v>
      </c>
    </row>
    <row r="49" spans="1:8" x14ac:dyDescent="0.25">
      <c r="A49" s="27" t="s">
        <v>262</v>
      </c>
      <c r="B49" s="28" t="str">
        <f>IFERROR((VLOOKUP(A49,Regions!D:F,3,0)),"ENTER")</f>
        <v>New England</v>
      </c>
      <c r="C49" s="26" t="s">
        <v>422</v>
      </c>
      <c r="D49" s="27">
        <v>1981</v>
      </c>
      <c r="E49" s="27" t="s">
        <v>15</v>
      </c>
      <c r="F49" s="27" t="s">
        <v>212</v>
      </c>
      <c r="G49" s="26" t="s">
        <v>220</v>
      </c>
      <c r="H49" s="42" t="s">
        <v>299</v>
      </c>
    </row>
    <row r="50" spans="1:8" x14ac:dyDescent="0.2">
      <c r="A50" s="27" t="s">
        <v>242</v>
      </c>
      <c r="B50" s="28" t="str">
        <f>IFERROR((VLOOKUP(A50,Regions!D:F,3,0)),"ENTER")</f>
        <v>Midwest</v>
      </c>
      <c r="C50" s="26" t="s">
        <v>422</v>
      </c>
      <c r="D50" s="27">
        <v>2005</v>
      </c>
      <c r="E50" s="27" t="s">
        <v>15</v>
      </c>
      <c r="F50" s="27" t="s">
        <v>212</v>
      </c>
      <c r="G50" s="26" t="s">
        <v>85</v>
      </c>
      <c r="H50" s="52" t="s">
        <v>585</v>
      </c>
    </row>
    <row r="51" spans="1:8" x14ac:dyDescent="0.2">
      <c r="A51" s="27" t="s">
        <v>264</v>
      </c>
      <c r="B51" s="28" t="str">
        <f>IFERROR((VLOOKUP(A51,Regions!D:F,3,0)),"ENTER")</f>
        <v>Pacific Northwest</v>
      </c>
      <c r="C51" s="26" t="s">
        <v>402</v>
      </c>
      <c r="D51" s="27">
        <v>2010</v>
      </c>
      <c r="E51" s="27" t="s">
        <v>24</v>
      </c>
      <c r="F51" s="27" t="s">
        <v>212</v>
      </c>
      <c r="G51" s="26" t="s">
        <v>1731</v>
      </c>
      <c r="H51" s="52" t="s">
        <v>342</v>
      </c>
    </row>
    <row r="52" spans="1:8" x14ac:dyDescent="0.25">
      <c r="A52" s="27" t="s">
        <v>254</v>
      </c>
      <c r="B52" s="28" t="str">
        <f>IFERROR((VLOOKUP(A52,Regions!D:F,3,0)),"ENTER")</f>
        <v>Southeast</v>
      </c>
      <c r="C52" s="26" t="s">
        <v>402</v>
      </c>
      <c r="D52" s="27">
        <v>2010</v>
      </c>
      <c r="E52" s="27" t="s">
        <v>24</v>
      </c>
      <c r="F52" s="27" t="s">
        <v>614</v>
      </c>
      <c r="G52" s="26" t="s">
        <v>84</v>
      </c>
      <c r="H52" s="42" t="s">
        <v>628</v>
      </c>
    </row>
    <row r="53" spans="1:8" x14ac:dyDescent="0.25">
      <c r="A53" s="27" t="s">
        <v>254</v>
      </c>
      <c r="B53" s="28" t="str">
        <f>IFERROR((VLOOKUP(A53,Regions!D:F,3,0)),"ENTER")</f>
        <v>Southeast</v>
      </c>
      <c r="C53" s="26" t="s">
        <v>422</v>
      </c>
      <c r="D53" s="27">
        <v>2012</v>
      </c>
      <c r="E53" s="27" t="s">
        <v>24</v>
      </c>
      <c r="F53" s="27" t="s">
        <v>614</v>
      </c>
      <c r="G53" s="26" t="s">
        <v>84</v>
      </c>
      <c r="H53" s="42" t="s">
        <v>675</v>
      </c>
    </row>
    <row r="54" spans="1:8" x14ac:dyDescent="0.25">
      <c r="A54" s="60"/>
      <c r="B54" s="61"/>
      <c r="C54" s="62"/>
      <c r="D54" s="60"/>
      <c r="E54" s="60"/>
      <c r="F54" s="60"/>
      <c r="G54" s="62"/>
      <c r="H54" s="63"/>
    </row>
    <row r="55" spans="1:8" x14ac:dyDescent="0.25">
      <c r="A55" s="51" t="s">
        <v>557</v>
      </c>
      <c r="B55" s="21"/>
      <c r="C55" s="51"/>
      <c r="D55" s="51"/>
      <c r="E55" s="51"/>
      <c r="F55" s="51"/>
      <c r="G55" s="51"/>
      <c r="H55" s="51"/>
    </row>
    <row r="56" spans="1:8" ht="15" customHeight="1" x14ac:dyDescent="0.25">
      <c r="A56" s="51" t="s">
        <v>558</v>
      </c>
      <c r="B56" s="21"/>
      <c r="C56" s="51"/>
      <c r="D56" s="51"/>
      <c r="E56" s="51"/>
      <c r="F56" s="51"/>
      <c r="G56" s="51"/>
      <c r="H56" s="51"/>
    </row>
    <row r="57" spans="1:8" x14ac:dyDescent="0.25">
      <c r="A57" s="49"/>
      <c r="B57" s="50"/>
      <c r="C57" s="49"/>
      <c r="D57" s="49"/>
      <c r="E57" s="49"/>
      <c r="F57" s="49"/>
      <c r="G57" s="49"/>
      <c r="H57" s="49"/>
    </row>
  </sheetData>
  <autoFilter ref="A3:H56">
    <sortState ref="A4:H22">
      <sortCondition ref="B3:B53"/>
    </sortState>
  </autoFilter>
  <hyperlinks>
    <hyperlink ref="H11" location="KashianKasper2011" display="Kashian and Kasper (2010)"/>
    <hyperlink ref="H22" location="Walshetal2011" display="Walsh, et al. (2011)"/>
    <hyperlink ref="H4" location="Pooretal2007" display="Poor, et al. (2007)"/>
    <hyperlink ref="H14" location="Kryseletal2003" display="Krysel, et al. (2003)"/>
    <hyperlink ref="H5" location="Araetal2006" display="Ara, et al. (2006)"/>
    <hyperlink ref="H20" location="Pooretal2002" display="Poor, et al. (2001)"/>
    <hyperlink ref="H16" location="Gibbsetal2002" display="Gibbs, et al. (2002)"/>
    <hyperlink ref="H15" location="Boyleetal1998" display="Boyle, et al. (1998)"/>
    <hyperlink ref="H19" location="Michaeletal2000" display="Michael, et al. (2000)"/>
    <hyperlink ref="H6" location="DavenportDrake2011" display="Davenport and Drake (2011)"/>
    <hyperlink ref="H8" location="Davenportetal2010" display="Davenport, et al. (2010)"/>
    <hyperlink ref="H18" location="OhDitton2005" display="Oh and Ditton (2005)"/>
    <hyperlink ref="H10" location="EvansJones2001" display="Evans and Jones (2001)"/>
    <hyperlink ref="H12" location="Hoaglandetal2009" display="Hoagland, et al. (2009)"/>
    <hyperlink ref="H7" location="DavenportDrake2011b" display="Davenport and Drake (2011)"/>
    <hyperlink ref="H9" location="Fisheries!A7" display="Evans and Jones (2001)"/>
    <hyperlink ref="H13" location="Jinetal2008" display="Jin, et al. (2008)"/>
    <hyperlink ref="H17" location="Mistiaenetal2003" display="Mistiaen, et al. (2003)"/>
    <hyperlink ref="H21" location="Fisheries!A8" display="RaLonde (1998)"/>
    <hyperlink ref="B3" location="Regions!A1" display="Region"/>
    <hyperlink ref="H26" location="Hunt2013" display="Hunt (2013)"/>
    <hyperlink ref="H30" location="Wheeler2013" display="Wheeler (2013)"/>
    <hyperlink ref="H36" location="athearn2008" display="Athearn (2008)"/>
    <hyperlink ref="H44" location="LarkinAdams2007" display="Larkin and Adams (2007)"/>
    <hyperlink ref="H46" location="Morganetal2008" display="Morgan, et al. (2008)"/>
    <hyperlink ref="H47" location="Ribaudoetal2011" display="Ribaudo, et al. (2011)"/>
    <hyperlink ref="H45" location="MorganLarkin2006" display="Morgan and Larkin (2006)"/>
    <hyperlink ref="H27" location="LakeErie2012" display="Lake Erie Improvement Association (2012)"/>
    <hyperlink ref="H39" location="Cesaretal2002" display="Cesar, et al. (2002)"/>
    <hyperlink ref="H32" location="Adamsetal2002" display="Adams, et al. (2002)"/>
    <hyperlink ref="H37" location="CareyLeftwich2000" display="Carey and Leftwich (2000)"/>
    <hyperlink ref="H43" location="Gorte1994" display="Gorte (1994)"/>
    <hyperlink ref="H48" location="Steinnes1992" display="Steinnes (1992)"/>
    <hyperlink ref="H49" location="Young1984" display="Young (1984)"/>
    <hyperlink ref="H38" location="Caronetal2010" display="Caron et al. (2010)"/>
    <hyperlink ref="H29" location="Lollar2008" display="Lollar (2008)"/>
    <hyperlink ref="H24" location="DesMoines2013" display="Des Moines Register (2013)"/>
    <hyperlink ref="H25" location="Henry2013" display="Henry (2013)"/>
    <hyperlink ref="H33" location="Andersonetal2000" display="Anderson et al. (2000)"/>
    <hyperlink ref="H40" location="Doddsetal2009" display="Dodd et al. (2009)"/>
    <hyperlink ref="H34" location="Andersonetal2000" display="Anderson et al. (2000)"/>
    <hyperlink ref="H35" location="Andersonetal2000" display="Anderson et al. (2000)"/>
    <hyperlink ref="H41" location="Doddsetal2009" display="Dodd et al. (2009)"/>
    <hyperlink ref="H42" location="Doddsetal2009" display="Dodd et al. (2009)"/>
    <hyperlink ref="H31" location="Wheeler2013" display="Wheeler (2013)"/>
    <hyperlink ref="H50" location="'Additional Studies'!A18" display="Oneby and Bollyky (2006)"/>
    <hyperlink ref="H52" location="Fisheries!A9" display="Huang et al. (2010)"/>
    <hyperlink ref="H53" location="'Additional Studies'!A19" display="Huang et al. (2012)"/>
    <hyperlink ref="H51" location="DysonHuppert2010" display="Dyson and Huppert (2010)"/>
    <hyperlink ref="H23" location="'Drinking Water Treatment'!A6" display="The Cadmus Group Inc. (2014)"/>
    <hyperlink ref="H28" location="KDHE2011" display="KDHE (2011)"/>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13"/>
  <sheetViews>
    <sheetView showGridLines="0" workbookViewId="0">
      <pane xSplit="1" ySplit="4" topLeftCell="B8" activePane="bottomRight" state="frozen"/>
      <selection activeCell="F8" sqref="F8"/>
      <selection pane="topRight" activeCell="F8" sqref="F8"/>
      <selection pane="bottomLeft" activeCell="F8" sqref="F8"/>
      <selection pane="bottomRight" activeCell="A10" sqref="A10"/>
    </sheetView>
  </sheetViews>
  <sheetFormatPr defaultColWidth="9.140625" defaultRowHeight="12.75" x14ac:dyDescent="0.2"/>
  <cols>
    <col min="1" max="1" width="13.28515625" style="5" customWidth="1"/>
    <col min="2" max="2" width="15.28515625" style="5" customWidth="1"/>
    <col min="3" max="4" width="15.42578125" style="5" customWidth="1"/>
    <col min="5" max="5" width="29.42578125" style="5" customWidth="1"/>
    <col min="6" max="6" width="32.140625" style="5" customWidth="1"/>
    <col min="7" max="8" width="29.42578125" style="5" customWidth="1"/>
    <col min="9" max="10" width="38.85546875" style="5" customWidth="1"/>
    <col min="11" max="11" width="13.7109375" style="5" customWidth="1"/>
    <col min="12" max="12" width="32.140625" style="5" customWidth="1"/>
    <col min="13" max="16384" width="9.140625" style="5"/>
  </cols>
  <sheetData>
    <row r="1" spans="1:12" ht="16.5" customHeight="1" x14ac:dyDescent="0.2">
      <c r="A1" s="158"/>
      <c r="B1" s="11"/>
      <c r="C1" s="11"/>
      <c r="D1" s="11"/>
      <c r="E1" s="11"/>
    </row>
    <row r="2" spans="1:12" ht="16.5" customHeight="1" x14ac:dyDescent="0.2">
      <c r="A2" s="123"/>
      <c r="B2" s="123"/>
      <c r="C2" s="123"/>
      <c r="D2" s="123"/>
      <c r="E2" s="11"/>
    </row>
    <row r="3" spans="1:12" x14ac:dyDescent="0.2">
      <c r="A3" s="224" t="s">
        <v>48</v>
      </c>
      <c r="B3" s="225"/>
      <c r="C3" s="225"/>
      <c r="D3" s="225"/>
      <c r="E3" s="225"/>
      <c r="F3" s="225"/>
      <c r="G3" s="225"/>
      <c r="H3" s="225"/>
      <c r="I3" s="225"/>
      <c r="J3" s="225"/>
      <c r="K3" s="225"/>
      <c r="L3" s="226"/>
    </row>
    <row r="4" spans="1:12" x14ac:dyDescent="0.2">
      <c r="A4" s="58" t="s">
        <v>17</v>
      </c>
      <c r="B4" s="57" t="s">
        <v>14</v>
      </c>
      <c r="C4" s="58" t="s">
        <v>11</v>
      </c>
      <c r="D4" s="57" t="s">
        <v>44</v>
      </c>
      <c r="E4" s="58" t="s">
        <v>16</v>
      </c>
      <c r="F4" s="58" t="s">
        <v>12</v>
      </c>
      <c r="G4" s="58" t="s">
        <v>73</v>
      </c>
      <c r="H4" s="58" t="s">
        <v>40</v>
      </c>
      <c r="I4" s="58" t="s">
        <v>199</v>
      </c>
      <c r="J4" s="58" t="s">
        <v>569</v>
      </c>
      <c r="K4" s="58" t="s">
        <v>161</v>
      </c>
      <c r="L4" s="58" t="s">
        <v>9</v>
      </c>
    </row>
    <row r="5" spans="1:12" ht="93.75" customHeight="1" x14ac:dyDescent="0.2">
      <c r="A5" s="14" t="s">
        <v>22</v>
      </c>
      <c r="B5" s="14" t="s">
        <v>15</v>
      </c>
      <c r="C5" s="14" t="s">
        <v>23</v>
      </c>
      <c r="D5" s="14" t="s">
        <v>35</v>
      </c>
      <c r="E5" s="14" t="s">
        <v>112</v>
      </c>
      <c r="F5" s="14" t="s">
        <v>92</v>
      </c>
      <c r="G5" s="14" t="s">
        <v>97</v>
      </c>
      <c r="H5" s="14" t="s">
        <v>97</v>
      </c>
      <c r="I5" s="14" t="s">
        <v>196</v>
      </c>
      <c r="J5" s="16" t="s">
        <v>181</v>
      </c>
      <c r="K5" s="16" t="s">
        <v>53</v>
      </c>
      <c r="L5" s="6" t="s">
        <v>153</v>
      </c>
    </row>
    <row r="6" spans="1:12" ht="92.25" customHeight="1" x14ac:dyDescent="0.2">
      <c r="A6" s="16" t="s">
        <v>106</v>
      </c>
      <c r="B6" s="16" t="s">
        <v>15</v>
      </c>
      <c r="C6" s="16" t="s">
        <v>23</v>
      </c>
      <c r="D6" s="16" t="s">
        <v>35</v>
      </c>
      <c r="E6" s="16" t="s">
        <v>112</v>
      </c>
      <c r="F6" s="16" t="s">
        <v>92</v>
      </c>
      <c r="G6" s="16" t="s">
        <v>97</v>
      </c>
      <c r="H6" s="16" t="s">
        <v>97</v>
      </c>
      <c r="I6" s="16" t="s">
        <v>198</v>
      </c>
      <c r="J6" s="16" t="s">
        <v>182</v>
      </c>
      <c r="K6" s="16" t="s">
        <v>53</v>
      </c>
      <c r="L6" s="6" t="s">
        <v>113</v>
      </c>
    </row>
    <row r="7" spans="1:12" ht="115.5" customHeight="1" x14ac:dyDescent="0.2">
      <c r="A7" s="14" t="s">
        <v>29</v>
      </c>
      <c r="B7" s="14" t="s">
        <v>33</v>
      </c>
      <c r="C7" s="14" t="s">
        <v>90</v>
      </c>
      <c r="D7" s="8">
        <v>2000</v>
      </c>
      <c r="E7" s="14" t="s">
        <v>91</v>
      </c>
      <c r="F7" s="14" t="s">
        <v>34</v>
      </c>
      <c r="G7" s="14" t="s">
        <v>117</v>
      </c>
      <c r="H7" s="14" t="s">
        <v>118</v>
      </c>
      <c r="I7" s="14" t="s">
        <v>197</v>
      </c>
      <c r="J7" s="16" t="s">
        <v>186</v>
      </c>
      <c r="K7" s="16" t="s">
        <v>54</v>
      </c>
      <c r="L7" s="14" t="s">
        <v>120</v>
      </c>
    </row>
    <row r="8" spans="1:12" s="11" customFormat="1" ht="93" customHeight="1" x14ac:dyDescent="0.2">
      <c r="A8" s="16" t="s">
        <v>289</v>
      </c>
      <c r="B8" s="18" t="s">
        <v>24</v>
      </c>
      <c r="C8" s="22" t="s">
        <v>1479</v>
      </c>
      <c r="D8" s="22" t="s">
        <v>304</v>
      </c>
      <c r="E8" s="22" t="s">
        <v>1494</v>
      </c>
      <c r="F8" s="8" t="s">
        <v>207</v>
      </c>
      <c r="G8" s="30" t="s">
        <v>1495</v>
      </c>
      <c r="H8" s="30" t="s">
        <v>413</v>
      </c>
      <c r="I8" s="6" t="s">
        <v>1497</v>
      </c>
      <c r="J8" s="6" t="s">
        <v>1498</v>
      </c>
      <c r="K8" s="16" t="s">
        <v>55</v>
      </c>
      <c r="L8" s="6" t="s">
        <v>1489</v>
      </c>
    </row>
    <row r="9" spans="1:12" s="11" customFormat="1" ht="78" customHeight="1" x14ac:dyDescent="0.2">
      <c r="A9" s="16" t="s">
        <v>1490</v>
      </c>
      <c r="B9" s="18" t="s">
        <v>24</v>
      </c>
      <c r="C9" s="22" t="s">
        <v>1480</v>
      </c>
      <c r="D9" s="22">
        <v>2005</v>
      </c>
      <c r="E9" s="22" t="s">
        <v>1494</v>
      </c>
      <c r="F9" s="8" t="s">
        <v>207</v>
      </c>
      <c r="G9" s="30" t="s">
        <v>1493</v>
      </c>
      <c r="H9" s="30" t="s">
        <v>305</v>
      </c>
      <c r="I9" s="6" t="s">
        <v>1491</v>
      </c>
      <c r="J9" s="6" t="s">
        <v>1492</v>
      </c>
      <c r="K9" s="16" t="s">
        <v>55</v>
      </c>
      <c r="L9" s="6" t="s">
        <v>1488</v>
      </c>
    </row>
    <row r="10" spans="1:12" s="11" customFormat="1" ht="78" customHeight="1" x14ac:dyDescent="0.2">
      <c r="A10" s="16" t="s">
        <v>342</v>
      </c>
      <c r="B10" s="18" t="s">
        <v>24</v>
      </c>
      <c r="C10" s="22" t="s">
        <v>1713</v>
      </c>
      <c r="D10" s="22">
        <v>2008</v>
      </c>
      <c r="E10" s="22" t="s">
        <v>1714</v>
      </c>
      <c r="F10" s="8" t="s">
        <v>1715</v>
      </c>
      <c r="G10" s="30" t="s">
        <v>1717</v>
      </c>
      <c r="H10" s="30" t="s">
        <v>1716</v>
      </c>
      <c r="I10" s="6" t="s">
        <v>1718</v>
      </c>
      <c r="J10" s="6" t="s">
        <v>1719</v>
      </c>
      <c r="K10" s="16" t="s">
        <v>55</v>
      </c>
      <c r="L10" s="6" t="s">
        <v>1720</v>
      </c>
    </row>
    <row r="11" spans="1:12" ht="153" x14ac:dyDescent="0.2">
      <c r="A11" s="9" t="s">
        <v>47</v>
      </c>
      <c r="B11" s="9" t="s">
        <v>15</v>
      </c>
      <c r="C11" s="9" t="s">
        <v>1295</v>
      </c>
      <c r="D11" s="8" t="s">
        <v>51</v>
      </c>
      <c r="E11" s="9" t="s">
        <v>1294</v>
      </c>
      <c r="F11" s="9" t="s">
        <v>52</v>
      </c>
      <c r="G11" s="16" t="s">
        <v>114</v>
      </c>
      <c r="H11" s="9" t="s">
        <v>119</v>
      </c>
      <c r="I11" s="9" t="s">
        <v>115</v>
      </c>
      <c r="J11" s="16" t="s">
        <v>115</v>
      </c>
      <c r="K11" s="16" t="s">
        <v>54</v>
      </c>
      <c r="L11" s="9" t="s">
        <v>116</v>
      </c>
    </row>
    <row r="13" spans="1:12" x14ac:dyDescent="0.2">
      <c r="A13" s="5" t="s">
        <v>570</v>
      </c>
    </row>
  </sheetData>
  <mergeCells count="1">
    <mergeCell ref="A3:L3"/>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11"/>
  <sheetViews>
    <sheetView showGridLines="0" workbookViewId="0">
      <pane xSplit="1" ySplit="4" topLeftCell="B7" activePane="bottomRight" state="frozen"/>
      <selection activeCell="F8" sqref="F8"/>
      <selection pane="topRight" activeCell="F8" sqref="F8"/>
      <selection pane="bottomLeft" activeCell="F8" sqref="F8"/>
      <selection pane="bottomRight" activeCell="A9" sqref="A9"/>
    </sheetView>
  </sheetViews>
  <sheetFormatPr defaultColWidth="9.140625" defaultRowHeight="12.75" x14ac:dyDescent="0.2"/>
  <cols>
    <col min="1" max="1" width="13.5703125" style="5" customWidth="1"/>
    <col min="2" max="2" width="12.42578125" style="5" customWidth="1"/>
    <col min="3" max="4" width="16.28515625" style="5" customWidth="1"/>
    <col min="5" max="5" width="13.7109375" style="5" customWidth="1"/>
    <col min="6" max="6" width="18.85546875" style="5" customWidth="1"/>
    <col min="7" max="7" width="24.28515625" style="5" customWidth="1"/>
    <col min="8" max="8" width="20.85546875" style="5" customWidth="1"/>
    <col min="9" max="10" width="36.85546875" style="5" customWidth="1"/>
    <col min="11" max="11" width="12.85546875" style="5" customWidth="1"/>
    <col min="12" max="12" width="72.7109375" style="5" customWidth="1"/>
    <col min="13" max="16384" width="9.140625" style="5"/>
  </cols>
  <sheetData>
    <row r="1" spans="1:12" ht="16.5" customHeight="1" x14ac:dyDescent="0.2">
      <c r="A1" s="158"/>
      <c r="B1" s="11"/>
      <c r="C1" s="11"/>
      <c r="D1" s="11"/>
      <c r="E1" s="11"/>
    </row>
    <row r="2" spans="1:12" ht="16.5" customHeight="1" x14ac:dyDescent="0.2">
      <c r="A2" s="123"/>
      <c r="B2" s="123"/>
      <c r="C2" s="123"/>
      <c r="D2" s="123"/>
      <c r="E2" s="11"/>
    </row>
    <row r="3" spans="1:12" x14ac:dyDescent="0.2">
      <c r="A3" s="224" t="s">
        <v>19</v>
      </c>
      <c r="B3" s="225"/>
      <c r="C3" s="225"/>
      <c r="D3" s="225"/>
      <c r="E3" s="225"/>
      <c r="F3" s="225"/>
      <c r="G3" s="225"/>
      <c r="H3" s="225"/>
      <c r="I3" s="225"/>
      <c r="J3" s="225"/>
      <c r="K3" s="225"/>
      <c r="L3" s="226"/>
    </row>
    <row r="4" spans="1:12" s="38" customFormat="1" ht="25.5" x14ac:dyDescent="0.25">
      <c r="A4" s="58" t="s">
        <v>17</v>
      </c>
      <c r="B4" s="57" t="s">
        <v>14</v>
      </c>
      <c r="C4" s="58" t="s">
        <v>11</v>
      </c>
      <c r="D4" s="57" t="s">
        <v>44</v>
      </c>
      <c r="E4" s="57" t="s">
        <v>16</v>
      </c>
      <c r="F4" s="58" t="s">
        <v>12</v>
      </c>
      <c r="G4" s="58" t="s">
        <v>73</v>
      </c>
      <c r="H4" s="58" t="s">
        <v>40</v>
      </c>
      <c r="I4" s="58" t="s">
        <v>199</v>
      </c>
      <c r="J4" s="58" t="s">
        <v>569</v>
      </c>
      <c r="K4" s="58" t="s">
        <v>161</v>
      </c>
      <c r="L4" s="58" t="s">
        <v>9</v>
      </c>
    </row>
    <row r="5" spans="1:12" ht="76.5" x14ac:dyDescent="0.2">
      <c r="A5" s="15" t="s">
        <v>20</v>
      </c>
      <c r="B5" s="15" t="s">
        <v>21</v>
      </c>
      <c r="C5" s="15" t="s">
        <v>32</v>
      </c>
      <c r="D5" s="8" t="s">
        <v>42</v>
      </c>
      <c r="E5" s="15" t="s">
        <v>169</v>
      </c>
      <c r="F5" s="15" t="s">
        <v>43</v>
      </c>
      <c r="G5" s="15" t="s">
        <v>93</v>
      </c>
      <c r="H5" s="15" t="s">
        <v>94</v>
      </c>
      <c r="I5" s="16" t="s">
        <v>45</v>
      </c>
      <c r="J5" s="15" t="s">
        <v>1296</v>
      </c>
      <c r="K5" s="16" t="s">
        <v>55</v>
      </c>
      <c r="L5" s="6" t="s">
        <v>122</v>
      </c>
    </row>
    <row r="6" spans="1:12" ht="102" x14ac:dyDescent="0.2">
      <c r="A6" s="16" t="s">
        <v>27</v>
      </c>
      <c r="B6" s="7" t="s">
        <v>24</v>
      </c>
      <c r="C6" s="15" t="s">
        <v>28</v>
      </c>
      <c r="D6" s="8">
        <v>2005</v>
      </c>
      <c r="E6" s="15" t="s">
        <v>124</v>
      </c>
      <c r="F6" s="15" t="s">
        <v>31</v>
      </c>
      <c r="G6" s="15" t="s">
        <v>123</v>
      </c>
      <c r="H6" s="15" t="s">
        <v>95</v>
      </c>
      <c r="I6" s="16" t="s">
        <v>185</v>
      </c>
      <c r="J6" s="15" t="s">
        <v>187</v>
      </c>
      <c r="K6" s="16" t="s">
        <v>55</v>
      </c>
      <c r="L6" s="15" t="s">
        <v>41</v>
      </c>
    </row>
    <row r="7" spans="1:12" ht="89.25" x14ac:dyDescent="0.2">
      <c r="A7" s="15" t="s">
        <v>29</v>
      </c>
      <c r="B7" s="15" t="s">
        <v>33</v>
      </c>
      <c r="C7" s="15" t="s">
        <v>39</v>
      </c>
      <c r="D7" s="8">
        <v>2000</v>
      </c>
      <c r="E7" s="15" t="s">
        <v>125</v>
      </c>
      <c r="F7" s="15" t="s">
        <v>34</v>
      </c>
      <c r="G7" s="15" t="s">
        <v>173</v>
      </c>
      <c r="H7" s="15" t="s">
        <v>96</v>
      </c>
      <c r="I7" s="16" t="s">
        <v>46</v>
      </c>
      <c r="J7" s="15" t="s">
        <v>183</v>
      </c>
      <c r="K7" s="16" t="s">
        <v>54</v>
      </c>
      <c r="L7" s="15" t="s">
        <v>120</v>
      </c>
    </row>
    <row r="8" spans="1:12" s="11" customFormat="1" ht="102" x14ac:dyDescent="0.2">
      <c r="A8" s="6" t="s">
        <v>363</v>
      </c>
      <c r="B8" s="6" t="s">
        <v>24</v>
      </c>
      <c r="C8" s="6" t="s">
        <v>165</v>
      </c>
      <c r="D8" s="22">
        <v>1998</v>
      </c>
      <c r="E8" s="6" t="s">
        <v>166</v>
      </c>
      <c r="F8" s="6" t="s">
        <v>174</v>
      </c>
      <c r="G8" s="6" t="s">
        <v>167</v>
      </c>
      <c r="H8" s="6" t="s">
        <v>168</v>
      </c>
      <c r="I8" s="6" t="s">
        <v>201</v>
      </c>
      <c r="J8" s="6" t="s">
        <v>188</v>
      </c>
      <c r="K8" s="6" t="s">
        <v>164</v>
      </c>
      <c r="L8" s="6" t="s">
        <v>177</v>
      </c>
    </row>
    <row r="9" spans="1:12" s="11" customFormat="1" ht="76.5" x14ac:dyDescent="0.2">
      <c r="A9" s="6" t="s">
        <v>613</v>
      </c>
      <c r="B9" s="6" t="s">
        <v>24</v>
      </c>
      <c r="C9" s="22" t="s">
        <v>254</v>
      </c>
      <c r="D9" s="22" t="s">
        <v>617</v>
      </c>
      <c r="E9" s="22" t="s">
        <v>618</v>
      </c>
      <c r="F9" s="32" t="s">
        <v>614</v>
      </c>
      <c r="G9" s="33" t="s">
        <v>619</v>
      </c>
      <c r="H9" s="6" t="s">
        <v>615</v>
      </c>
      <c r="I9" s="6" t="s">
        <v>620</v>
      </c>
      <c r="J9" s="6" t="s">
        <v>677</v>
      </c>
      <c r="K9" s="6" t="s">
        <v>55</v>
      </c>
      <c r="L9" s="6" t="s">
        <v>683</v>
      </c>
    </row>
    <row r="11" spans="1:12" x14ac:dyDescent="0.2">
      <c r="A11" s="5" t="s">
        <v>570</v>
      </c>
    </row>
  </sheetData>
  <mergeCells count="1">
    <mergeCell ref="A3:L3"/>
  </mergeCells>
  <pageMargins left="0.7" right="0.7" top="0.75" bottom="0.75" header="0.3" footer="0.3"/>
  <pageSetup orientation="portrait" horizontalDpi="0"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16"/>
  <sheetViews>
    <sheetView showGridLines="0" zoomScaleNormal="100" workbookViewId="0">
      <pane xSplit="1" ySplit="4" topLeftCell="B5" activePane="bottomRight" state="frozen"/>
      <selection activeCell="F8" sqref="F8"/>
      <selection pane="topRight" activeCell="F8" sqref="F8"/>
      <selection pane="bottomLeft" activeCell="F8" sqref="F8"/>
      <selection pane="bottomRight" activeCell="B5" sqref="B5"/>
    </sheetView>
  </sheetViews>
  <sheetFormatPr defaultColWidth="9.140625" defaultRowHeight="12.75" x14ac:dyDescent="0.2"/>
  <cols>
    <col min="1" max="1" width="12.7109375" style="5" customWidth="1"/>
    <col min="2" max="2" width="10.28515625" style="5" bestFit="1" customWidth="1"/>
    <col min="3" max="4" width="14.85546875" style="5" customWidth="1"/>
    <col min="5" max="5" width="19" style="5" customWidth="1"/>
    <col min="6" max="6" width="29" style="5" customWidth="1"/>
    <col min="7" max="8" width="30.85546875" style="5" customWidth="1"/>
    <col min="9" max="10" width="39.140625" style="5" customWidth="1"/>
    <col min="11" max="11" width="12.140625" style="5" customWidth="1"/>
    <col min="12" max="12" width="49.140625" style="5" customWidth="1"/>
    <col min="13" max="16384" width="9.140625" style="5"/>
  </cols>
  <sheetData>
    <row r="1" spans="1:12" ht="16.5" customHeight="1" x14ac:dyDescent="0.2">
      <c r="A1" s="158"/>
      <c r="B1" s="11"/>
      <c r="C1" s="11"/>
      <c r="D1" s="11"/>
      <c r="E1" s="11"/>
    </row>
    <row r="2" spans="1:12" ht="16.5" customHeight="1" x14ac:dyDescent="0.2">
      <c r="A2" s="123"/>
      <c r="B2" s="123"/>
      <c r="C2" s="123"/>
      <c r="D2" s="123"/>
      <c r="E2" s="11"/>
    </row>
    <row r="3" spans="1:12" ht="15" x14ac:dyDescent="0.25">
      <c r="A3" s="227" t="s">
        <v>18</v>
      </c>
      <c r="B3" s="228"/>
      <c r="C3" s="228"/>
      <c r="D3" s="228"/>
      <c r="E3" s="228"/>
      <c r="F3" s="228"/>
      <c r="G3" s="228"/>
      <c r="H3" s="228"/>
      <c r="I3" s="228"/>
      <c r="J3" s="228"/>
      <c r="K3" s="228"/>
      <c r="L3" s="229"/>
    </row>
    <row r="4" spans="1:12" ht="25.5" x14ac:dyDescent="0.2">
      <c r="A4" s="58" t="s">
        <v>17</v>
      </c>
      <c r="B4" s="57" t="s">
        <v>14</v>
      </c>
      <c r="C4" s="58" t="s">
        <v>11</v>
      </c>
      <c r="D4" s="57" t="s">
        <v>30</v>
      </c>
      <c r="E4" s="58" t="s">
        <v>16</v>
      </c>
      <c r="F4" s="58" t="s">
        <v>12</v>
      </c>
      <c r="G4" s="58" t="s">
        <v>73</v>
      </c>
      <c r="H4" s="58" t="s">
        <v>40</v>
      </c>
      <c r="I4" s="58" t="s">
        <v>199</v>
      </c>
      <c r="J4" s="58" t="s">
        <v>569</v>
      </c>
      <c r="K4" s="58" t="s">
        <v>161</v>
      </c>
      <c r="L4" s="58" t="s">
        <v>9</v>
      </c>
    </row>
    <row r="5" spans="1:12" ht="180" customHeight="1" x14ac:dyDescent="0.2">
      <c r="A5" s="16" t="s">
        <v>58</v>
      </c>
      <c r="B5" s="7" t="s">
        <v>59</v>
      </c>
      <c r="C5" s="16" t="s">
        <v>160</v>
      </c>
      <c r="D5" s="16" t="s">
        <v>60</v>
      </c>
      <c r="E5" s="16" t="s">
        <v>63</v>
      </c>
      <c r="F5" s="16" t="s">
        <v>126</v>
      </c>
      <c r="G5" s="16" t="s">
        <v>67</v>
      </c>
      <c r="H5" s="16" t="s">
        <v>127</v>
      </c>
      <c r="I5" s="16" t="s">
        <v>128</v>
      </c>
      <c r="J5" s="16" t="s">
        <v>189</v>
      </c>
      <c r="K5" s="16" t="s">
        <v>55</v>
      </c>
      <c r="L5" s="16" t="s">
        <v>129</v>
      </c>
    </row>
    <row r="6" spans="1:12" ht="191.25" x14ac:dyDescent="0.2">
      <c r="A6" s="16" t="s">
        <v>61</v>
      </c>
      <c r="B6" s="7" t="s">
        <v>15</v>
      </c>
      <c r="C6" s="16" t="s">
        <v>155</v>
      </c>
      <c r="D6" s="16" t="s">
        <v>62</v>
      </c>
      <c r="E6" s="16" t="s">
        <v>68</v>
      </c>
      <c r="F6" s="16" t="s">
        <v>69</v>
      </c>
      <c r="G6" s="16" t="s">
        <v>133</v>
      </c>
      <c r="H6" s="16" t="s">
        <v>134</v>
      </c>
      <c r="I6" s="16" t="s">
        <v>135</v>
      </c>
      <c r="J6" s="16" t="s">
        <v>190</v>
      </c>
      <c r="K6" s="16" t="s">
        <v>55</v>
      </c>
      <c r="L6" s="16" t="s">
        <v>566</v>
      </c>
    </row>
    <row r="7" spans="1:12" s="13" customFormat="1" ht="127.5" x14ac:dyDescent="0.2">
      <c r="A7" s="16" t="s">
        <v>361</v>
      </c>
      <c r="B7" s="16" t="s">
        <v>88</v>
      </c>
      <c r="C7" s="16" t="s">
        <v>155</v>
      </c>
      <c r="D7" s="16" t="s">
        <v>65</v>
      </c>
      <c r="E7" s="16" t="s">
        <v>138</v>
      </c>
      <c r="F7" s="16" t="s">
        <v>130</v>
      </c>
      <c r="G7" s="16" t="s">
        <v>132</v>
      </c>
      <c r="H7" s="16" t="s">
        <v>131</v>
      </c>
      <c r="I7" s="16" t="s">
        <v>89</v>
      </c>
      <c r="J7" s="16" t="s">
        <v>191</v>
      </c>
      <c r="K7" s="16" t="s">
        <v>55</v>
      </c>
      <c r="L7" s="16" t="s">
        <v>565</v>
      </c>
    </row>
    <row r="8" spans="1:12" s="11" customFormat="1" ht="191.25" x14ac:dyDescent="0.2">
      <c r="A8" s="6" t="s">
        <v>64</v>
      </c>
      <c r="B8" s="10" t="s">
        <v>15</v>
      </c>
      <c r="C8" s="6" t="s">
        <v>156</v>
      </c>
      <c r="D8" s="6" t="s">
        <v>65</v>
      </c>
      <c r="E8" s="6" t="s">
        <v>66</v>
      </c>
      <c r="F8" s="6" t="s">
        <v>70</v>
      </c>
      <c r="G8" s="6" t="s">
        <v>136</v>
      </c>
      <c r="H8" s="6" t="s">
        <v>137</v>
      </c>
      <c r="I8" s="6" t="s">
        <v>71</v>
      </c>
      <c r="J8" s="6" t="s">
        <v>192</v>
      </c>
      <c r="K8" s="6" t="s">
        <v>55</v>
      </c>
      <c r="L8" s="6" t="s">
        <v>564</v>
      </c>
    </row>
    <row r="9" spans="1:12" ht="178.5" x14ac:dyDescent="0.2">
      <c r="A9" s="16" t="s">
        <v>56</v>
      </c>
      <c r="B9" s="7" t="s">
        <v>15</v>
      </c>
      <c r="C9" s="16" t="s">
        <v>157</v>
      </c>
      <c r="D9" s="16" t="s">
        <v>57</v>
      </c>
      <c r="E9" s="16" t="s">
        <v>139</v>
      </c>
      <c r="F9" s="16" t="s">
        <v>141</v>
      </c>
      <c r="G9" s="16" t="s">
        <v>140</v>
      </c>
      <c r="H9" s="16" t="s">
        <v>142</v>
      </c>
      <c r="I9" s="16" t="s">
        <v>143</v>
      </c>
      <c r="J9" s="16" t="s">
        <v>184</v>
      </c>
      <c r="K9" s="16" t="s">
        <v>53</v>
      </c>
      <c r="L9" s="16" t="s">
        <v>144</v>
      </c>
    </row>
    <row r="10" spans="1:12" ht="177.75" customHeight="1" x14ac:dyDescent="0.2">
      <c r="A10" s="16" t="s">
        <v>74</v>
      </c>
      <c r="B10" s="7" t="s">
        <v>15</v>
      </c>
      <c r="C10" s="16" t="s">
        <v>75</v>
      </c>
      <c r="D10" s="16" t="s">
        <v>76</v>
      </c>
      <c r="E10" s="16" t="s">
        <v>159</v>
      </c>
      <c r="F10" s="16" t="s">
        <v>145</v>
      </c>
      <c r="G10" s="16" t="s">
        <v>146</v>
      </c>
      <c r="H10" s="16" t="s">
        <v>147</v>
      </c>
      <c r="I10" s="16" t="s">
        <v>77</v>
      </c>
      <c r="J10" s="20" t="s">
        <v>193</v>
      </c>
      <c r="K10" s="16" t="s">
        <v>54</v>
      </c>
      <c r="L10" s="16" t="s">
        <v>170</v>
      </c>
    </row>
    <row r="11" spans="1:12" ht="165.75" x14ac:dyDescent="0.2">
      <c r="A11" s="16" t="s">
        <v>82</v>
      </c>
      <c r="B11" s="7" t="s">
        <v>78</v>
      </c>
      <c r="C11" s="16" t="s">
        <v>79</v>
      </c>
      <c r="D11" s="16" t="s">
        <v>80</v>
      </c>
      <c r="E11" s="16" t="s">
        <v>148</v>
      </c>
      <c r="F11" s="16" t="s">
        <v>149</v>
      </c>
      <c r="G11" s="16" t="s">
        <v>81</v>
      </c>
      <c r="H11" s="16" t="s">
        <v>150</v>
      </c>
      <c r="I11" s="16" t="s">
        <v>202</v>
      </c>
      <c r="J11" s="16" t="s">
        <v>180</v>
      </c>
      <c r="K11" s="16" t="s">
        <v>54</v>
      </c>
      <c r="L11" s="16" t="s">
        <v>563</v>
      </c>
    </row>
    <row r="12" spans="1:12" ht="117.75" customHeight="1" x14ac:dyDescent="0.2">
      <c r="A12" s="16" t="s">
        <v>349</v>
      </c>
      <c r="B12" s="7" t="s">
        <v>15</v>
      </c>
      <c r="C12" s="16" t="s">
        <v>158</v>
      </c>
      <c r="D12" s="16" t="s">
        <v>98</v>
      </c>
      <c r="E12" s="16" t="s">
        <v>151</v>
      </c>
      <c r="F12" s="16" t="s">
        <v>13</v>
      </c>
      <c r="G12" s="16" t="s">
        <v>99</v>
      </c>
      <c r="H12" s="16" t="s">
        <v>152</v>
      </c>
      <c r="I12" s="16" t="s">
        <v>203</v>
      </c>
      <c r="J12" s="16" t="s">
        <v>194</v>
      </c>
      <c r="K12" s="16" t="s">
        <v>54</v>
      </c>
      <c r="L12" s="16" t="s">
        <v>562</v>
      </c>
    </row>
    <row r="13" spans="1:12" ht="114.75" x14ac:dyDescent="0.2">
      <c r="A13" s="6" t="s">
        <v>534</v>
      </c>
      <c r="B13" s="6" t="s">
        <v>536</v>
      </c>
      <c r="C13" s="6" t="s">
        <v>535</v>
      </c>
      <c r="D13" s="6" t="s">
        <v>537</v>
      </c>
      <c r="E13" s="6" t="s">
        <v>554</v>
      </c>
      <c r="F13" s="6" t="s">
        <v>556</v>
      </c>
      <c r="G13" s="6" t="s">
        <v>555</v>
      </c>
      <c r="H13" s="6" t="s">
        <v>567</v>
      </c>
      <c r="I13" s="6" t="s">
        <v>1292</v>
      </c>
      <c r="J13" s="6" t="s">
        <v>1293</v>
      </c>
      <c r="K13" s="6" t="s">
        <v>54</v>
      </c>
      <c r="L13" s="6" t="s">
        <v>568</v>
      </c>
    </row>
    <row r="14" spans="1:12" ht="102" x14ac:dyDescent="0.2">
      <c r="A14" s="6" t="s">
        <v>179</v>
      </c>
      <c r="B14" s="10" t="s">
        <v>15</v>
      </c>
      <c r="C14" s="6" t="s">
        <v>155</v>
      </c>
      <c r="D14" s="6" t="s">
        <v>65</v>
      </c>
      <c r="E14" s="6" t="s">
        <v>171</v>
      </c>
      <c r="F14" s="6" t="s">
        <v>162</v>
      </c>
      <c r="G14" s="6" t="s">
        <v>163</v>
      </c>
      <c r="H14" s="6" t="s">
        <v>172</v>
      </c>
      <c r="I14" s="6" t="s">
        <v>560</v>
      </c>
      <c r="J14" s="19" t="s">
        <v>561</v>
      </c>
      <c r="K14" s="6" t="s">
        <v>164</v>
      </c>
      <c r="L14" s="6" t="s">
        <v>178</v>
      </c>
    </row>
    <row r="16" spans="1:12" x14ac:dyDescent="0.2">
      <c r="A16" s="5" t="s">
        <v>570</v>
      </c>
    </row>
  </sheetData>
  <mergeCells count="1">
    <mergeCell ref="A3:L3"/>
  </mergeCell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K7"/>
  <sheetViews>
    <sheetView showGridLines="0" workbookViewId="0">
      <pane xSplit="1" ySplit="4" topLeftCell="B5" activePane="bottomRight" state="frozen"/>
      <selection activeCell="F8" sqref="F8"/>
      <selection pane="topRight" activeCell="F8" sqref="F8"/>
      <selection pane="bottomLeft" activeCell="F8" sqref="F8"/>
      <selection pane="bottomRight"/>
    </sheetView>
  </sheetViews>
  <sheetFormatPr defaultColWidth="9.140625" defaultRowHeight="12.75" x14ac:dyDescent="0.2"/>
  <cols>
    <col min="1" max="1" width="13.5703125" style="5" customWidth="1"/>
    <col min="2" max="2" width="11.42578125" style="5" bestFit="1" customWidth="1"/>
    <col min="3" max="4" width="16" style="5" customWidth="1"/>
    <col min="5" max="5" width="16" style="5" bestFit="1" customWidth="1"/>
    <col min="6" max="6" width="26.7109375" style="5" bestFit="1" customWidth="1"/>
    <col min="7" max="7" width="30.42578125" style="5" customWidth="1"/>
    <col min="8" max="8" width="38.85546875" style="5" customWidth="1"/>
    <col min="9" max="10" width="47.85546875" style="5" customWidth="1"/>
    <col min="11" max="11" width="25.42578125" style="5" customWidth="1"/>
    <col min="12" max="16384" width="9.140625" style="5"/>
  </cols>
  <sheetData>
    <row r="1" spans="1:11" ht="16.5" customHeight="1" x14ac:dyDescent="0.2">
      <c r="A1" s="158"/>
      <c r="B1" s="11"/>
      <c r="C1" s="11"/>
      <c r="D1" s="11"/>
      <c r="E1" s="11"/>
    </row>
    <row r="2" spans="1:11" ht="16.5" customHeight="1" x14ac:dyDescent="0.2">
      <c r="A2" s="123"/>
      <c r="B2" s="123"/>
      <c r="C2" s="123"/>
      <c r="D2" s="123"/>
      <c r="E2" s="11"/>
    </row>
    <row r="3" spans="1:11" x14ac:dyDescent="0.2">
      <c r="A3" s="224" t="s">
        <v>49</v>
      </c>
      <c r="B3" s="225"/>
      <c r="C3" s="225"/>
      <c r="D3" s="225"/>
      <c r="E3" s="225"/>
      <c r="F3" s="225"/>
      <c r="G3" s="225"/>
      <c r="H3" s="225"/>
      <c r="I3" s="225"/>
      <c r="J3" s="225"/>
      <c r="K3" s="226"/>
    </row>
    <row r="4" spans="1:11" ht="25.5" x14ac:dyDescent="0.2">
      <c r="A4" s="58" t="s">
        <v>17</v>
      </c>
      <c r="B4" s="57" t="s">
        <v>14</v>
      </c>
      <c r="C4" s="58" t="s">
        <v>11</v>
      </c>
      <c r="D4" s="57" t="s">
        <v>30</v>
      </c>
      <c r="E4" s="58" t="s">
        <v>101</v>
      </c>
      <c r="F4" s="58" t="s">
        <v>12</v>
      </c>
      <c r="G4" s="58" t="s">
        <v>73</v>
      </c>
      <c r="H4" s="58" t="s">
        <v>40</v>
      </c>
      <c r="I4" s="58" t="s">
        <v>199</v>
      </c>
      <c r="J4" s="58" t="s">
        <v>569</v>
      </c>
      <c r="K4" s="58" t="s">
        <v>9</v>
      </c>
    </row>
    <row r="5" spans="1:11" ht="76.5" x14ac:dyDescent="0.2">
      <c r="A5" s="16" t="s">
        <v>26</v>
      </c>
      <c r="B5" s="9" t="s">
        <v>24</v>
      </c>
      <c r="C5" s="9" t="s">
        <v>25</v>
      </c>
      <c r="D5" s="9" t="s">
        <v>38</v>
      </c>
      <c r="E5" s="9" t="s">
        <v>102</v>
      </c>
      <c r="F5" s="9" t="s">
        <v>37</v>
      </c>
      <c r="G5" s="12" t="s">
        <v>103</v>
      </c>
      <c r="H5" s="9" t="s">
        <v>1499</v>
      </c>
      <c r="I5" s="9" t="s">
        <v>1500</v>
      </c>
      <c r="J5" s="16" t="s">
        <v>1501</v>
      </c>
      <c r="K5" s="6" t="s">
        <v>121</v>
      </c>
    </row>
    <row r="7" spans="1:11" x14ac:dyDescent="0.2">
      <c r="A7" s="5" t="s">
        <v>570</v>
      </c>
    </row>
  </sheetData>
  <mergeCells count="1">
    <mergeCell ref="A3:K3"/>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L8"/>
  <sheetViews>
    <sheetView showGridLines="0" workbookViewId="0">
      <pane xSplit="1" ySplit="4" topLeftCell="B5" activePane="bottomRight" state="frozen"/>
      <selection activeCell="F8" sqref="F8"/>
      <selection pane="topRight" activeCell="F8" sqref="F8"/>
      <selection pane="bottomLeft" activeCell="F8" sqref="F8"/>
      <selection pane="bottomRight" activeCell="K6" sqref="K6"/>
    </sheetView>
  </sheetViews>
  <sheetFormatPr defaultColWidth="9.140625" defaultRowHeight="12.75" x14ac:dyDescent="0.2"/>
  <cols>
    <col min="1" max="1" width="12.5703125" style="5" customWidth="1"/>
    <col min="2" max="2" width="11.7109375" style="5" customWidth="1"/>
    <col min="3" max="4" width="16" style="5" customWidth="1"/>
    <col min="5" max="5" width="31.7109375" style="5" bestFit="1" customWidth="1"/>
    <col min="6" max="8" width="39.85546875" style="5" customWidth="1"/>
    <col min="9" max="10" width="42.85546875" style="5" bestFit="1" customWidth="1"/>
    <col min="11" max="11" width="23.42578125" style="5" customWidth="1"/>
    <col min="12" max="12" width="30.28515625" style="5" customWidth="1"/>
    <col min="13" max="16384" width="9.140625" style="5"/>
  </cols>
  <sheetData>
    <row r="1" spans="1:12" ht="16.5" customHeight="1" x14ac:dyDescent="0.2">
      <c r="A1" s="158"/>
      <c r="B1" s="11"/>
      <c r="C1" s="11"/>
      <c r="D1" s="11"/>
      <c r="E1" s="11"/>
    </row>
    <row r="2" spans="1:12" ht="16.5" customHeight="1" x14ac:dyDescent="0.2">
      <c r="A2" s="123"/>
      <c r="B2" s="123"/>
      <c r="C2" s="123"/>
      <c r="D2" s="123"/>
      <c r="E2" s="11"/>
    </row>
    <row r="3" spans="1:12" x14ac:dyDescent="0.2">
      <c r="A3" s="224" t="s">
        <v>50</v>
      </c>
      <c r="B3" s="225"/>
      <c r="C3" s="225"/>
      <c r="D3" s="225"/>
      <c r="E3" s="225"/>
      <c r="F3" s="225"/>
      <c r="G3" s="225"/>
      <c r="H3" s="225"/>
      <c r="I3" s="225"/>
      <c r="J3" s="225"/>
      <c r="K3" s="225"/>
      <c r="L3" s="226"/>
    </row>
    <row r="4" spans="1:12" s="38" customFormat="1" ht="25.5" x14ac:dyDescent="0.25">
      <c r="A4" s="58" t="s">
        <v>17</v>
      </c>
      <c r="B4" s="57" t="s">
        <v>14</v>
      </c>
      <c r="C4" s="58" t="s">
        <v>11</v>
      </c>
      <c r="D4" s="57" t="s">
        <v>30</v>
      </c>
      <c r="E4" s="58" t="s">
        <v>16</v>
      </c>
      <c r="F4" s="58" t="s">
        <v>12</v>
      </c>
      <c r="G4" s="58" t="s">
        <v>73</v>
      </c>
      <c r="H4" s="58" t="s">
        <v>40</v>
      </c>
      <c r="I4" s="58" t="s">
        <v>199</v>
      </c>
      <c r="J4" s="58" t="s">
        <v>200</v>
      </c>
      <c r="K4" s="58" t="s">
        <v>161</v>
      </c>
      <c r="L4" s="58" t="s">
        <v>9</v>
      </c>
    </row>
    <row r="5" spans="1:12" ht="51" x14ac:dyDescent="0.2">
      <c r="A5" s="9" t="s">
        <v>22</v>
      </c>
      <c r="B5" s="9" t="s">
        <v>15</v>
      </c>
      <c r="C5" s="9" t="s">
        <v>23</v>
      </c>
      <c r="D5" s="9" t="s">
        <v>35</v>
      </c>
      <c r="E5" s="9" t="s">
        <v>112</v>
      </c>
      <c r="F5" s="9" t="s">
        <v>176</v>
      </c>
      <c r="G5" s="12" t="s">
        <v>100</v>
      </c>
      <c r="H5" s="9" t="s">
        <v>97</v>
      </c>
      <c r="I5" s="9" t="s">
        <v>204</v>
      </c>
      <c r="J5" s="16" t="s">
        <v>195</v>
      </c>
      <c r="K5" s="16" t="s">
        <v>175</v>
      </c>
      <c r="L5" s="6" t="s">
        <v>36</v>
      </c>
    </row>
    <row r="6" spans="1:12" ht="178.5" x14ac:dyDescent="0.2">
      <c r="A6" s="16" t="s">
        <v>1870</v>
      </c>
      <c r="B6" s="16" t="s">
        <v>15</v>
      </c>
      <c r="C6" s="16" t="s">
        <v>1871</v>
      </c>
      <c r="D6" s="16" t="s">
        <v>1872</v>
      </c>
      <c r="E6" s="16" t="s">
        <v>1873</v>
      </c>
      <c r="F6" s="16" t="s">
        <v>1886</v>
      </c>
      <c r="G6" s="16" t="s">
        <v>1874</v>
      </c>
      <c r="H6" s="16" t="s">
        <v>1875</v>
      </c>
      <c r="I6" s="16" t="s">
        <v>1880</v>
      </c>
      <c r="J6" s="16" t="s">
        <v>1879</v>
      </c>
      <c r="K6" s="16" t="s">
        <v>1876</v>
      </c>
      <c r="L6" s="6" t="s">
        <v>1877</v>
      </c>
    </row>
    <row r="8" spans="1:12" x14ac:dyDescent="0.2">
      <c r="A8" s="5" t="s">
        <v>571</v>
      </c>
    </row>
  </sheetData>
  <mergeCells count="1">
    <mergeCell ref="A3:L3"/>
  </mergeCell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Normal="100" workbookViewId="0">
      <pane xSplit="1" ySplit="4" topLeftCell="B9" activePane="bottomRight" state="frozen"/>
      <selection activeCell="D10" sqref="D10:G21"/>
      <selection pane="topRight" activeCell="D10" sqref="D10:G21"/>
      <selection pane="bottomLeft" activeCell="D10" sqref="D10:G21"/>
      <selection pane="bottomRight" activeCell="I13" sqref="I13"/>
    </sheetView>
  </sheetViews>
  <sheetFormatPr defaultColWidth="9.140625" defaultRowHeight="12.75" x14ac:dyDescent="0.2"/>
  <cols>
    <col min="1" max="1" width="14.5703125" style="5" customWidth="1"/>
    <col min="2" max="2" width="15.42578125" style="41" customWidth="1"/>
    <col min="3" max="3" width="20" style="31" customWidth="1"/>
    <col min="4" max="4" width="14.140625" style="31" customWidth="1"/>
    <col min="5" max="5" width="10.28515625" style="31" bestFit="1" customWidth="1"/>
    <col min="6" max="6" width="7.5703125" style="31" bestFit="1" customWidth="1"/>
    <col min="7" max="7" width="11.140625" style="31" customWidth="1"/>
    <col min="8" max="8" width="27.5703125" style="5" customWidth="1"/>
    <col min="9" max="9" width="61.140625" style="5" customWidth="1"/>
    <col min="10" max="16384" width="9.140625" style="5"/>
  </cols>
  <sheetData>
    <row r="1" spans="1:9" ht="16.5" customHeight="1" x14ac:dyDescent="0.2">
      <c r="A1" s="158"/>
      <c r="B1" s="11"/>
      <c r="C1" s="11"/>
      <c r="D1" s="11"/>
      <c r="E1" s="11"/>
      <c r="F1" s="5"/>
      <c r="G1" s="5"/>
    </row>
    <row r="2" spans="1:9" ht="16.5" customHeight="1" x14ac:dyDescent="0.2">
      <c r="A2" s="123"/>
      <c r="B2" s="123"/>
      <c r="C2" s="123"/>
      <c r="D2" s="123"/>
      <c r="E2" s="11"/>
      <c r="F2" s="5"/>
      <c r="G2" s="5"/>
    </row>
    <row r="3" spans="1:9" x14ac:dyDescent="0.2">
      <c r="A3" s="224" t="s">
        <v>1721</v>
      </c>
      <c r="B3" s="225"/>
      <c r="C3" s="225"/>
      <c r="D3" s="225"/>
      <c r="E3" s="225"/>
      <c r="F3" s="225"/>
      <c r="G3" s="225"/>
      <c r="H3" s="225"/>
      <c r="I3" s="226"/>
    </row>
    <row r="4" spans="1:9" s="17" customFormat="1" ht="25.5" x14ac:dyDescent="0.25">
      <c r="A4" s="57" t="s">
        <v>408</v>
      </c>
      <c r="B4" s="57" t="s">
        <v>161</v>
      </c>
      <c r="C4" s="57" t="s">
        <v>219</v>
      </c>
      <c r="D4" s="57" t="s">
        <v>389</v>
      </c>
      <c r="E4" s="57" t="s">
        <v>14</v>
      </c>
      <c r="F4" s="57" t="s">
        <v>11</v>
      </c>
      <c r="G4" s="57" t="s">
        <v>218</v>
      </c>
      <c r="H4" s="57" t="s">
        <v>553</v>
      </c>
      <c r="I4" s="57" t="s">
        <v>595</v>
      </c>
    </row>
    <row r="5" spans="1:9" s="37" customFormat="1" ht="102" x14ac:dyDescent="0.25">
      <c r="A5" s="6" t="s">
        <v>280</v>
      </c>
      <c r="B5" s="22" t="s">
        <v>409</v>
      </c>
      <c r="C5" s="22" t="s">
        <v>87</v>
      </c>
      <c r="D5" s="22" t="s">
        <v>212</v>
      </c>
      <c r="E5" s="32" t="s">
        <v>15</v>
      </c>
      <c r="F5" s="22" t="s">
        <v>217</v>
      </c>
      <c r="G5" s="22" t="s">
        <v>281</v>
      </c>
      <c r="H5" s="6" t="s">
        <v>598</v>
      </c>
      <c r="I5" s="6" t="s">
        <v>599</v>
      </c>
    </row>
    <row r="6" spans="1:9" s="37" customFormat="1" ht="51" x14ac:dyDescent="0.25">
      <c r="A6" s="6" t="s">
        <v>282</v>
      </c>
      <c r="B6" s="22" t="s">
        <v>409</v>
      </c>
      <c r="C6" s="22" t="s">
        <v>285</v>
      </c>
      <c r="D6" s="22" t="s">
        <v>212</v>
      </c>
      <c r="E6" s="32" t="s">
        <v>59</v>
      </c>
      <c r="F6" s="22" t="s">
        <v>209</v>
      </c>
      <c r="G6" s="22">
        <v>2013</v>
      </c>
      <c r="H6" s="6" t="s">
        <v>284</v>
      </c>
      <c r="I6" s="6" t="s">
        <v>600</v>
      </c>
    </row>
    <row r="7" spans="1:9" s="37" customFormat="1" ht="25.5" x14ac:dyDescent="0.25">
      <c r="A7" s="6" t="s">
        <v>320</v>
      </c>
      <c r="B7" s="22" t="s">
        <v>409</v>
      </c>
      <c r="C7" s="22" t="s">
        <v>300</v>
      </c>
      <c r="D7" s="22" t="s">
        <v>212</v>
      </c>
      <c r="E7" s="32" t="s">
        <v>59</v>
      </c>
      <c r="F7" s="22" t="s">
        <v>213</v>
      </c>
      <c r="G7" s="22">
        <v>2008</v>
      </c>
      <c r="H7" s="6" t="s">
        <v>321</v>
      </c>
      <c r="I7" s="6" t="s">
        <v>322</v>
      </c>
    </row>
    <row r="8" spans="1:9" s="37" customFormat="1" ht="76.5" x14ac:dyDescent="0.25">
      <c r="A8" s="6" t="s">
        <v>370</v>
      </c>
      <c r="B8" s="22" t="s">
        <v>409</v>
      </c>
      <c r="C8" s="22" t="s">
        <v>300</v>
      </c>
      <c r="D8" s="22" t="s">
        <v>372</v>
      </c>
      <c r="E8" s="32" t="s">
        <v>59</v>
      </c>
      <c r="F8" s="22" t="s">
        <v>241</v>
      </c>
      <c r="G8" s="22">
        <v>2013</v>
      </c>
      <c r="H8" s="6" t="s">
        <v>371</v>
      </c>
      <c r="I8" s="6" t="s">
        <v>605</v>
      </c>
    </row>
    <row r="9" spans="1:9" s="37" customFormat="1" ht="25.5" x14ac:dyDescent="0.25">
      <c r="A9" s="6" t="s">
        <v>374</v>
      </c>
      <c r="B9" s="22" t="s">
        <v>409</v>
      </c>
      <c r="C9" s="22" t="s">
        <v>300</v>
      </c>
      <c r="D9" s="22" t="s">
        <v>212</v>
      </c>
      <c r="E9" s="32" t="s">
        <v>15</v>
      </c>
      <c r="F9" s="22" t="s">
        <v>217</v>
      </c>
      <c r="G9" s="22">
        <v>2013</v>
      </c>
      <c r="H9" s="6" t="s">
        <v>230</v>
      </c>
      <c r="I9" s="6" t="s">
        <v>602</v>
      </c>
    </row>
    <row r="10" spans="1:9" s="37" customFormat="1" ht="54" customHeight="1" x14ac:dyDescent="0.25">
      <c r="A10" s="6" t="s">
        <v>293</v>
      </c>
      <c r="B10" s="22" t="s">
        <v>411</v>
      </c>
      <c r="C10" s="22" t="s">
        <v>300</v>
      </c>
      <c r="D10" s="22" t="s">
        <v>212</v>
      </c>
      <c r="E10" s="32" t="s">
        <v>15</v>
      </c>
      <c r="F10" s="22" t="s">
        <v>217</v>
      </c>
      <c r="G10" s="22">
        <v>2010</v>
      </c>
      <c r="H10" s="6" t="s">
        <v>230</v>
      </c>
      <c r="I10" s="33" t="s">
        <v>591</v>
      </c>
    </row>
    <row r="11" spans="1:9" s="38" customFormat="1" ht="69" customHeight="1" x14ac:dyDescent="0.25">
      <c r="A11" s="16" t="s">
        <v>392</v>
      </c>
      <c r="B11" s="8" t="s">
        <v>409</v>
      </c>
      <c r="C11" s="22" t="s">
        <v>300</v>
      </c>
      <c r="D11" s="22" t="s">
        <v>212</v>
      </c>
      <c r="E11" s="8" t="s">
        <v>390</v>
      </c>
      <c r="F11" s="18" t="s">
        <v>105</v>
      </c>
      <c r="G11" s="18">
        <v>2011</v>
      </c>
      <c r="H11" s="16" t="s">
        <v>391</v>
      </c>
      <c r="I11" s="16" t="s">
        <v>601</v>
      </c>
    </row>
    <row r="12" spans="1:9" s="38" customFormat="1" ht="69" customHeight="1" x14ac:dyDescent="0.25">
      <c r="A12" s="16" t="s">
        <v>1881</v>
      </c>
      <c r="B12" s="8" t="s">
        <v>1882</v>
      </c>
      <c r="C12" s="22" t="s">
        <v>300</v>
      </c>
      <c r="D12" s="22" t="s">
        <v>212</v>
      </c>
      <c r="E12" s="8" t="s">
        <v>78</v>
      </c>
      <c r="F12" s="18" t="s">
        <v>242</v>
      </c>
      <c r="G12" s="18" t="s">
        <v>1883</v>
      </c>
      <c r="H12" s="16" t="s">
        <v>1884</v>
      </c>
      <c r="I12" s="16" t="s">
        <v>1887</v>
      </c>
    </row>
    <row r="13" spans="1:9" s="38" customFormat="1" ht="38.25" x14ac:dyDescent="0.25">
      <c r="A13" s="7" t="s">
        <v>394</v>
      </c>
      <c r="B13" s="8" t="s">
        <v>410</v>
      </c>
      <c r="C13" s="18" t="s">
        <v>395</v>
      </c>
      <c r="D13" s="22" t="s">
        <v>212</v>
      </c>
      <c r="E13" s="8" t="s">
        <v>390</v>
      </c>
      <c r="F13" s="18" t="s">
        <v>206</v>
      </c>
      <c r="G13" s="18" t="s">
        <v>396</v>
      </c>
      <c r="H13" s="16" t="s">
        <v>397</v>
      </c>
      <c r="I13" s="16" t="s">
        <v>592</v>
      </c>
    </row>
    <row r="14" spans="1:9" s="38" customFormat="1" ht="51" x14ac:dyDescent="0.25">
      <c r="A14" s="7" t="s">
        <v>596</v>
      </c>
      <c r="B14" s="8" t="s">
        <v>455</v>
      </c>
      <c r="C14" s="18" t="s">
        <v>318</v>
      </c>
      <c r="D14" s="22" t="s">
        <v>212</v>
      </c>
      <c r="E14" s="8" t="s">
        <v>208</v>
      </c>
      <c r="F14" s="18" t="s">
        <v>264</v>
      </c>
      <c r="G14" s="18" t="s">
        <v>453</v>
      </c>
      <c r="H14" s="16" t="s">
        <v>454</v>
      </c>
      <c r="I14" s="16" t="s">
        <v>593</v>
      </c>
    </row>
    <row r="15" spans="1:9" s="38" customFormat="1" ht="51" x14ac:dyDescent="0.25">
      <c r="A15" s="7" t="s">
        <v>457</v>
      </c>
      <c r="B15" s="8" t="s">
        <v>409</v>
      </c>
      <c r="C15" s="18" t="s">
        <v>318</v>
      </c>
      <c r="D15" s="22" t="s">
        <v>212</v>
      </c>
      <c r="E15" s="8" t="s">
        <v>214</v>
      </c>
      <c r="F15" s="18" t="s">
        <v>105</v>
      </c>
      <c r="G15" s="18">
        <v>2013</v>
      </c>
      <c r="H15" s="16" t="s">
        <v>458</v>
      </c>
      <c r="I15" s="16" t="s">
        <v>559</v>
      </c>
    </row>
    <row r="16" spans="1:9" s="38" customFormat="1" ht="57" customHeight="1" x14ac:dyDescent="0.25">
      <c r="A16" s="6" t="s">
        <v>589</v>
      </c>
      <c r="B16" s="8" t="s">
        <v>409</v>
      </c>
      <c r="C16" s="18" t="s">
        <v>318</v>
      </c>
      <c r="D16" s="18" t="s">
        <v>212</v>
      </c>
      <c r="E16" s="18" t="s">
        <v>78</v>
      </c>
      <c r="F16" s="18" t="s">
        <v>243</v>
      </c>
      <c r="G16" s="18">
        <v>2013</v>
      </c>
      <c r="H16" s="16" t="s">
        <v>590</v>
      </c>
      <c r="I16" s="16" t="s">
        <v>594</v>
      </c>
    </row>
  </sheetData>
  <mergeCells count="1">
    <mergeCell ref="A3:I3"/>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zoomScaleNormal="100" workbookViewId="0">
      <pane xSplit="1" ySplit="4" topLeftCell="B8" activePane="bottomRight" state="frozen"/>
      <selection activeCell="D10" sqref="D10:G21"/>
      <selection pane="topRight" activeCell="D10" sqref="D10:G21"/>
      <selection pane="bottomLeft" activeCell="D10" sqref="D10:G21"/>
      <selection pane="bottomRight" activeCell="A18" sqref="A18"/>
    </sheetView>
  </sheetViews>
  <sheetFormatPr defaultColWidth="9.140625" defaultRowHeight="12.75" x14ac:dyDescent="0.2"/>
  <cols>
    <col min="1" max="1" width="13.28515625" style="5" customWidth="1"/>
    <col min="2" max="2" width="17.28515625" style="5" customWidth="1"/>
    <col min="3" max="3" width="13.28515625" style="31" customWidth="1"/>
    <col min="4" max="4" width="12.5703125" style="31" customWidth="1"/>
    <col min="5" max="5" width="10.28515625" style="31" customWidth="1"/>
    <col min="6" max="6" width="12.7109375" style="31" customWidth="1"/>
    <col min="7" max="7" width="19" style="31" customWidth="1"/>
    <col min="8" max="8" width="44.42578125" style="5" customWidth="1"/>
    <col min="9" max="9" width="62.42578125" style="5" customWidth="1"/>
    <col min="10" max="10" width="56.28515625" style="5" customWidth="1"/>
    <col min="11" max="16384" width="9.140625" style="5"/>
  </cols>
  <sheetData>
    <row r="1" spans="1:10" ht="16.5" customHeight="1" x14ac:dyDescent="0.2">
      <c r="A1" s="158"/>
      <c r="B1" s="11"/>
      <c r="C1" s="11"/>
      <c r="D1" s="11"/>
      <c r="E1" s="11"/>
      <c r="F1" s="5"/>
      <c r="G1" s="5"/>
    </row>
    <row r="2" spans="1:10" ht="16.5" customHeight="1" x14ac:dyDescent="0.2">
      <c r="A2" s="123"/>
      <c r="B2" s="123"/>
      <c r="C2" s="123"/>
      <c r="D2" s="123"/>
      <c r="E2" s="11"/>
      <c r="F2" s="5"/>
      <c r="G2" s="5"/>
    </row>
    <row r="3" spans="1:10" x14ac:dyDescent="0.2">
      <c r="A3" s="224" t="s">
        <v>1722</v>
      </c>
      <c r="B3" s="225"/>
      <c r="C3" s="225"/>
      <c r="D3" s="225"/>
      <c r="E3" s="225"/>
      <c r="F3" s="225"/>
      <c r="G3" s="225"/>
      <c r="H3" s="225"/>
      <c r="I3" s="225"/>
      <c r="J3" s="146"/>
    </row>
    <row r="4" spans="1:10" s="17" customFormat="1" ht="25.5" x14ac:dyDescent="0.2">
      <c r="A4" s="143" t="s">
        <v>17</v>
      </c>
      <c r="B4" s="143" t="s">
        <v>219</v>
      </c>
      <c r="C4" s="143" t="s">
        <v>389</v>
      </c>
      <c r="D4" s="143" t="s">
        <v>14</v>
      </c>
      <c r="E4" s="143" t="s">
        <v>11</v>
      </c>
      <c r="F4" s="145" t="s">
        <v>30</v>
      </c>
      <c r="G4" s="143" t="s">
        <v>553</v>
      </c>
      <c r="H4" s="143" t="s">
        <v>303</v>
      </c>
      <c r="I4" s="143" t="s">
        <v>199</v>
      </c>
      <c r="J4" s="143" t="s">
        <v>1502</v>
      </c>
    </row>
    <row r="5" spans="1:10" s="11" customFormat="1" ht="63.75" x14ac:dyDescent="0.2">
      <c r="A5" s="16" t="s">
        <v>287</v>
      </c>
      <c r="B5" s="8" t="s">
        <v>301</v>
      </c>
      <c r="C5" s="8" t="s">
        <v>207</v>
      </c>
      <c r="D5" s="18" t="s">
        <v>24</v>
      </c>
      <c r="E5" s="22" t="s">
        <v>155</v>
      </c>
      <c r="F5" s="22">
        <v>2005</v>
      </c>
      <c r="G5" s="22" t="s">
        <v>433</v>
      </c>
      <c r="H5" s="30" t="s">
        <v>412</v>
      </c>
      <c r="I5" s="6" t="s">
        <v>572</v>
      </c>
      <c r="J5" s="147" t="s">
        <v>1505</v>
      </c>
    </row>
    <row r="6" spans="1:10" s="11" customFormat="1" ht="38.25" x14ac:dyDescent="0.2">
      <c r="A6" s="16" t="s">
        <v>290</v>
      </c>
      <c r="B6" s="8" t="s">
        <v>85</v>
      </c>
      <c r="C6" s="8" t="s">
        <v>222</v>
      </c>
      <c r="D6" s="18" t="s">
        <v>307</v>
      </c>
      <c r="E6" s="22" t="s">
        <v>308</v>
      </c>
      <c r="F6" s="22">
        <v>1996</v>
      </c>
      <c r="G6" s="22" t="s">
        <v>306</v>
      </c>
      <c r="H6" s="30" t="s">
        <v>414</v>
      </c>
      <c r="I6" s="6" t="s">
        <v>574</v>
      </c>
      <c r="J6" s="147" t="s">
        <v>1503</v>
      </c>
    </row>
    <row r="7" spans="1:10" s="11" customFormat="1" ht="51" x14ac:dyDescent="0.2">
      <c r="A7" s="16" t="s">
        <v>292</v>
      </c>
      <c r="B7" s="8" t="s">
        <v>318</v>
      </c>
      <c r="C7" s="8" t="s">
        <v>207</v>
      </c>
      <c r="D7" s="18" t="s">
        <v>24</v>
      </c>
      <c r="E7" s="22" t="s">
        <v>213</v>
      </c>
      <c r="F7" s="22" t="s">
        <v>309</v>
      </c>
      <c r="G7" s="22" t="s">
        <v>429</v>
      </c>
      <c r="H7" s="30" t="s">
        <v>415</v>
      </c>
      <c r="I7" s="6" t="s">
        <v>573</v>
      </c>
      <c r="J7" s="147" t="s">
        <v>1504</v>
      </c>
    </row>
    <row r="8" spans="1:10" s="11" customFormat="1" ht="51" x14ac:dyDescent="0.2">
      <c r="A8" s="16" t="s">
        <v>295</v>
      </c>
      <c r="B8" s="8" t="s">
        <v>318</v>
      </c>
      <c r="C8" s="8" t="s">
        <v>207</v>
      </c>
      <c r="D8" s="18" t="s">
        <v>24</v>
      </c>
      <c r="E8" s="22" t="s">
        <v>213</v>
      </c>
      <c r="F8" s="22" t="s">
        <v>311</v>
      </c>
      <c r="G8" s="22" t="s">
        <v>432</v>
      </c>
      <c r="H8" s="30" t="s">
        <v>416</v>
      </c>
      <c r="I8" s="6" t="s">
        <v>575</v>
      </c>
      <c r="J8" s="147" t="s">
        <v>1506</v>
      </c>
    </row>
    <row r="9" spans="1:10" s="11" customFormat="1" ht="89.25" x14ac:dyDescent="0.2">
      <c r="A9" s="16" t="s">
        <v>296</v>
      </c>
      <c r="B9" s="8" t="s">
        <v>220</v>
      </c>
      <c r="C9" s="8" t="s">
        <v>212</v>
      </c>
      <c r="D9" s="18" t="s">
        <v>15</v>
      </c>
      <c r="E9" s="22" t="s">
        <v>111</v>
      </c>
      <c r="F9" s="22">
        <v>1999</v>
      </c>
      <c r="G9" s="22" t="s">
        <v>312</v>
      </c>
      <c r="H9" s="30" t="s">
        <v>377</v>
      </c>
      <c r="I9" s="6" t="s">
        <v>423</v>
      </c>
      <c r="J9" s="110"/>
    </row>
    <row r="10" spans="1:10" s="11" customFormat="1" ht="63.75" x14ac:dyDescent="0.2">
      <c r="A10" s="16" t="s">
        <v>297</v>
      </c>
      <c r="B10" s="8" t="s">
        <v>301</v>
      </c>
      <c r="C10" s="8" t="s">
        <v>212</v>
      </c>
      <c r="D10" s="18" t="s">
        <v>228</v>
      </c>
      <c r="E10" s="22" t="s">
        <v>213</v>
      </c>
      <c r="F10" s="22" t="s">
        <v>316</v>
      </c>
      <c r="G10" s="22" t="s">
        <v>430</v>
      </c>
      <c r="H10" s="30" t="s">
        <v>314</v>
      </c>
      <c r="I10" s="6" t="s">
        <v>400</v>
      </c>
      <c r="J10" s="147" t="s">
        <v>1508</v>
      </c>
    </row>
    <row r="11" spans="1:10" s="11" customFormat="1" ht="51" x14ac:dyDescent="0.2">
      <c r="A11" s="16" t="s">
        <v>298</v>
      </c>
      <c r="B11" s="8" t="s">
        <v>220</v>
      </c>
      <c r="C11" s="8" t="s">
        <v>216</v>
      </c>
      <c r="D11" s="18" t="s">
        <v>15</v>
      </c>
      <c r="E11" s="22" t="s">
        <v>215</v>
      </c>
      <c r="F11" s="22">
        <v>1989</v>
      </c>
      <c r="G11" s="22" t="s">
        <v>431</v>
      </c>
      <c r="H11" s="30" t="s">
        <v>315</v>
      </c>
      <c r="I11" s="6" t="s">
        <v>424</v>
      </c>
      <c r="J11" s="147" t="s">
        <v>1507</v>
      </c>
    </row>
    <row r="12" spans="1:10" s="11" customFormat="1" ht="76.5" x14ac:dyDescent="0.2">
      <c r="A12" s="16" t="s">
        <v>299</v>
      </c>
      <c r="B12" s="8" t="s">
        <v>220</v>
      </c>
      <c r="C12" s="8" t="s">
        <v>212</v>
      </c>
      <c r="D12" s="18" t="s">
        <v>15</v>
      </c>
      <c r="E12" s="22" t="s">
        <v>262</v>
      </c>
      <c r="F12" s="22" t="s">
        <v>317</v>
      </c>
      <c r="G12" s="22" t="s">
        <v>313</v>
      </c>
      <c r="H12" s="30" t="s">
        <v>302</v>
      </c>
      <c r="I12" s="6" t="s">
        <v>401</v>
      </c>
      <c r="J12" s="147" t="s">
        <v>1509</v>
      </c>
    </row>
    <row r="13" spans="1:10" s="11" customFormat="1" ht="63.75" x14ac:dyDescent="0.2">
      <c r="A13" s="16" t="s">
        <v>278</v>
      </c>
      <c r="B13" s="8" t="s">
        <v>85</v>
      </c>
      <c r="C13" s="8" t="s">
        <v>207</v>
      </c>
      <c r="D13" s="18" t="s">
        <v>24</v>
      </c>
      <c r="E13" s="22" t="s">
        <v>105</v>
      </c>
      <c r="F13" s="22">
        <v>2010</v>
      </c>
      <c r="G13" s="22" t="s">
        <v>279</v>
      </c>
      <c r="H13" s="30" t="s">
        <v>376</v>
      </c>
      <c r="I13" s="6" t="s">
        <v>425</v>
      </c>
      <c r="J13" s="110"/>
    </row>
    <row r="14" spans="1:10" s="11" customFormat="1" ht="76.5" customHeight="1" x14ac:dyDescent="0.2">
      <c r="A14" s="6" t="s">
        <v>319</v>
      </c>
      <c r="B14" s="8" t="s">
        <v>220</v>
      </c>
      <c r="C14" s="22" t="s">
        <v>212</v>
      </c>
      <c r="D14" s="22" t="s">
        <v>24</v>
      </c>
      <c r="E14" s="22" t="s">
        <v>237</v>
      </c>
      <c r="F14" s="22"/>
      <c r="G14" s="22" t="s">
        <v>428</v>
      </c>
      <c r="H14" s="6" t="s">
        <v>450</v>
      </c>
      <c r="I14" s="6" t="s">
        <v>393</v>
      </c>
      <c r="J14" s="147" t="s">
        <v>1510</v>
      </c>
    </row>
    <row r="15" spans="1:10" s="11" customFormat="1" ht="63.75" x14ac:dyDescent="0.2">
      <c r="A15" s="16" t="s">
        <v>294</v>
      </c>
      <c r="B15" s="8" t="s">
        <v>220</v>
      </c>
      <c r="C15" s="8" t="s">
        <v>212</v>
      </c>
      <c r="D15" s="22" t="s">
        <v>24</v>
      </c>
      <c r="E15" s="22" t="s">
        <v>237</v>
      </c>
      <c r="F15" s="22">
        <v>2002</v>
      </c>
      <c r="G15" s="22" t="s">
        <v>429</v>
      </c>
      <c r="H15" s="30" t="s">
        <v>310</v>
      </c>
      <c r="I15" s="6" t="s">
        <v>576</v>
      </c>
      <c r="J15" s="147" t="s">
        <v>1511</v>
      </c>
    </row>
    <row r="16" spans="1:10" s="11" customFormat="1" ht="102" x14ac:dyDescent="0.2">
      <c r="A16" s="6" t="s">
        <v>286</v>
      </c>
      <c r="B16" s="22" t="s">
        <v>448</v>
      </c>
      <c r="C16" s="22" t="s">
        <v>212</v>
      </c>
      <c r="D16" s="32" t="s">
        <v>24</v>
      </c>
      <c r="E16" s="22" t="s">
        <v>308</v>
      </c>
      <c r="F16" s="22" t="s">
        <v>383</v>
      </c>
      <c r="G16" s="22" t="s">
        <v>384</v>
      </c>
      <c r="H16" s="33" t="s">
        <v>451</v>
      </c>
      <c r="I16" s="6" t="s">
        <v>426</v>
      </c>
      <c r="J16" s="147" t="s">
        <v>1512</v>
      </c>
    </row>
    <row r="17" spans="1:10" s="11" customFormat="1" ht="157.5" customHeight="1" x14ac:dyDescent="0.2">
      <c r="A17" s="6" t="s">
        <v>288</v>
      </c>
      <c r="B17" s="22" t="s">
        <v>449</v>
      </c>
      <c r="C17" s="22" t="s">
        <v>387</v>
      </c>
      <c r="D17" s="22" t="s">
        <v>385</v>
      </c>
      <c r="E17" s="22" t="s">
        <v>308</v>
      </c>
      <c r="F17" s="22">
        <v>2008</v>
      </c>
      <c r="G17" s="22" t="s">
        <v>386</v>
      </c>
      <c r="H17" s="33" t="s">
        <v>427</v>
      </c>
      <c r="I17" s="6" t="s">
        <v>577</v>
      </c>
      <c r="J17" s="147" t="s">
        <v>1513</v>
      </c>
    </row>
    <row r="18" spans="1:10" s="38" customFormat="1" ht="51" x14ac:dyDescent="0.25">
      <c r="A18" s="16" t="s">
        <v>585</v>
      </c>
      <c r="B18" s="8" t="s">
        <v>85</v>
      </c>
      <c r="C18" s="8" t="s">
        <v>583</v>
      </c>
      <c r="D18" s="18" t="s">
        <v>15</v>
      </c>
      <c r="E18" s="18" t="s">
        <v>242</v>
      </c>
      <c r="F18" s="18">
        <v>2005</v>
      </c>
      <c r="G18" s="8" t="s">
        <v>584</v>
      </c>
      <c r="H18" s="16" t="s">
        <v>586</v>
      </c>
      <c r="I18" s="16" t="s">
        <v>587</v>
      </c>
      <c r="J18" s="16" t="s">
        <v>1514</v>
      </c>
    </row>
    <row r="19" spans="1:10" s="38" customFormat="1" ht="38.25" x14ac:dyDescent="0.25">
      <c r="A19" s="6" t="s">
        <v>672</v>
      </c>
      <c r="B19" s="6" t="s">
        <v>301</v>
      </c>
      <c r="C19" s="22" t="s">
        <v>614</v>
      </c>
      <c r="D19" s="32" t="s">
        <v>24</v>
      </c>
      <c r="E19" s="32" t="s">
        <v>254</v>
      </c>
      <c r="F19" s="32" t="s">
        <v>616</v>
      </c>
      <c r="G19" s="22" t="s">
        <v>429</v>
      </c>
      <c r="H19" s="6" t="s">
        <v>673</v>
      </c>
      <c r="I19" s="6" t="s">
        <v>674</v>
      </c>
      <c r="J19" s="16" t="s">
        <v>1515</v>
      </c>
    </row>
  </sheetData>
  <mergeCells count="1">
    <mergeCell ref="A3:I3"/>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zoomScaleNormal="100" workbookViewId="0">
      <pane xSplit="1" ySplit="4" topLeftCell="B5" activePane="bottomRight" state="frozen"/>
      <selection pane="topRight" activeCell="B1" sqref="B1"/>
      <selection pane="bottomLeft" activeCell="A5" sqref="A5"/>
      <selection pane="bottomRight" activeCell="A5" sqref="A5"/>
    </sheetView>
  </sheetViews>
  <sheetFormatPr defaultColWidth="9.140625" defaultRowHeight="12.75" x14ac:dyDescent="0.2"/>
  <cols>
    <col min="1" max="1" width="13.28515625" style="5" customWidth="1"/>
    <col min="2" max="2" width="24.85546875" style="31" customWidth="1"/>
    <col min="3" max="3" width="54.85546875" style="31" customWidth="1"/>
    <col min="4" max="4" width="80.140625" style="31" customWidth="1"/>
    <col min="5" max="16384" width="9.140625" style="5"/>
  </cols>
  <sheetData>
    <row r="1" spans="1:5" ht="16.5" customHeight="1" x14ac:dyDescent="0.2">
      <c r="A1" s="158"/>
      <c r="B1" s="11"/>
      <c r="C1" s="11"/>
      <c r="D1" s="11"/>
      <c r="E1" s="11"/>
    </row>
    <row r="2" spans="1:5" ht="16.5" customHeight="1" x14ac:dyDescent="0.2">
      <c r="A2" s="123"/>
      <c r="B2" s="123"/>
      <c r="C2" s="123"/>
      <c r="D2" s="123"/>
      <c r="E2" s="11"/>
    </row>
    <row r="3" spans="1:5" x14ac:dyDescent="0.2">
      <c r="A3" s="224" t="s">
        <v>625</v>
      </c>
      <c r="B3" s="225"/>
      <c r="C3" s="225"/>
      <c r="D3" s="226"/>
    </row>
    <row r="4" spans="1:5" s="17" customFormat="1" x14ac:dyDescent="0.25">
      <c r="A4" s="57" t="s">
        <v>17</v>
      </c>
      <c r="B4" s="57" t="s">
        <v>11</v>
      </c>
      <c r="C4" s="57" t="s">
        <v>405</v>
      </c>
      <c r="D4" s="57" t="s">
        <v>406</v>
      </c>
    </row>
    <row r="5" spans="1:5" s="11" customFormat="1" ht="51" x14ac:dyDescent="0.2">
      <c r="A5" s="6" t="s">
        <v>378</v>
      </c>
      <c r="B5" s="22" t="s">
        <v>233</v>
      </c>
      <c r="C5" s="33" t="s">
        <v>437</v>
      </c>
      <c r="D5" s="33" t="s">
        <v>438</v>
      </c>
    </row>
    <row r="6" spans="1:5" s="11" customFormat="1" ht="51" x14ac:dyDescent="0.2">
      <c r="A6" s="6" t="s">
        <v>379</v>
      </c>
      <c r="B6" s="22" t="s">
        <v>261</v>
      </c>
      <c r="C6" s="33" t="s">
        <v>440</v>
      </c>
      <c r="D6" s="33" t="s">
        <v>441</v>
      </c>
    </row>
    <row r="7" spans="1:5" s="11" customFormat="1" ht="51" x14ac:dyDescent="0.2">
      <c r="A7" s="6" t="s">
        <v>381</v>
      </c>
      <c r="B7" s="22" t="s">
        <v>213</v>
      </c>
      <c r="C7" s="33" t="s">
        <v>407</v>
      </c>
      <c r="D7" s="33" t="s">
        <v>439</v>
      </c>
    </row>
    <row r="8" spans="1:5" s="11" customFormat="1" ht="38.25" x14ac:dyDescent="0.2">
      <c r="A8" s="6" t="s">
        <v>382</v>
      </c>
      <c r="B8" s="22" t="s">
        <v>211</v>
      </c>
      <c r="C8" s="33" t="s">
        <v>442</v>
      </c>
      <c r="D8" s="33" t="s">
        <v>452</v>
      </c>
    </row>
  </sheetData>
  <mergeCells count="1">
    <mergeCell ref="A3:D3"/>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pane ySplit="4" topLeftCell="A5" activePane="bottomLeft" state="frozen"/>
      <selection pane="bottomLeft"/>
    </sheetView>
  </sheetViews>
  <sheetFormatPr defaultColWidth="9.140625" defaultRowHeight="15" x14ac:dyDescent="0.25"/>
  <cols>
    <col min="1" max="1" width="24.7109375" style="45" customWidth="1"/>
    <col min="2" max="2" width="114.42578125" style="46" customWidth="1"/>
    <col min="3" max="3" width="44.42578125" style="47" customWidth="1"/>
    <col min="4" max="16384" width="9.140625" style="43"/>
  </cols>
  <sheetData>
    <row r="1" spans="1:5" s="5" customFormat="1" ht="16.5" customHeight="1" x14ac:dyDescent="0.2">
      <c r="A1" s="158"/>
      <c r="B1" s="11"/>
      <c r="C1" s="11"/>
      <c r="D1" s="11"/>
      <c r="E1" s="11"/>
    </row>
    <row r="2" spans="1:5" s="5" customFormat="1" ht="16.5" customHeight="1" x14ac:dyDescent="0.2">
      <c r="A2" s="123"/>
      <c r="B2" s="123"/>
      <c r="C2" s="123"/>
      <c r="D2" s="123"/>
      <c r="E2" s="11"/>
    </row>
    <row r="3" spans="1:5" x14ac:dyDescent="0.25">
      <c r="A3" s="231" t="s">
        <v>1723</v>
      </c>
      <c r="B3" s="231"/>
      <c r="C3" s="231"/>
    </row>
    <row r="4" spans="1:5" x14ac:dyDescent="0.25">
      <c r="A4" s="148" t="s">
        <v>323</v>
      </c>
      <c r="B4" s="148" t="s">
        <v>324</v>
      </c>
      <c r="C4" s="148" t="s">
        <v>9</v>
      </c>
    </row>
    <row r="5" spans="1:5" s="44" customFormat="1" ht="16.5" customHeight="1" x14ac:dyDescent="0.25">
      <c r="A5" s="230" t="s">
        <v>462</v>
      </c>
      <c r="B5" s="230"/>
      <c r="C5" s="230"/>
    </row>
    <row r="6" spans="1:5" ht="25.5" x14ac:dyDescent="0.25">
      <c r="A6" s="8" t="s">
        <v>498</v>
      </c>
      <c r="B6" s="16" t="s">
        <v>511</v>
      </c>
      <c r="C6" s="30" t="s">
        <v>499</v>
      </c>
    </row>
    <row r="7" spans="1:5" ht="25.5" x14ac:dyDescent="0.25">
      <c r="A7" s="8" t="s">
        <v>470</v>
      </c>
      <c r="B7" s="16" t="s">
        <v>482</v>
      </c>
      <c r="C7" s="30" t="s">
        <v>475</v>
      </c>
    </row>
    <row r="8" spans="1:5" ht="25.5" x14ac:dyDescent="0.25">
      <c r="A8" s="8" t="s">
        <v>518</v>
      </c>
      <c r="B8" s="16" t="s">
        <v>512</v>
      </c>
      <c r="C8" s="30" t="s">
        <v>500</v>
      </c>
    </row>
    <row r="9" spans="1:5" ht="38.25" x14ac:dyDescent="0.25">
      <c r="A9" s="8" t="s">
        <v>459</v>
      </c>
      <c r="B9" s="16" t="s">
        <v>461</v>
      </c>
      <c r="C9" s="30" t="s">
        <v>494</v>
      </c>
    </row>
    <row r="10" spans="1:5" ht="25.5" x14ac:dyDescent="0.25">
      <c r="A10" s="8" t="s">
        <v>544</v>
      </c>
      <c r="B10" s="16" t="s">
        <v>545</v>
      </c>
      <c r="C10" s="30" t="s">
        <v>546</v>
      </c>
    </row>
    <row r="11" spans="1:5" ht="25.5" x14ac:dyDescent="0.25">
      <c r="A11" s="8" t="s">
        <v>473</v>
      </c>
      <c r="B11" s="16" t="s">
        <v>486</v>
      </c>
      <c r="C11" s="30" t="s">
        <v>471</v>
      </c>
    </row>
    <row r="12" spans="1:5" ht="38.25" x14ac:dyDescent="0.25">
      <c r="A12" s="8" t="s">
        <v>501</v>
      </c>
      <c r="B12" s="16" t="s">
        <v>514</v>
      </c>
      <c r="C12" s="30" t="s">
        <v>502</v>
      </c>
    </row>
    <row r="13" spans="1:5" ht="38.25" x14ac:dyDescent="0.25">
      <c r="A13" s="8" t="s">
        <v>489</v>
      </c>
      <c r="B13" s="16" t="s">
        <v>488</v>
      </c>
      <c r="C13" s="30" t="s">
        <v>467</v>
      </c>
    </row>
    <row r="14" spans="1:5" ht="25.5" x14ac:dyDescent="0.25">
      <c r="A14" s="8" t="s">
        <v>468</v>
      </c>
      <c r="B14" s="16" t="s">
        <v>490</v>
      </c>
      <c r="C14" s="30" t="s">
        <v>467</v>
      </c>
    </row>
    <row r="15" spans="1:5" ht="25.5" x14ac:dyDescent="0.25">
      <c r="A15" s="8" t="s">
        <v>466</v>
      </c>
      <c r="B15" s="16" t="s">
        <v>491</v>
      </c>
      <c r="C15" s="30" t="s">
        <v>467</v>
      </c>
    </row>
    <row r="16" spans="1:5" ht="25.5" x14ac:dyDescent="0.25">
      <c r="A16" s="8" t="s">
        <v>519</v>
      </c>
      <c r="B16" s="16" t="s">
        <v>520</v>
      </c>
      <c r="C16" s="30" t="s">
        <v>521</v>
      </c>
    </row>
    <row r="17" spans="1:3" ht="25.5" x14ac:dyDescent="0.25">
      <c r="A17" s="8" t="s">
        <v>497</v>
      </c>
      <c r="B17" s="16" t="s">
        <v>492</v>
      </c>
      <c r="C17" s="30" t="s">
        <v>471</v>
      </c>
    </row>
    <row r="18" spans="1:3" ht="25.5" x14ac:dyDescent="0.25">
      <c r="A18" s="8" t="s">
        <v>291</v>
      </c>
      <c r="B18" s="16" t="s">
        <v>359</v>
      </c>
      <c r="C18" s="30" t="s">
        <v>493</v>
      </c>
    </row>
    <row r="19" spans="1:3" ht="25.5" x14ac:dyDescent="0.25">
      <c r="A19" s="8" t="s">
        <v>469</v>
      </c>
      <c r="B19" s="16" t="s">
        <v>465</v>
      </c>
      <c r="C19" s="30" t="s">
        <v>496</v>
      </c>
    </row>
    <row r="20" spans="1:3" ht="25.5" x14ac:dyDescent="0.25">
      <c r="A20" s="8" t="s">
        <v>508</v>
      </c>
      <c r="B20" s="16" t="s">
        <v>517</v>
      </c>
      <c r="C20" s="30" t="s">
        <v>509</v>
      </c>
    </row>
    <row r="21" spans="1:3" ht="25.5" x14ac:dyDescent="0.25">
      <c r="A21" s="8" t="s">
        <v>522</v>
      </c>
      <c r="B21" s="16" t="s">
        <v>523</v>
      </c>
      <c r="C21" s="30" t="s">
        <v>524</v>
      </c>
    </row>
    <row r="22" spans="1:3" s="44" customFormat="1" ht="16.5" customHeight="1" x14ac:dyDescent="0.25">
      <c r="A22" s="230" t="s">
        <v>463</v>
      </c>
      <c r="B22" s="230"/>
      <c r="C22" s="230"/>
    </row>
    <row r="23" spans="1:3" ht="38.25" x14ac:dyDescent="0.25">
      <c r="A23" s="8" t="s">
        <v>476</v>
      </c>
      <c r="B23" s="16" t="s">
        <v>481</v>
      </c>
      <c r="C23" s="30" t="s">
        <v>477</v>
      </c>
    </row>
    <row r="24" spans="1:3" ht="25.5" x14ac:dyDescent="0.25">
      <c r="A24" s="8" t="s">
        <v>540</v>
      </c>
      <c r="B24" s="16" t="s">
        <v>578</v>
      </c>
      <c r="C24" s="30" t="s">
        <v>541</v>
      </c>
    </row>
    <row r="25" spans="1:3" ht="25.5" x14ac:dyDescent="0.25">
      <c r="A25" s="8" t="s">
        <v>470</v>
      </c>
      <c r="B25" s="16" t="s">
        <v>482</v>
      </c>
      <c r="C25" s="30" t="s">
        <v>479</v>
      </c>
    </row>
    <row r="26" spans="1:3" ht="25.5" x14ac:dyDescent="0.25">
      <c r="A26" s="8" t="s">
        <v>542</v>
      </c>
      <c r="B26" s="16" t="s">
        <v>579</v>
      </c>
      <c r="C26" s="30"/>
    </row>
    <row r="27" spans="1:3" ht="25.5" x14ac:dyDescent="0.25">
      <c r="A27" s="8" t="s">
        <v>534</v>
      </c>
      <c r="B27" s="16" t="s">
        <v>538</v>
      </c>
      <c r="C27" s="30" t="s">
        <v>539</v>
      </c>
    </row>
    <row r="28" spans="1:3" ht="25.5" x14ac:dyDescent="0.25">
      <c r="A28" s="8" t="s">
        <v>543</v>
      </c>
      <c r="B28" s="16" t="s">
        <v>580</v>
      </c>
      <c r="C28" s="30"/>
    </row>
    <row r="29" spans="1:3" ht="25.5" x14ac:dyDescent="0.25">
      <c r="A29" s="8" t="s">
        <v>528</v>
      </c>
      <c r="B29" s="16" t="s">
        <v>529</v>
      </c>
      <c r="C29" s="30" t="s">
        <v>530</v>
      </c>
    </row>
    <row r="30" spans="1:3" ht="25.5" x14ac:dyDescent="0.25">
      <c r="A30" s="8" t="s">
        <v>505</v>
      </c>
      <c r="B30" s="16" t="s">
        <v>513</v>
      </c>
      <c r="C30" s="30" t="s">
        <v>506</v>
      </c>
    </row>
    <row r="31" spans="1:3" ht="25.5" x14ac:dyDescent="0.25">
      <c r="A31" s="8" t="s">
        <v>460</v>
      </c>
      <c r="B31" s="16" t="s">
        <v>464</v>
      </c>
      <c r="C31" s="30" t="s">
        <v>495</v>
      </c>
    </row>
    <row r="32" spans="1:3" ht="25.5" x14ac:dyDescent="0.25">
      <c r="A32" s="8" t="s">
        <v>484</v>
      </c>
      <c r="B32" s="16" t="s">
        <v>483</v>
      </c>
      <c r="C32" s="30" t="s">
        <v>472</v>
      </c>
    </row>
    <row r="33" spans="1:3" ht="38.25" x14ac:dyDescent="0.25">
      <c r="A33" s="8" t="s">
        <v>531</v>
      </c>
      <c r="B33" s="16" t="s">
        <v>532</v>
      </c>
      <c r="C33" s="30" t="s">
        <v>533</v>
      </c>
    </row>
    <row r="34" spans="1:3" ht="38.25" x14ac:dyDescent="0.25">
      <c r="A34" s="8" t="s">
        <v>478</v>
      </c>
      <c r="B34" s="16" t="s">
        <v>485</v>
      </c>
      <c r="C34" s="30" t="s">
        <v>477</v>
      </c>
    </row>
    <row r="35" spans="1:3" ht="25.5" x14ac:dyDescent="0.25">
      <c r="A35" s="8" t="s">
        <v>474</v>
      </c>
      <c r="B35" s="16" t="s">
        <v>487</v>
      </c>
      <c r="C35" s="30" t="s">
        <v>480</v>
      </c>
    </row>
    <row r="36" spans="1:3" ht="25.5" x14ac:dyDescent="0.25">
      <c r="A36" s="8" t="s">
        <v>547</v>
      </c>
      <c r="B36" s="16" t="s">
        <v>581</v>
      </c>
      <c r="C36" s="30"/>
    </row>
    <row r="37" spans="1:3" ht="25.5" x14ac:dyDescent="0.25">
      <c r="A37" s="8" t="s">
        <v>507</v>
      </c>
      <c r="B37" s="16" t="s">
        <v>515</v>
      </c>
      <c r="C37" s="30" t="s">
        <v>510</v>
      </c>
    </row>
    <row r="38" spans="1:3" ht="25.5" x14ac:dyDescent="0.25">
      <c r="A38" s="8" t="s">
        <v>549</v>
      </c>
      <c r="B38" s="16" t="s">
        <v>582</v>
      </c>
      <c r="C38" s="30" t="s">
        <v>548</v>
      </c>
    </row>
    <row r="39" spans="1:3" ht="25.5" x14ac:dyDescent="0.25">
      <c r="A39" s="22" t="s">
        <v>503</v>
      </c>
      <c r="B39" s="16" t="s">
        <v>516</v>
      </c>
      <c r="C39" s="33" t="s">
        <v>504</v>
      </c>
    </row>
    <row r="40" spans="1:3" ht="38.25" x14ac:dyDescent="0.25">
      <c r="A40" s="22" t="s">
        <v>552</v>
      </c>
      <c r="B40" s="16" t="s">
        <v>550</v>
      </c>
      <c r="C40" s="33" t="s">
        <v>551</v>
      </c>
    </row>
    <row r="41" spans="1:3" ht="25.5" x14ac:dyDescent="0.25">
      <c r="A41" s="22" t="s">
        <v>525</v>
      </c>
      <c r="B41" s="16" t="s">
        <v>526</v>
      </c>
      <c r="C41" s="33" t="s">
        <v>527</v>
      </c>
    </row>
  </sheetData>
  <sortState ref="A13:C18">
    <sortCondition ref="A13:A18"/>
  </sortState>
  <mergeCells count="3">
    <mergeCell ref="A5:C5"/>
    <mergeCell ref="A22:C22"/>
    <mergeCell ref="A3:C3"/>
  </mergeCell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7"/>
  <sheetViews>
    <sheetView showGridLines="0" zoomScaleNormal="100" workbookViewId="0">
      <pane ySplit="3" topLeftCell="A4" activePane="bottomLeft" state="frozen"/>
      <selection pane="bottomLeft" activeCell="A132" sqref="A132:XFD132"/>
    </sheetView>
  </sheetViews>
  <sheetFormatPr defaultColWidth="9.140625" defaultRowHeight="15" x14ac:dyDescent="0.25"/>
  <cols>
    <col min="1" max="1" width="40.140625" style="43" bestFit="1" customWidth="1"/>
    <col min="2" max="2" width="131.5703125" style="43" customWidth="1"/>
    <col min="3" max="16384" width="9.140625" style="43"/>
  </cols>
  <sheetData>
    <row r="1" spans="1:5" s="5" customFormat="1" ht="16.5" customHeight="1" x14ac:dyDescent="0.2">
      <c r="A1" s="158"/>
      <c r="B1" s="11"/>
      <c r="C1" s="11"/>
      <c r="D1" s="11"/>
      <c r="E1" s="11"/>
    </row>
    <row r="2" spans="1:5" s="5" customFormat="1" ht="16.5" customHeight="1" x14ac:dyDescent="0.2">
      <c r="A2" s="123"/>
      <c r="B2" s="123"/>
      <c r="C2" s="123"/>
      <c r="D2" s="123"/>
      <c r="E2" s="11"/>
    </row>
    <row r="3" spans="1:5" x14ac:dyDescent="0.25">
      <c r="A3" s="148" t="s">
        <v>323</v>
      </c>
      <c r="B3" s="148" t="s">
        <v>324</v>
      </c>
    </row>
    <row r="4" spans="1:5" ht="30" x14ac:dyDescent="0.25">
      <c r="A4" s="161" t="s">
        <v>295</v>
      </c>
      <c r="B4" s="161" t="s">
        <v>325</v>
      </c>
    </row>
    <row r="5" spans="1:5" ht="30" x14ac:dyDescent="0.25">
      <c r="A5" s="161" t="s">
        <v>476</v>
      </c>
      <c r="B5" s="59" t="s">
        <v>481</v>
      </c>
    </row>
    <row r="6" spans="1:5" ht="30" x14ac:dyDescent="0.25">
      <c r="A6" s="161" t="s">
        <v>540</v>
      </c>
      <c r="B6" s="59" t="s">
        <v>643</v>
      </c>
    </row>
    <row r="7" spans="1:5" ht="30" x14ac:dyDescent="0.25">
      <c r="A7" s="161" t="s">
        <v>326</v>
      </c>
      <c r="B7" s="161" t="s">
        <v>327</v>
      </c>
    </row>
    <row r="8" spans="1:5" ht="30" x14ac:dyDescent="0.25">
      <c r="A8" s="161" t="s">
        <v>74</v>
      </c>
      <c r="B8" s="161" t="s">
        <v>328</v>
      </c>
    </row>
    <row r="9" spans="1:5" ht="30" x14ac:dyDescent="0.25">
      <c r="A9" s="161" t="s">
        <v>597</v>
      </c>
      <c r="B9" s="59" t="s">
        <v>621</v>
      </c>
    </row>
    <row r="10" spans="1:5" x14ac:dyDescent="0.25">
      <c r="A10" s="161" t="s">
        <v>287</v>
      </c>
      <c r="B10" s="161" t="s">
        <v>329</v>
      </c>
    </row>
    <row r="11" spans="1:5" ht="30" x14ac:dyDescent="0.25">
      <c r="A11" s="161" t="s">
        <v>498</v>
      </c>
      <c r="B11" s="161" t="s">
        <v>511</v>
      </c>
    </row>
    <row r="12" spans="1:5" ht="45" x14ac:dyDescent="0.25">
      <c r="A12" s="161" t="s">
        <v>637</v>
      </c>
      <c r="B12" s="162" t="s">
        <v>650</v>
      </c>
    </row>
    <row r="13" spans="1:5" x14ac:dyDescent="0.25">
      <c r="A13" s="161" t="s">
        <v>1313</v>
      </c>
      <c r="B13" s="161" t="s">
        <v>1417</v>
      </c>
    </row>
    <row r="14" spans="1:5" x14ac:dyDescent="0.25">
      <c r="A14" s="161" t="s">
        <v>1324</v>
      </c>
      <c r="B14" s="161" t="s">
        <v>1418</v>
      </c>
    </row>
    <row r="15" spans="1:5" ht="45" x14ac:dyDescent="0.25">
      <c r="A15" s="161" t="s">
        <v>330</v>
      </c>
      <c r="B15" s="161" t="s">
        <v>331</v>
      </c>
    </row>
    <row r="16" spans="1:5" ht="29.25" customHeight="1" x14ac:dyDescent="0.25">
      <c r="A16" s="161" t="s">
        <v>1329</v>
      </c>
      <c r="B16" s="161" t="s">
        <v>1419</v>
      </c>
    </row>
    <row r="17" spans="1:2" ht="30" x14ac:dyDescent="0.25">
      <c r="A17" s="161" t="s">
        <v>470</v>
      </c>
      <c r="B17" s="161" t="s">
        <v>482</v>
      </c>
    </row>
    <row r="18" spans="1:2" ht="30" x14ac:dyDescent="0.25">
      <c r="A18" s="161" t="s">
        <v>179</v>
      </c>
      <c r="B18" s="161" t="s">
        <v>332</v>
      </c>
    </row>
    <row r="19" spans="1:2" ht="30" x14ac:dyDescent="0.25">
      <c r="A19" s="161" t="s">
        <v>629</v>
      </c>
      <c r="B19" s="162" t="s">
        <v>670</v>
      </c>
    </row>
    <row r="20" spans="1:2" x14ac:dyDescent="0.25">
      <c r="A20" s="161" t="s">
        <v>1338</v>
      </c>
      <c r="B20" s="161" t="s">
        <v>1420</v>
      </c>
    </row>
    <row r="21" spans="1:2" ht="30" x14ac:dyDescent="0.25">
      <c r="A21" s="161" t="s">
        <v>296</v>
      </c>
      <c r="B21" s="163" t="s">
        <v>333</v>
      </c>
    </row>
    <row r="22" spans="1:2" ht="30" x14ac:dyDescent="0.25">
      <c r="A22" s="161" t="s">
        <v>278</v>
      </c>
      <c r="B22" s="163" t="s">
        <v>375</v>
      </c>
    </row>
    <row r="23" spans="1:2" ht="30" x14ac:dyDescent="0.25">
      <c r="A23" s="161" t="s">
        <v>542</v>
      </c>
      <c r="B23" s="59" t="s">
        <v>644</v>
      </c>
    </row>
    <row r="24" spans="1:2" ht="30" x14ac:dyDescent="0.25">
      <c r="A24" s="161" t="s">
        <v>631</v>
      </c>
      <c r="B24" s="164" t="s">
        <v>655</v>
      </c>
    </row>
    <row r="25" spans="1:2" ht="30" x14ac:dyDescent="0.25">
      <c r="A25" s="161" t="s">
        <v>378</v>
      </c>
      <c r="B25" s="164" t="s">
        <v>640</v>
      </c>
    </row>
    <row r="26" spans="1:2" ht="30" x14ac:dyDescent="0.25">
      <c r="A26" s="161" t="s">
        <v>1348</v>
      </c>
      <c r="B26" s="163" t="s">
        <v>1421</v>
      </c>
    </row>
    <row r="27" spans="1:2" x14ac:dyDescent="0.25">
      <c r="A27" s="161" t="s">
        <v>294</v>
      </c>
      <c r="B27" s="161" t="s">
        <v>334</v>
      </c>
    </row>
    <row r="28" spans="1:2" ht="30" x14ac:dyDescent="0.25">
      <c r="A28" s="161" t="s">
        <v>1354</v>
      </c>
      <c r="B28" s="161" t="s">
        <v>1422</v>
      </c>
    </row>
    <row r="29" spans="1:2" ht="30" x14ac:dyDescent="0.25">
      <c r="A29" s="161" t="s">
        <v>392</v>
      </c>
      <c r="B29" s="161" t="s">
        <v>603</v>
      </c>
    </row>
    <row r="30" spans="1:2" x14ac:dyDescent="0.25">
      <c r="A30" s="161" t="s">
        <v>1369</v>
      </c>
      <c r="B30" s="161" t="s">
        <v>1423</v>
      </c>
    </row>
    <row r="31" spans="1:2" ht="30" x14ac:dyDescent="0.25">
      <c r="A31" s="161" t="s">
        <v>335</v>
      </c>
      <c r="B31" s="161" t="s">
        <v>336</v>
      </c>
    </row>
    <row r="32" spans="1:2" ht="30" x14ac:dyDescent="0.25">
      <c r="A32" s="161" t="s">
        <v>109</v>
      </c>
      <c r="B32" s="162" t="s">
        <v>671</v>
      </c>
    </row>
    <row r="33" spans="1:2" ht="30" x14ac:dyDescent="0.25">
      <c r="A33" s="162" t="s">
        <v>337</v>
      </c>
      <c r="B33" s="161" t="s">
        <v>338</v>
      </c>
    </row>
    <row r="34" spans="1:2" ht="30" x14ac:dyDescent="0.25">
      <c r="A34" s="162" t="s">
        <v>611</v>
      </c>
      <c r="B34" s="162" t="s">
        <v>681</v>
      </c>
    </row>
    <row r="35" spans="1:2" ht="30" x14ac:dyDescent="0.25">
      <c r="A35" s="161" t="s">
        <v>534</v>
      </c>
      <c r="B35" s="59" t="s">
        <v>538</v>
      </c>
    </row>
    <row r="36" spans="1:2" ht="30" x14ac:dyDescent="0.25">
      <c r="A36" s="161" t="s">
        <v>22</v>
      </c>
      <c r="B36" s="161" t="s">
        <v>340</v>
      </c>
    </row>
    <row r="37" spans="1:2" x14ac:dyDescent="0.25">
      <c r="A37" s="162" t="s">
        <v>106</v>
      </c>
      <c r="B37" s="161" t="s">
        <v>339</v>
      </c>
    </row>
    <row r="38" spans="1:2" ht="30" x14ac:dyDescent="0.25">
      <c r="A38" s="161" t="s">
        <v>518</v>
      </c>
      <c r="B38" s="59" t="s">
        <v>512</v>
      </c>
    </row>
    <row r="39" spans="1:2" ht="30" x14ac:dyDescent="0.25">
      <c r="A39" s="161" t="s">
        <v>370</v>
      </c>
      <c r="B39" s="161" t="s">
        <v>604</v>
      </c>
    </row>
    <row r="40" spans="1:2" ht="30" x14ac:dyDescent="0.25">
      <c r="A40" s="161" t="s">
        <v>543</v>
      </c>
      <c r="B40" s="59" t="s">
        <v>645</v>
      </c>
    </row>
    <row r="41" spans="1:2" ht="45" x14ac:dyDescent="0.25">
      <c r="A41" s="161" t="s">
        <v>288</v>
      </c>
      <c r="B41" s="161" t="s">
        <v>341</v>
      </c>
    </row>
    <row r="42" spans="1:2" ht="30" x14ac:dyDescent="0.25">
      <c r="A42" s="161" t="s">
        <v>342</v>
      </c>
      <c r="B42" s="161" t="s">
        <v>343</v>
      </c>
    </row>
    <row r="43" spans="1:2" ht="30" x14ac:dyDescent="0.25">
      <c r="A43" s="161" t="s">
        <v>607</v>
      </c>
      <c r="B43" s="162" t="s">
        <v>659</v>
      </c>
    </row>
    <row r="44" spans="1:2" x14ac:dyDescent="0.25">
      <c r="A44" s="161" t="s">
        <v>459</v>
      </c>
      <c r="B44" s="59" t="s">
        <v>461</v>
      </c>
    </row>
    <row r="45" spans="1:2" x14ac:dyDescent="0.25">
      <c r="A45" s="161" t="s">
        <v>1376</v>
      </c>
      <c r="B45" s="161" t="s">
        <v>1424</v>
      </c>
    </row>
    <row r="46" spans="1:2" x14ac:dyDescent="0.25">
      <c r="A46" s="161" t="s">
        <v>29</v>
      </c>
      <c r="B46" s="161" t="s">
        <v>344</v>
      </c>
    </row>
    <row r="47" spans="1:2" ht="30" x14ac:dyDescent="0.25">
      <c r="A47" s="161" t="s">
        <v>609</v>
      </c>
      <c r="B47" s="161" t="s">
        <v>663</v>
      </c>
    </row>
    <row r="48" spans="1:2" ht="30" x14ac:dyDescent="0.25">
      <c r="A48" s="161" t="s">
        <v>64</v>
      </c>
      <c r="B48" s="161" t="s">
        <v>345</v>
      </c>
    </row>
    <row r="49" spans="1:2" ht="45" x14ac:dyDescent="0.25">
      <c r="A49" s="161" t="s">
        <v>394</v>
      </c>
      <c r="B49" s="161" t="s">
        <v>398</v>
      </c>
    </row>
    <row r="50" spans="1:2" ht="30" x14ac:dyDescent="0.25">
      <c r="A50" s="161" t="s">
        <v>297</v>
      </c>
      <c r="B50" s="161" t="s">
        <v>346</v>
      </c>
    </row>
    <row r="51" spans="1:2" x14ac:dyDescent="0.25">
      <c r="A51" s="161" t="s">
        <v>596</v>
      </c>
      <c r="B51" s="162" t="s">
        <v>638</v>
      </c>
    </row>
    <row r="52" spans="1:2" ht="30" x14ac:dyDescent="0.25">
      <c r="A52" s="161" t="s">
        <v>528</v>
      </c>
      <c r="B52" s="59" t="s">
        <v>529</v>
      </c>
    </row>
    <row r="53" spans="1:2" s="48" customFormat="1" ht="30" x14ac:dyDescent="0.25">
      <c r="A53" s="161" t="s">
        <v>505</v>
      </c>
      <c r="B53" s="59" t="s">
        <v>513</v>
      </c>
    </row>
    <row r="54" spans="1:2" s="48" customFormat="1" x14ac:dyDescent="0.25">
      <c r="A54" s="161" t="s">
        <v>374</v>
      </c>
      <c r="B54" s="161" t="s">
        <v>373</v>
      </c>
    </row>
    <row r="55" spans="1:2" ht="30" x14ac:dyDescent="0.25">
      <c r="A55" s="161" t="s">
        <v>634</v>
      </c>
      <c r="B55" s="162" t="s">
        <v>651</v>
      </c>
    </row>
    <row r="56" spans="1:2" ht="30" x14ac:dyDescent="0.25">
      <c r="A56" s="161" t="s">
        <v>1425</v>
      </c>
      <c r="B56" s="161" t="s">
        <v>1426</v>
      </c>
    </row>
    <row r="57" spans="1:2" ht="30" x14ac:dyDescent="0.25">
      <c r="A57" s="161" t="s">
        <v>460</v>
      </c>
      <c r="B57" s="59" t="s">
        <v>464</v>
      </c>
    </row>
    <row r="58" spans="1:2" x14ac:dyDescent="0.25">
      <c r="A58" s="161" t="s">
        <v>484</v>
      </c>
      <c r="B58" s="59" t="s">
        <v>483</v>
      </c>
    </row>
    <row r="59" spans="1:2" ht="30" x14ac:dyDescent="0.25">
      <c r="A59" s="161" t="s">
        <v>544</v>
      </c>
      <c r="B59" s="59" t="s">
        <v>545</v>
      </c>
    </row>
    <row r="60" spans="1:2" ht="30" x14ac:dyDescent="0.25">
      <c r="A60" s="161" t="s">
        <v>26</v>
      </c>
      <c r="B60" s="161" t="s">
        <v>347</v>
      </c>
    </row>
    <row r="61" spans="1:2" x14ac:dyDescent="0.25">
      <c r="A61" s="161" t="s">
        <v>1395</v>
      </c>
      <c r="B61" s="161" t="s">
        <v>1427</v>
      </c>
    </row>
    <row r="62" spans="1:2" ht="30" x14ac:dyDescent="0.25">
      <c r="A62" s="161" t="s">
        <v>675</v>
      </c>
      <c r="B62" s="161" t="s">
        <v>676</v>
      </c>
    </row>
    <row r="63" spans="1:2" ht="30" x14ac:dyDescent="0.25">
      <c r="A63" s="161" t="s">
        <v>628</v>
      </c>
      <c r="B63" s="162" t="s">
        <v>648</v>
      </c>
    </row>
    <row r="64" spans="1:2" ht="30" x14ac:dyDescent="0.25">
      <c r="A64" s="161" t="s">
        <v>280</v>
      </c>
      <c r="B64" s="59" t="s">
        <v>622</v>
      </c>
    </row>
    <row r="65" spans="1:2" ht="45" x14ac:dyDescent="0.25">
      <c r="A65" s="161" t="s">
        <v>608</v>
      </c>
      <c r="B65" s="162" t="s">
        <v>652</v>
      </c>
    </row>
    <row r="66" spans="1:2" ht="30" x14ac:dyDescent="0.25">
      <c r="A66" s="161" t="s">
        <v>27</v>
      </c>
      <c r="B66" s="161" t="s">
        <v>348</v>
      </c>
    </row>
    <row r="67" spans="1:2" ht="30" x14ac:dyDescent="0.25">
      <c r="A67" s="161" t="s">
        <v>531</v>
      </c>
      <c r="B67" s="59" t="s">
        <v>532</v>
      </c>
    </row>
    <row r="68" spans="1:2" ht="30" x14ac:dyDescent="0.25">
      <c r="A68" s="161" t="s">
        <v>478</v>
      </c>
      <c r="B68" s="59" t="s">
        <v>485</v>
      </c>
    </row>
    <row r="69" spans="1:2" ht="30" x14ac:dyDescent="0.25">
      <c r="A69" s="161" t="s">
        <v>349</v>
      </c>
      <c r="B69" s="161" t="s">
        <v>350</v>
      </c>
    </row>
    <row r="70" spans="1:2" ht="30" x14ac:dyDescent="0.25">
      <c r="A70" s="161" t="s">
        <v>1881</v>
      </c>
      <c r="B70" s="161" t="s">
        <v>1885</v>
      </c>
    </row>
    <row r="71" spans="1:2" ht="30" x14ac:dyDescent="0.25">
      <c r="A71" s="161" t="s">
        <v>351</v>
      </c>
      <c r="B71" s="161" t="s">
        <v>352</v>
      </c>
    </row>
    <row r="72" spans="1:2" x14ac:dyDescent="0.25">
      <c r="A72" s="161" t="s">
        <v>1399</v>
      </c>
      <c r="B72" s="161" t="s">
        <v>1428</v>
      </c>
    </row>
    <row r="73" spans="1:2" x14ac:dyDescent="0.25">
      <c r="A73" s="161" t="s">
        <v>473</v>
      </c>
      <c r="B73" s="59" t="s">
        <v>486</v>
      </c>
    </row>
    <row r="74" spans="1:2" ht="30" x14ac:dyDescent="0.25">
      <c r="A74" s="161" t="s">
        <v>82</v>
      </c>
      <c r="B74" s="161" t="s">
        <v>353</v>
      </c>
    </row>
    <row r="75" spans="1:2" x14ac:dyDescent="0.25">
      <c r="A75" s="161" t="s">
        <v>293</v>
      </c>
      <c r="B75" s="161" t="s">
        <v>354</v>
      </c>
    </row>
    <row r="76" spans="1:2" ht="30" x14ac:dyDescent="0.25">
      <c r="A76" s="161" t="s">
        <v>289</v>
      </c>
      <c r="B76" s="161" t="s">
        <v>355</v>
      </c>
    </row>
    <row r="77" spans="1:2" ht="45" x14ac:dyDescent="0.25">
      <c r="A77" s="59" t="s">
        <v>501</v>
      </c>
      <c r="B77" s="59" t="s">
        <v>514</v>
      </c>
    </row>
    <row r="78" spans="1:2" x14ac:dyDescent="0.25">
      <c r="A78" s="161" t="s">
        <v>474</v>
      </c>
      <c r="B78" s="59" t="s">
        <v>487</v>
      </c>
    </row>
    <row r="79" spans="1:2" ht="45" x14ac:dyDescent="0.25">
      <c r="A79" s="161" t="s">
        <v>489</v>
      </c>
      <c r="B79" s="59" t="s">
        <v>488</v>
      </c>
    </row>
    <row r="80" spans="1:2" ht="30" x14ac:dyDescent="0.25">
      <c r="A80" s="161" t="s">
        <v>468</v>
      </c>
      <c r="B80" s="59" t="s">
        <v>490</v>
      </c>
    </row>
    <row r="81" spans="1:2" x14ac:dyDescent="0.25">
      <c r="A81" s="161" t="s">
        <v>320</v>
      </c>
      <c r="B81" s="161" t="s">
        <v>369</v>
      </c>
    </row>
    <row r="82" spans="1:2" ht="30" x14ac:dyDescent="0.25">
      <c r="A82" s="161" t="s">
        <v>547</v>
      </c>
      <c r="B82" s="59" t="s">
        <v>646</v>
      </c>
    </row>
    <row r="83" spans="1:2" ht="30" x14ac:dyDescent="0.25">
      <c r="A83" s="161" t="s">
        <v>466</v>
      </c>
      <c r="B83" s="59" t="s">
        <v>491</v>
      </c>
    </row>
    <row r="84" spans="1:2" ht="30" x14ac:dyDescent="0.25">
      <c r="A84" s="161" t="s">
        <v>519</v>
      </c>
      <c r="B84" s="59" t="s">
        <v>520</v>
      </c>
    </row>
    <row r="85" spans="1:2" x14ac:dyDescent="0.25">
      <c r="A85" s="161" t="s">
        <v>1843</v>
      </c>
      <c r="B85" s="161" t="s">
        <v>1844</v>
      </c>
    </row>
    <row r="86" spans="1:2" ht="30" x14ac:dyDescent="0.25">
      <c r="A86" s="161" t="s">
        <v>61</v>
      </c>
      <c r="B86" s="161" t="s">
        <v>356</v>
      </c>
    </row>
    <row r="87" spans="1:2" ht="30" x14ac:dyDescent="0.25">
      <c r="A87" s="161" t="s">
        <v>20</v>
      </c>
      <c r="B87" s="161" t="s">
        <v>456</v>
      </c>
    </row>
    <row r="88" spans="1:2" ht="30" x14ac:dyDescent="0.25">
      <c r="A88" s="161" t="s">
        <v>635</v>
      </c>
      <c r="B88" s="162" t="s">
        <v>682</v>
      </c>
    </row>
    <row r="89" spans="1:2" x14ac:dyDescent="0.25">
      <c r="A89" s="161" t="s">
        <v>292</v>
      </c>
      <c r="B89" s="161" t="s">
        <v>357</v>
      </c>
    </row>
    <row r="90" spans="1:2" x14ac:dyDescent="0.25">
      <c r="A90" s="161" t="s">
        <v>497</v>
      </c>
      <c r="B90" s="59" t="s">
        <v>492</v>
      </c>
    </row>
    <row r="91" spans="1:2" ht="30" x14ac:dyDescent="0.25">
      <c r="A91" s="161" t="s">
        <v>1490</v>
      </c>
      <c r="B91" s="161" t="s">
        <v>1496</v>
      </c>
    </row>
    <row r="92" spans="1:2" ht="30" x14ac:dyDescent="0.25">
      <c r="A92" s="161" t="s">
        <v>47</v>
      </c>
      <c r="B92" s="161" t="s">
        <v>358</v>
      </c>
    </row>
    <row r="93" spans="1:2" ht="30" x14ac:dyDescent="0.25">
      <c r="A93" s="161" t="s">
        <v>585</v>
      </c>
      <c r="B93" s="161" t="s">
        <v>588</v>
      </c>
    </row>
    <row r="94" spans="1:2" x14ac:dyDescent="0.25">
      <c r="A94" s="161" t="s">
        <v>1402</v>
      </c>
      <c r="B94" s="161" t="s">
        <v>1429</v>
      </c>
    </row>
    <row r="95" spans="1:2" customFormat="1" ht="45" x14ac:dyDescent="0.25">
      <c r="A95" s="161" t="s">
        <v>606</v>
      </c>
      <c r="B95" s="162" t="s">
        <v>679</v>
      </c>
    </row>
    <row r="96" spans="1:2" ht="30" x14ac:dyDescent="0.25">
      <c r="A96" s="161" t="s">
        <v>291</v>
      </c>
      <c r="B96" s="161" t="s">
        <v>359</v>
      </c>
    </row>
    <row r="97" spans="1:2" ht="30" x14ac:dyDescent="0.25">
      <c r="A97" s="161" t="s">
        <v>507</v>
      </c>
      <c r="B97" s="59" t="s">
        <v>515</v>
      </c>
    </row>
    <row r="98" spans="1:2" ht="30" x14ac:dyDescent="0.25">
      <c r="A98" s="161" t="s">
        <v>361</v>
      </c>
      <c r="B98" s="163" t="s">
        <v>362</v>
      </c>
    </row>
    <row r="99" spans="1:2" ht="30" x14ac:dyDescent="0.25">
      <c r="A99" s="161" t="s">
        <v>58</v>
      </c>
      <c r="B99" s="163" t="s">
        <v>360</v>
      </c>
    </row>
    <row r="100" spans="1:2" ht="45" x14ac:dyDescent="0.25">
      <c r="A100" s="161" t="s">
        <v>363</v>
      </c>
      <c r="B100" s="163" t="s">
        <v>364</v>
      </c>
    </row>
    <row r="101" spans="1:2" ht="30" x14ac:dyDescent="0.25">
      <c r="A101" s="161" t="s">
        <v>549</v>
      </c>
      <c r="B101" s="59" t="s">
        <v>647</v>
      </c>
    </row>
    <row r="102" spans="1:2" ht="30" x14ac:dyDescent="0.25">
      <c r="A102" s="161" t="s">
        <v>665</v>
      </c>
      <c r="B102" s="162" t="s">
        <v>680</v>
      </c>
    </row>
    <row r="103" spans="1:2" x14ac:dyDescent="0.25">
      <c r="A103" s="161" t="s">
        <v>298</v>
      </c>
      <c r="B103" s="161" t="s">
        <v>365</v>
      </c>
    </row>
    <row r="104" spans="1:2" ht="30" x14ac:dyDescent="0.25">
      <c r="A104" s="161" t="s">
        <v>469</v>
      </c>
      <c r="B104" s="59" t="s">
        <v>465</v>
      </c>
    </row>
    <row r="105" spans="1:2" ht="30" x14ac:dyDescent="0.25">
      <c r="A105" s="161" t="s">
        <v>1407</v>
      </c>
      <c r="B105" s="161" t="s">
        <v>1430</v>
      </c>
    </row>
    <row r="106" spans="1:2" x14ac:dyDescent="0.25">
      <c r="A106" s="161" t="s">
        <v>1870</v>
      </c>
      <c r="B106" s="161" t="s">
        <v>1878</v>
      </c>
    </row>
    <row r="107" spans="1:2" ht="30" x14ac:dyDescent="0.25">
      <c r="A107" s="161" t="s">
        <v>1415</v>
      </c>
      <c r="B107" s="161" t="s">
        <v>1431</v>
      </c>
    </row>
    <row r="108" spans="1:2" ht="30" x14ac:dyDescent="0.25">
      <c r="A108" s="161" t="s">
        <v>457</v>
      </c>
      <c r="B108" s="59" t="s">
        <v>623</v>
      </c>
    </row>
    <row r="109" spans="1:2" ht="30" x14ac:dyDescent="0.25">
      <c r="A109" s="162" t="s">
        <v>661</v>
      </c>
      <c r="B109" s="95" t="s">
        <v>660</v>
      </c>
    </row>
    <row r="110" spans="1:2" x14ac:dyDescent="0.25">
      <c r="A110" s="162" t="s">
        <v>666</v>
      </c>
      <c r="B110" s="95" t="s">
        <v>668</v>
      </c>
    </row>
    <row r="111" spans="1:2" ht="30" x14ac:dyDescent="0.25">
      <c r="A111" s="162" t="s">
        <v>667</v>
      </c>
      <c r="B111" s="95" t="s">
        <v>669</v>
      </c>
    </row>
    <row r="112" spans="1:2" ht="30" x14ac:dyDescent="0.25">
      <c r="A112" s="162" t="s">
        <v>658</v>
      </c>
      <c r="B112" s="95" t="s">
        <v>657</v>
      </c>
    </row>
    <row r="113" spans="1:2" ht="30" x14ac:dyDescent="0.25">
      <c r="A113" s="162" t="s">
        <v>636</v>
      </c>
      <c r="B113" s="95" t="s">
        <v>662</v>
      </c>
    </row>
    <row r="114" spans="1:2" ht="30" x14ac:dyDescent="0.25">
      <c r="A114" s="162" t="s">
        <v>632</v>
      </c>
      <c r="B114" s="95" t="s">
        <v>654</v>
      </c>
    </row>
    <row r="115" spans="1:2" ht="30" x14ac:dyDescent="0.25">
      <c r="A115" s="162" t="s">
        <v>381</v>
      </c>
      <c r="B115" s="95" t="s">
        <v>642</v>
      </c>
    </row>
    <row r="116" spans="1:2" x14ac:dyDescent="0.25">
      <c r="A116" s="161" t="s">
        <v>380</v>
      </c>
      <c r="B116" s="161" t="s">
        <v>399</v>
      </c>
    </row>
    <row r="117" spans="1:2" x14ac:dyDescent="0.25">
      <c r="A117" s="161" t="s">
        <v>379</v>
      </c>
      <c r="B117" s="161" t="s">
        <v>639</v>
      </c>
    </row>
    <row r="118" spans="1:2" ht="30" x14ac:dyDescent="0.25">
      <c r="A118" s="161" t="s">
        <v>1842</v>
      </c>
      <c r="B118" s="161" t="s">
        <v>1839</v>
      </c>
    </row>
    <row r="119" spans="1:2" ht="30" x14ac:dyDescent="0.25">
      <c r="A119" s="162" t="s">
        <v>319</v>
      </c>
      <c r="B119" s="95" t="s">
        <v>649</v>
      </c>
    </row>
    <row r="120" spans="1:2" x14ac:dyDescent="0.25">
      <c r="A120" s="161" t="s">
        <v>503</v>
      </c>
      <c r="B120" s="59" t="s">
        <v>516</v>
      </c>
    </row>
    <row r="121" spans="1:2" ht="30" x14ac:dyDescent="0.25">
      <c r="A121" s="161" t="s">
        <v>508</v>
      </c>
      <c r="B121" s="59" t="s">
        <v>517</v>
      </c>
    </row>
    <row r="122" spans="1:2" ht="30" x14ac:dyDescent="0.25">
      <c r="A122" s="161" t="s">
        <v>56</v>
      </c>
      <c r="B122" s="163" t="s">
        <v>366</v>
      </c>
    </row>
    <row r="123" spans="1:2" ht="30" x14ac:dyDescent="0.25">
      <c r="A123" s="161" t="s">
        <v>630</v>
      </c>
      <c r="B123" s="164" t="s">
        <v>656</v>
      </c>
    </row>
    <row r="124" spans="1:2" ht="30" x14ac:dyDescent="0.25">
      <c r="A124" s="161" t="s">
        <v>626</v>
      </c>
      <c r="B124" s="163" t="s">
        <v>627</v>
      </c>
    </row>
    <row r="125" spans="1:2" ht="30" x14ac:dyDescent="0.25">
      <c r="A125" s="161" t="s">
        <v>612</v>
      </c>
      <c r="B125" s="164" t="s">
        <v>664</v>
      </c>
    </row>
    <row r="126" spans="1:2" ht="30" x14ac:dyDescent="0.25">
      <c r="A126" s="161" t="s">
        <v>633</v>
      </c>
      <c r="B126" s="164" t="s">
        <v>653</v>
      </c>
    </row>
    <row r="127" spans="1:2" ht="30" x14ac:dyDescent="0.25">
      <c r="A127" s="161" t="s">
        <v>282</v>
      </c>
      <c r="B127" s="59" t="s">
        <v>624</v>
      </c>
    </row>
    <row r="128" spans="1:2" ht="30" x14ac:dyDescent="0.25">
      <c r="A128" s="161" t="s">
        <v>522</v>
      </c>
      <c r="B128" s="59" t="s">
        <v>523</v>
      </c>
    </row>
    <row r="129" spans="1:2" ht="45" x14ac:dyDescent="0.25">
      <c r="A129" s="161" t="s">
        <v>552</v>
      </c>
      <c r="B129" s="59" t="s">
        <v>550</v>
      </c>
    </row>
    <row r="130" spans="1:2" ht="30" x14ac:dyDescent="0.25">
      <c r="A130" s="161" t="s">
        <v>525</v>
      </c>
      <c r="B130" s="59" t="s">
        <v>526</v>
      </c>
    </row>
    <row r="131" spans="1:2" x14ac:dyDescent="0.25">
      <c r="A131" s="161" t="s">
        <v>641</v>
      </c>
      <c r="B131" s="163" t="s">
        <v>367</v>
      </c>
    </row>
    <row r="132" spans="1:2" x14ac:dyDescent="0.25">
      <c r="A132" s="161" t="s">
        <v>299</v>
      </c>
      <c r="B132" s="161" t="s">
        <v>368</v>
      </c>
    </row>
    <row r="133" spans="1:2" x14ac:dyDescent="0.25">
      <c r="B133"/>
    </row>
    <row r="134" spans="1:2" x14ac:dyDescent="0.25">
      <c r="B134"/>
    </row>
    <row r="135" spans="1:2" x14ac:dyDescent="0.25">
      <c r="B135"/>
    </row>
    <row r="136" spans="1:2" x14ac:dyDescent="0.25">
      <c r="B136"/>
    </row>
    <row r="137" spans="1:2" x14ac:dyDescent="0.25">
      <c r="B137"/>
    </row>
    <row r="138" spans="1:2" x14ac:dyDescent="0.25">
      <c r="B138"/>
    </row>
    <row r="139" spans="1:2" x14ac:dyDescent="0.25">
      <c r="B139"/>
    </row>
    <row r="140" spans="1:2" x14ac:dyDescent="0.25">
      <c r="B140"/>
    </row>
    <row r="141" spans="1:2" x14ac:dyDescent="0.25">
      <c r="B141"/>
    </row>
    <row r="142" spans="1:2" x14ac:dyDescent="0.25">
      <c r="B142"/>
    </row>
    <row r="143" spans="1:2" x14ac:dyDescent="0.25">
      <c r="B143"/>
    </row>
    <row r="144" spans="1: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row r="179" spans="2:2" x14ac:dyDescent="0.25">
      <c r="B179"/>
    </row>
    <row r="180" spans="2:2" x14ac:dyDescent="0.25">
      <c r="B180"/>
    </row>
    <row r="181" spans="2:2" x14ac:dyDescent="0.25">
      <c r="B181"/>
    </row>
    <row r="182" spans="2:2" x14ac:dyDescent="0.25">
      <c r="B182"/>
    </row>
    <row r="183" spans="2:2" x14ac:dyDescent="0.25">
      <c r="B183"/>
    </row>
    <row r="184" spans="2:2" x14ac:dyDescent="0.25">
      <c r="B184"/>
    </row>
    <row r="185" spans="2:2" x14ac:dyDescent="0.25">
      <c r="B185"/>
    </row>
    <row r="186" spans="2:2" x14ac:dyDescent="0.25">
      <c r="B186"/>
    </row>
    <row r="187" spans="2:2" x14ac:dyDescent="0.25">
      <c r="B187"/>
    </row>
    <row r="188" spans="2:2" x14ac:dyDescent="0.25">
      <c r="B188"/>
    </row>
    <row r="189" spans="2:2" x14ac:dyDescent="0.25">
      <c r="B189"/>
    </row>
    <row r="190" spans="2:2" x14ac:dyDescent="0.25">
      <c r="B190"/>
    </row>
    <row r="191" spans="2:2" x14ac:dyDescent="0.25">
      <c r="B191"/>
    </row>
    <row r="192" spans="2:2" x14ac:dyDescent="0.25">
      <c r="B192"/>
    </row>
    <row r="193" spans="2:2" x14ac:dyDescent="0.25">
      <c r="B193"/>
    </row>
    <row r="194" spans="2:2" x14ac:dyDescent="0.25">
      <c r="B194"/>
    </row>
    <row r="195" spans="2:2" x14ac:dyDescent="0.25">
      <c r="B195"/>
    </row>
    <row r="196" spans="2:2" x14ac:dyDescent="0.25">
      <c r="B196"/>
    </row>
    <row r="197" spans="2:2" x14ac:dyDescent="0.25">
      <c r="B197"/>
    </row>
    <row r="198" spans="2:2" x14ac:dyDescent="0.25">
      <c r="B198"/>
    </row>
    <row r="199" spans="2:2" x14ac:dyDescent="0.25">
      <c r="B199"/>
    </row>
    <row r="200" spans="2:2" x14ac:dyDescent="0.25">
      <c r="B200"/>
    </row>
    <row r="201" spans="2:2" x14ac:dyDescent="0.25">
      <c r="B201"/>
    </row>
    <row r="202" spans="2:2" x14ac:dyDescent="0.25">
      <c r="B202"/>
    </row>
    <row r="203" spans="2:2" x14ac:dyDescent="0.25">
      <c r="B203"/>
    </row>
    <row r="204" spans="2:2" x14ac:dyDescent="0.25">
      <c r="B204"/>
    </row>
    <row r="205" spans="2:2" x14ac:dyDescent="0.25">
      <c r="B205"/>
    </row>
    <row r="206" spans="2:2" x14ac:dyDescent="0.25">
      <c r="B206"/>
    </row>
    <row r="207" spans="2:2" x14ac:dyDescent="0.25">
      <c r="B207"/>
    </row>
    <row r="208" spans="2:2" x14ac:dyDescent="0.25">
      <c r="B208"/>
    </row>
    <row r="209" spans="2:2" x14ac:dyDescent="0.25">
      <c r="B209"/>
    </row>
    <row r="210" spans="2:2" x14ac:dyDescent="0.25">
      <c r="B210"/>
    </row>
    <row r="211" spans="2:2" x14ac:dyDescent="0.25">
      <c r="B211"/>
    </row>
    <row r="212" spans="2:2" x14ac:dyDescent="0.25">
      <c r="B212"/>
    </row>
    <row r="213" spans="2:2" x14ac:dyDescent="0.25">
      <c r="B213"/>
    </row>
    <row r="214" spans="2:2" x14ac:dyDescent="0.25">
      <c r="B214"/>
    </row>
    <row r="215" spans="2:2" x14ac:dyDescent="0.25">
      <c r="B215"/>
    </row>
    <row r="216" spans="2:2" x14ac:dyDescent="0.25">
      <c r="B216"/>
    </row>
    <row r="217" spans="2:2" x14ac:dyDescent="0.25">
      <c r="B217"/>
    </row>
    <row r="218" spans="2:2" x14ac:dyDescent="0.25">
      <c r="B218"/>
    </row>
    <row r="219" spans="2:2" x14ac:dyDescent="0.25">
      <c r="B219"/>
    </row>
    <row r="220" spans="2:2" x14ac:dyDescent="0.25">
      <c r="B220"/>
    </row>
    <row r="221" spans="2:2" x14ac:dyDescent="0.25">
      <c r="B221"/>
    </row>
    <row r="222" spans="2:2" x14ac:dyDescent="0.25">
      <c r="B222"/>
    </row>
    <row r="223" spans="2:2" x14ac:dyDescent="0.25">
      <c r="B223"/>
    </row>
    <row r="224" spans="2:2" x14ac:dyDescent="0.25">
      <c r="B224"/>
    </row>
    <row r="225" spans="2:2" x14ac:dyDescent="0.25">
      <c r="B225"/>
    </row>
    <row r="226" spans="2:2" x14ac:dyDescent="0.25">
      <c r="B226"/>
    </row>
    <row r="227" spans="2:2" x14ac:dyDescent="0.25">
      <c r="B227"/>
    </row>
    <row r="228" spans="2:2" x14ac:dyDescent="0.25">
      <c r="B228"/>
    </row>
    <row r="229" spans="2:2" x14ac:dyDescent="0.25">
      <c r="B229"/>
    </row>
    <row r="230" spans="2:2" x14ac:dyDescent="0.25">
      <c r="B230"/>
    </row>
    <row r="231" spans="2:2" x14ac:dyDescent="0.25">
      <c r="B231"/>
    </row>
    <row r="232" spans="2:2" x14ac:dyDescent="0.25">
      <c r="B232"/>
    </row>
    <row r="233" spans="2:2" x14ac:dyDescent="0.25">
      <c r="B233"/>
    </row>
    <row r="234" spans="2:2" x14ac:dyDescent="0.25">
      <c r="B234"/>
    </row>
    <row r="235" spans="2:2" x14ac:dyDescent="0.25">
      <c r="B235"/>
    </row>
    <row r="236" spans="2:2" x14ac:dyDescent="0.25">
      <c r="B236"/>
    </row>
    <row r="237" spans="2:2" x14ac:dyDescent="0.25">
      <c r="B237"/>
    </row>
    <row r="238" spans="2:2" x14ac:dyDescent="0.25">
      <c r="B238"/>
    </row>
    <row r="239" spans="2:2" x14ac:dyDescent="0.25">
      <c r="B239"/>
    </row>
    <row r="240" spans="2:2" x14ac:dyDescent="0.25">
      <c r="B240"/>
    </row>
    <row r="241" spans="2:2" x14ac:dyDescent="0.25">
      <c r="B241"/>
    </row>
    <row r="242" spans="2:2" x14ac:dyDescent="0.25">
      <c r="B242"/>
    </row>
    <row r="243" spans="2:2" x14ac:dyDescent="0.25">
      <c r="B243"/>
    </row>
    <row r="244" spans="2:2" x14ac:dyDescent="0.25">
      <c r="B244"/>
    </row>
    <row r="245" spans="2:2" x14ac:dyDescent="0.25">
      <c r="B245"/>
    </row>
    <row r="246" spans="2:2" x14ac:dyDescent="0.25">
      <c r="B246"/>
    </row>
    <row r="247" spans="2:2" x14ac:dyDescent="0.25">
      <c r="B247"/>
    </row>
    <row r="248" spans="2:2" x14ac:dyDescent="0.25">
      <c r="B248"/>
    </row>
    <row r="249" spans="2:2" x14ac:dyDescent="0.25">
      <c r="B249"/>
    </row>
    <row r="250" spans="2:2" x14ac:dyDescent="0.25">
      <c r="B250"/>
    </row>
    <row r="251" spans="2:2" x14ac:dyDescent="0.25">
      <c r="B251"/>
    </row>
    <row r="252" spans="2:2" x14ac:dyDescent="0.25">
      <c r="B252"/>
    </row>
    <row r="253" spans="2:2" x14ac:dyDescent="0.25">
      <c r="B253"/>
    </row>
    <row r="254" spans="2:2" x14ac:dyDescent="0.25">
      <c r="B254"/>
    </row>
    <row r="255" spans="2:2" x14ac:dyDescent="0.25">
      <c r="B255"/>
    </row>
    <row r="256" spans="2:2" x14ac:dyDescent="0.25">
      <c r="B256"/>
    </row>
    <row r="257" spans="2:2" x14ac:dyDescent="0.25">
      <c r="B257"/>
    </row>
    <row r="258" spans="2:2" x14ac:dyDescent="0.25">
      <c r="B258"/>
    </row>
    <row r="259" spans="2:2" x14ac:dyDescent="0.25">
      <c r="B259"/>
    </row>
    <row r="260" spans="2:2" x14ac:dyDescent="0.25">
      <c r="B260"/>
    </row>
    <row r="261" spans="2:2" x14ac:dyDescent="0.25">
      <c r="B261"/>
    </row>
    <row r="262" spans="2:2" x14ac:dyDescent="0.25">
      <c r="B262"/>
    </row>
    <row r="263" spans="2:2" x14ac:dyDescent="0.25">
      <c r="B263"/>
    </row>
    <row r="264" spans="2:2" x14ac:dyDescent="0.25">
      <c r="B264"/>
    </row>
    <row r="265" spans="2:2" x14ac:dyDescent="0.25">
      <c r="B265"/>
    </row>
    <row r="266" spans="2:2" x14ac:dyDescent="0.25">
      <c r="B266"/>
    </row>
    <row r="267" spans="2:2" x14ac:dyDescent="0.25">
      <c r="B267"/>
    </row>
    <row r="268" spans="2:2" x14ac:dyDescent="0.25">
      <c r="B268"/>
    </row>
    <row r="269" spans="2:2" x14ac:dyDescent="0.25">
      <c r="B269"/>
    </row>
    <row r="270" spans="2:2" x14ac:dyDescent="0.25">
      <c r="B270"/>
    </row>
    <row r="271" spans="2:2" x14ac:dyDescent="0.25">
      <c r="B271"/>
    </row>
    <row r="272" spans="2:2" x14ac:dyDescent="0.25">
      <c r="B272"/>
    </row>
    <row r="273" spans="2:2" x14ac:dyDescent="0.25">
      <c r="B273"/>
    </row>
    <row r="274" spans="2:2" x14ac:dyDescent="0.25">
      <c r="B274"/>
    </row>
    <row r="275" spans="2:2" x14ac:dyDescent="0.25">
      <c r="B275"/>
    </row>
    <row r="276" spans="2:2" x14ac:dyDescent="0.25">
      <c r="B276"/>
    </row>
    <row r="277" spans="2:2" x14ac:dyDescent="0.25">
      <c r="B277"/>
    </row>
    <row r="278" spans="2:2" x14ac:dyDescent="0.25">
      <c r="B278"/>
    </row>
    <row r="279" spans="2:2" x14ac:dyDescent="0.25">
      <c r="B279"/>
    </row>
    <row r="280" spans="2:2" x14ac:dyDescent="0.25">
      <c r="B280"/>
    </row>
    <row r="281" spans="2:2" x14ac:dyDescent="0.25">
      <c r="B281"/>
    </row>
    <row r="282" spans="2:2" x14ac:dyDescent="0.25">
      <c r="B282"/>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row r="316" spans="2:2" x14ac:dyDescent="0.25">
      <c r="B316"/>
    </row>
    <row r="317" spans="2:2" x14ac:dyDescent="0.25">
      <c r="B317"/>
    </row>
    <row r="318" spans="2:2" x14ac:dyDescent="0.25">
      <c r="B318"/>
    </row>
    <row r="319" spans="2:2" x14ac:dyDescent="0.25">
      <c r="B319"/>
    </row>
    <row r="320" spans="2:2" x14ac:dyDescent="0.25">
      <c r="B320"/>
    </row>
    <row r="321" spans="2:2" x14ac:dyDescent="0.25">
      <c r="B321"/>
    </row>
    <row r="322" spans="2:2" x14ac:dyDescent="0.25">
      <c r="B322"/>
    </row>
    <row r="323" spans="2:2" x14ac:dyDescent="0.25">
      <c r="B323"/>
    </row>
    <row r="324" spans="2:2" x14ac:dyDescent="0.25">
      <c r="B324"/>
    </row>
    <row r="325" spans="2:2" x14ac:dyDescent="0.25">
      <c r="B325"/>
    </row>
    <row r="326" spans="2:2" x14ac:dyDescent="0.25">
      <c r="B326"/>
    </row>
    <row r="327" spans="2:2" x14ac:dyDescent="0.25">
      <c r="B327"/>
    </row>
    <row r="328" spans="2:2" x14ac:dyDescent="0.25">
      <c r="B328"/>
    </row>
    <row r="329" spans="2:2" x14ac:dyDescent="0.25">
      <c r="B329"/>
    </row>
    <row r="330" spans="2:2" x14ac:dyDescent="0.25">
      <c r="B330"/>
    </row>
    <row r="331" spans="2:2" x14ac:dyDescent="0.25">
      <c r="B331"/>
    </row>
    <row r="332" spans="2:2" x14ac:dyDescent="0.25">
      <c r="B332"/>
    </row>
    <row r="333" spans="2:2" x14ac:dyDescent="0.25">
      <c r="B333"/>
    </row>
    <row r="334" spans="2:2" x14ac:dyDescent="0.25">
      <c r="B334"/>
    </row>
    <row r="335" spans="2:2" x14ac:dyDescent="0.25">
      <c r="B335"/>
    </row>
    <row r="336" spans="2:2" x14ac:dyDescent="0.25">
      <c r="B336"/>
    </row>
    <row r="337" spans="2:2" x14ac:dyDescent="0.25">
      <c r="B337"/>
    </row>
    <row r="338" spans="2:2" x14ac:dyDescent="0.25">
      <c r="B338"/>
    </row>
    <row r="339" spans="2:2" x14ac:dyDescent="0.25">
      <c r="B339"/>
    </row>
    <row r="340" spans="2:2" x14ac:dyDescent="0.25">
      <c r="B340"/>
    </row>
    <row r="341" spans="2:2" x14ac:dyDescent="0.25">
      <c r="B341"/>
    </row>
    <row r="342" spans="2:2" x14ac:dyDescent="0.25">
      <c r="B342"/>
    </row>
    <row r="343" spans="2:2" x14ac:dyDescent="0.25">
      <c r="B343"/>
    </row>
    <row r="344" spans="2:2" x14ac:dyDescent="0.25">
      <c r="B344"/>
    </row>
    <row r="345" spans="2:2" x14ac:dyDescent="0.25">
      <c r="B345"/>
    </row>
    <row r="346" spans="2:2" x14ac:dyDescent="0.25">
      <c r="B346"/>
    </row>
    <row r="347" spans="2:2" x14ac:dyDescent="0.25">
      <c r="B347"/>
    </row>
    <row r="348" spans="2:2" x14ac:dyDescent="0.25">
      <c r="B348"/>
    </row>
    <row r="349" spans="2:2" x14ac:dyDescent="0.25">
      <c r="B349"/>
    </row>
    <row r="350" spans="2:2" x14ac:dyDescent="0.25">
      <c r="B350"/>
    </row>
    <row r="351" spans="2:2" x14ac:dyDescent="0.25">
      <c r="B351"/>
    </row>
    <row r="352" spans="2:2" x14ac:dyDescent="0.25">
      <c r="B352"/>
    </row>
    <row r="353" spans="2:2" x14ac:dyDescent="0.25">
      <c r="B353"/>
    </row>
    <row r="354" spans="2:2" x14ac:dyDescent="0.25">
      <c r="B354"/>
    </row>
    <row r="355" spans="2:2" x14ac:dyDescent="0.25">
      <c r="B355"/>
    </row>
    <row r="356" spans="2:2" x14ac:dyDescent="0.25">
      <c r="B356"/>
    </row>
    <row r="357" spans="2:2" x14ac:dyDescent="0.25">
      <c r="B357"/>
    </row>
    <row r="358" spans="2:2" x14ac:dyDescent="0.25">
      <c r="B358"/>
    </row>
    <row r="359" spans="2:2" x14ac:dyDescent="0.25">
      <c r="B359"/>
    </row>
    <row r="360" spans="2:2" x14ac:dyDescent="0.25">
      <c r="B360"/>
    </row>
    <row r="361" spans="2:2" x14ac:dyDescent="0.25">
      <c r="B361"/>
    </row>
    <row r="362" spans="2:2" x14ac:dyDescent="0.25">
      <c r="B362"/>
    </row>
    <row r="363" spans="2:2" x14ac:dyDescent="0.25">
      <c r="B363"/>
    </row>
    <row r="364" spans="2:2" x14ac:dyDescent="0.25">
      <c r="B364"/>
    </row>
    <row r="365" spans="2:2" x14ac:dyDescent="0.25">
      <c r="B365"/>
    </row>
    <row r="366" spans="2:2" x14ac:dyDescent="0.25">
      <c r="B366"/>
    </row>
    <row r="367" spans="2:2" x14ac:dyDescent="0.25">
      <c r="B367"/>
    </row>
    <row r="368" spans="2:2" x14ac:dyDescent="0.25">
      <c r="B368"/>
    </row>
    <row r="369" spans="2:2" x14ac:dyDescent="0.25">
      <c r="B369"/>
    </row>
    <row r="370" spans="2:2" x14ac:dyDescent="0.25">
      <c r="B370"/>
    </row>
    <row r="371" spans="2:2" x14ac:dyDescent="0.25">
      <c r="B371"/>
    </row>
    <row r="372" spans="2:2" x14ac:dyDescent="0.25">
      <c r="B372"/>
    </row>
    <row r="373" spans="2:2" x14ac:dyDescent="0.25">
      <c r="B373"/>
    </row>
    <row r="374" spans="2:2" x14ac:dyDescent="0.25">
      <c r="B374"/>
    </row>
    <row r="375" spans="2:2" x14ac:dyDescent="0.25">
      <c r="B375"/>
    </row>
    <row r="376" spans="2:2" x14ac:dyDescent="0.25">
      <c r="B376"/>
    </row>
    <row r="377" spans="2:2" x14ac:dyDescent="0.25">
      <c r="B377"/>
    </row>
    <row r="378" spans="2:2" x14ac:dyDescent="0.25">
      <c r="B378"/>
    </row>
    <row r="379" spans="2:2" x14ac:dyDescent="0.25">
      <c r="B379"/>
    </row>
    <row r="380" spans="2:2" x14ac:dyDescent="0.25">
      <c r="B380"/>
    </row>
    <row r="381" spans="2:2" x14ac:dyDescent="0.25">
      <c r="B381"/>
    </row>
    <row r="382" spans="2:2" x14ac:dyDescent="0.25">
      <c r="B382"/>
    </row>
    <row r="383" spans="2:2" x14ac:dyDescent="0.25">
      <c r="B383"/>
    </row>
    <row r="384" spans="2:2" x14ac:dyDescent="0.25">
      <c r="B384"/>
    </row>
    <row r="385" spans="2:2" x14ac:dyDescent="0.25">
      <c r="B385"/>
    </row>
    <row r="386" spans="2:2" x14ac:dyDescent="0.25">
      <c r="B386"/>
    </row>
    <row r="387" spans="2:2" x14ac:dyDescent="0.25">
      <c r="B387"/>
    </row>
    <row r="388" spans="2:2" x14ac:dyDescent="0.25">
      <c r="B388"/>
    </row>
    <row r="389" spans="2:2" x14ac:dyDescent="0.25">
      <c r="B389"/>
    </row>
    <row r="390" spans="2:2" x14ac:dyDescent="0.25">
      <c r="B390"/>
    </row>
    <row r="391" spans="2:2" x14ac:dyDescent="0.25">
      <c r="B391"/>
    </row>
    <row r="392" spans="2:2" x14ac:dyDescent="0.25">
      <c r="B392"/>
    </row>
    <row r="393" spans="2:2" x14ac:dyDescent="0.25">
      <c r="B393"/>
    </row>
    <row r="394" spans="2:2" x14ac:dyDescent="0.25">
      <c r="B394"/>
    </row>
    <row r="395" spans="2:2" x14ac:dyDescent="0.25">
      <c r="B395"/>
    </row>
    <row r="396" spans="2:2" x14ac:dyDescent="0.25">
      <c r="B396"/>
    </row>
    <row r="397" spans="2:2" x14ac:dyDescent="0.25">
      <c r="B397"/>
    </row>
    <row r="398" spans="2:2" x14ac:dyDescent="0.25">
      <c r="B398"/>
    </row>
    <row r="399" spans="2:2" x14ac:dyDescent="0.25">
      <c r="B399"/>
    </row>
    <row r="400" spans="2:2" x14ac:dyDescent="0.25">
      <c r="B400"/>
    </row>
    <row r="401" spans="2:2" x14ac:dyDescent="0.25">
      <c r="B401"/>
    </row>
    <row r="402" spans="2:2" x14ac:dyDescent="0.25">
      <c r="B402"/>
    </row>
    <row r="403" spans="2:2" x14ac:dyDescent="0.25">
      <c r="B403"/>
    </row>
    <row r="404" spans="2:2" x14ac:dyDescent="0.25">
      <c r="B404"/>
    </row>
    <row r="405" spans="2:2" x14ac:dyDescent="0.25">
      <c r="B405"/>
    </row>
    <row r="406" spans="2:2" x14ac:dyDescent="0.25">
      <c r="B406"/>
    </row>
    <row r="407" spans="2:2" x14ac:dyDescent="0.25">
      <c r="B407"/>
    </row>
    <row r="408" spans="2:2" x14ac:dyDescent="0.25">
      <c r="B408"/>
    </row>
    <row r="409" spans="2:2" x14ac:dyDescent="0.25">
      <c r="B409"/>
    </row>
    <row r="410" spans="2:2" x14ac:dyDescent="0.25">
      <c r="B410"/>
    </row>
    <row r="411" spans="2:2" x14ac:dyDescent="0.25">
      <c r="B411"/>
    </row>
    <row r="412" spans="2:2" x14ac:dyDescent="0.25">
      <c r="B412"/>
    </row>
    <row r="413" spans="2:2" x14ac:dyDescent="0.25">
      <c r="B413"/>
    </row>
    <row r="414" spans="2:2" x14ac:dyDescent="0.25">
      <c r="B414"/>
    </row>
    <row r="415" spans="2:2" x14ac:dyDescent="0.25">
      <c r="B415"/>
    </row>
    <row r="416" spans="2:2" x14ac:dyDescent="0.25">
      <c r="B416"/>
    </row>
    <row r="417" spans="2:2" x14ac:dyDescent="0.25">
      <c r="B417"/>
    </row>
    <row r="418" spans="2:2" x14ac:dyDescent="0.25">
      <c r="B418"/>
    </row>
    <row r="419" spans="2:2" x14ac:dyDescent="0.25">
      <c r="B419"/>
    </row>
    <row r="420" spans="2:2" x14ac:dyDescent="0.25">
      <c r="B420"/>
    </row>
    <row r="421" spans="2:2" x14ac:dyDescent="0.25">
      <c r="B421"/>
    </row>
    <row r="422" spans="2:2" x14ac:dyDescent="0.25">
      <c r="B422"/>
    </row>
    <row r="423" spans="2:2" x14ac:dyDescent="0.25">
      <c r="B423"/>
    </row>
    <row r="424" spans="2:2" x14ac:dyDescent="0.25">
      <c r="B424"/>
    </row>
    <row r="425" spans="2:2" x14ac:dyDescent="0.25">
      <c r="B425"/>
    </row>
    <row r="426" spans="2:2" x14ac:dyDescent="0.25">
      <c r="B426"/>
    </row>
    <row r="427" spans="2:2" x14ac:dyDescent="0.25">
      <c r="B427"/>
    </row>
    <row r="428" spans="2:2" x14ac:dyDescent="0.25">
      <c r="B428"/>
    </row>
    <row r="429" spans="2:2" x14ac:dyDescent="0.25">
      <c r="B429"/>
    </row>
    <row r="430" spans="2:2" x14ac:dyDescent="0.25">
      <c r="B430"/>
    </row>
    <row r="431" spans="2:2" x14ac:dyDescent="0.25">
      <c r="B431"/>
    </row>
    <row r="432" spans="2:2" x14ac:dyDescent="0.25">
      <c r="B432"/>
    </row>
    <row r="433" spans="2:2" x14ac:dyDescent="0.25">
      <c r="B433"/>
    </row>
    <row r="434" spans="2:2" x14ac:dyDescent="0.25">
      <c r="B434"/>
    </row>
    <row r="435" spans="2:2" x14ac:dyDescent="0.25">
      <c r="B435"/>
    </row>
    <row r="436" spans="2:2" x14ac:dyDescent="0.25">
      <c r="B436"/>
    </row>
    <row r="437" spans="2:2" x14ac:dyDescent="0.25">
      <c r="B437"/>
    </row>
    <row r="438" spans="2:2" x14ac:dyDescent="0.25">
      <c r="B438"/>
    </row>
    <row r="439" spans="2:2" x14ac:dyDescent="0.25">
      <c r="B439"/>
    </row>
    <row r="440" spans="2:2" x14ac:dyDescent="0.25">
      <c r="B440"/>
    </row>
    <row r="441" spans="2:2" x14ac:dyDescent="0.25">
      <c r="B441"/>
    </row>
    <row r="442" spans="2:2" x14ac:dyDescent="0.25">
      <c r="B442"/>
    </row>
    <row r="443" spans="2:2" x14ac:dyDescent="0.25">
      <c r="B443"/>
    </row>
    <row r="444" spans="2:2" x14ac:dyDescent="0.25">
      <c r="B444"/>
    </row>
    <row r="445" spans="2:2" x14ac:dyDescent="0.25">
      <c r="B445"/>
    </row>
    <row r="446" spans="2:2" x14ac:dyDescent="0.25">
      <c r="B446"/>
    </row>
    <row r="447" spans="2:2" x14ac:dyDescent="0.25">
      <c r="B447"/>
    </row>
    <row r="448" spans="2:2" x14ac:dyDescent="0.25">
      <c r="B448"/>
    </row>
    <row r="449" spans="2:2" x14ac:dyDescent="0.25">
      <c r="B449"/>
    </row>
    <row r="450" spans="2:2" x14ac:dyDescent="0.25">
      <c r="B450"/>
    </row>
    <row r="451" spans="2:2" x14ac:dyDescent="0.25">
      <c r="B451"/>
    </row>
    <row r="452" spans="2:2" x14ac:dyDescent="0.25">
      <c r="B452"/>
    </row>
    <row r="453" spans="2:2" x14ac:dyDescent="0.25">
      <c r="B453"/>
    </row>
    <row r="454" spans="2:2" x14ac:dyDescent="0.25">
      <c r="B454"/>
    </row>
    <row r="455" spans="2:2" x14ac:dyDescent="0.25">
      <c r="B455"/>
    </row>
    <row r="456" spans="2:2" x14ac:dyDescent="0.25">
      <c r="B456"/>
    </row>
    <row r="457" spans="2:2" x14ac:dyDescent="0.25">
      <c r="B457"/>
    </row>
    <row r="458" spans="2:2" x14ac:dyDescent="0.25">
      <c r="B458"/>
    </row>
    <row r="459" spans="2:2" x14ac:dyDescent="0.25">
      <c r="B459"/>
    </row>
    <row r="460" spans="2:2" x14ac:dyDescent="0.25">
      <c r="B460"/>
    </row>
    <row r="461" spans="2:2" x14ac:dyDescent="0.25">
      <c r="B461"/>
    </row>
    <row r="462" spans="2:2" x14ac:dyDescent="0.25">
      <c r="B462"/>
    </row>
    <row r="463" spans="2:2" x14ac:dyDescent="0.25">
      <c r="B463"/>
    </row>
    <row r="464" spans="2:2" x14ac:dyDescent="0.25">
      <c r="B464"/>
    </row>
    <row r="465" spans="2:2" x14ac:dyDescent="0.25">
      <c r="B465"/>
    </row>
    <row r="466" spans="2:2" x14ac:dyDescent="0.25">
      <c r="B466"/>
    </row>
    <row r="467" spans="2:2" x14ac:dyDescent="0.25">
      <c r="B467"/>
    </row>
    <row r="468" spans="2:2" x14ac:dyDescent="0.25">
      <c r="B468"/>
    </row>
    <row r="469" spans="2:2" x14ac:dyDescent="0.25">
      <c r="B469"/>
    </row>
    <row r="470" spans="2:2" x14ac:dyDescent="0.25">
      <c r="B470"/>
    </row>
    <row r="471" spans="2:2" x14ac:dyDescent="0.25">
      <c r="B471"/>
    </row>
    <row r="472" spans="2:2" x14ac:dyDescent="0.25">
      <c r="B472"/>
    </row>
    <row r="473" spans="2:2" x14ac:dyDescent="0.25">
      <c r="B473"/>
    </row>
    <row r="474" spans="2:2" x14ac:dyDescent="0.25">
      <c r="B474"/>
    </row>
    <row r="475" spans="2:2" x14ac:dyDescent="0.25">
      <c r="B475"/>
    </row>
    <row r="476" spans="2:2" x14ac:dyDescent="0.25">
      <c r="B476"/>
    </row>
    <row r="477" spans="2:2" x14ac:dyDescent="0.25">
      <c r="B477"/>
    </row>
    <row r="478" spans="2:2" x14ac:dyDescent="0.25">
      <c r="B478"/>
    </row>
    <row r="479" spans="2:2" x14ac:dyDescent="0.25">
      <c r="B479"/>
    </row>
    <row r="480" spans="2:2" x14ac:dyDescent="0.25">
      <c r="B480"/>
    </row>
    <row r="481" spans="2:2" x14ac:dyDescent="0.25">
      <c r="B481"/>
    </row>
    <row r="482" spans="2:2" x14ac:dyDescent="0.25">
      <c r="B482"/>
    </row>
    <row r="483" spans="2:2" x14ac:dyDescent="0.25">
      <c r="B483"/>
    </row>
    <row r="484" spans="2:2" x14ac:dyDescent="0.25">
      <c r="B484"/>
    </row>
    <row r="485" spans="2:2" x14ac:dyDescent="0.25">
      <c r="B485"/>
    </row>
    <row r="486" spans="2:2" x14ac:dyDescent="0.25">
      <c r="B486"/>
    </row>
    <row r="487" spans="2:2" x14ac:dyDescent="0.25">
      <c r="B487"/>
    </row>
    <row r="488" spans="2:2" x14ac:dyDescent="0.25">
      <c r="B488"/>
    </row>
    <row r="489" spans="2:2" x14ac:dyDescent="0.25">
      <c r="B489"/>
    </row>
    <row r="490" spans="2:2" x14ac:dyDescent="0.25">
      <c r="B490"/>
    </row>
    <row r="491" spans="2:2" x14ac:dyDescent="0.25">
      <c r="B491"/>
    </row>
    <row r="492" spans="2:2" x14ac:dyDescent="0.25">
      <c r="B492"/>
    </row>
    <row r="493" spans="2:2" x14ac:dyDescent="0.25">
      <c r="B493"/>
    </row>
    <row r="494" spans="2:2" x14ac:dyDescent="0.25">
      <c r="B494"/>
    </row>
    <row r="495" spans="2:2" x14ac:dyDescent="0.25">
      <c r="B495"/>
    </row>
    <row r="496" spans="2:2" x14ac:dyDescent="0.25">
      <c r="B496"/>
    </row>
    <row r="497" spans="2:2" x14ac:dyDescent="0.25">
      <c r="B497"/>
    </row>
  </sheetData>
  <sortState ref="A3:B134">
    <sortCondition ref="A2"/>
  </sortState>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pane ySplit="3" topLeftCell="A28" activePane="bottomLeft" state="frozen"/>
      <selection pane="bottomLeft"/>
    </sheetView>
  </sheetViews>
  <sheetFormatPr defaultRowHeight="15" x14ac:dyDescent="0.25"/>
  <cols>
    <col min="1" max="1" width="12.5703125" customWidth="1"/>
    <col min="2" max="2" width="19.140625" bestFit="1" customWidth="1"/>
    <col min="4" max="5" width="10.140625" style="25" customWidth="1"/>
    <col min="6" max="6" width="23.85546875" style="25" customWidth="1"/>
  </cols>
  <sheetData>
    <row r="1" spans="1:6" s="5" customFormat="1" ht="16.5" customHeight="1" x14ac:dyDescent="0.2">
      <c r="A1" s="158"/>
      <c r="B1" s="11"/>
      <c r="C1" s="11"/>
      <c r="D1" s="11"/>
      <c r="E1" s="11"/>
    </row>
    <row r="2" spans="1:6" s="5" customFormat="1" ht="16.5" customHeight="1" x14ac:dyDescent="0.2">
      <c r="A2" s="123"/>
      <c r="B2" s="123"/>
      <c r="C2" s="123"/>
      <c r="D2" s="123"/>
      <c r="E2" s="11"/>
    </row>
    <row r="3" spans="1:6" x14ac:dyDescent="0.25">
      <c r="A3" s="55" t="s">
        <v>274</v>
      </c>
      <c r="B3" s="55" t="s">
        <v>275</v>
      </c>
      <c r="D3" s="55" t="s">
        <v>205</v>
      </c>
      <c r="E3" s="55" t="s">
        <v>274</v>
      </c>
      <c r="F3" s="55" t="s">
        <v>223</v>
      </c>
    </row>
    <row r="4" spans="1:6" x14ac:dyDescent="0.25">
      <c r="A4" s="23">
        <v>1</v>
      </c>
      <c r="B4" s="23" t="s">
        <v>267</v>
      </c>
      <c r="D4" s="23" t="s">
        <v>104</v>
      </c>
      <c r="E4" s="23">
        <v>4</v>
      </c>
      <c r="F4" s="23" t="str">
        <f t="shared" ref="F4:F35" si="0">VLOOKUP(E4,A:B,2,0)</f>
        <v>Southeast</v>
      </c>
    </row>
    <row r="5" spans="1:6" x14ac:dyDescent="0.25">
      <c r="A5" s="23">
        <v>2</v>
      </c>
      <c r="B5" s="23" t="s">
        <v>268</v>
      </c>
      <c r="D5" s="23" t="s">
        <v>165</v>
      </c>
      <c r="E5" s="23">
        <v>10</v>
      </c>
      <c r="F5" s="23" t="str">
        <f t="shared" si="0"/>
        <v>Pacific Northwest</v>
      </c>
    </row>
    <row r="6" spans="1:6" x14ac:dyDescent="0.25">
      <c r="A6" s="24">
        <v>3</v>
      </c>
      <c r="B6" s="24" t="s">
        <v>268</v>
      </c>
      <c r="D6" s="24" t="s">
        <v>232</v>
      </c>
      <c r="E6" s="24">
        <v>9</v>
      </c>
      <c r="F6" s="24" t="str">
        <f t="shared" si="0"/>
        <v>Pacific Southwest</v>
      </c>
    </row>
    <row r="7" spans="1:6" x14ac:dyDescent="0.25">
      <c r="A7" s="24">
        <v>4</v>
      </c>
      <c r="B7" s="24" t="s">
        <v>269</v>
      </c>
      <c r="D7" s="24" t="s">
        <v>110</v>
      </c>
      <c r="E7" s="24">
        <v>6</v>
      </c>
      <c r="F7" s="24" t="str">
        <f t="shared" si="0"/>
        <v>South Central</v>
      </c>
    </row>
    <row r="8" spans="1:6" x14ac:dyDescent="0.25">
      <c r="A8" s="24">
        <v>5</v>
      </c>
      <c r="B8" s="24" t="s">
        <v>270</v>
      </c>
      <c r="D8" s="24" t="s">
        <v>105</v>
      </c>
      <c r="E8" s="24">
        <v>9</v>
      </c>
      <c r="F8" s="24" t="str">
        <f t="shared" si="0"/>
        <v>Pacific Southwest</v>
      </c>
    </row>
    <row r="9" spans="1:6" x14ac:dyDescent="0.25">
      <c r="A9" s="24">
        <v>6</v>
      </c>
      <c r="B9" s="24" t="s">
        <v>271</v>
      </c>
      <c r="D9" s="24" t="s">
        <v>233</v>
      </c>
      <c r="E9" s="24">
        <v>8</v>
      </c>
      <c r="F9" s="24" t="str">
        <f t="shared" si="0"/>
        <v>Mountains and Plains</v>
      </c>
    </row>
    <row r="10" spans="1:6" x14ac:dyDescent="0.25">
      <c r="A10" s="24">
        <v>7</v>
      </c>
      <c r="B10" s="24" t="s">
        <v>270</v>
      </c>
      <c r="D10" s="24" t="s">
        <v>234</v>
      </c>
      <c r="E10" s="24">
        <v>1</v>
      </c>
      <c r="F10" s="24" t="str">
        <f t="shared" si="0"/>
        <v>New England</v>
      </c>
    </row>
    <row r="11" spans="1:6" x14ac:dyDescent="0.25">
      <c r="A11" s="24">
        <v>8</v>
      </c>
      <c r="B11" s="24" t="s">
        <v>272</v>
      </c>
      <c r="D11" s="24" t="s">
        <v>235</v>
      </c>
      <c r="E11" s="24">
        <v>3</v>
      </c>
      <c r="F11" s="24" t="str">
        <f t="shared" si="0"/>
        <v>Mid-Atlantic</v>
      </c>
    </row>
    <row r="12" spans="1:6" x14ac:dyDescent="0.25">
      <c r="A12" s="24">
        <v>9</v>
      </c>
      <c r="B12" s="24" t="s">
        <v>273</v>
      </c>
      <c r="D12" s="24" t="s">
        <v>213</v>
      </c>
      <c r="E12" s="24">
        <v>4</v>
      </c>
      <c r="F12" s="24" t="str">
        <f t="shared" si="0"/>
        <v>Southeast</v>
      </c>
    </row>
    <row r="13" spans="1:6" x14ac:dyDescent="0.25">
      <c r="A13" s="23">
        <v>10</v>
      </c>
      <c r="B13" s="23" t="s">
        <v>231</v>
      </c>
      <c r="D13" s="24" t="s">
        <v>236</v>
      </c>
      <c r="E13" s="24">
        <v>4</v>
      </c>
      <c r="F13" s="24" t="str">
        <f t="shared" si="0"/>
        <v>Southeast</v>
      </c>
    </row>
    <row r="14" spans="1:6" ht="15" customHeight="1" x14ac:dyDescent="0.25">
      <c r="A14" s="232" t="s">
        <v>276</v>
      </c>
      <c r="B14" s="232"/>
      <c r="D14" s="24" t="s">
        <v>237</v>
      </c>
      <c r="E14" s="24">
        <v>9</v>
      </c>
      <c r="F14" s="24" t="str">
        <f t="shared" si="0"/>
        <v>Pacific Southwest</v>
      </c>
    </row>
    <row r="15" spans="1:6" x14ac:dyDescent="0.25">
      <c r="A15" s="232"/>
      <c r="B15" s="232"/>
      <c r="D15" s="24" t="s">
        <v>238</v>
      </c>
      <c r="E15" s="24">
        <v>10</v>
      </c>
      <c r="F15" s="24" t="str">
        <f t="shared" si="0"/>
        <v>Pacific Northwest</v>
      </c>
    </row>
    <row r="16" spans="1:6" x14ac:dyDescent="0.25">
      <c r="A16" s="232"/>
      <c r="B16" s="232"/>
      <c r="D16" s="24" t="s">
        <v>239</v>
      </c>
      <c r="E16" s="24">
        <v>5</v>
      </c>
      <c r="F16" s="24" t="str">
        <f t="shared" si="0"/>
        <v>Midwest</v>
      </c>
    </row>
    <row r="17" spans="4:6" x14ac:dyDescent="0.25">
      <c r="D17" s="24" t="s">
        <v>240</v>
      </c>
      <c r="E17" s="24">
        <v>5</v>
      </c>
      <c r="F17" s="24" t="str">
        <f t="shared" si="0"/>
        <v>Midwest</v>
      </c>
    </row>
    <row r="18" spans="4:6" x14ac:dyDescent="0.25">
      <c r="D18" s="24" t="s">
        <v>241</v>
      </c>
      <c r="E18" s="24">
        <v>7</v>
      </c>
      <c r="F18" s="24" t="str">
        <f t="shared" si="0"/>
        <v>Midwest</v>
      </c>
    </row>
    <row r="19" spans="4:6" x14ac:dyDescent="0.25">
      <c r="D19" s="24" t="s">
        <v>242</v>
      </c>
      <c r="E19" s="24">
        <v>7</v>
      </c>
      <c r="F19" s="24" t="str">
        <f t="shared" si="0"/>
        <v>Midwest</v>
      </c>
    </row>
    <row r="20" spans="4:6" x14ac:dyDescent="0.25">
      <c r="D20" s="24" t="s">
        <v>243</v>
      </c>
      <c r="E20" s="24">
        <v>4</v>
      </c>
      <c r="F20" s="24" t="str">
        <f t="shared" si="0"/>
        <v>Southeast</v>
      </c>
    </row>
    <row r="21" spans="4:6" x14ac:dyDescent="0.25">
      <c r="D21" s="24" t="s">
        <v>244</v>
      </c>
      <c r="E21" s="24">
        <v>6</v>
      </c>
      <c r="F21" s="24" t="str">
        <f t="shared" si="0"/>
        <v>South Central</v>
      </c>
    </row>
    <row r="22" spans="4:6" x14ac:dyDescent="0.25">
      <c r="D22" s="24" t="s">
        <v>155</v>
      </c>
      <c r="E22" s="24">
        <v>1</v>
      </c>
      <c r="F22" s="24" t="str">
        <f t="shared" si="0"/>
        <v>New England</v>
      </c>
    </row>
    <row r="23" spans="4:6" x14ac:dyDescent="0.25">
      <c r="D23" s="24" t="s">
        <v>209</v>
      </c>
      <c r="E23" s="24">
        <v>3</v>
      </c>
      <c r="F23" s="24" t="str">
        <f t="shared" si="0"/>
        <v>Mid-Atlantic</v>
      </c>
    </row>
    <row r="24" spans="4:6" x14ac:dyDescent="0.25">
      <c r="D24" s="24" t="s">
        <v>245</v>
      </c>
      <c r="E24" s="24">
        <v>1</v>
      </c>
      <c r="F24" s="24" t="str">
        <f t="shared" si="0"/>
        <v>New England</v>
      </c>
    </row>
    <row r="25" spans="4:6" x14ac:dyDescent="0.25">
      <c r="D25" s="24" t="s">
        <v>246</v>
      </c>
      <c r="E25" s="24">
        <v>5</v>
      </c>
      <c r="F25" s="24" t="str">
        <f t="shared" si="0"/>
        <v>Midwest</v>
      </c>
    </row>
    <row r="26" spans="4:6" x14ac:dyDescent="0.25">
      <c r="D26" s="24" t="s">
        <v>215</v>
      </c>
      <c r="E26" s="24">
        <v>5</v>
      </c>
      <c r="F26" s="24" t="str">
        <f t="shared" si="0"/>
        <v>Midwest</v>
      </c>
    </row>
    <row r="27" spans="4:6" x14ac:dyDescent="0.25">
      <c r="D27" s="24" t="s">
        <v>247</v>
      </c>
      <c r="E27" s="24">
        <v>4</v>
      </c>
      <c r="F27" s="24" t="str">
        <f t="shared" si="0"/>
        <v>Southeast</v>
      </c>
    </row>
    <row r="28" spans="4:6" x14ac:dyDescent="0.25">
      <c r="D28" s="24" t="s">
        <v>248</v>
      </c>
      <c r="E28" s="24">
        <v>7</v>
      </c>
      <c r="F28" s="24" t="str">
        <f t="shared" si="0"/>
        <v>Midwest</v>
      </c>
    </row>
    <row r="29" spans="4:6" x14ac:dyDescent="0.25">
      <c r="D29" s="24" t="s">
        <v>154</v>
      </c>
      <c r="E29" s="24">
        <v>8</v>
      </c>
      <c r="F29" s="24" t="str">
        <f t="shared" si="0"/>
        <v>Mountains and Plains</v>
      </c>
    </row>
    <row r="30" spans="4:6" x14ac:dyDescent="0.25">
      <c r="D30" s="24" t="s">
        <v>249</v>
      </c>
      <c r="E30" s="24">
        <v>7</v>
      </c>
      <c r="F30" s="24" t="str">
        <f t="shared" si="0"/>
        <v>Midwest</v>
      </c>
    </row>
    <row r="31" spans="4:6" x14ac:dyDescent="0.25">
      <c r="D31" s="24" t="s">
        <v>250</v>
      </c>
      <c r="E31" s="24">
        <v>9</v>
      </c>
      <c r="F31" s="24" t="str">
        <f t="shared" si="0"/>
        <v>Pacific Southwest</v>
      </c>
    </row>
    <row r="32" spans="4:6" x14ac:dyDescent="0.25">
      <c r="D32" s="24" t="s">
        <v>156</v>
      </c>
      <c r="E32" s="24">
        <v>1</v>
      </c>
      <c r="F32" s="24" t="str">
        <f t="shared" si="0"/>
        <v>New England</v>
      </c>
    </row>
    <row r="33" spans="4:6" x14ac:dyDescent="0.25">
      <c r="D33" s="24" t="s">
        <v>251</v>
      </c>
      <c r="E33" s="24">
        <v>2</v>
      </c>
      <c r="F33" s="24" t="str">
        <f t="shared" si="0"/>
        <v>Mid-Atlantic</v>
      </c>
    </row>
    <row r="34" spans="4:6" x14ac:dyDescent="0.25">
      <c r="D34" s="24" t="s">
        <v>252</v>
      </c>
      <c r="E34" s="24">
        <v>6</v>
      </c>
      <c r="F34" s="24" t="str">
        <f t="shared" si="0"/>
        <v>South Central</v>
      </c>
    </row>
    <row r="35" spans="4:6" x14ac:dyDescent="0.25">
      <c r="D35" s="24" t="s">
        <v>253</v>
      </c>
      <c r="E35" s="24">
        <v>2</v>
      </c>
      <c r="F35" s="24" t="str">
        <f t="shared" si="0"/>
        <v>Mid-Atlantic</v>
      </c>
    </row>
    <row r="36" spans="4:6" x14ac:dyDescent="0.25">
      <c r="D36" s="24" t="s">
        <v>254</v>
      </c>
      <c r="E36" s="24">
        <v>4</v>
      </c>
      <c r="F36" s="24" t="str">
        <f t="shared" ref="F36:F53" si="1">VLOOKUP(E36,A:B,2,0)</f>
        <v>Southeast</v>
      </c>
    </row>
    <row r="37" spans="4:6" x14ac:dyDescent="0.25">
      <c r="D37" s="24" t="s">
        <v>255</v>
      </c>
      <c r="E37" s="24">
        <v>8</v>
      </c>
      <c r="F37" s="24" t="str">
        <f t="shared" si="1"/>
        <v>Mountains and Plains</v>
      </c>
    </row>
    <row r="38" spans="4:6" x14ac:dyDescent="0.25">
      <c r="D38" s="24" t="s">
        <v>217</v>
      </c>
      <c r="E38" s="24">
        <v>5</v>
      </c>
      <c r="F38" s="24" t="str">
        <f t="shared" si="1"/>
        <v>Midwest</v>
      </c>
    </row>
    <row r="39" spans="4:6" x14ac:dyDescent="0.25">
      <c r="D39" s="24" t="s">
        <v>256</v>
      </c>
      <c r="E39" s="24">
        <v>6</v>
      </c>
      <c r="F39" s="24" t="str">
        <f t="shared" si="1"/>
        <v>South Central</v>
      </c>
    </row>
    <row r="40" spans="4:6" x14ac:dyDescent="0.25">
      <c r="D40" s="24" t="s">
        <v>257</v>
      </c>
      <c r="E40" s="24">
        <v>10</v>
      </c>
      <c r="F40" s="24" t="str">
        <f t="shared" si="1"/>
        <v>Pacific Northwest</v>
      </c>
    </row>
    <row r="41" spans="4:6" x14ac:dyDescent="0.25">
      <c r="D41" s="24" t="s">
        <v>258</v>
      </c>
      <c r="E41" s="24">
        <v>3</v>
      </c>
      <c r="F41" s="24" t="str">
        <f t="shared" si="1"/>
        <v>Mid-Atlantic</v>
      </c>
    </row>
    <row r="42" spans="4:6" x14ac:dyDescent="0.25">
      <c r="D42" s="24" t="s">
        <v>259</v>
      </c>
      <c r="E42" s="24">
        <v>1</v>
      </c>
      <c r="F42" s="24" t="str">
        <f t="shared" si="1"/>
        <v>New England</v>
      </c>
    </row>
    <row r="43" spans="4:6" x14ac:dyDescent="0.25">
      <c r="D43" s="24" t="s">
        <v>111</v>
      </c>
      <c r="E43" s="24">
        <v>4</v>
      </c>
      <c r="F43" s="24" t="str">
        <f t="shared" si="1"/>
        <v>Southeast</v>
      </c>
    </row>
    <row r="44" spans="4:6" x14ac:dyDescent="0.25">
      <c r="D44" s="24" t="s">
        <v>260</v>
      </c>
      <c r="E44" s="24">
        <v>8</v>
      </c>
      <c r="F44" s="24" t="str">
        <f t="shared" si="1"/>
        <v>Mountains and Plains</v>
      </c>
    </row>
    <row r="45" spans="4:6" x14ac:dyDescent="0.25">
      <c r="D45" s="24" t="s">
        <v>72</v>
      </c>
      <c r="E45" s="24">
        <v>4</v>
      </c>
      <c r="F45" s="24" t="str">
        <f t="shared" si="1"/>
        <v>Southeast</v>
      </c>
    </row>
    <row r="46" spans="4:6" x14ac:dyDescent="0.25">
      <c r="D46" s="24" t="s">
        <v>206</v>
      </c>
      <c r="E46" s="24">
        <v>6</v>
      </c>
      <c r="F46" s="24" t="str">
        <f t="shared" si="1"/>
        <v>South Central</v>
      </c>
    </row>
    <row r="47" spans="4:6" x14ac:dyDescent="0.25">
      <c r="D47" s="24" t="s">
        <v>261</v>
      </c>
      <c r="E47" s="24">
        <v>8</v>
      </c>
      <c r="F47" s="24" t="str">
        <f t="shared" si="1"/>
        <v>Mountains and Plains</v>
      </c>
    </row>
    <row r="48" spans="4:6" x14ac:dyDescent="0.25">
      <c r="D48" s="24" t="s">
        <v>262</v>
      </c>
      <c r="E48" s="24">
        <v>1</v>
      </c>
      <c r="F48" s="24" t="str">
        <f t="shared" si="1"/>
        <v>New England</v>
      </c>
    </row>
    <row r="49" spans="4:6" x14ac:dyDescent="0.25">
      <c r="D49" s="24" t="s">
        <v>263</v>
      </c>
      <c r="E49" s="24">
        <v>3</v>
      </c>
      <c r="F49" s="24" t="str">
        <f t="shared" si="1"/>
        <v>Mid-Atlantic</v>
      </c>
    </row>
    <row r="50" spans="4:6" x14ac:dyDescent="0.25">
      <c r="D50" s="24" t="s">
        <v>264</v>
      </c>
      <c r="E50" s="24">
        <v>10</v>
      </c>
      <c r="F50" s="24" t="str">
        <f t="shared" si="1"/>
        <v>Pacific Northwest</v>
      </c>
    </row>
    <row r="51" spans="4:6" x14ac:dyDescent="0.25">
      <c r="D51" s="24" t="s">
        <v>265</v>
      </c>
      <c r="E51" s="24">
        <v>3</v>
      </c>
      <c r="F51" s="24" t="str">
        <f t="shared" si="1"/>
        <v>Mid-Atlantic</v>
      </c>
    </row>
    <row r="52" spans="4:6" x14ac:dyDescent="0.25">
      <c r="D52" s="24" t="s">
        <v>211</v>
      </c>
      <c r="E52" s="24">
        <v>5</v>
      </c>
      <c r="F52" s="24" t="str">
        <f t="shared" si="1"/>
        <v>Midwest</v>
      </c>
    </row>
    <row r="53" spans="4:6" x14ac:dyDescent="0.25">
      <c r="D53" s="24" t="s">
        <v>266</v>
      </c>
      <c r="E53" s="24">
        <v>8</v>
      </c>
      <c r="F53" s="24" t="str">
        <f t="shared" si="1"/>
        <v>Mountains and Plains</v>
      </c>
    </row>
  </sheetData>
  <mergeCells count="1">
    <mergeCell ref="A14:B1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pane ySplit="3" topLeftCell="A4" activePane="bottomLeft" state="frozen"/>
      <selection pane="bottomLeft"/>
    </sheetView>
  </sheetViews>
  <sheetFormatPr defaultRowHeight="15" x14ac:dyDescent="0.25"/>
  <cols>
    <col min="1" max="1" width="10.5703125" customWidth="1"/>
    <col min="2" max="3" width="11.85546875" customWidth="1"/>
    <col min="5" max="5" width="12.140625" customWidth="1"/>
    <col min="7" max="7" width="22.7109375" customWidth="1"/>
  </cols>
  <sheetData>
    <row r="1" spans="1:5" s="5" customFormat="1" ht="16.5" customHeight="1" x14ac:dyDescent="0.2">
      <c r="A1" s="158"/>
      <c r="B1" s="11"/>
      <c r="C1" s="11"/>
      <c r="D1" s="11"/>
      <c r="E1" s="11"/>
    </row>
    <row r="2" spans="1:5" s="5" customFormat="1" ht="16.5" customHeight="1" x14ac:dyDescent="0.2">
      <c r="A2" s="123"/>
      <c r="B2" s="123"/>
      <c r="C2" s="123"/>
      <c r="D2" s="123"/>
      <c r="E2" s="11"/>
    </row>
    <row r="3" spans="1:5" x14ac:dyDescent="0.25">
      <c r="A3" s="159" t="s">
        <v>44</v>
      </c>
      <c r="B3" s="159" t="s">
        <v>1739</v>
      </c>
      <c r="C3" s="159" t="s">
        <v>1740</v>
      </c>
    </row>
    <row r="4" spans="1:5" x14ac:dyDescent="0.25">
      <c r="A4" s="167">
        <v>1980</v>
      </c>
      <c r="B4" s="167">
        <v>82.4</v>
      </c>
      <c r="C4" s="167" t="s">
        <v>42</v>
      </c>
    </row>
    <row r="5" spans="1:5" x14ac:dyDescent="0.25">
      <c r="A5" s="167">
        <v>1981</v>
      </c>
      <c r="B5" s="167">
        <v>90.9</v>
      </c>
      <c r="C5" s="167" t="s">
        <v>42</v>
      </c>
    </row>
    <row r="6" spans="1:5" x14ac:dyDescent="0.25">
      <c r="A6" s="167">
        <v>1982</v>
      </c>
      <c r="B6" s="167">
        <v>96.5</v>
      </c>
      <c r="C6" s="167" t="s">
        <v>42</v>
      </c>
    </row>
    <row r="7" spans="1:5" x14ac:dyDescent="0.25">
      <c r="A7" s="167">
        <v>1983</v>
      </c>
      <c r="B7" s="167">
        <v>99.6</v>
      </c>
      <c r="C7" s="167" t="s">
        <v>42</v>
      </c>
    </row>
    <row r="8" spans="1:5" x14ac:dyDescent="0.25">
      <c r="A8" s="167">
        <v>1984</v>
      </c>
      <c r="B8" s="167">
        <v>103.9</v>
      </c>
      <c r="C8" s="167" t="s">
        <v>42</v>
      </c>
    </row>
    <row r="9" spans="1:5" x14ac:dyDescent="0.25">
      <c r="A9" s="167">
        <v>1985</v>
      </c>
      <c r="B9" s="167">
        <v>107.6</v>
      </c>
      <c r="C9" s="167" t="s">
        <v>42</v>
      </c>
    </row>
    <row r="10" spans="1:5" x14ac:dyDescent="0.25">
      <c r="A10" s="167">
        <v>1986</v>
      </c>
      <c r="B10" s="167">
        <v>109.6</v>
      </c>
      <c r="C10" s="167" t="s">
        <v>42</v>
      </c>
    </row>
    <row r="11" spans="1:5" x14ac:dyDescent="0.25">
      <c r="A11" s="167">
        <v>1987</v>
      </c>
      <c r="B11" s="167">
        <v>113.6</v>
      </c>
      <c r="C11" s="167" t="s">
        <v>42</v>
      </c>
    </row>
    <row r="12" spans="1:5" x14ac:dyDescent="0.25">
      <c r="A12" s="167">
        <v>1988</v>
      </c>
      <c r="B12" s="167">
        <v>118.3</v>
      </c>
      <c r="C12" s="167" t="s">
        <v>42</v>
      </c>
    </row>
    <row r="13" spans="1:5" x14ac:dyDescent="0.25">
      <c r="A13" s="167">
        <v>1989</v>
      </c>
      <c r="B13" s="167">
        <v>124</v>
      </c>
      <c r="C13" s="167" t="s">
        <v>42</v>
      </c>
    </row>
    <row r="14" spans="1:5" x14ac:dyDescent="0.25">
      <c r="A14" s="167">
        <v>1990</v>
      </c>
      <c r="B14" s="167">
        <v>130.69999999999999</v>
      </c>
      <c r="C14" s="167">
        <v>4732</v>
      </c>
    </row>
    <row r="15" spans="1:5" x14ac:dyDescent="0.25">
      <c r="A15" s="167">
        <v>1991</v>
      </c>
      <c r="B15" s="167">
        <v>136.19999999999999</v>
      </c>
      <c r="C15" s="167">
        <v>4835</v>
      </c>
    </row>
    <row r="16" spans="1:5" x14ac:dyDescent="0.25">
      <c r="A16" s="167">
        <v>1992</v>
      </c>
      <c r="B16" s="167">
        <v>140.30000000000001</v>
      </c>
      <c r="C16" s="167">
        <v>4985</v>
      </c>
    </row>
    <row r="17" spans="1:3" x14ac:dyDescent="0.25">
      <c r="A17" s="167">
        <v>1993</v>
      </c>
      <c r="B17" s="167">
        <v>144.5</v>
      </c>
      <c r="C17" s="167">
        <v>5210</v>
      </c>
    </row>
    <row r="18" spans="1:3" x14ac:dyDescent="0.25">
      <c r="A18" s="167">
        <v>1994</v>
      </c>
      <c r="B18" s="167">
        <v>148.19999999999999</v>
      </c>
      <c r="C18" s="167">
        <v>5408</v>
      </c>
    </row>
    <row r="19" spans="1:3" x14ac:dyDescent="0.25">
      <c r="A19" s="167">
        <v>1995</v>
      </c>
      <c r="B19" s="167">
        <v>152.4</v>
      </c>
      <c r="C19" s="167">
        <v>5471</v>
      </c>
    </row>
    <row r="20" spans="1:3" x14ac:dyDescent="0.25">
      <c r="A20" s="167">
        <v>1996</v>
      </c>
      <c r="B20" s="167">
        <v>156.9</v>
      </c>
      <c r="C20" s="167">
        <v>5620</v>
      </c>
    </row>
    <row r="21" spans="1:3" x14ac:dyDescent="0.25">
      <c r="A21" s="167">
        <v>1997</v>
      </c>
      <c r="B21" s="167">
        <v>160.5</v>
      </c>
      <c r="C21" s="167">
        <v>5826</v>
      </c>
    </row>
    <row r="22" spans="1:3" x14ac:dyDescent="0.25">
      <c r="A22" s="167">
        <v>1998</v>
      </c>
      <c r="B22" s="167">
        <v>163</v>
      </c>
      <c r="C22" s="167">
        <v>5920</v>
      </c>
    </row>
    <row r="23" spans="1:3" x14ac:dyDescent="0.25">
      <c r="A23" s="167">
        <v>1999</v>
      </c>
      <c r="B23" s="167">
        <v>166.6</v>
      </c>
      <c r="C23" s="167">
        <v>6059</v>
      </c>
    </row>
    <row r="24" spans="1:3" x14ac:dyDescent="0.25">
      <c r="A24" s="168">
        <v>2000</v>
      </c>
      <c r="B24" s="168">
        <v>172.2</v>
      </c>
      <c r="C24" s="167">
        <v>6221</v>
      </c>
    </row>
    <row r="25" spans="1:3" x14ac:dyDescent="0.25">
      <c r="A25" s="168">
        <v>2001</v>
      </c>
      <c r="B25" s="168">
        <v>177.1</v>
      </c>
      <c r="C25" s="167">
        <v>6343</v>
      </c>
    </row>
    <row r="26" spans="1:3" x14ac:dyDescent="0.25">
      <c r="A26" s="168">
        <v>2002</v>
      </c>
      <c r="B26" s="168">
        <v>179.9</v>
      </c>
      <c r="C26" s="167">
        <v>6538</v>
      </c>
    </row>
    <row r="27" spans="1:3" x14ac:dyDescent="0.25">
      <c r="A27" s="168">
        <v>2003</v>
      </c>
      <c r="B27" s="168">
        <v>184</v>
      </c>
      <c r="C27" s="167">
        <v>6694</v>
      </c>
    </row>
    <row r="28" spans="1:3" x14ac:dyDescent="0.25">
      <c r="A28" s="168">
        <v>2004</v>
      </c>
      <c r="B28" s="168">
        <v>188.9</v>
      </c>
      <c r="C28" s="167">
        <v>7115</v>
      </c>
    </row>
    <row r="29" spans="1:3" x14ac:dyDescent="0.25">
      <c r="A29" s="168">
        <v>2005</v>
      </c>
      <c r="B29" s="168">
        <v>195.3</v>
      </c>
      <c r="C29" s="167">
        <v>7446</v>
      </c>
    </row>
    <row r="30" spans="1:3" x14ac:dyDescent="0.25">
      <c r="A30" s="168">
        <v>2006</v>
      </c>
      <c r="B30" s="168">
        <v>201.6</v>
      </c>
      <c r="C30" s="167">
        <v>7751</v>
      </c>
    </row>
    <row r="31" spans="1:3" x14ac:dyDescent="0.25">
      <c r="A31" s="168">
        <v>2007</v>
      </c>
      <c r="B31" s="168">
        <v>207.34200000000001</v>
      </c>
      <c r="C31" s="167">
        <v>7966</v>
      </c>
    </row>
    <row r="32" spans="1:3" x14ac:dyDescent="0.25">
      <c r="A32" s="168">
        <v>2008</v>
      </c>
      <c r="B32" s="168">
        <v>215.303</v>
      </c>
      <c r="C32" s="167">
        <v>8310</v>
      </c>
    </row>
    <row r="33" spans="1:4" x14ac:dyDescent="0.25">
      <c r="A33" s="168">
        <v>2009</v>
      </c>
      <c r="B33" s="168">
        <v>214.53700000000001</v>
      </c>
      <c r="C33" s="167">
        <v>8570</v>
      </c>
    </row>
    <row r="34" spans="1:4" x14ac:dyDescent="0.25">
      <c r="A34" s="168">
        <v>2010</v>
      </c>
      <c r="B34" s="168">
        <v>218.05600000000001</v>
      </c>
      <c r="C34" s="167">
        <v>8799</v>
      </c>
    </row>
    <row r="35" spans="1:4" x14ac:dyDescent="0.25">
      <c r="A35" s="168">
        <v>2011</v>
      </c>
      <c r="B35" s="168">
        <v>224.93899999999999</v>
      </c>
      <c r="C35" s="167">
        <v>9070</v>
      </c>
    </row>
    <row r="36" spans="1:4" x14ac:dyDescent="0.25">
      <c r="A36" s="168">
        <v>2012</v>
      </c>
      <c r="B36" s="168">
        <v>229.59399999999999</v>
      </c>
      <c r="C36" s="167">
        <v>9401</v>
      </c>
    </row>
    <row r="37" spans="1:4" x14ac:dyDescent="0.25">
      <c r="A37" s="168">
        <v>2013</v>
      </c>
      <c r="B37" s="168">
        <v>232.13899999999998</v>
      </c>
      <c r="C37" s="168" t="s">
        <v>42</v>
      </c>
      <c r="D37" t="s">
        <v>1845</v>
      </c>
    </row>
    <row r="38" spans="1:4" x14ac:dyDescent="0.25">
      <c r="A38" s="169" t="s">
        <v>1741</v>
      </c>
    </row>
    <row r="39" spans="1:4" x14ac:dyDescent="0.25">
      <c r="A39" s="169" t="s">
        <v>1742</v>
      </c>
    </row>
    <row r="40" spans="1:4" x14ac:dyDescent="0.25">
      <c r="A40" s="170" t="s">
        <v>1743</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58FF1499CCF7942AB84C29C27CDC9C7" ma:contentTypeVersion="0" ma:contentTypeDescription="Create a new document." ma:contentTypeScope="" ma:versionID="2eb0203bd8da062fda7123529cbbe565">
  <xsd:schema xmlns:xsd="http://www.w3.org/2001/XMLSchema" xmlns:xs="http://www.w3.org/2001/XMLSchema" xmlns:p="http://schemas.microsoft.com/office/2006/metadata/properties" targetNamespace="http://schemas.microsoft.com/office/2006/metadata/properties" ma:root="true" ma:fieldsID="c86db998ce7f336caca3c286429a12c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914128-7D09-41C7-9204-875249C9F8B3}">
  <ds:schemaRefs>
    <ds:schemaRef ds:uri="http://schemas.microsoft.com/office/2006/metadata/properties"/>
    <ds:schemaRef ds:uri="http://purl.org/dc/dcmitype/"/>
    <ds:schemaRef ds:uri="http://schemas.openxmlformats.org/package/2006/metadata/core-properties"/>
    <ds:schemaRef ds:uri="http://schemas.microsoft.com/office/2006/documentManagement/types"/>
    <ds:schemaRef ds:uri="http://www.w3.org/XML/1998/namespace"/>
    <ds:schemaRef ds:uri="http://purl.org/dc/terms/"/>
    <ds:schemaRef ds:uri="http://purl.org/dc/elements/1.1/"/>
    <ds:schemaRef ds:uri="http://schemas.microsoft.com/office/infopath/2007/PartnerControls"/>
  </ds:schemaRefs>
</ds:datastoreItem>
</file>

<file path=customXml/itemProps2.xml><?xml version="1.0" encoding="utf-8"?>
<ds:datastoreItem xmlns:ds="http://schemas.openxmlformats.org/officeDocument/2006/customXml" ds:itemID="{07EB07F0-5AD1-4CDD-8EC0-B555699663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B1889794-BF15-4B76-8D79-6F82E109B7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55</vt:i4>
      </vt:variant>
    </vt:vector>
  </HeadingPairs>
  <TitlesOfParts>
    <vt:vector size="84" baseType="lpstr">
      <vt:lpstr>Instructions</vt:lpstr>
      <vt:lpstr>File Info</vt:lpstr>
      <vt:lpstr>Lakes and Flowing Waters</vt:lpstr>
      <vt:lpstr>Estuaries and Coasts</vt:lpstr>
      <vt:lpstr>Point Sources --&gt;</vt:lpstr>
      <vt:lpstr>Municipal</vt:lpstr>
      <vt:lpstr>Industrial</vt:lpstr>
      <vt:lpstr>Decentralized</vt:lpstr>
      <vt:lpstr>Point Source Anecdotal</vt:lpstr>
      <vt:lpstr>Nonpoint Sources --&gt;</vt:lpstr>
      <vt:lpstr>Urban Runoff</vt:lpstr>
      <vt:lpstr>Restoration and Mitigation --&gt;</vt:lpstr>
      <vt:lpstr>Restoration</vt:lpstr>
      <vt:lpstr>Mitigation</vt:lpstr>
      <vt:lpstr>Mitigation Anecdotal</vt:lpstr>
      <vt:lpstr>Economic Impacts --&gt;</vt:lpstr>
      <vt:lpstr>Index</vt:lpstr>
      <vt:lpstr>Tourism</vt:lpstr>
      <vt:lpstr>Fisheries</vt:lpstr>
      <vt:lpstr>Property Value</vt:lpstr>
      <vt:lpstr>Health Effects</vt:lpstr>
      <vt:lpstr>Drinking Water Treatment</vt:lpstr>
      <vt:lpstr>Anecdotal Impacts</vt:lpstr>
      <vt:lpstr>Additional Studies</vt:lpstr>
      <vt:lpstr>CBAs</vt:lpstr>
      <vt:lpstr>Benefits Studies</vt:lpstr>
      <vt:lpstr>References</vt:lpstr>
      <vt:lpstr>Regions</vt:lpstr>
      <vt:lpstr>Dollar Adjustments</vt:lpstr>
      <vt:lpstr>Adamsetal2002</vt:lpstr>
      <vt:lpstr>Andersonetal2000</vt:lpstr>
      <vt:lpstr>Araetal2006</vt:lpstr>
      <vt:lpstr>athearn2008</vt:lpstr>
      <vt:lpstr>average_annual_adj</vt:lpstr>
      <vt:lpstr>Boyleetal1998</vt:lpstr>
      <vt:lpstr>CareyLeftwich2000</vt:lpstr>
      <vt:lpstr>Caronetal2010</vt:lpstr>
      <vt:lpstr>CCI_2011</vt:lpstr>
      <vt:lpstr>Cesaretal2002</vt:lpstr>
      <vt:lpstr>CityNews2011</vt:lpstr>
      <vt:lpstr>CPI</vt:lpstr>
      <vt:lpstr>DavenportDrake2011</vt:lpstr>
      <vt:lpstr>DavenportDrake2011b</vt:lpstr>
      <vt:lpstr>Davenportetal2010</vt:lpstr>
      <vt:lpstr>DesMoines2013</vt:lpstr>
      <vt:lpstr>Doddsetal2009</vt:lpstr>
      <vt:lpstr>DysonHuppert2010</vt:lpstr>
      <vt:lpstr>ENR_CCI</vt:lpstr>
      <vt:lpstr>EvansJones2001</vt:lpstr>
      <vt:lpstr>EvansJones2001b</vt:lpstr>
      <vt:lpstr>Gibbsetal2002</vt:lpstr>
      <vt:lpstr>Glass2003</vt:lpstr>
      <vt:lpstr>Gorte1994</vt:lpstr>
      <vt:lpstr>Henry2013</vt:lpstr>
      <vt:lpstr>Hoaglandetal2009</vt:lpstr>
      <vt:lpstr>Hunt2013</vt:lpstr>
      <vt:lpstr>Jinetal2008</vt:lpstr>
      <vt:lpstr>KashianKasper2011</vt:lpstr>
      <vt:lpstr>KDHE2011</vt:lpstr>
      <vt:lpstr>Kryseletal2003</vt:lpstr>
      <vt:lpstr>LakeErie2012</vt:lpstr>
      <vt:lpstr>LarkinAdams2007</vt:lpstr>
      <vt:lpstr>Lollar2008</vt:lpstr>
      <vt:lpstr>Michaeletal2000</vt:lpstr>
      <vt:lpstr>Mistiaenetal2003</vt:lpstr>
      <vt:lpstr>Morganetal2008</vt:lpstr>
      <vt:lpstr>MorganLarkin2006</vt:lpstr>
      <vt:lpstr>OhDitton2005</vt:lpstr>
      <vt:lpstr>Pooretal2002</vt:lpstr>
      <vt:lpstr>Pooretal2007</vt:lpstr>
      <vt:lpstr>Decentralized!Print_Area</vt:lpstr>
      <vt:lpstr>Industrial!Print_Area</vt:lpstr>
      <vt:lpstr>Mitigation!Print_Area</vt:lpstr>
      <vt:lpstr>'Mitigation Anecdotal'!Print_Area</vt:lpstr>
      <vt:lpstr>'Point Source Anecdotal'!Print_Area</vt:lpstr>
      <vt:lpstr>'Urban Runoff'!Print_Area</vt:lpstr>
      <vt:lpstr>'Point Source Anecdotal'!Print_Titles</vt:lpstr>
      <vt:lpstr>Ralonde2001</vt:lpstr>
      <vt:lpstr>Ribaudoetal2011</vt:lpstr>
      <vt:lpstr>Steinnes1992</vt:lpstr>
      <vt:lpstr>vanBeukeringCesar2004</vt:lpstr>
      <vt:lpstr>Walshetal2011</vt:lpstr>
      <vt:lpstr>Wheeler2013</vt:lpstr>
      <vt:lpstr>Young1984</vt:lpstr>
    </vt:vector>
  </TitlesOfParts>
  <Company>Abt Associates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Giovanni</dc:creator>
  <cp:lastModifiedBy>Sengco, Mario</cp:lastModifiedBy>
  <dcterms:created xsi:type="dcterms:W3CDTF">2012-12-04T20:09:05Z</dcterms:created>
  <dcterms:modified xsi:type="dcterms:W3CDTF">2015-04-30T22:17:26Z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0x010100A58FF1499CCF7942AB84C29C27CDC9C7</vt:lpwstr>
  </property>
</Properties>
</file>