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65401" windowWidth="12390" windowHeight="9315" tabRatio="918" activeTab="0"/>
  </bookViews>
  <sheets>
    <sheet name="Cover Sheet" sheetId="1" r:id="rId1"/>
    <sheet name="Inputs" sheetId="2" r:id="rId2"/>
    <sheet name="Cost Calculator" sheetId="3" r:id="rId3"/>
    <sheet name="Cost Data" sheetId="4" r:id="rId4"/>
    <sheet name="Cost Graphs" sheetId="5" r:id="rId5"/>
    <sheet name=" Benefits" sheetId="6" r:id="rId6"/>
    <sheet name="Composting Env. Benefits" sheetId="7" r:id="rId7"/>
    <sheet name="Summary" sheetId="8" r:id="rId8"/>
    <sheet name="Resources" sheetId="9" r:id="rId9"/>
    <sheet name="Default Cost Data" sheetId="10" r:id="rId10"/>
    <sheet name="Lookup" sheetId="11" r:id="rId11"/>
    <sheet name="Waste Logbook" sheetId="12" r:id="rId12"/>
  </sheets>
  <definedNames>
    <definedName name="FeedAnimals">'Resources'!$C$39</definedName>
    <definedName name="FoodGen" localSheetId="9">'Default Cost Data'!$A$3:$E$11</definedName>
    <definedName name="FoodGen">'Cost Data'!$A$3:$E$11</definedName>
    <definedName name="FoodRescue">'Resources'!$C$31</definedName>
    <definedName name="FoodSep" localSheetId="9">'Default Cost Data'!$A$36</definedName>
    <definedName name="FoodSep">'Cost Data'!$A$36</definedName>
    <definedName name="InVesselComp">'Resources'!$C$51</definedName>
    <definedName name="InVesselCosts" localSheetId="9">'Default Cost Data'!$C$14</definedName>
    <definedName name="InVesselCosts">'Cost Data'!$C$14</definedName>
    <definedName name="OffSiteComp">'Resources'!$C$59</definedName>
    <definedName name="OutdoorComp">'Resources'!$C$48</definedName>
    <definedName name="_xlnm.Print_Area" localSheetId="5">' Benefits'!$A$1:$J$22</definedName>
    <definedName name="_xlnm.Print_Area" localSheetId="6">'Composting Env. Benefits'!$A$1:$H$29</definedName>
    <definedName name="_xlnm.Print_Area" localSheetId="2">'Cost Calculator'!$A$1:$J$35</definedName>
    <definedName name="_xlnm.Print_Area" localSheetId="3">'Cost Data'!$A$1:$E$58</definedName>
    <definedName name="_xlnm.Print_Area" localSheetId="4">'Cost Graphs'!$A$1:$D$55</definedName>
    <definedName name="_xlnm.Print_Area" localSheetId="0">'Cover Sheet'!$A$1:$I$18</definedName>
    <definedName name="_xlnm.Print_Area" localSheetId="9">'Default Cost Data'!$A$1:$E$58</definedName>
    <definedName name="_xlnm.Print_Area" localSheetId="1">'Inputs'!$A$1:$K$121</definedName>
    <definedName name="_xlnm.Print_Area" localSheetId="10">'Lookup'!$A$15:$K$81</definedName>
    <definedName name="_xlnm.Print_Area" localSheetId="8">'Resources'!$B$2:$G$71</definedName>
    <definedName name="_xlnm.Print_Area" localSheetId="7">'Summary'!$B$2:$H$35</definedName>
    <definedName name="_xlnm.Print_Area" localSheetId="11">'Waste Logbook'!$A$3:$G$36</definedName>
    <definedName name="PulpCosts" localSheetId="9">'Default Cost Data'!$A$20</definedName>
    <definedName name="PulpCosts">'Cost Data'!$A$20</definedName>
    <definedName name="PulpPercent" localSheetId="9">'Default Cost Data'!$C$30</definedName>
    <definedName name="PulpPercent">'Cost Data'!$C$30</definedName>
    <definedName name="PulpPerct" localSheetId="9">'Default Cost Data'!$C$30</definedName>
    <definedName name="PulpPerct">'Cost Data'!$C$30</definedName>
    <definedName name="SourceRed">'Resources'!$C$21</definedName>
    <definedName name="Summary">'Summary'!$C$3</definedName>
    <definedName name="TaxDeduct">'Resources'!$C$67</definedName>
    <definedName name="YellowGrease">'Resources'!$C$43</definedName>
  </definedNames>
  <calcPr fullCalcOnLoad="1"/>
</workbook>
</file>

<file path=xl/sharedStrings.xml><?xml version="1.0" encoding="utf-8"?>
<sst xmlns="http://schemas.openxmlformats.org/spreadsheetml/2006/main" count="962" uniqueCount="570">
  <si>
    <t>Will your business be required to pay for the capital costs associated with in-vessel composting?</t>
  </si>
  <si>
    <t>Will your business be required to pay for the energy costs associated with in-vessel composting?</t>
  </si>
  <si>
    <t>Will your business be required to pay for the labor costs associated with in-vessel composting?</t>
  </si>
  <si>
    <t>Recovery of yellow grease to make biodiesel is an increasingly available option.  Restaurants, kitchens, and other commercial food establishments may be able to locate a biodiesel company willing to pick-up their used yellow grease and convert those materials into biodiesel fuel.  These companies will often provide the pick-up service free of charge.  To identify a company, do an Internet search for the name of your city and "biodiesel collection."  As an example of yellow grease collection service, information about two biodiesel companies in New York and Southern California is available at the following links:</t>
  </si>
  <si>
    <t>Transportation Costs</t>
  </si>
  <si>
    <t>May 2007 National Occupational and Wage Estimate for Food Preparation and Serving.  U.S. Department of Labor, Bureau of Labor Statistics. 
http://www.bls.gov/oes/current/oes_nat.htm#b35-0000</t>
  </si>
  <si>
    <t>Americans throw away more than 25% of the food we prepare.  Establishing a food waste diversion program helps to feed the hungry and alleviate food shortages at food pantries and soup kitchens.  Diverting food to pantries and food rescue organizations is recognized as the right thing to do by employees and community members.  Organizations can develop good will and positive outreach programs around food waste diversion programs.</t>
  </si>
  <si>
    <t>How many pounds of  pre-consumer trim waste do you generate per week?</t>
  </si>
  <si>
    <t>What percentage of pre-consumer trim waste are you willing to source reduce?</t>
  </si>
  <si>
    <t>How many pounds of  post-consumer plate waste do you generate per week?</t>
  </si>
  <si>
    <t>What percentage of post-consumer plate waste are you willing to source reduce?</t>
  </si>
  <si>
    <t>Pre-Consumer Prepared/Whole Foods, Trim Waste, and Plate Waste</t>
  </si>
  <si>
    <t>1 to 10</t>
  </si>
  <si>
    <t>2 to 7</t>
  </si>
  <si>
    <t>Tons Per Week (Approximate)</t>
  </si>
  <si>
    <t>1 to 7</t>
  </si>
  <si>
    <t>1 to 5</t>
  </si>
  <si>
    <t>2 to 3</t>
  </si>
  <si>
    <t>1 to 2</t>
  </si>
  <si>
    <t>Food Waste Generation Data</t>
  </si>
  <si>
    <t xml:space="preserve">    How is this fee calculated?</t>
  </si>
  <si>
    <t xml:space="preserve">        How much does the pickup cost per trip?</t>
  </si>
  <si>
    <t xml:space="preserve">        How much does the pickup cost per week?</t>
  </si>
  <si>
    <t xml:space="preserve">        How much are you charged per trip for this pick-up?</t>
  </si>
  <si>
    <t xml:space="preserve">        How much does it cost per trip?</t>
  </si>
  <si>
    <t xml:space="preserve">        How much does it cost per week?</t>
  </si>
  <si>
    <t xml:space="preserve">        How much are you charged per week for pick-up?</t>
  </si>
  <si>
    <t xml:space="preserve">        How much are you charged per trip for pick-up?</t>
  </si>
  <si>
    <t>44</t>
  </si>
  <si>
    <t>45</t>
  </si>
  <si>
    <t>Per Trip</t>
  </si>
  <si>
    <t>46</t>
  </si>
  <si>
    <t>47</t>
  </si>
  <si>
    <t>48</t>
  </si>
  <si>
    <t xml:space="preserve">        How many trips will you make each month?</t>
  </si>
  <si>
    <t>Pulping Costs</t>
  </si>
  <si>
    <t>Communication with Allen Haskin, Hobart, from August 11, 2009 to August 24, 2009</t>
  </si>
  <si>
    <t>Hobart tests of the WPS have showed the weight of the pulped waste are reduced by 10-30 percent</t>
  </si>
  <si>
    <t>Would you be willing to purchase a pulper to reduce the weight of your food and reduce your hauling fees?</t>
  </si>
  <si>
    <t>Pulper</t>
  </si>
  <si>
    <t>Small Pulper</t>
  </si>
  <si>
    <t>Large Pulper</t>
  </si>
  <si>
    <t>In-Sink-Erator Customer Service.  October 16, 2008.  This data is for the In-Sink-Erator WX-300.</t>
  </si>
  <si>
    <t>Communication with Allen Haskin, Hobart, from August 11, 2009 to August 24, 2009.  This data is for the WastePro 1200</t>
  </si>
  <si>
    <t>Communication with Allen Haskin, Hobart, from August 11, 2009 to August 24, 2009.</t>
  </si>
  <si>
    <r>
      <t xml:space="preserve">The </t>
    </r>
    <r>
      <rPr>
        <b/>
        <sz val="10"/>
        <rFont val="Arial"/>
        <family val="2"/>
      </rPr>
      <t>Cost Graphs tab</t>
    </r>
    <r>
      <rPr>
        <sz val="10"/>
        <rFont val="Arial"/>
        <family val="2"/>
      </rPr>
      <t xml:space="preserve"> graphically portrays the changes in cost over time between the baseline and alternative scenarios developed for your facility based on your inputs and Cost Calculator results.</t>
    </r>
  </si>
  <si>
    <r>
      <t xml:space="preserve">The </t>
    </r>
    <r>
      <rPr>
        <b/>
        <sz val="10"/>
        <rFont val="Arial"/>
        <family val="2"/>
      </rPr>
      <t>Waste Logbook tab</t>
    </r>
    <r>
      <rPr>
        <sz val="10"/>
        <rFont val="Arial"/>
        <family val="2"/>
      </rPr>
      <t xml:space="preserve"> provides an example of a food waste tracking spreadsheet that you can use to better characterize the quantity and nature of your food waste.  Tracking food waste over time can help identify areas in which your operations can reduce food waste and achieve cost savings.</t>
    </r>
  </si>
  <si>
    <t>For additional food waste tracking tips and tricks, see:</t>
  </si>
  <si>
    <t>Click this cell for more information on tax deductions for food rescue.</t>
  </si>
  <si>
    <t xml:space="preserve">
To assist in determining which composting method might work best for you, the table to the right indicates cost savings associated with each available composting method.  Note that some methods may not be cost-effective. </t>
  </si>
  <si>
    <t>By default the Food Waste Calculator assumes that pulpers reduce weight of food waste by 20 percent.  Actual reductions vary by the type and size of pulper and food waste processed.  For example, food with a high water content (e.g., fruit) will release more water in the pulping process than food with low water content (e.g., high fat foods).  To adjust the weight reduction percentage, click this cell.</t>
  </si>
  <si>
    <t xml:space="preserve">TABLE 2: Annual Potential Reductions in Environmental Impacts From Composting </t>
  </si>
  <si>
    <t>Emissions Factor* 
(Lbs / Ton Composted</t>
  </si>
  <si>
    <t>Pre-Consumer Prepared / Whole Foods
(Lbs)</t>
  </si>
  <si>
    <t>Pre-Consumer Trim Waste
(Lbs)</t>
  </si>
  <si>
    <t>Post-Consumer Plate Waste 
(Lbs)</t>
  </si>
  <si>
    <t>Total
(Lbs)</t>
  </si>
  <si>
    <t>Annually, based the quantity of food waste composted, your facility could potentially reduce the following:</t>
  </si>
  <si>
    <t>Purchasing costs per pound by food category may vary greatly depending on the size of your facility and menu.   A food/waste audit could help you determine your facility-specific costs per pound.   LeanPath, Inc. estimates that median cost across all food categories is $1.17 per pound.   If costs per pound data is not available for your facility, you may wish to enter LeanPath's estimate for each food category located on the right.</t>
  </si>
  <si>
    <t>The Cost Calculator determines the size (and thus cost) of the pulper that may best fit your operations based on the quantity of food waste generated and hours you can dedicate to pulping.  You may adjust the energy, labor, and initial costs associated with pulping in the Cost Data tab, or click this cell.</t>
  </si>
  <si>
    <r>
      <t>Notes on Baseline Costs:</t>
    </r>
    <r>
      <rPr>
        <sz val="8"/>
        <rFont val="Arial"/>
        <family val="2"/>
      </rPr>
      <t xml:space="preserve">  
- If both prepared/whole food waste and trim/plate waste are being composted in-vessel, costs are split evenly between the two categories.</t>
    </r>
  </si>
  <si>
    <t>Cost Savings from Source Reduction 
(i.e., Lower Purchasing Costs)</t>
  </si>
  <si>
    <t>Fixed Cost of Disposal (i.e., Fixed Hauling Costs)</t>
  </si>
  <si>
    <r>
      <t>Notes on Cost Comparison:</t>
    </r>
    <r>
      <rPr>
        <sz val="8"/>
        <rFont val="Arial"/>
        <family val="2"/>
      </rPr>
      <t xml:space="preserve">
- Negative values represent net costs associated with alternative scenario.</t>
    </r>
  </si>
  <si>
    <t>Off-site composting requires accessibility to a local composting facility that will accept food waste.  For more information, see Off-Site Composting on the Resource tab, or click this cell.</t>
  </si>
  <si>
    <t>For more information on yellow grease recycling, see Industrial Uses -- Yellow Grease on the Resources tab, or click this cell.</t>
  </si>
  <si>
    <t>Notes on Alternative Scenario Costs:  
- Negative values represent net cost savings associated with the alternative scenario (i.e., if savings from donations and selling compost are higher than the costs).
- If both prepared/whole  food waste and trim/plate waste are being composted in-vessel, costs are split evenly between the two categories.
- Food separation costs include the cost of toters, liner bags, and  staff training.  See Food Separation costs on the Cost Data tab, or click this cell.</t>
  </si>
  <si>
    <t>Food Waste Category</t>
  </si>
  <si>
    <t>Pre-Consumer Prepared / Whole Foods</t>
  </si>
  <si>
    <t>Pre-Consumer Trim Waste</t>
  </si>
  <si>
    <t>Post-Consumer Plate Waste</t>
  </si>
  <si>
    <t>Environmental Impact Category</t>
  </si>
  <si>
    <t>Particulate matter, also known as particle pollution or PM, is a complex mixture of extremely small particles and liquid droplets. Particle pollution is made up of a number of components, including acids (such as nitrates and sulfates), organic chemicals, metals, and soil or dust particles.  PM 2.5 represents 2.5 micrometer particulate matter.  For information on the health effects of PM, see http://www.epa.gov/oar/particlepollution/health.html, or click this cell.</t>
  </si>
  <si>
    <t>In this analysis, potential toxics reduction is measured in equivalents of toluene, a highly toxic chemical typically used in the production of gasoline and other hydrocarbons.  For information on the toxicity and heath hazards of toluene, see http://www.epa.gov/ttn/atw/hlthef/toluene.html, or click this cell.</t>
  </si>
  <si>
    <t>The term “carcinogen” refers to agents that directly promote or cause cancer.  In this analysis, potential carcinogen reductions are measured in equivalents of benzene, a common cancer-causing agent found in gasoline and other chemicals. For more information on the health effects of benzene, see http://www.epa.gov/ttn/atw/hlthef/benzene.html, or click this cell.</t>
  </si>
  <si>
    <t>Eutrophication is a process whereby water bodies, such as lakes, estuaries, or slow-moving streams receive excess nutrients that stimulate excessive plant and algae growth.  This enhanced growth, often called an algal bloom, reduces dissolved oxygen in the water when dead plant material decomposes and can cause other organisms to die.  In this analysis, reduction in potential eutrophication is measured in nitrogen (a common nutrient) equivalents.  For more information on eutrophication, see http://toxics.usgs.gov/definitions/eutrophication.html, or click this cell.</t>
  </si>
  <si>
    <t>What is the maximum number of hours per week that you would operate this pulper? 
(maximum of 168 hoursrs).</t>
  </si>
  <si>
    <t>The Food Waste Management Calculator estimates the cost competitiveness of alternatives to food waste disposal, including source reduction, donation, composting, and recycling of yellow grease.  Specifically, the calculator (1) develops an alternative food waste management scenario based on: your waste profile, availability of diversion methods, and preferences; and (2) compares cost estimates for a disposal versus an alternative scenario.  The Cost Calculator demonstrates that environmentally and socially responsible food waste management is cost-effective for many facilities and waste streams.  The more you know about your current waste management costs, the more accurate the calculator’s estimate will be, but default values are provided for many variables.</t>
  </si>
  <si>
    <t>Acidification results from depositing of acids, which  originate from anthropogenic emissions of the three main pollutants: sulfur dioxide (SO2), nitrogen oxides (NOx), and ammonia (NH3). Acid deposition leads to effects on soil, water bodies, vegetation, buildings and infrastructure.  In this analysis, reduced potential for acidification is measured in equivalents of SO2.  For more information on acid deposition, see http://www.epa.gov/acidrain/, or click this cell.</t>
  </si>
  <si>
    <t>Food Waste Diversion Strategy</t>
  </si>
  <si>
    <t>Non-Perishable Food Waste</t>
  </si>
  <si>
    <t>Note: Identifying these websites does not constitute an endorsement by EPA of their products or services.</t>
  </si>
  <si>
    <r>
      <t xml:space="preserve">Industrial Uses </t>
    </r>
    <r>
      <rPr>
        <sz val="10"/>
        <color indexed="8"/>
        <rFont val="Arial"/>
        <family val="2"/>
      </rPr>
      <t>– Provide fats, oils, and greases (FOGs) for biodiesel production or certain types of food scraps for rendering.</t>
    </r>
  </si>
  <si>
    <t>40.3 lbs/MWh is the dirtiest rate * 1000 = KWh</t>
  </si>
  <si>
    <t>http://blog.leanpath.com/?page_id=618</t>
  </si>
  <si>
    <t>This numbers will be hidden</t>
  </si>
  <si>
    <t>Quantity of Waste Disposed, Diverted and Source Reduced (Lbs Per Year)</t>
  </si>
  <si>
    <t xml:space="preserve">Source reduction is the practice of reducing the overall volume of food waste generated.  Typically, facilities identify and eliminate excess food waste through changes in food purchasing, storage, handling, and use.    Source reduction leads directly to cost savings, resulting from avoided purchases and subsequent waste hauling fees.  By separating food waste, businesses can inventory their excess food supply and implement appropriately targeted source reduction strategies.   Facilities may track food waste through paper tracking or more sophisticated automated tracking systems.   Paper tracking is typically not expensive, but may be time consuming.  See the Waste Logbook tab for paper tracking template.  Automated systems can reduce tracking time and help target specific areas (e.g., purchasing, spoilage, trim waste) for source reduction.  For one example of an automated food waste tracking system, see: </t>
  </si>
  <si>
    <t>Compost</t>
  </si>
  <si>
    <t>Food Waste Diversion Strategy:</t>
  </si>
  <si>
    <t>Environmental Benefits of Composting</t>
  </si>
  <si>
    <t>Sample Waste Logbook</t>
  </si>
  <si>
    <t>Carcinogens</t>
  </si>
  <si>
    <t>Ecosystem toxicity is defined as the potential of a chemical released into the environment to cause harm to plants or animals.  In this analysis, reduction in ecosystem toxicity are measured in equivalents of 2,4-Dichlorophenoxyacetic acid (2,4-D), common systemic herbicide used in the control of broadleaf weeds.  For more information on the environmental impacts of 2,4-D, see http://epa.gov/oppsrrd1/REDs/factsheets/24d_fs.htm, or click this cell.</t>
  </si>
  <si>
    <r>
      <t xml:space="preserve">Based on your inputs and associated costs, the </t>
    </r>
    <r>
      <rPr>
        <b/>
        <sz val="10"/>
        <rFont val="Arial"/>
        <family val="2"/>
      </rPr>
      <t>Cost Calculator tab</t>
    </r>
    <r>
      <rPr>
        <sz val="10"/>
        <rFont val="Arial"/>
        <family val="2"/>
      </rPr>
      <t xml:space="preserve"> displays the 1-, 3-, 6-, and 10-year costs associated with food waste disposal versus an alternative scenario developed for your facility.  </t>
    </r>
  </si>
  <si>
    <r>
      <t xml:space="preserve">The </t>
    </r>
    <r>
      <rPr>
        <b/>
        <sz val="10"/>
        <rFont val="Arial"/>
        <family val="2"/>
      </rPr>
      <t>Benefits tab</t>
    </r>
    <r>
      <rPr>
        <sz val="10"/>
        <rFont val="Arial"/>
        <family val="2"/>
      </rPr>
      <t xml:space="preserve"> provides a summary of the environmental and other benefits associated with food waste diversion.</t>
    </r>
  </si>
  <si>
    <r>
      <t xml:space="preserve">The </t>
    </r>
    <r>
      <rPr>
        <b/>
        <sz val="10"/>
        <rFont val="Arial"/>
        <family val="2"/>
      </rPr>
      <t>Summary tab</t>
    </r>
    <r>
      <rPr>
        <sz val="10"/>
        <rFont val="Arial"/>
        <family val="2"/>
      </rPr>
      <t xml:space="preserve"> provides brief review of the alternative food waste scenario based on your inputs and preferences, and summarizes the scenario's financial and environmental results compared to the baseline. </t>
    </r>
  </si>
  <si>
    <r>
      <t xml:space="preserve">The </t>
    </r>
    <r>
      <rPr>
        <b/>
        <sz val="10"/>
        <rFont val="Arial"/>
        <family val="2"/>
      </rPr>
      <t>Resources</t>
    </r>
    <r>
      <rPr>
        <sz val="10"/>
        <rFont val="Arial"/>
        <family val="2"/>
      </rPr>
      <t xml:space="preserve"> tab provides a summary of EPA's food waste hierarchy, as well as descriptive information and links to additional resources, including resources on the local availability of alternative food waste management methods.</t>
    </r>
  </si>
  <si>
    <r>
      <t xml:space="preserve">The </t>
    </r>
    <r>
      <rPr>
        <b/>
        <sz val="10"/>
        <rFont val="Arial"/>
        <family val="2"/>
      </rPr>
      <t>Default Cost Data tab</t>
    </r>
    <r>
      <rPr>
        <sz val="10"/>
        <rFont val="Arial"/>
        <family val="2"/>
      </rPr>
      <t xml:space="preserve"> is a static version of the Cost Data tab.  Refer to it if you change default data in the Cost Data tab, and subsequently want to re-enter default values.</t>
    </r>
  </si>
  <si>
    <r>
      <t xml:space="preserve">The </t>
    </r>
    <r>
      <rPr>
        <b/>
        <sz val="10"/>
        <rFont val="Arial"/>
        <family val="2"/>
      </rPr>
      <t>Lookup tab</t>
    </r>
    <r>
      <rPr>
        <sz val="10"/>
        <rFont val="Arial"/>
        <family val="2"/>
      </rPr>
      <t xml:space="preserve"> contains calculator programming.</t>
    </r>
  </si>
  <si>
    <r>
      <t xml:space="preserve">The </t>
    </r>
    <r>
      <rPr>
        <b/>
        <sz val="10"/>
        <rFont val="Arial"/>
        <family val="2"/>
      </rPr>
      <t>Cost Data tab</t>
    </r>
    <r>
      <rPr>
        <sz val="10"/>
        <rFont val="Arial"/>
        <family val="2"/>
      </rPr>
      <t xml:space="preserve"> provides default data including composting cost data and transportation costs.  Users are encouraged to provide their own data for these costs if available.  Cost data collected from sources dated before 2008 are adjusted for inflation.  </t>
    </r>
  </si>
  <si>
    <t xml:space="preserve">To evaluate greenhouse gas (GHG) emissions reductions resulting from composting your food waste according to the alternative scenario, EPA recommends that you use the WAste Reduction Model (WARM).   EPA created WARM to help solid waste planners and organizations track and voluntarily report greenhouse gas emissions reductions from several different waste management practices.  The latest version of WARM is available both as a Web-based calculator and as a Microsoft Excel spreadsheet and can be accessed at: </t>
  </si>
  <si>
    <t>On-Site Outdoor Composting</t>
  </si>
  <si>
    <t>Does your facility have the ability to compost outdoors at your site?</t>
  </si>
  <si>
    <t>You can create a compost pile at your facility, depending on your available outdoor space.  For more information, see On-site Outdoor Composting on the Resources tab, or click this cell.</t>
  </si>
  <si>
    <t>This cell does not apply for off-site composting.  If you select off-site composting.  Leave this cell blank.</t>
  </si>
  <si>
    <t>Unit Equivalents</t>
  </si>
  <si>
    <t>*In-Vessel Costs do not include initial cost of composter.  
**Estimates do not include separation costs until preferred composting method is selected.  Negative results reflect increased costs.</t>
  </si>
  <si>
    <t>*U.S. Emissions Inventory 2009: Inventory of U.S. Greenhouse Gas Emissions and Sinks: 1990-2007</t>
  </si>
  <si>
    <t xml:space="preserve">The anaerobic decomposition of food waste in landfills releases methane, a greenhouse gas (GHG) 21 times more potent than carbon dioxide.  Landfills account for 23% of US methane emissions and are the second largest anthropogenic source of methane in the country.*  Diverting food from landfills and incinerators lowers GHG emissions.  Industrial Use programs that convert food oil to fuel reduce fossil fuel energy consumption and also decrease GHG emissions. </t>
  </si>
  <si>
    <t>http://www.epa.gov/climatechange/wycd/waste/calculators/Warm_home.html</t>
  </si>
  <si>
    <t>Greenhouse Gas Emissions Reductions From Composting</t>
  </si>
  <si>
    <t>Tons</t>
  </si>
  <si>
    <t>TABLE 1: Quantity of Annual Food Waste Composted in the Alternative Scenario</t>
  </si>
  <si>
    <t>To view a summary of the alternative scenario, including potential cost savings and environmental benefits, see the Summary tab, or click this cell.</t>
  </si>
  <si>
    <t>http://www.epa.gov/nrmrl/lcaccess/index.html</t>
  </si>
  <si>
    <t>Choose the compost hauling fee structure that best matches your facility's operations.</t>
  </si>
  <si>
    <t>Choose the waste hauling fee structure that best matches your facility's operations.</t>
  </si>
  <si>
    <r>
      <t xml:space="preserve">Cost Savings: Alternative Scenario Compared to Baseline Scenario </t>
    </r>
    <r>
      <rPr>
        <sz val="10"/>
        <rFont val="Arial"/>
        <family val="2"/>
      </rPr>
      <t>[ = Row 9 - Row 24]</t>
    </r>
  </si>
  <si>
    <r>
      <t xml:space="preserve">Total Savings: Alternative Scenario and Source Reduction Compared to Baseline Scenario </t>
    </r>
    <r>
      <rPr>
        <sz val="10"/>
        <rFont val="Arial"/>
        <family val="2"/>
      </rPr>
      <t>[= Row 27 + Row 28]</t>
    </r>
  </si>
  <si>
    <t>Pre-Consumer Trim Waste and Post-Consumer Plate Waste</t>
  </si>
  <si>
    <r>
      <t>Source</t>
    </r>
    <r>
      <rPr>
        <sz val="10"/>
        <rFont val="Arial"/>
        <family val="2"/>
      </rPr>
      <t xml:space="preserve">: Morris, Jeffery, Sound Resource Management, "Documentation for the Valuation of Environmental Benefits of Recycling and Composting Material." June 30, 2008.  </t>
    </r>
  </si>
  <si>
    <t>Version 1.0  September 2009</t>
  </si>
  <si>
    <r>
      <t xml:space="preserve">Food Waste Definitions: </t>
    </r>
    <r>
      <rPr>
        <sz val="7"/>
        <rFont val="Arial"/>
        <family val="0"/>
      </rPr>
      <t xml:space="preserve">
- </t>
    </r>
    <r>
      <rPr>
        <u val="single"/>
        <sz val="7"/>
        <rFont val="Arial"/>
        <family val="2"/>
      </rPr>
      <t>Non-perishable food waste</t>
    </r>
    <r>
      <rPr>
        <sz val="7"/>
        <rFont val="Arial"/>
        <family val="0"/>
      </rPr>
      <t xml:space="preserve"> -  surplus food that does not require refrigeration.  Non-pershable food waste is eligible for food bank donation.
- </t>
    </r>
    <r>
      <rPr>
        <u val="single"/>
        <sz val="7"/>
        <rFont val="Arial"/>
        <family val="2"/>
      </rPr>
      <t>Pre-consumer prepared/whole food waste</t>
    </r>
    <r>
      <rPr>
        <sz val="7"/>
        <rFont val="Arial"/>
        <family val="0"/>
      </rPr>
      <t xml:space="preserve"> -  surplus cooked foods and prepared meals that have not been purchased or plated.  Pre-
  consumer prepared/whole food waste is eligible for food rescue.
- </t>
    </r>
    <r>
      <rPr>
        <u val="single"/>
        <sz val="7"/>
        <rFont val="Arial"/>
        <family val="2"/>
      </rPr>
      <t>Pre-consumer trim waste</t>
    </r>
    <r>
      <rPr>
        <sz val="7"/>
        <rFont val="Arial"/>
        <family val="0"/>
      </rPr>
      <t xml:space="preserve"> - food waste generated during food preparation, such as fruit rinds, vegetable scraps, and meat trimmings.
- </t>
    </r>
    <r>
      <rPr>
        <u val="single"/>
        <sz val="7"/>
        <rFont val="Arial"/>
        <family val="2"/>
      </rPr>
      <t>Post-consumer plate waste</t>
    </r>
    <r>
      <rPr>
        <sz val="7"/>
        <rFont val="Arial"/>
        <family val="0"/>
      </rPr>
      <t xml:space="preserve">  - food that is plated, but not eaten by the consumer.
If you are having trouble determining the quantity of food waste your facility generates per week,  review the Waste Generation table on the Cost Data tab for suggested rates by facility type.   Click on this cell to go directly to this table.</t>
    </r>
  </si>
  <si>
    <t>http://www.epa.gov/epawaste/conserve/materials/organics/pubs/wast_not.pdf</t>
  </si>
  <si>
    <t>http://www.epa.gov/epawaste/conserve/materials/organics/food/fd-guide.htm</t>
  </si>
  <si>
    <t>If your facility generates over 500 pounds of food waste per day and you need site-specific cost data for in-vessel composting, you may want to contact one of the manufacturers below or contact a provider that services your area:</t>
  </si>
  <si>
    <t>Final Note:  Macros need to be enabled for the calculator to work properly.  Each time you run the calculator, you should save the file under a different file name to maintain a complete record.  The file name will appear at the top of each printed page.</t>
  </si>
  <si>
    <t>Costs are Cumulative</t>
  </si>
  <si>
    <r>
      <t xml:space="preserve">Of the composting methods available, select the one that you would you prefer to use 
at your facility?  Choose a blank space if you prefer not to compost.
</t>
    </r>
    <r>
      <rPr>
        <b/>
        <sz val="10"/>
        <rFont val="Arial"/>
        <family val="2"/>
      </rPr>
      <t xml:space="preserve">
</t>
    </r>
    <r>
      <rPr>
        <b/>
        <i/>
        <sz val="12"/>
        <color indexed="12"/>
        <rFont val="Arial"/>
        <family val="2"/>
      </rPr>
      <t>This answer is required for the calculator to work properly.</t>
    </r>
  </si>
  <si>
    <t>Using compost can reduce or eliminate the need to apply fertilizers and pesticides on lawns, gardens, and other landscaping.  Table 2 shows potential reductions in environmental impacts resulting from composting under the alternative scenario.  The emissions reduction factors, developed using life-cycle assessment (LCA) methods, assume that composting will result in a 50% reduction and fertilizer use. The environmental impact categories are presented in terms of the equivalent pounds of a common pollutant (e.g., carcinogens are measured in pounds of benzene equivalent).  For more information on LCA methodology, see:</t>
  </si>
  <si>
    <t>Generated (lbs)</t>
  </si>
  <si>
    <t>Emissions Factor</t>
  </si>
  <si>
    <t>http://www.dirtykilowatts.org/</t>
  </si>
  <si>
    <t>Potential Reductions Life-Cycle Environmental Impacts From Composting</t>
  </si>
  <si>
    <t>In-Sink-Erator was unable to provide a cost estimate for the energy cost of the WX-300.  Therefore, the value that Hobart provided for the WastePro 1200 is used for both the WastePro 1200 and the WX-300</t>
  </si>
  <si>
    <t>Initial Cost of Pulper</t>
  </si>
  <si>
    <t>Pulp Disposal</t>
  </si>
  <si>
    <t>Pulp Off-Site</t>
  </si>
  <si>
    <t>Pulp?</t>
  </si>
  <si>
    <t>Total Annual Cost of Pulping</t>
  </si>
  <si>
    <t>Avoided Tons of Food Waste Water From Pulping</t>
  </si>
  <si>
    <t>Avoided Hauling Cost From Pulping</t>
  </si>
  <si>
    <t>Time</t>
  </si>
  <si>
    <t>Recorded By</t>
  </si>
  <si>
    <t>Food Type</t>
  </si>
  <si>
    <t>#  of Portions</t>
  </si>
  <si>
    <t># of Quarts</t>
  </si>
  <si>
    <t># of Pounds</t>
  </si>
  <si>
    <t>PICK ONE</t>
  </si>
  <si>
    <t>Logbook provided by LeanPath, Inc.</t>
  </si>
  <si>
    <t>Loss Reason</t>
  </si>
  <si>
    <t>TOTAL</t>
  </si>
  <si>
    <t>Notes and Instructions</t>
  </si>
  <si>
    <t>Choose the type that best fits the description of your business</t>
  </si>
  <si>
    <t>Choose the facility type that best fits the description of your business.</t>
  </si>
  <si>
    <t>Date:</t>
  </si>
  <si>
    <t>Weather:</t>
  </si>
  <si>
    <t>Notes/Special Events Today:</t>
  </si>
  <si>
    <t>Description</t>
  </si>
  <si>
    <t>Source Reduction and Food Waste Tracking</t>
  </si>
  <si>
    <t>http://www.leanpath.com/lpweb/index2.htm</t>
  </si>
  <si>
    <t>Click this cell for more information on tax deductions for food donation.</t>
  </si>
  <si>
    <t>Comparison of Alternative Scenario to the Baseline</t>
  </si>
  <si>
    <t>Donors are advised to consult with their tax advisor; overview information is available from Feeding America:</t>
  </si>
  <si>
    <t>To locate a local food bank near you, visit http://feedingamerica.org/foodbank-results.aspx or click this cell.</t>
  </si>
  <si>
    <t>http://feedingamerica.org/partners/product-partners/tax-benefits.aspx</t>
  </si>
  <si>
    <t>http://feedingamerica.org/partners/product-partners/protecting-our-partners.aspx</t>
  </si>
  <si>
    <t xml:space="preserve">The Federal Bill Emerson Good Samaritan Food Donation Act protects individuals and corporations from liability when they make good faith donations of food and grocery products to non-profit organizations for distribution to needy individuals.  Additional information about the Act is available through Feeding America, at: </t>
  </si>
  <si>
    <t>http://feedingamerica.org/partners/product-partners/perishable-food.aspx</t>
  </si>
  <si>
    <t>http://feedingamerica.org/partners/product-partners/distressed-unsaleable-product.aspx</t>
  </si>
  <si>
    <t xml:space="preserve">Food rescue, also called food recovery, is the practice of safely retrieving edible food that would otherwise go to waste and distributing it to those in need.   For more information, see Food Rescue on the Resources tab or click this cell.               </t>
  </si>
  <si>
    <t>For more information on feeding animals, see Food Diversion to Animal Feed on the Resources tab, or click this cell.</t>
  </si>
  <si>
    <t>Cost Effective
Over 10 Years</t>
  </si>
  <si>
    <r>
      <t xml:space="preserve">U.S. General Services Administration.  </t>
    </r>
    <r>
      <rPr>
        <i/>
        <sz val="10"/>
        <rFont val="Arial"/>
        <family val="2"/>
      </rPr>
      <t xml:space="preserve">Privately Owned Vehicle Mileage Reimbursement Rates.  </t>
    </r>
    <r>
      <rPr>
        <sz val="10"/>
        <rFont val="Arial"/>
        <family val="2"/>
      </rPr>
      <t>August 1, 2008.</t>
    </r>
  </si>
  <si>
    <t>How many years will the term of the loan be for?</t>
  </si>
  <si>
    <t>Loan terms must be between 1 and 30 years.</t>
  </si>
  <si>
    <t xml:space="preserve">How many years will the term of the loan be for? </t>
  </si>
  <si>
    <t>Ecosystem Toxicity</t>
  </si>
  <si>
    <t>PM2.5</t>
  </si>
  <si>
    <t>Toluene</t>
  </si>
  <si>
    <t>Benzene</t>
  </si>
  <si>
    <t>Nitrogen</t>
  </si>
  <si>
    <t>SO2</t>
  </si>
  <si>
    <t>2,4-D</t>
  </si>
  <si>
    <t>Source Reduction</t>
  </si>
  <si>
    <t>Non-Perishable Food</t>
  </si>
  <si>
    <t>Does your facility have access to a local food rescue service that accepts prepared meals?</t>
  </si>
  <si>
    <t>Does your facility have access to a local food bank that will accept non-perishable foods?</t>
  </si>
  <si>
    <t>Yes</t>
  </si>
  <si>
    <t>No</t>
  </si>
  <si>
    <t>Does the food bank offer a regular pick-up service that your facility is eligible for?</t>
  </si>
  <si>
    <t>Are you willing to transport non-perishable foods to the food bank?</t>
  </si>
  <si>
    <t>Will that farm pick up the food from your facility?</t>
  </si>
  <si>
    <t>Are you willing to transport food scraps to the farm?</t>
  </si>
  <si>
    <t>Does the food rescue service offer a regular pick-up service that your facility is eligible for?</t>
  </si>
  <si>
    <t>What type of facility are you?</t>
  </si>
  <si>
    <t>Unit</t>
  </si>
  <si>
    <t>Cost Estimate</t>
  </si>
  <si>
    <t>Source</t>
  </si>
  <si>
    <t>Inflation Adjustment Table</t>
  </si>
  <si>
    <t>One Dollar in…</t>
  </si>
  <si>
    <r>
      <t>Source:</t>
    </r>
    <r>
      <rPr>
        <i/>
        <sz val="10"/>
        <color indexed="51"/>
        <rFont val="Arial"/>
        <family val="2"/>
      </rPr>
      <t xml:space="preserve"> CPI Inflation Calculator.</t>
    </r>
    <r>
      <rPr>
        <sz val="10"/>
        <color indexed="51"/>
        <rFont val="Arial"/>
        <family val="2"/>
      </rPr>
      <t xml:space="preserve"> &lt;http://data.bls.gov/cgi-bin/cpicalc.pl&gt;</t>
    </r>
  </si>
  <si>
    <t>Equals this many 2008 Dollars</t>
  </si>
  <si>
    <t>Comments</t>
  </si>
  <si>
    <t>Restaurant</t>
  </si>
  <si>
    <t>Grocery Store</t>
  </si>
  <si>
    <t>University</t>
  </si>
  <si>
    <t>Hospital</t>
  </si>
  <si>
    <t>K-12 School</t>
  </si>
  <si>
    <t>Other</t>
  </si>
  <si>
    <t>Other Cafeteria</t>
  </si>
  <si>
    <t>Northeast</t>
  </si>
  <si>
    <t>Mid-Atlantic</t>
  </si>
  <si>
    <t>South</t>
  </si>
  <si>
    <t>South-Central</t>
  </si>
  <si>
    <t>West-Central</t>
  </si>
  <si>
    <t>West</t>
  </si>
  <si>
    <t>1 Year</t>
  </si>
  <si>
    <t>3 Years</t>
  </si>
  <si>
    <t>6 Years</t>
  </si>
  <si>
    <t>10 Years</t>
  </si>
  <si>
    <t>$/ton</t>
  </si>
  <si>
    <t>Prison</t>
  </si>
  <si>
    <t>Does your non-perishable food waste meet the requirements for donation to your local food bank?</t>
  </si>
  <si>
    <t xml:space="preserve">    Is there a fee for this pick-up?</t>
  </si>
  <si>
    <t xml:space="preserve">        How much are you charged per week for this pick-up?</t>
  </si>
  <si>
    <t xml:space="preserve">    How many miles is it to the food bank from your facility?</t>
  </si>
  <si>
    <t xml:space="preserve">    How many trips do you make each month?</t>
  </si>
  <si>
    <t>Food Rescue</t>
  </si>
  <si>
    <t xml:space="preserve">    Is there a fee for the food rescue pick-up?</t>
  </si>
  <si>
    <t>Feeding Animals</t>
  </si>
  <si>
    <t>Are you willing to divert food scraps from your other waste streams and into a separate bin?</t>
  </si>
  <si>
    <t>Do your food scraps and storage capabilities meet the requirements of your local farmer?</t>
  </si>
  <si>
    <t xml:space="preserve">    Is there a fee for this food scraps pick-up service?</t>
  </si>
  <si>
    <t xml:space="preserve">    How many miles is it to the farm from your facility?</t>
  </si>
  <si>
    <t xml:space="preserve">    How many trips will you make each month?</t>
  </si>
  <si>
    <t>Composting</t>
  </si>
  <si>
    <t>Do you have access to off-site composting?</t>
  </si>
  <si>
    <t>Do your food scraps and storage capabilities meet the requirements of your local off-site composter?</t>
  </si>
  <si>
    <t>Is pick-up available for off-site composting in your area?</t>
  </si>
  <si>
    <t>.0011 g/mi * 12,000 miles per year / 453.59237 gram/lb</t>
  </si>
  <si>
    <t>http://www.epa.gov/OMS/emission-factors-research/420r08010.pdf</t>
  </si>
  <si>
    <t xml:space="preserve">    Is there a fee for this organic waste pick-up?</t>
  </si>
  <si>
    <t>Are you willing and able to transport your organic waste to the local off-site composter?</t>
  </si>
  <si>
    <t xml:space="preserve">    How many miles is it from your facility to the off-site composter (one-way)?</t>
  </si>
  <si>
    <t>Does your facility have access to a biodiesel collection or processing service?</t>
  </si>
  <si>
    <t>Does the biodiesel collection or processing service offer pick-up that you are eligible for?</t>
  </si>
  <si>
    <t xml:space="preserve">    How many miles is it from your facility to the biodiesel collection or processing service (one-way)?</t>
  </si>
  <si>
    <t>$/Mile</t>
  </si>
  <si>
    <t>Gas and Vehicle Maintenance</t>
  </si>
  <si>
    <t>Driver Wage</t>
  </si>
  <si>
    <t>$/mile</t>
  </si>
  <si>
    <t>Arabe, K.C., Driver Pay Significantly Affects Safety: Industrial Market Trends. December 12, 2002.</t>
  </si>
  <si>
    <t>Baseline Scenario of 100% Disposal</t>
  </si>
  <si>
    <t>Total Cost of Alternative Management Methods</t>
  </si>
  <si>
    <t>Are you willing to transport non-perishable foods to the food rescue?</t>
  </si>
  <si>
    <t>Combo Box Lookup Table</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</si>
  <si>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</si>
  <si>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</si>
  <si>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</si>
  <si>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</si>
  <si>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</si>
  <si>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</si>
  <si>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</si>
  <si>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</si>
  <si>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</si>
  <si>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</si>
  <si>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</si>
  <si>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</si>
  <si>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</si>
  <si>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</si>
  <si>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</si>
  <si>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</si>
  <si>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</si>
  <si>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</si>
  <si>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</si>
  <si>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</si>
  <si>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</si>
  <si>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</si>
  <si>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</si>
  <si>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</si>
  <si>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</si>
  <si>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</si>
  <si>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</si>
  <si>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</si>
  <si>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</si>
  <si>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Result</t>
  </si>
  <si>
    <t>Possible Answers</t>
  </si>
  <si>
    <t>Do you have access to a local farm that accepts food scraps to feed animals?</t>
  </si>
  <si>
    <t xml:space="preserve">    Are you willing to add food scraps to your outdoor composting system?</t>
  </si>
  <si>
    <t xml:space="preserve">    How many miles is it to the food rescue from your facility?</t>
  </si>
  <si>
    <t>Are you willing to purchase and operate an in-vessel composter at your facility?</t>
  </si>
  <si>
    <t>Cost per year</t>
  </si>
  <si>
    <t>Possible?</t>
  </si>
  <si>
    <t>Midwest</t>
  </si>
  <si>
    <t>Cost Effective?</t>
  </si>
  <si>
    <t>Type</t>
  </si>
  <si>
    <t>Feed Animals</t>
  </si>
  <si>
    <t>Outdoor Compost</t>
  </si>
  <si>
    <t>Off-Site Compost</t>
  </si>
  <si>
    <t>Alternative or Disposal?</t>
  </si>
  <si>
    <t>Food Waste Management Cost Calculator</t>
  </si>
  <si>
    <t>Food Waste Diversion Benefits</t>
  </si>
  <si>
    <t>Improves land use</t>
  </si>
  <si>
    <t>Food waste diversion reduces demand for landfill space and preserves land for higher and better use.</t>
  </si>
  <si>
    <t>Fights Climate Change</t>
  </si>
  <si>
    <t>Protects soil through composting</t>
  </si>
  <si>
    <t>Strengthens organizations and communities</t>
  </si>
  <si>
    <t>Food Waste</t>
  </si>
  <si>
    <t>Food Waste Recovery Hierarchy</t>
  </si>
  <si>
    <r>
      <t>Source Reduction</t>
    </r>
    <r>
      <rPr>
        <sz val="10"/>
        <color indexed="8"/>
        <rFont val="Arial"/>
        <family val="2"/>
      </rPr>
      <t xml:space="preserve"> – Reduce the volume of food waste generated by aligning food supply more closely with food demand.</t>
    </r>
  </si>
  <si>
    <r>
      <t>Feed Hungry People</t>
    </r>
    <r>
      <rPr>
        <sz val="10"/>
        <color indexed="8"/>
        <rFont val="Arial"/>
        <family val="2"/>
      </rPr>
      <t xml:space="preserve"> – Donate extra food to food banks, soup kitchens and shelters. For more information, refer to EPA's guide titled "Feeding the Hungry and Reducing Solid Waste through Food Recovery" at</t>
    </r>
  </si>
  <si>
    <t xml:space="preserve">http://www.epa.gov/epaoswer/non-hw/composting/vessel.htm </t>
  </si>
  <si>
    <t>Off-Site Composting</t>
  </si>
  <si>
    <t>Tax Deductions</t>
  </si>
  <si>
    <t>Food Banks</t>
  </si>
  <si>
    <t>Traditional food bank programs focus on recovering and collecting non-perishable food items, generally distressed, surplus, or unsaleable products from grocery stores and supermarkets.  Some food banks will also recover fresh produce.  For general information about this class of programs, see:</t>
  </si>
  <si>
    <t>Conversion Factors</t>
  </si>
  <si>
    <t>From</t>
  </si>
  <si>
    <t>To</t>
  </si>
  <si>
    <t>Factor</t>
  </si>
  <si>
    <t>Food Waste to Compost</t>
  </si>
  <si>
    <t>Pounds</t>
  </si>
  <si>
    <t>http://nyc.tristatebiodiesel.com/collect.htm</t>
  </si>
  <si>
    <t>http://www.newleafbiofuel.com/oilCollection/commitment.html</t>
  </si>
  <si>
    <t>Liability Protection</t>
  </si>
  <si>
    <t>Diverting food waste has several environmental and social benefits:</t>
  </si>
  <si>
    <t>Food Diversion to Animal Feed</t>
  </si>
  <si>
    <r>
      <t>Feed Animals</t>
    </r>
    <r>
      <rPr>
        <sz val="10"/>
        <color indexed="8"/>
        <rFont val="Arial"/>
        <family val="2"/>
      </rPr>
      <t xml:space="preserve"> – Provide food to farmers to use as animal feed. </t>
    </r>
  </si>
  <si>
    <r>
      <t>Composting</t>
    </r>
    <r>
      <rPr>
        <sz val="10"/>
        <color indexed="8"/>
        <rFont val="Arial"/>
        <family val="2"/>
      </rPr>
      <t xml:space="preserve"> – Convert food scraps into a nutrient rich soil amendment through aerobic decomposition. For more information, refer to EPA's "Guide to Commercial Food Composting" at: </t>
    </r>
  </si>
  <si>
    <t>http://www.findacomposter.com/</t>
  </si>
  <si>
    <t>References, Definitions, and Additional Resources</t>
  </si>
  <si>
    <t xml:space="preserve">In-vessel composting is a process of composting in enclosed reactors such as metal tanks, through which air flow and temperature are controlled. There are many in-vessel composters that can be used on-site in commercial and institutional applications. Learn more at: </t>
  </si>
  <si>
    <t>http://www.epa.gov/epaoswer/non-hw/composting/by_compost.htm</t>
  </si>
  <si>
    <t>Food Waste Diversion Methods</t>
  </si>
  <si>
    <t>Other Considerations</t>
  </si>
  <si>
    <t xml:space="preserve">Taking organics to a composting facility depends on the accessibility of local composting sites that will accept food and other organics. To find out about composting sites in your area, contact your state or local department of environmental protection, public works, or equivalent that has responsibility for solid waste.  You can also use the following website to obtain a partial listing of composting facilities in your area: </t>
  </si>
  <si>
    <t xml:space="preserve">On-site composting can be done using two mechanisms:  the traditional compost pile, discussed here, or through an in-vessel composter, discussed below.  Given the availability of appropriate space and volume of appropriate wastes, certain facilities may already have a functional on-site compost pile or they may be interested in starting such a pile.  Introductory information about the compost pile method, including necessary ingredients and applicable wastes, can be found at:  </t>
  </si>
  <si>
    <t>What is your average purchasing cost per pound for foods that comprise trim and plate waste ?</t>
  </si>
  <si>
    <t>Similar to the Food Waste Management Cost Calculator, WARM requires you to enter baseline and alternative management scenarios.  To estimate potential GHG reductions from composting activities based on the alternative food waste scenario, enter total quantity composted in tons from Table 1 (above) into WARM's Baseline (Step 1) "Tons Landfilled" column for food scraps.  Then, enter the same quantity into the Alternative Management Scenario (Step 2) into the "Tons Composted" column for food scraps.  To view results, set the remainder of WARM's assumptions for landfilling characteristics and transport distance.  WARM provides you with tips to set these settings.</t>
  </si>
  <si>
    <t>Companies can usually take a tax deduction for donating food, although the amount of the deductions can vary greatly depending upon a number of factors encountered by the company: 
   - Whether the company is a "C" corporation, "S" corporation/partnership, or non-incorporated.
   - What method of accounting is used for costs and expenses incurred in producing or acquiring the contributed food.</t>
  </si>
  <si>
    <t>http://www.ciwmb.ca.gov/FoodWaste/AnimalFeed/</t>
  </si>
  <si>
    <t>If you have your own data on driver wage, enter it in cell C21.</t>
  </si>
  <si>
    <t>In-Vessel Composting Cost</t>
  </si>
  <si>
    <t>Source reduction decreases the acreage of land necessary for food production and the environmental impacts associated with farming (e.g., fertilizer and pesticide use, water pollution, and some forms of air pollution) as well as the impacts associated with food transportation.</t>
  </si>
  <si>
    <t>EPA has developed a food waste recovery hierarchy to illustrate how productive use can be made of excess food. The hierarchy emphasizes practices that provide the greatest ecological, economic, and social benefits, with disposal as the last option.</t>
  </si>
  <si>
    <t>Food Rescue programs focus on the recovery of prepared meals and other perishable foods.  For general information about this class of food recovery program and for details about the food preparation and delivery requirements, see:</t>
  </si>
  <si>
    <t xml:space="preserve">There are few formal programs to facilitate the diversion of food waste to animal feed, though conditions and available resources can vary throughout the country.  To locate an interested livestock farmer, potential donors should begin by contacting a local university agricultural extension office or their county agricultural commissioner's office.  General information for those interested in this management method is provided by the California Integrated Waste Management Board:  </t>
  </si>
  <si>
    <t>On-Site In-Vessel Composting</t>
  </si>
  <si>
    <t>How much, if anything, are you paid per pound, for compost you are able to sell?</t>
  </si>
  <si>
    <t>Food Waste Management Inputs</t>
  </si>
  <si>
    <r>
      <t>To use this Cost Calculator, navigate to the</t>
    </r>
    <r>
      <rPr>
        <b/>
        <sz val="10"/>
        <rFont val="Arial"/>
        <family val="2"/>
      </rPr>
      <t xml:space="preserve"> Inputs tab</t>
    </r>
    <r>
      <rPr>
        <sz val="10"/>
        <rFont val="Arial"/>
        <family val="2"/>
      </rPr>
      <t>.  There you will specify your type of organization (Grocery Store, Hospital, K-12 School, Restaurant, University, Prison, or Other Institutional Cafeteria); types and quantities of food waste; and availability of food recovery method(s).  The Inputs tab has notes and instructions to guide you.</t>
    </r>
  </si>
  <si>
    <r>
      <t xml:space="preserve">The </t>
    </r>
    <r>
      <rPr>
        <b/>
        <sz val="10"/>
        <rFont val="Arial"/>
        <family val="2"/>
      </rPr>
      <t>Composting Environmental Benefits tab</t>
    </r>
    <r>
      <rPr>
        <sz val="10"/>
        <rFont val="Arial"/>
        <family val="2"/>
      </rPr>
      <t xml:space="preserve"> estimates changes in variety of environmental measures based on the alternative scenario developed for your facility.  This tab only measures changes resulting from composting preferences selected on the Inputs tab.  The tab also provides a link to EPA's WAste Reduction Model (WARM),  which estimates greenhouse gas (GHG) emissions of baseline and alternative waste management practices.  You may enter the results of the Cost Calculator into WARM to estimate the change in GHGs from the baseline to the alternative scenario from composting.</t>
    </r>
  </si>
  <si>
    <t xml:space="preserve">                             Yellow grease consists of used frying oils.  Yewllow grease does not include trap grease.  The amount of yellow grease 
                             generated per week can be entered in pounds or gallons.   Choose the appropriate unit in the drop-down box on the left.</t>
  </si>
  <si>
    <r>
      <t xml:space="preserve">Source Reduction and Food Waste Tracking:  </t>
    </r>
    <r>
      <rPr>
        <sz val="7"/>
        <rFont val="Arial"/>
        <family val="0"/>
      </rPr>
      <t xml:space="preserve">
Source reduction, the practice of reducing the overall volume of food waste generated, leads directly to cost savings, avoided purchases, and subsequent waste hauling fees.  Many institutions have succeeded at source reduction by decreasing portion sizes, eliminating food service trays in cafeterias, and using a la carte menus.  To achieve source reduction, many facilities will require some form of food waste tracking.   Paper tracking is simple and inexpensive, but may be time consuming and less accurate than automated tracking.  Automated tracking can more expensive, but is likely more effective at targeting wasteful practices.  A typical automated system costs $600 per month, and may typically result in source reduction of 3% or more. </t>
    </r>
    <r>
      <rPr>
        <b/>
        <sz val="7"/>
        <rFont val="Arial"/>
        <family val="2"/>
      </rPr>
      <t>The costs of food tracking have not been incorporated into this calculator; however, facilities looking to achieve cost savings from source reduction should consider these costs.</t>
    </r>
    <r>
      <rPr>
        <sz val="7"/>
        <rFont val="Arial"/>
        <family val="0"/>
      </rPr>
      <t xml:space="preserve">  Enter your source reduction goals for each food waste category in the cells to the left.  For more information, see Source Reduction and Food Waste Tracking on the Resource tab, or click this cell.</t>
    </r>
  </si>
  <si>
    <t>In-vessel composting requires the purchase of a special composting vessel designed to promote the airflow and temperature necessary for enclosed composting.  For more information, see In-Vessel Composting on the Resources tab, or click this cell.</t>
  </si>
  <si>
    <t>The default price for an in-vessel composter assumes that your facility will compost up to 500 pounds of food waste per day.   If you believe your facility would compost more than 500 pounds of food waste per day, please enter your own in-vessel cost data on the Cost Data page by clicking this cell.</t>
  </si>
  <si>
    <t>What percentage of non-perishable food waste are you willing to source reduce?</t>
  </si>
  <si>
    <t>What is your average purchasing cost per pound for non-perishables?</t>
  </si>
  <si>
    <t>Food Waste Management Cost Graphs</t>
  </si>
  <si>
    <t>Food Waste Management Lookup Tables</t>
  </si>
  <si>
    <t>Food bank cost per year</t>
  </si>
  <si>
    <t>Biodiesel cost per year</t>
  </si>
  <si>
    <t>Baseline Scenario</t>
  </si>
  <si>
    <t>Alternative Scenario</t>
  </si>
  <si>
    <t>Disposed</t>
  </si>
  <si>
    <t>Source Reduced</t>
  </si>
  <si>
    <t>Diverted</t>
  </si>
  <si>
    <t>Alternative Scenario: Source Reduce, then use Cost-Effective Waste Management Strategies, Dispose of Remaining Waste</t>
  </si>
  <si>
    <t xml:space="preserve">Food leftovers are the single-largest component of the waste stream by weight in the United States.  Food waste includes uneaten food and food preparation scraps from residences or households, commercial establishments such restaurants, and institutional sources such as school cafeterias.  Americans throw away more than 25 percent of the food we prepare, about 96 billion pounds of food waste each year.  In total, the nation spends about 1 billion dollars a year to dispose of food waste.  </t>
  </si>
  <si>
    <t>How many pounds of non-perishable food waste do you generate per week?</t>
  </si>
  <si>
    <t>Outdoor</t>
  </si>
  <si>
    <t>Off-Site</t>
  </si>
  <si>
    <t>`</t>
  </si>
  <si>
    <t>33</t>
  </si>
  <si>
    <t>Composting Method</t>
  </si>
  <si>
    <t>Prepared Foods and Food Scraps Handled Together</t>
  </si>
  <si>
    <t>In-Vessel Compost</t>
  </si>
  <si>
    <t>If applicable, enter the estimated value of your annual tax deduction for donation.</t>
  </si>
  <si>
    <t xml:space="preserve">                        </t>
  </si>
  <si>
    <t xml:space="preserve">                   </t>
  </si>
  <si>
    <t xml:space="preserve">                    </t>
  </si>
  <si>
    <t xml:space="preserve">                </t>
  </si>
  <si>
    <t xml:space="preserve">                     </t>
  </si>
  <si>
    <t xml:space="preserve">                                       </t>
  </si>
  <si>
    <t>Composting Preference</t>
  </si>
  <si>
    <t>-</t>
  </si>
  <si>
    <t>Compost enriches poor soils, serves as an erosion deterrent, increases the water retention capacity of the soil, and can be used as a substitute to fossil fuel based fertilizers in some applications.</t>
  </si>
  <si>
    <t>Food Waste Management Cost Data</t>
  </si>
  <si>
    <t>Total Cost of 100% Disposal</t>
  </si>
  <si>
    <t xml:space="preserve">Non-Perishable Food Waste </t>
  </si>
  <si>
    <t>Non Perishable Food Waste</t>
  </si>
  <si>
    <t xml:space="preserve">    Is there a fee for this yellow grease wastes pick-up?</t>
  </si>
  <si>
    <t>Does your yellow grease waste and storage procedure meet the requirements of the biodiesel collection or processing service?</t>
  </si>
  <si>
    <t>Yellow Grease</t>
  </si>
  <si>
    <t xml:space="preserve">How much, if anything, are you paid per week for diverting your yellow grease waste to the biodiesel collection or processing service? </t>
  </si>
  <si>
    <t>Are you willing and able to transport your yellow grease waste to the biodiesel collection or processing service?</t>
  </si>
  <si>
    <t>Industrial Uses -- Yellow Grease</t>
  </si>
  <si>
    <t>How much yellow grease do you generate per week?</t>
  </si>
  <si>
    <t>34</t>
  </si>
  <si>
    <t>Gallons</t>
  </si>
  <si>
    <t>Food Waste Separation Costs</t>
  </si>
  <si>
    <t>Food Waste Separation</t>
  </si>
  <si>
    <t>Initial Cost</t>
  </si>
  <si>
    <t>Tons of Foods Scraps Separated</t>
  </si>
  <si>
    <t>Massachusetts Supermarket Composting Handbook, p. 3-5. http://www.mass.gov/dep/recycle/reduce/smhandbk.pdf</t>
  </si>
  <si>
    <t>Initial Cost of toters, printing materials, and training</t>
  </si>
  <si>
    <t>Annual Cost of 30-gallon trash liner bags</t>
  </si>
  <si>
    <t>Energy Cost</t>
  </si>
  <si>
    <t>$/Year</t>
  </si>
  <si>
    <t>Labor Cost</t>
  </si>
  <si>
    <t>$</t>
  </si>
  <si>
    <t>Lbs. per meal</t>
  </si>
  <si>
    <t>Tons per month</t>
  </si>
  <si>
    <t>Supermarkets</t>
  </si>
  <si>
    <t>Hotels</t>
  </si>
  <si>
    <t>Catering Halls</t>
  </si>
  <si>
    <t>Institutions</t>
  </si>
  <si>
    <t>Restaurants</t>
  </si>
  <si>
    <t>Hospitals</t>
  </si>
  <si>
    <t>Nursing Homes</t>
  </si>
  <si>
    <t>Corporate Offices</t>
  </si>
  <si>
    <t>n/a</t>
  </si>
  <si>
    <t>1 to 1.5</t>
  </si>
  <si>
    <t>0.75 to 1</t>
  </si>
  <si>
    <t>0.5 to 1.5</t>
  </si>
  <si>
    <t>0.5 to 1</t>
  </si>
  <si>
    <t>0.5 to 0.75</t>
  </si>
  <si>
    <t>5 to 45</t>
  </si>
  <si>
    <t>10 to 30</t>
  </si>
  <si>
    <t>8 to 30</t>
  </si>
  <si>
    <t>5 to 30</t>
  </si>
  <si>
    <t>4 to 20</t>
  </si>
  <si>
    <t>8 to 14</t>
  </si>
  <si>
    <t>3 to 9</t>
  </si>
  <si>
    <t>3 to 8</t>
  </si>
  <si>
    <t>Data provided by Priscilla Hayes, Environmental Coordinator, Rutgers University on Oct. 24, 2008.</t>
  </si>
  <si>
    <t>Capacity</t>
  </si>
  <si>
    <t>pounds/hour</t>
  </si>
  <si>
    <t>Maintenance Cost</t>
  </si>
  <si>
    <t>How are your hauling fees calculated?</t>
  </si>
  <si>
    <t>How much are you charged per pull?</t>
  </si>
  <si>
    <t>If applicable, enter any additional amount you pay per ton hauled</t>
  </si>
  <si>
    <t>Flat Fee</t>
  </si>
  <si>
    <t>By Weight</t>
  </si>
  <si>
    <t>Per Pull</t>
  </si>
  <si>
    <t>35</t>
  </si>
  <si>
    <t>Fixed Cost</t>
  </si>
  <si>
    <t>Per Ton Cost</t>
  </si>
  <si>
    <t>How much are you charged per ton hauled?</t>
  </si>
  <si>
    <t>How many pounds of food waste would require one pull?</t>
  </si>
  <si>
    <t>36</t>
  </si>
  <si>
    <t>37</t>
  </si>
  <si>
    <t>Would reducing your tonnage of food waste reduce your annual hauling container rental fee?</t>
  </si>
  <si>
    <t>How much would your annual hauling container rental fee be reduced by if you did not dispose of any food waste?</t>
  </si>
  <si>
    <t>38</t>
  </si>
  <si>
    <t>How much is your annual rental fee for your hauling container(s)?</t>
  </si>
  <si>
    <t>Are you charged an annual rental fee for your hauling container(s)?</t>
  </si>
  <si>
    <t>Baseline Scenario Hauling Costs</t>
  </si>
  <si>
    <t>Total Tons Before Source Reduction</t>
  </si>
  <si>
    <t>Type Result</t>
  </si>
  <si>
    <t>Total</t>
  </si>
  <si>
    <t>In Rent</t>
  </si>
  <si>
    <t>39</t>
  </si>
  <si>
    <t>System</t>
  </si>
  <si>
    <t>40</t>
  </si>
  <si>
    <t>41</t>
  </si>
  <si>
    <t>42</t>
  </si>
  <si>
    <t>43</t>
  </si>
  <si>
    <t>Finance</t>
  </si>
  <si>
    <t>Outright</t>
  </si>
  <si>
    <t>What will your interest rate be?</t>
  </si>
  <si>
    <t>What will the interest rate on the loan be?</t>
  </si>
  <si>
    <t>Disposal Prepared</t>
  </si>
  <si>
    <t>Disposal Scraps</t>
  </si>
  <si>
    <t>Disposal Combined</t>
  </si>
  <si>
    <t>Wage</t>
  </si>
  <si>
    <t>$/Hour</t>
  </si>
  <si>
    <t>Food Prep Labor Wage</t>
  </si>
  <si>
    <t>Composting Prepared</t>
  </si>
  <si>
    <t>Composting Scraps</t>
  </si>
  <si>
    <t>Composting Combined</t>
  </si>
  <si>
    <t xml:space="preserve">        How much are you charged per ton for pick-up?</t>
  </si>
  <si>
    <t>Food Waste Weight Reduction</t>
  </si>
  <si>
    <t>Reduction</t>
  </si>
  <si>
    <t>%</t>
  </si>
  <si>
    <t>Estimate</t>
  </si>
  <si>
    <t xml:space="preserve">        How much does it cost per ton?</t>
  </si>
  <si>
    <t xml:space="preserve">        How much are you charged per ton for this pick-up?</t>
  </si>
  <si>
    <t>In-Vessel Costs</t>
  </si>
  <si>
    <t>Prepared</t>
  </si>
  <si>
    <t>Scraps</t>
  </si>
  <si>
    <t>Combined</t>
  </si>
  <si>
    <t>In what state do you live in?</t>
  </si>
  <si>
    <t xml:space="preserve">        How much does the pickup cost per ton?</t>
  </si>
  <si>
    <t>Alternative Scenario Fixed Hauling Cost</t>
  </si>
  <si>
    <t>Non-Perishable</t>
  </si>
  <si>
    <t>Prepared Food</t>
  </si>
  <si>
    <t>Food Scraps</t>
  </si>
  <si>
    <t>Total Tons After Source Reduction</t>
  </si>
  <si>
    <t>Hauled?</t>
  </si>
  <si>
    <t>Initial Cost of In-Vessel Composter</t>
  </si>
  <si>
    <t>In-Vessel*</t>
  </si>
  <si>
    <t>These figures will not be accurate for facilities generating over 500 pounds of food waste per day.  If your facility generates more than that amount, please enter your own data in the green cells to the left.</t>
  </si>
  <si>
    <t>Dr. Nicholas Smith-Sebasto, Montclair University. October 23, 2008</t>
  </si>
  <si>
    <t>John Willis, BW Organics, November 4, 2008.</t>
  </si>
  <si>
    <t>How much, if anything, does the farmer pay you per ton for diverting food scraps?</t>
  </si>
  <si>
    <t>Green Mountain Technologies</t>
  </si>
  <si>
    <t>http://www.composter.com/composting/naturtech/</t>
  </si>
  <si>
    <t>http://www.bworganics.com/</t>
  </si>
  <si>
    <t>http://www.gmt-organic.com/</t>
  </si>
  <si>
    <t>BW Organics, Inc.</t>
  </si>
  <si>
    <t>NaturTech Composting</t>
  </si>
  <si>
    <t>Are you willing to divert your pre-consumer prepared/whole food waste to a food rescue organization?</t>
  </si>
  <si>
    <t>Do your pre-consumer prepared/whole foods and food management procedures meet the requirements for donation to a food rescue organization?</t>
  </si>
  <si>
    <t>How many pounds of pre-consumer prepared/whole food waste do you generate per week?</t>
  </si>
  <si>
    <t>What percentage of pre-consumer prepared/whole food waste are you willing to source reduce?</t>
  </si>
  <si>
    <t>What is your average purchasing cost per pound for pre-consumer prepared/whole foods?</t>
  </si>
  <si>
    <t>Back to Inputs Tab</t>
  </si>
  <si>
    <t>Pre-Consumer Prepared/Whole Foods Alone (used if going to food rescue only)</t>
  </si>
  <si>
    <t>Food Scraps Alone (used if pre-consumer prepared/whole foods are going to food rescue)</t>
  </si>
  <si>
    <t>Pre-Consumer Prepared/Whole Food Waste</t>
  </si>
  <si>
    <t>Particulates</t>
  </si>
  <si>
    <t>Toxics</t>
  </si>
  <si>
    <t>Eutrophication</t>
  </si>
  <si>
    <t>Acidification</t>
  </si>
  <si>
    <t>Pounds food waste</t>
  </si>
  <si>
    <t>Food Waste Management Calculator Results</t>
  </si>
  <si>
    <t>Food Waste Type</t>
  </si>
  <si>
    <t>$/ton hydrated food</t>
  </si>
  <si>
    <t>How much will you pay for a down payment?</t>
  </si>
  <si>
    <t>Annual Maintenance and Repair of Composter</t>
  </si>
  <si>
    <t>Repair Cost</t>
  </si>
  <si>
    <t>Total Annual Labor Cost</t>
  </si>
  <si>
    <t>Total Annual Energy Cost</t>
  </si>
  <si>
    <t>Total Reduction in Fixed Hauling Cost</t>
  </si>
  <si>
    <t>Total Annual Cost of In-Vessel Composting</t>
  </si>
  <si>
    <t>Total Reduced Per Ton and Fixed Cost of Hauling</t>
  </si>
  <si>
    <t>Total Reduced Fixed Cost of Hauling</t>
  </si>
  <si>
    <t>In-Vessel</t>
  </si>
  <si>
    <t>Total Tons of Food Waste Per Year Before Source Reduction</t>
  </si>
  <si>
    <t>Alternative Scenario Hauling Costs: Reduced Fixed Costs Per Ton of Food Waste Diverted</t>
  </si>
  <si>
    <t>Reduced Fixed Costs Per Ton of Food Waste Diverted</t>
  </si>
  <si>
    <t>Fixed Cost Result</t>
  </si>
  <si>
    <t>Per Ton Cost Result</t>
  </si>
  <si>
    <t>Total annual cost of disposal under  the alternative scenario</t>
  </si>
  <si>
    <t>Total cost per year of result</t>
  </si>
  <si>
    <t>Adjustment in 10-Year Payment for Loans Under 10 Years</t>
  </si>
  <si>
    <t>Initial Cost of System</t>
  </si>
  <si>
    <t>Annual Payment on Loan</t>
  </si>
  <si>
    <t>Half of Annual Payment</t>
  </si>
  <si>
    <t>Adjustment</t>
  </si>
  <si>
    <t>Tons of Foods Avoided</t>
  </si>
  <si>
    <t>Initial Cost to Separate 1 ton of food waste per day</t>
  </si>
  <si>
    <t>Annual Cost to Separate 1 ton of food waste per day</t>
  </si>
  <si>
    <t>Food Waste Separation Cost Per Pound - 10 Year Multiplier</t>
  </si>
  <si>
    <t>Alternative Treatment Costs Under Alternative Scenario (No Separation Costs)</t>
  </si>
  <si>
    <t>Disposal Costs Under Alternative Scenario (No Separation Costs)</t>
  </si>
  <si>
    <t>Adjustment in 10-Year Payment for Loans Under 10 Years (Savings)</t>
  </si>
  <si>
    <t>Cost Effective Over 10 Years?</t>
  </si>
  <si>
    <t>Total Cost Per Year of Result</t>
  </si>
  <si>
    <t>Estimated Total Savings per Year</t>
  </si>
  <si>
    <t>Avoided Hauling Cost Due to In-Vessel Composting</t>
  </si>
  <si>
    <t>Will you finance the initial cost of the composter or will you buy it outright?  Based on available data, a composter costs $39,000.</t>
  </si>
  <si>
    <t>Total Pounds</t>
  </si>
  <si>
    <t>Pounds Compost</t>
  </si>
  <si>
    <t>Based on your selections and inputs, the most environmentally-friendly and cost-effective food waste management scenario for you to employ at your facility is as follows:</t>
  </si>
  <si>
    <t>Waste Hauling Cost</t>
  </si>
  <si>
    <t>Please direct questions or comments on this cost calculator to: Virginia Till, U.S. EPA, till.virginia@epa.gov, 703-312-6008</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</si>
</sst>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quot;$&quot;#,##0.000"/>
    <numFmt numFmtId="169" formatCode="0.000"/>
    <numFmt numFmtId="170" formatCode="0.0"/>
    <numFmt numFmtId="171" formatCode="&quot;$&quot;#,##0"/>
    <numFmt numFmtId="172" formatCode="[$€-2]\ #,##0.00_);[Red]\([$€-2]\ #,##0.00\)"/>
    <numFmt numFmtId="173" formatCode="#,##0.000"/>
    <numFmt numFmtId="174" formatCode="#,##0.0"/>
    <numFmt numFmtId="175" formatCode="&quot;$&quot;#,##0.0"/>
    <numFmt numFmtId="176" formatCode="&quot;$&quot;#,##0.0_);[Red]\(&quot;$&quot;#,##0.0\)"/>
    <numFmt numFmtId="177" formatCode="_(&quot;$&quot;* #,##0.0_);_(&quot;$&quot;* \(#,##0.0\);_(&quot;$&quot;* &quot;-&quot;??_);_(@_)"/>
    <numFmt numFmtId="178" formatCode="_(&quot;$&quot;* #,##0_);_(&quot;$&quot;* \(#,##0\);_(&quot;$&quot;* &quot;-&quot;??_);_(@_)"/>
    <numFmt numFmtId="179" formatCode="_(* #,##0.0_);_(* \(#,##0.0\);_(* &quot;-&quot;??_);_(@_)"/>
    <numFmt numFmtId="180" formatCode="_(* #,##0_);_(* \(#,##0\);_(* &quot;-&quot;??_);_(@_)"/>
    <numFmt numFmtId="181" formatCode="_(* #,##0.0_);_(* \(#,##0.0\);_(* &quot;-&quot;?_);_(@_)"/>
    <numFmt numFmtId="182" formatCode="_(* #,##0.000_);_(* \(#,##0.000\);_(* &quot;-&quot;??_);_(@_)"/>
    <numFmt numFmtId="183" formatCode="_(* #,##0.0000_);_(* \(#,##0.0000\);_(* &quot;-&quot;??_);_(@_)"/>
    <numFmt numFmtId="184" formatCode="_(* #,##0.00000_);_(* \(#,##0.00000\);_(* &quot;-&quot;??_);_(@_)"/>
    <numFmt numFmtId="185" formatCode="_(* #,##0.000000_);_(* \(#,##0.000000\);_(* &quot;-&quot;??_);_(@_)"/>
    <numFmt numFmtId="186" formatCode="_(* #,##0.0000000_);_(* \(#,##0.0000000\);_(* &quot;-&quot;??_);_(@_)"/>
    <numFmt numFmtId="187" formatCode="_(* #,##0.00000000_);_(* \(#,##0.00000000\);_(* &quot;-&quot;??_);_(@_)"/>
    <numFmt numFmtId="188" formatCode="0.0000"/>
    <numFmt numFmtId="189" formatCode="0.0000E+00"/>
    <numFmt numFmtId="190" formatCode="0.000E+00"/>
    <numFmt numFmtId="191" formatCode="0.00000000"/>
  </numFmts>
  <fonts count="77">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
      <sz val="10"/>
      <name val="Wingdings"/>
      <family val="0"/>
    </font>
    <font>
      <b/>
      <sz val="10"/>
      <color indexed="51"/>
      <name val="Arial"/>
      <family val="2"/>
    </font>
    <font>
      <sz val="10"/>
      <color indexed="51"/>
      <name val="Arial"/>
      <family val="2"/>
    </font>
    <font>
      <b/>
      <sz val="10"/>
      <color indexed="57"/>
      <name val="Arial"/>
      <family val="2"/>
    </font>
    <font>
      <sz val="10"/>
      <color indexed="57"/>
      <name val="Arial"/>
      <family val="2"/>
    </font>
    <font>
      <sz val="10"/>
      <color indexed="9"/>
      <name val="Arial"/>
      <family val="2"/>
    </font>
    <font>
      <sz val="10"/>
      <color indexed="17"/>
      <name val="Arial"/>
      <family val="2"/>
    </font>
    <font>
      <b/>
      <sz val="10"/>
      <color indexed="17"/>
      <name val="Arial"/>
      <family val="2"/>
    </font>
    <font>
      <i/>
      <sz val="10"/>
      <color indexed="51"/>
      <name val="Arial"/>
      <family val="2"/>
    </font>
    <font>
      <b/>
      <i/>
      <sz val="10"/>
      <name val="Arial"/>
      <family val="2"/>
    </font>
    <font>
      <sz val="12"/>
      <name val="Arial"/>
      <family val="2"/>
    </font>
    <font>
      <b/>
      <u val="single"/>
      <sz val="11"/>
      <name val="Arial"/>
      <family val="2"/>
    </font>
    <font>
      <sz val="10"/>
      <color indexed="8"/>
      <name val="Arial"/>
      <family val="2"/>
    </font>
    <font>
      <sz val="12"/>
      <color indexed="8"/>
      <name val="Arial"/>
      <family val="2"/>
    </font>
    <font>
      <sz val="11"/>
      <name val="Arial"/>
      <family val="2"/>
    </font>
    <font>
      <b/>
      <sz val="11"/>
      <name val="Arial"/>
      <family val="2"/>
    </font>
    <font>
      <b/>
      <i/>
      <sz val="10"/>
      <color indexed="8"/>
      <name val="Arial"/>
      <family val="2"/>
    </font>
    <font>
      <sz val="11"/>
      <color indexed="8"/>
      <name val="Arial"/>
      <family val="2"/>
    </font>
    <font>
      <b/>
      <sz val="14"/>
      <name val="Arial"/>
      <family val="2"/>
    </font>
    <font>
      <sz val="16"/>
      <name val="Arial"/>
      <family val="2"/>
    </font>
    <font>
      <b/>
      <sz val="16"/>
      <name val="Arial"/>
      <family val="2"/>
    </font>
    <font>
      <sz val="1"/>
      <color indexed="57"/>
      <name val="Arial"/>
      <family val="0"/>
    </font>
    <font>
      <sz val="8"/>
      <name val="Arial"/>
      <family val="0"/>
    </font>
    <font>
      <sz val="7"/>
      <name val="Arial"/>
      <family val="0"/>
    </font>
    <font>
      <b/>
      <sz val="7"/>
      <name val="Arial"/>
      <family val="2"/>
    </font>
    <font>
      <u val="single"/>
      <sz val="7"/>
      <name val="Arial"/>
      <family val="2"/>
    </font>
    <font>
      <b/>
      <sz val="8"/>
      <name val="Arial"/>
      <family val="2"/>
    </font>
    <font>
      <b/>
      <u val="single"/>
      <sz val="10"/>
      <name val="Arial"/>
      <family val="2"/>
    </font>
    <font>
      <b/>
      <sz val="12"/>
      <color indexed="51"/>
      <name val="Arial"/>
      <family val="2"/>
    </font>
    <font>
      <sz val="12"/>
      <color indexed="51"/>
      <name val="Arial"/>
      <family val="2"/>
    </font>
    <font>
      <b/>
      <sz val="18"/>
      <name val="Arial"/>
      <family val="2"/>
    </font>
    <font>
      <b/>
      <i/>
      <sz val="10"/>
      <color indexed="12"/>
      <name val="Arial"/>
      <family val="2"/>
    </font>
    <font>
      <b/>
      <sz val="10"/>
      <color indexed="12"/>
      <name val="Arial"/>
      <family val="2"/>
    </font>
    <font>
      <b/>
      <i/>
      <sz val="12"/>
      <color indexed="12"/>
      <name val="Arial"/>
      <family val="2"/>
    </font>
    <font>
      <b/>
      <i/>
      <sz val="10"/>
      <color indexed="10"/>
      <name val="Arial"/>
      <family val="2"/>
    </font>
    <font>
      <sz val="9.2"/>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51"/>
        <bgColor indexed="64"/>
      </patternFill>
    </fill>
    <fill>
      <patternFill patternType="solid">
        <fgColor indexed="15"/>
        <bgColor indexed="64"/>
      </patternFill>
    </fill>
    <fill>
      <patternFill patternType="solid">
        <fgColor indexed="57"/>
        <bgColor indexed="64"/>
      </patternFill>
    </fill>
    <fill>
      <patternFill patternType="solid">
        <fgColor indexed="2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ck">
        <color indexed="38"/>
      </top>
      <bottom>
        <color indexed="63"/>
      </bottom>
    </border>
    <border>
      <left>
        <color indexed="63"/>
      </left>
      <right style="thick">
        <color indexed="38"/>
      </right>
      <top style="thick">
        <color indexed="38"/>
      </top>
      <bottom>
        <color indexed="63"/>
      </bottom>
    </border>
    <border>
      <left style="thin"/>
      <right style="thin"/>
      <top>
        <color indexed="63"/>
      </top>
      <bottom style="thin"/>
    </border>
    <border>
      <left>
        <color indexed="63"/>
      </left>
      <right>
        <color indexed="63"/>
      </right>
      <top style="thin"/>
      <bottom style="thin"/>
    </border>
    <border>
      <left style="thin"/>
      <right style="thin"/>
      <top style="thin"/>
      <bottom style="medium"/>
    </border>
    <border>
      <left style="medium"/>
      <right>
        <color indexed="63"/>
      </right>
      <top style="medium"/>
      <bottom>
        <color indexed="63"/>
      </bottom>
    </border>
    <border>
      <left style="thick">
        <color indexed="38"/>
      </left>
      <right>
        <color indexed="63"/>
      </right>
      <top style="thick">
        <color indexed="3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3"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2"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646">
    <xf numFmtId="0" fontId="0" fillId="0" borderId="0" xfId="0" applyAlignment="1">
      <alignment/>
    </xf>
    <xf numFmtId="0" fontId="5" fillId="0" borderId="0" xfId="0" applyFont="1" applyAlignment="1">
      <alignment/>
    </xf>
    <xf numFmtId="164" fontId="0" fillId="33" borderId="10" xfId="0" applyNumberFormat="1" applyFill="1" applyBorder="1" applyAlignment="1" applyProtection="1">
      <alignment horizontal="right"/>
      <protection locked="0"/>
    </xf>
    <xf numFmtId="0" fontId="1"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horizontal="left" wrapText="1"/>
      <protection/>
    </xf>
    <xf numFmtId="0" fontId="0" fillId="0" borderId="0" xfId="0" applyAlignment="1" applyProtection="1">
      <alignment horizontal="right"/>
      <protection/>
    </xf>
    <xf numFmtId="0" fontId="0" fillId="0" borderId="0" xfId="0" applyAlignment="1" applyProtection="1">
      <alignment horizontal="left"/>
      <protection/>
    </xf>
    <xf numFmtId="164" fontId="0" fillId="0" borderId="0" xfId="0" applyNumberFormat="1" applyAlignment="1" applyProtection="1">
      <alignment horizontal="right"/>
      <protection/>
    </xf>
    <xf numFmtId="0" fontId="1" fillId="0" borderId="0" xfId="0" applyFont="1" applyAlignment="1" applyProtection="1">
      <alignment horizontal="right"/>
      <protection/>
    </xf>
    <xf numFmtId="0" fontId="0" fillId="34" borderId="10" xfId="0" applyFill="1" applyBorder="1" applyAlignment="1" applyProtection="1">
      <alignment horizontal="left" wrapText="1"/>
      <protection/>
    </xf>
    <xf numFmtId="0" fontId="0" fillId="34" borderId="10" xfId="0" applyFill="1" applyBorder="1" applyAlignment="1" applyProtection="1">
      <alignment horizontal="center"/>
      <protection/>
    </xf>
    <xf numFmtId="0" fontId="8" fillId="35" borderId="0" xfId="0" applyFont="1" applyFill="1" applyAlignment="1" applyProtection="1">
      <alignment horizontal="left"/>
      <protection/>
    </xf>
    <xf numFmtId="0" fontId="9" fillId="35" borderId="0" xfId="0" applyFont="1" applyFill="1" applyAlignment="1" applyProtection="1">
      <alignment/>
      <protection/>
    </xf>
    <xf numFmtId="0" fontId="0" fillId="33" borderId="0" xfId="0" applyFill="1" applyBorder="1" applyAlignment="1">
      <alignment horizontal="left" indent="1"/>
    </xf>
    <xf numFmtId="0" fontId="0" fillId="33" borderId="0" xfId="0" applyFill="1" applyBorder="1" applyAlignment="1">
      <alignment horizontal="left" wrapText="1" indent="1"/>
    </xf>
    <xf numFmtId="0" fontId="6" fillId="0" borderId="0" xfId="0" applyFont="1" applyAlignment="1" applyProtection="1">
      <alignment/>
      <protection/>
    </xf>
    <xf numFmtId="0" fontId="8" fillId="35" borderId="11" xfId="0" applyFont="1" applyFill="1" applyBorder="1" applyAlignment="1" applyProtection="1">
      <alignment horizontal="left"/>
      <protection/>
    </xf>
    <xf numFmtId="0" fontId="0" fillId="36" borderId="12" xfId="0" applyFill="1" applyBorder="1" applyAlignment="1" applyProtection="1">
      <alignment horizontal="right"/>
      <protection locked="0"/>
    </xf>
    <xf numFmtId="1" fontId="0" fillId="36" borderId="12" xfId="0" applyNumberFormat="1" applyFont="1" applyFill="1" applyBorder="1" applyAlignment="1" applyProtection="1">
      <alignment horizontal="right"/>
      <protection locked="0"/>
    </xf>
    <xf numFmtId="1" fontId="0" fillId="36" borderId="13" xfId="0" applyNumberFormat="1" applyFont="1" applyFill="1" applyBorder="1" applyAlignment="1" applyProtection="1">
      <alignment horizontal="right"/>
      <protection locked="0"/>
    </xf>
    <xf numFmtId="164" fontId="0" fillId="36" borderId="12" xfId="0" applyNumberFormat="1" applyFill="1" applyBorder="1" applyAlignment="1" applyProtection="1">
      <alignment horizontal="right"/>
      <protection locked="0"/>
    </xf>
    <xf numFmtId="0" fontId="0" fillId="0" borderId="0" xfId="0" applyAlignment="1" applyProtection="1">
      <alignment/>
      <protection/>
    </xf>
    <xf numFmtId="9" fontId="0" fillId="36" borderId="12" xfId="0" applyNumberFormat="1" applyFill="1" applyBorder="1" applyAlignment="1" applyProtection="1">
      <alignment horizontal="right"/>
      <protection locked="0"/>
    </xf>
    <xf numFmtId="9" fontId="0" fillId="36" borderId="12" xfId="0" applyNumberFormat="1" applyFont="1" applyFill="1" applyBorder="1" applyAlignment="1" applyProtection="1">
      <alignment horizontal="right"/>
      <protection locked="0"/>
    </xf>
    <xf numFmtId="164" fontId="0" fillId="36" borderId="13" xfId="0" applyNumberFormat="1" applyFont="1" applyFill="1" applyBorder="1" applyAlignment="1" applyProtection="1">
      <alignment horizontal="right"/>
      <protection locked="0"/>
    </xf>
    <xf numFmtId="0" fontId="0" fillId="34" borderId="10" xfId="0" applyFill="1" applyBorder="1" applyAlignment="1" applyProtection="1">
      <alignment horizontal="right" wrapText="1"/>
      <protection/>
    </xf>
    <xf numFmtId="3" fontId="0" fillId="36" borderId="12" xfId="0" applyNumberFormat="1" applyFill="1" applyBorder="1" applyAlignment="1" applyProtection="1">
      <alignment horizontal="right"/>
      <protection locked="0"/>
    </xf>
    <xf numFmtId="0" fontId="0" fillId="0" borderId="0" xfId="0" applyFill="1" applyBorder="1" applyAlignment="1" applyProtection="1">
      <alignment horizontal="right" wrapText="1"/>
      <protection/>
    </xf>
    <xf numFmtId="0" fontId="0" fillId="0" borderId="0" xfId="0" applyFill="1" applyAlignment="1" applyProtection="1">
      <alignment horizontal="left" wrapText="1"/>
      <protection/>
    </xf>
    <xf numFmtId="0" fontId="0" fillId="0" borderId="0" xfId="0" applyFill="1" applyAlignment="1" applyProtection="1">
      <alignment/>
      <protection/>
    </xf>
    <xf numFmtId="168" fontId="0" fillId="33" borderId="10" xfId="0" applyNumberFormat="1" applyFill="1" applyBorder="1" applyAlignment="1" applyProtection="1">
      <alignment horizontal="right"/>
      <protection locked="0"/>
    </xf>
    <xf numFmtId="49" fontId="0" fillId="34" borderId="10" xfId="0" applyNumberFormat="1" applyFill="1" applyBorder="1" applyAlignment="1" applyProtection="1">
      <alignment horizontal="left"/>
      <protection/>
    </xf>
    <xf numFmtId="49" fontId="0" fillId="34" borderId="10" xfId="0" applyNumberFormat="1" applyFill="1" applyBorder="1" applyAlignment="1" applyProtection="1">
      <alignment horizontal="center"/>
      <protection/>
    </xf>
    <xf numFmtId="164" fontId="0" fillId="34" borderId="13" xfId="0" applyNumberFormat="1" applyFont="1" applyFill="1" applyBorder="1" applyAlignment="1" applyProtection="1">
      <alignment horizontal="right"/>
      <protection locked="0"/>
    </xf>
    <xf numFmtId="3" fontId="0" fillId="36" borderId="13" xfId="0" applyNumberFormat="1" applyFont="1" applyFill="1" applyBorder="1" applyAlignment="1" applyProtection="1">
      <alignment horizontal="right"/>
      <protection locked="0"/>
    </xf>
    <xf numFmtId="0" fontId="9" fillId="35" borderId="13" xfId="0" applyFont="1" applyFill="1" applyBorder="1" applyAlignment="1" applyProtection="1">
      <alignment horizontal="right"/>
      <protection locked="0"/>
    </xf>
    <xf numFmtId="0" fontId="0" fillId="37" borderId="0" xfId="0" applyFill="1" applyAlignment="1">
      <alignment/>
    </xf>
    <xf numFmtId="0" fontId="1" fillId="37" borderId="0" xfId="0" applyFont="1" applyFill="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0" xfId="0" applyFill="1" applyBorder="1" applyAlignment="1">
      <alignment/>
    </xf>
    <xf numFmtId="0" fontId="0" fillId="33" borderId="17" xfId="0" applyFill="1" applyBorder="1" applyAlignment="1">
      <alignment/>
    </xf>
    <xf numFmtId="0" fontId="1" fillId="33" borderId="16" xfId="0" applyFont="1" applyFill="1" applyBorder="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3" borderId="16" xfId="0" applyFill="1" applyBorder="1" applyAlignment="1">
      <alignment wrapText="1"/>
    </xf>
    <xf numFmtId="0" fontId="17" fillId="33" borderId="0" xfId="0" applyFont="1" applyFill="1" applyBorder="1" applyAlignment="1">
      <alignment horizontal="left" wrapText="1"/>
    </xf>
    <xf numFmtId="0" fontId="0" fillId="33" borderId="17" xfId="0" applyFill="1" applyBorder="1" applyAlignment="1">
      <alignment wrapText="1"/>
    </xf>
    <xf numFmtId="0" fontId="0" fillId="37" borderId="0" xfId="0" applyFill="1" applyAlignment="1">
      <alignment wrapText="1"/>
    </xf>
    <xf numFmtId="0" fontId="18" fillId="33" borderId="0" xfId="0" applyFont="1" applyFill="1" applyBorder="1" applyAlignment="1">
      <alignment/>
    </xf>
    <xf numFmtId="2" fontId="0" fillId="33" borderId="0" xfId="0" applyNumberFormat="1" applyFill="1" applyBorder="1" applyAlignment="1">
      <alignment wrapText="1"/>
    </xf>
    <xf numFmtId="0" fontId="0" fillId="33" borderId="0" xfId="0" applyFill="1" applyBorder="1" applyAlignment="1">
      <alignment wrapText="1"/>
    </xf>
    <xf numFmtId="0" fontId="19" fillId="33" borderId="0" xfId="0" applyFont="1" applyFill="1" applyBorder="1" applyAlignment="1">
      <alignment/>
    </xf>
    <xf numFmtId="0" fontId="20" fillId="33" borderId="0" xfId="0" applyFont="1" applyFill="1" applyBorder="1" applyAlignment="1">
      <alignment/>
    </xf>
    <xf numFmtId="0" fontId="0" fillId="33" borderId="0" xfId="0" applyFont="1" applyFill="1" applyBorder="1" applyAlignment="1">
      <alignment horizontal="left" indent="1"/>
    </xf>
    <xf numFmtId="0" fontId="0" fillId="33" borderId="0" xfId="0" applyFont="1" applyFill="1" applyBorder="1" applyAlignment="1">
      <alignment/>
    </xf>
    <xf numFmtId="0" fontId="17" fillId="33" borderId="0" xfId="0" applyFont="1" applyFill="1" applyBorder="1" applyAlignment="1">
      <alignment wrapText="1"/>
    </xf>
    <xf numFmtId="0" fontId="22" fillId="33" borderId="0" xfId="0" applyFont="1" applyFill="1" applyBorder="1" applyAlignment="1">
      <alignment wrapText="1"/>
    </xf>
    <xf numFmtId="0" fontId="2" fillId="33" borderId="0" xfId="53" applyFill="1" applyBorder="1" applyAlignment="1" applyProtection="1">
      <alignment/>
      <protection/>
    </xf>
    <xf numFmtId="0" fontId="0" fillId="38" borderId="0" xfId="0" applyFill="1" applyAlignment="1">
      <alignment/>
    </xf>
    <xf numFmtId="0" fontId="0" fillId="33" borderId="0" xfId="0" applyFont="1"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33" borderId="0" xfId="0" applyFill="1" applyAlignment="1">
      <alignment wrapText="1"/>
    </xf>
    <xf numFmtId="0" fontId="2" fillId="33" borderId="0" xfId="53" applyFill="1" applyAlignment="1" applyProtection="1">
      <alignment/>
      <protection/>
    </xf>
    <xf numFmtId="0" fontId="0" fillId="34" borderId="10" xfId="0" applyFill="1" applyBorder="1" applyAlignment="1" applyProtection="1">
      <alignment horizontal="right"/>
      <protection/>
    </xf>
    <xf numFmtId="0" fontId="0" fillId="0" borderId="0" xfId="0" applyFill="1" applyBorder="1" applyAlignment="1" applyProtection="1">
      <alignment horizontal="left" wrapText="1"/>
      <protection/>
    </xf>
    <xf numFmtId="164" fontId="0" fillId="0" borderId="0" xfId="0" applyNumberFormat="1" applyFill="1" applyBorder="1" applyAlignment="1" applyProtection="1">
      <alignment horizontal="right"/>
      <protection/>
    </xf>
    <xf numFmtId="0" fontId="0" fillId="33" borderId="0" xfId="0" applyNumberFormat="1" applyFont="1" applyFill="1" applyBorder="1" applyAlignment="1">
      <alignment horizontal="left" wrapText="1"/>
    </xf>
    <xf numFmtId="0" fontId="0" fillId="33" borderId="0" xfId="0" applyFill="1" applyAlignment="1">
      <alignment/>
    </xf>
    <xf numFmtId="0" fontId="0" fillId="33" borderId="21" xfId="0" applyFill="1" applyBorder="1" applyAlignment="1" applyProtection="1">
      <alignment/>
      <protection/>
    </xf>
    <xf numFmtId="0" fontId="2" fillId="33" borderId="0" xfId="53" applyNumberFormat="1" applyFill="1" applyBorder="1" applyAlignment="1" applyProtection="1">
      <alignment horizontal="left" wrapText="1"/>
      <protection/>
    </xf>
    <xf numFmtId="0" fontId="0" fillId="33" borderId="22" xfId="0" applyFill="1" applyBorder="1" applyAlignment="1" applyProtection="1">
      <alignment/>
      <protection/>
    </xf>
    <xf numFmtId="0" fontId="0" fillId="33" borderId="0" xfId="0" applyFill="1" applyBorder="1" applyAlignment="1">
      <alignment/>
    </xf>
    <xf numFmtId="0" fontId="0" fillId="34" borderId="10" xfId="0" applyNumberFormat="1" applyFill="1" applyBorder="1" applyAlignment="1" applyProtection="1">
      <alignment horizontal="left"/>
      <protection/>
    </xf>
    <xf numFmtId="171" fontId="0" fillId="33" borderId="10" xfId="0" applyNumberFormat="1" applyFill="1" applyBorder="1" applyAlignment="1" applyProtection="1">
      <alignment horizontal="right"/>
      <protection locked="0"/>
    </xf>
    <xf numFmtId="164" fontId="0" fillId="0" borderId="0" xfId="0" applyNumberFormat="1" applyFill="1" applyBorder="1" applyAlignment="1" applyProtection="1">
      <alignment horizontal="right"/>
      <protection locked="0"/>
    </xf>
    <xf numFmtId="171" fontId="0" fillId="34" borderId="10" xfId="0" applyNumberFormat="1" applyFont="1" applyFill="1" applyBorder="1" applyAlignment="1" applyProtection="1">
      <alignment horizontal="right"/>
      <protection/>
    </xf>
    <xf numFmtId="0" fontId="6" fillId="0" borderId="0" xfId="0" applyFont="1" applyAlignment="1" applyProtection="1">
      <alignment/>
      <protection/>
    </xf>
    <xf numFmtId="164" fontId="0" fillId="36" borderId="12" xfId="0" applyNumberFormat="1" applyFont="1" applyFill="1" applyBorder="1" applyAlignment="1" applyProtection="1">
      <alignment horizontal="right"/>
      <protection locked="0"/>
    </xf>
    <xf numFmtId="0" fontId="0" fillId="0" borderId="0" xfId="0" applyAlignment="1">
      <alignment wrapText="1"/>
    </xf>
    <xf numFmtId="0" fontId="0" fillId="34" borderId="23" xfId="0" applyFill="1" applyBorder="1" applyAlignment="1" applyProtection="1">
      <alignment horizontal="left" wrapText="1"/>
      <protection/>
    </xf>
    <xf numFmtId="3" fontId="0" fillId="36" borderId="12" xfId="0" applyNumberFormat="1" applyFont="1" applyFill="1" applyBorder="1" applyAlignment="1" applyProtection="1">
      <alignment horizontal="right"/>
      <protection locked="0"/>
    </xf>
    <xf numFmtId="9" fontId="0" fillId="36" borderId="13" xfId="0" applyNumberFormat="1" applyFont="1" applyFill="1" applyBorder="1" applyAlignment="1" applyProtection="1">
      <alignment horizontal="right"/>
      <protection locked="0"/>
    </xf>
    <xf numFmtId="171" fontId="0" fillId="36" borderId="13" xfId="0" applyNumberFormat="1" applyFont="1" applyFill="1" applyBorder="1" applyAlignment="1" applyProtection="1">
      <alignment horizontal="right"/>
      <protection locked="0"/>
    </xf>
    <xf numFmtId="0" fontId="0" fillId="34" borderId="10" xfId="0" applyFill="1" applyBorder="1" applyAlignment="1" applyProtection="1">
      <alignment horizontal="left" vertical="top" wrapText="1"/>
      <protection/>
    </xf>
    <xf numFmtId="0" fontId="0" fillId="34" borderId="24" xfId="0" applyFill="1" applyBorder="1" applyAlignment="1" applyProtection="1">
      <alignment horizontal="left" vertical="top" wrapText="1"/>
      <protection/>
    </xf>
    <xf numFmtId="0" fontId="0" fillId="33" borderId="0" xfId="53" applyFont="1" applyFill="1" applyBorder="1" applyAlignment="1" applyProtection="1">
      <alignment wrapText="1"/>
      <protection/>
    </xf>
    <xf numFmtId="0" fontId="0" fillId="33" borderId="0" xfId="0" applyFont="1" applyFill="1" applyBorder="1" applyAlignment="1" applyProtection="1">
      <alignment/>
      <protection/>
    </xf>
    <xf numFmtId="0" fontId="0" fillId="33" borderId="0" xfId="0" applyFont="1" applyFill="1" applyBorder="1" applyAlignment="1" applyProtection="1">
      <alignment horizontal="left" wrapText="1"/>
      <protection/>
    </xf>
    <xf numFmtId="3" fontId="0" fillId="0" borderId="0" xfId="0" applyNumberFormat="1" applyAlignment="1" applyProtection="1">
      <alignment/>
      <protection/>
    </xf>
    <xf numFmtId="0" fontId="1" fillId="33" borderId="0" xfId="0" applyFont="1" applyFill="1" applyBorder="1" applyAlignment="1" applyProtection="1">
      <alignment/>
      <protection/>
    </xf>
    <xf numFmtId="0" fontId="0" fillId="33" borderId="21" xfId="0" applyFill="1" applyBorder="1" applyAlignment="1" applyProtection="1">
      <alignment horizontal="left" wrapText="1"/>
      <protection/>
    </xf>
    <xf numFmtId="0" fontId="0" fillId="33" borderId="25" xfId="0" applyFill="1" applyBorder="1" applyAlignment="1" applyProtection="1">
      <alignment horizontal="left" wrapText="1"/>
      <protection/>
    </xf>
    <xf numFmtId="0" fontId="0" fillId="33" borderId="26" xfId="0" applyFill="1" applyBorder="1" applyAlignment="1" applyProtection="1">
      <alignment/>
      <protection/>
    </xf>
    <xf numFmtId="0" fontId="0" fillId="33" borderId="27" xfId="0" applyFill="1" applyBorder="1" applyAlignment="1">
      <alignment wrapText="1"/>
    </xf>
    <xf numFmtId="0" fontId="7" fillId="33" borderId="27" xfId="0" applyFont="1" applyFill="1" applyBorder="1" applyAlignment="1">
      <alignment/>
    </xf>
    <xf numFmtId="0" fontId="0" fillId="33" borderId="27" xfId="0" applyFill="1" applyBorder="1" applyAlignment="1" applyProtection="1">
      <alignment horizontal="left" wrapText="1"/>
      <protection/>
    </xf>
    <xf numFmtId="0" fontId="6" fillId="33" borderId="27" xfId="0" applyNumberFormat="1" applyFont="1" applyFill="1" applyBorder="1" applyAlignment="1">
      <alignment horizontal="left" wrapText="1"/>
    </xf>
    <xf numFmtId="0" fontId="0" fillId="33" borderId="28" xfId="0" applyFill="1" applyBorder="1" applyAlignment="1" applyProtection="1">
      <alignment/>
      <protection/>
    </xf>
    <xf numFmtId="0" fontId="0" fillId="33" borderId="29" xfId="0" applyFill="1" applyBorder="1" applyAlignment="1" applyProtection="1">
      <alignment/>
      <protection/>
    </xf>
    <xf numFmtId="0" fontId="0" fillId="33" borderId="29" xfId="0" applyFill="1" applyBorder="1" applyAlignment="1" applyProtection="1">
      <alignment horizontal="left" wrapText="1"/>
      <protection/>
    </xf>
    <xf numFmtId="0" fontId="0" fillId="33" borderId="13" xfId="0" applyFill="1" applyBorder="1" applyAlignment="1" applyProtection="1">
      <alignment horizontal="left" wrapText="1"/>
      <protection/>
    </xf>
    <xf numFmtId="0" fontId="1" fillId="33" borderId="10" xfId="0" applyFont="1" applyFill="1" applyBorder="1" applyAlignment="1" applyProtection="1">
      <alignment horizontal="center"/>
      <protection/>
    </xf>
    <xf numFmtId="0" fontId="1" fillId="0" borderId="0" xfId="0" applyFont="1" applyFill="1" applyBorder="1" applyAlignment="1" applyProtection="1">
      <alignment horizontal="left"/>
      <protection/>
    </xf>
    <xf numFmtId="164" fontId="1" fillId="0" borderId="0" xfId="0" applyNumberFormat="1" applyFont="1" applyFill="1" applyBorder="1" applyAlignment="1" applyProtection="1">
      <alignment horizontal="right"/>
      <protection/>
    </xf>
    <xf numFmtId="3" fontId="1" fillId="34" borderId="10" xfId="0" applyNumberFormat="1" applyFont="1" applyFill="1" applyBorder="1" applyAlignment="1" applyProtection="1">
      <alignment horizontal="right"/>
      <protection/>
    </xf>
    <xf numFmtId="170" fontId="0" fillId="34" borderId="10" xfId="0" applyNumberFormat="1" applyFont="1" applyFill="1" applyBorder="1" applyAlignment="1" applyProtection="1">
      <alignment wrapText="1"/>
      <protection locked="0"/>
    </xf>
    <xf numFmtId="164" fontId="0" fillId="0" borderId="0" xfId="0" applyNumberFormat="1" applyAlignment="1" applyProtection="1">
      <alignment/>
      <protection/>
    </xf>
    <xf numFmtId="9" fontId="0" fillId="33" borderId="10" xfId="0" applyNumberFormat="1" applyFill="1" applyBorder="1" applyAlignment="1" applyProtection="1">
      <alignment horizontal="right"/>
      <protection locked="0"/>
    </xf>
    <xf numFmtId="3" fontId="0" fillId="33" borderId="10" xfId="0" applyNumberFormat="1" applyFill="1" applyBorder="1" applyAlignment="1" applyProtection="1">
      <alignment horizontal="right"/>
      <protection locked="0"/>
    </xf>
    <xf numFmtId="164" fontId="0" fillId="33" borderId="23" xfId="0" applyNumberFormat="1" applyFill="1" applyBorder="1" applyAlignment="1" applyProtection="1">
      <alignment horizontal="right"/>
      <protection locked="0"/>
    </xf>
    <xf numFmtId="164" fontId="0" fillId="33" borderId="10" xfId="0" applyNumberFormat="1" applyFill="1" applyBorder="1" applyAlignment="1" applyProtection="1">
      <alignment horizontal="right" wrapText="1"/>
      <protection locked="0"/>
    </xf>
    <xf numFmtId="6" fontId="0" fillId="36" borderId="13" xfId="0" applyNumberFormat="1" applyFont="1" applyFill="1" applyBorder="1" applyAlignment="1" applyProtection="1">
      <alignment horizontal="right"/>
      <protection locked="0"/>
    </xf>
    <xf numFmtId="0" fontId="0" fillId="34" borderId="10" xfId="0" applyFill="1" applyBorder="1" applyAlignment="1" applyProtection="1">
      <alignment wrapText="1"/>
      <protection/>
    </xf>
    <xf numFmtId="0" fontId="0" fillId="34" borderId="0" xfId="0" applyFill="1" applyAlignment="1" applyProtection="1">
      <alignment/>
      <protection/>
    </xf>
    <xf numFmtId="0" fontId="0" fillId="0" borderId="30" xfId="0" applyBorder="1" applyAlignment="1" applyProtection="1">
      <alignment horizontal="left"/>
      <protection/>
    </xf>
    <xf numFmtId="0" fontId="0" fillId="0" borderId="30" xfId="0" applyFill="1" applyBorder="1" applyAlignment="1" applyProtection="1">
      <alignment horizontal="left" wrapText="1" indent="1"/>
      <protection/>
    </xf>
    <xf numFmtId="0" fontId="0" fillId="0" borderId="31" xfId="0" applyFill="1" applyBorder="1" applyAlignment="1" applyProtection="1">
      <alignment horizontal="left" wrapText="1" indent="1"/>
      <protection/>
    </xf>
    <xf numFmtId="0" fontId="0" fillId="34" borderId="10" xfId="0" applyFill="1" applyBorder="1" applyAlignment="1" applyProtection="1">
      <alignment/>
      <protection/>
    </xf>
    <xf numFmtId="0" fontId="8" fillId="35" borderId="0" xfId="0" applyFont="1" applyFill="1" applyAlignment="1" applyProtection="1">
      <alignment/>
      <protection/>
    </xf>
    <xf numFmtId="0" fontId="0" fillId="35" borderId="0" xfId="0" applyFill="1" applyAlignment="1" applyProtection="1">
      <alignment/>
      <protection/>
    </xf>
    <xf numFmtId="8" fontId="0" fillId="0" borderId="0" xfId="0" applyNumberFormat="1" applyAlignment="1" applyProtection="1">
      <alignment/>
      <protection/>
    </xf>
    <xf numFmtId="178" fontId="0" fillId="0" borderId="0" xfId="0" applyNumberFormat="1" applyAlignment="1" applyProtection="1">
      <alignment/>
      <protection/>
    </xf>
    <xf numFmtId="2" fontId="0" fillId="34" borderId="10" xfId="0" applyNumberFormat="1" applyFill="1" applyBorder="1" applyAlignment="1" applyProtection="1">
      <alignment/>
      <protection/>
    </xf>
    <xf numFmtId="178" fontId="0" fillId="34" borderId="13" xfId="44" applyNumberFormat="1" applyFont="1" applyFill="1" applyBorder="1" applyAlignment="1" applyProtection="1">
      <alignment horizontal="right"/>
      <protection/>
    </xf>
    <xf numFmtId="178" fontId="0" fillId="34" borderId="10" xfId="44" applyNumberFormat="1" applyFont="1" applyFill="1" applyBorder="1" applyAlignment="1" applyProtection="1">
      <alignment/>
      <protection/>
    </xf>
    <xf numFmtId="8" fontId="0" fillId="34" borderId="10" xfId="44" applyNumberFormat="1" applyFont="1" applyFill="1" applyBorder="1" applyAlignment="1" applyProtection="1">
      <alignment/>
      <protection/>
    </xf>
    <xf numFmtId="164" fontId="0" fillId="34" borderId="10" xfId="0" applyNumberFormat="1" applyFill="1" applyBorder="1" applyAlignment="1" applyProtection="1">
      <alignment wrapText="1"/>
      <protection/>
    </xf>
    <xf numFmtId="6" fontId="0" fillId="34" borderId="10" xfId="44" applyNumberFormat="1" applyFont="1" applyFill="1" applyBorder="1" applyAlignment="1" applyProtection="1">
      <alignment horizontal="right"/>
      <protection/>
    </xf>
    <xf numFmtId="6" fontId="0" fillId="34" borderId="10" xfId="44" applyNumberFormat="1" applyFont="1" applyFill="1" applyBorder="1" applyAlignment="1" applyProtection="1">
      <alignment/>
      <protection/>
    </xf>
    <xf numFmtId="6" fontId="0" fillId="34" borderId="10" xfId="0" applyNumberFormat="1" applyFill="1" applyBorder="1" applyAlignment="1" applyProtection="1">
      <alignment/>
      <protection/>
    </xf>
    <xf numFmtId="0" fontId="0" fillId="34" borderId="23" xfId="0" applyFill="1" applyBorder="1" applyAlignment="1" applyProtection="1">
      <alignment wrapText="1"/>
      <protection/>
    </xf>
    <xf numFmtId="171" fontId="0" fillId="34" borderId="23" xfId="0" applyNumberFormat="1" applyFill="1" applyBorder="1" applyAlignment="1" applyProtection="1">
      <alignment wrapText="1"/>
      <protection/>
    </xf>
    <xf numFmtId="164" fontId="0" fillId="34" borderId="23" xfId="0" applyNumberFormat="1" applyFill="1" applyBorder="1" applyAlignment="1" applyProtection="1">
      <alignment wrapText="1"/>
      <protection/>
    </xf>
    <xf numFmtId="6" fontId="0" fillId="34" borderId="10" xfId="0" applyNumberFormat="1" applyFill="1" applyBorder="1" applyAlignment="1" applyProtection="1">
      <alignment horizontal="right"/>
      <protection/>
    </xf>
    <xf numFmtId="2" fontId="0" fillId="34" borderId="10" xfId="0" applyNumberFormat="1" applyFill="1" applyBorder="1" applyAlignment="1" applyProtection="1">
      <alignment horizontal="right"/>
      <protection/>
    </xf>
    <xf numFmtId="171" fontId="0" fillId="34" borderId="10" xfId="0" applyNumberFormat="1" applyFill="1" applyBorder="1" applyAlignment="1" applyProtection="1">
      <alignment/>
      <protection/>
    </xf>
    <xf numFmtId="0" fontId="8" fillId="35" borderId="0" xfId="0" applyFont="1" applyFill="1" applyBorder="1" applyAlignment="1" applyProtection="1">
      <alignment/>
      <protection/>
    </xf>
    <xf numFmtId="8" fontId="0" fillId="0" borderId="0" xfId="0" applyNumberFormat="1" applyFill="1" applyAlignment="1" applyProtection="1">
      <alignment/>
      <protection/>
    </xf>
    <xf numFmtId="0" fontId="0" fillId="0" borderId="0" xfId="0" applyFill="1" applyBorder="1" applyAlignment="1" applyProtection="1">
      <alignment/>
      <protection/>
    </xf>
    <xf numFmtId="171" fontId="0" fillId="0" borderId="0" xfId="0" applyNumberFormat="1" applyFill="1" applyAlignment="1" applyProtection="1">
      <alignment/>
      <protection/>
    </xf>
    <xf numFmtId="164" fontId="0" fillId="0" borderId="0" xfId="0" applyNumberFormat="1" applyFill="1" applyAlignment="1" applyProtection="1">
      <alignment/>
      <protection/>
    </xf>
    <xf numFmtId="171" fontId="0" fillId="34" borderId="10" xfId="0" applyNumberFormat="1" applyFont="1" applyFill="1" applyBorder="1" applyAlignment="1" applyProtection="1">
      <alignment/>
      <protection/>
    </xf>
    <xf numFmtId="43" fontId="0" fillId="0" borderId="0" xfId="42" applyFont="1" applyAlignment="1" applyProtection="1">
      <alignment/>
      <protection/>
    </xf>
    <xf numFmtId="43" fontId="0" fillId="0" borderId="0" xfId="0" applyNumberFormat="1" applyAlignment="1" applyProtection="1">
      <alignment/>
      <protection/>
    </xf>
    <xf numFmtId="164" fontId="0" fillId="34" borderId="10" xfId="0" applyNumberFormat="1" applyFill="1" applyBorder="1" applyAlignment="1" applyProtection="1">
      <alignment/>
      <protection/>
    </xf>
    <xf numFmtId="171" fontId="0" fillId="34" borderId="10" xfId="0" applyNumberFormat="1" applyFill="1" applyBorder="1" applyAlignment="1" applyProtection="1">
      <alignment wrapText="1"/>
      <protection/>
    </xf>
    <xf numFmtId="171" fontId="0" fillId="0" borderId="0" xfId="0" applyNumberFormat="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4" fontId="0" fillId="0" borderId="0" xfId="0" applyNumberFormat="1" applyAlignment="1" applyProtection="1">
      <alignment/>
      <protection/>
    </xf>
    <xf numFmtId="0" fontId="0" fillId="34" borderId="32" xfId="0" applyFill="1" applyBorder="1" applyAlignment="1" applyProtection="1">
      <alignment/>
      <protection/>
    </xf>
    <xf numFmtId="0" fontId="8" fillId="35" borderId="0" xfId="0" applyFont="1" applyFill="1" applyAlignment="1" applyProtection="1">
      <alignment/>
      <protection/>
    </xf>
    <xf numFmtId="2" fontId="0" fillId="34" borderId="23" xfId="0" applyNumberFormat="1" applyFill="1" applyBorder="1" applyAlignment="1" applyProtection="1">
      <alignment/>
      <protection/>
    </xf>
    <xf numFmtId="171" fontId="0" fillId="34" borderId="23" xfId="0" applyNumberFormat="1" applyFill="1" applyBorder="1" applyAlignment="1" applyProtection="1">
      <alignment/>
      <protection/>
    </xf>
    <xf numFmtId="1" fontId="0" fillId="34" borderId="23" xfId="0" applyNumberFormat="1" applyFill="1" applyBorder="1" applyAlignment="1" applyProtection="1">
      <alignment/>
      <protection/>
    </xf>
    <xf numFmtId="164" fontId="0" fillId="34" borderId="23" xfId="0" applyNumberFormat="1" applyFill="1" applyBorder="1" applyAlignment="1" applyProtection="1">
      <alignment/>
      <protection/>
    </xf>
    <xf numFmtId="1" fontId="0" fillId="34" borderId="10" xfId="0" applyNumberFormat="1" applyFill="1" applyBorder="1" applyAlignment="1" applyProtection="1">
      <alignment/>
      <protection/>
    </xf>
    <xf numFmtId="171" fontId="0" fillId="34" borderId="10" xfId="0" applyNumberFormat="1" applyFill="1" applyBorder="1" applyAlignment="1" applyProtection="1">
      <alignment/>
      <protection/>
    </xf>
    <xf numFmtId="170" fontId="0" fillId="34" borderId="10" xfId="0" applyNumberFormat="1" applyFill="1" applyBorder="1" applyAlignment="1" applyProtection="1">
      <alignment/>
      <protection/>
    </xf>
    <xf numFmtId="171" fontId="0" fillId="34" borderId="10" xfId="0" applyNumberFormat="1" applyFont="1" applyFill="1" applyBorder="1" applyAlignment="1" applyProtection="1">
      <alignment/>
      <protection/>
    </xf>
    <xf numFmtId="2" fontId="1" fillId="34" borderId="10" xfId="0" applyNumberFormat="1" applyFont="1" applyFill="1" applyBorder="1" applyAlignment="1" applyProtection="1">
      <alignment/>
      <protection/>
    </xf>
    <xf numFmtId="1" fontId="1" fillId="34" borderId="10" xfId="0" applyNumberFormat="1" applyFont="1" applyFill="1" applyBorder="1" applyAlignment="1" applyProtection="1">
      <alignment/>
      <protection/>
    </xf>
    <xf numFmtId="0" fontId="1" fillId="34" borderId="11" xfId="0" applyFont="1" applyFill="1" applyBorder="1" applyAlignment="1" applyProtection="1">
      <alignment/>
      <protection/>
    </xf>
    <xf numFmtId="171" fontId="1" fillId="34" borderId="10" xfId="0" applyNumberFormat="1" applyFont="1" applyFill="1" applyBorder="1" applyAlignment="1" applyProtection="1">
      <alignment/>
      <protection/>
    </xf>
    <xf numFmtId="2" fontId="0" fillId="34" borderId="10" xfId="0" applyNumberFormat="1" applyFill="1" applyBorder="1" applyAlignment="1" applyProtection="1">
      <alignment/>
      <protection/>
    </xf>
    <xf numFmtId="0" fontId="0" fillId="0" borderId="0" xfId="0" applyAlignment="1" applyProtection="1">
      <alignment/>
      <protection locked="0"/>
    </xf>
    <xf numFmtId="0" fontId="0" fillId="34" borderId="10" xfId="0" applyFill="1" applyBorder="1" applyAlignment="1" applyProtection="1">
      <alignment/>
      <protection locked="0"/>
    </xf>
    <xf numFmtId="49" fontId="0" fillId="34" borderId="10" xfId="0" applyNumberFormat="1" applyFill="1" applyBorder="1" applyAlignment="1" applyProtection="1">
      <alignment/>
      <protection locked="0"/>
    </xf>
    <xf numFmtId="171" fontId="0" fillId="34" borderId="10" xfId="0" applyNumberFormat="1" applyFill="1" applyBorder="1" applyAlignment="1" applyProtection="1">
      <alignment horizontal="right"/>
      <protection/>
    </xf>
    <xf numFmtId="0" fontId="0" fillId="0" borderId="0" xfId="0" applyFill="1" applyBorder="1" applyAlignment="1" applyProtection="1">
      <alignment horizontal="left" wrapText="1" indent="1"/>
      <protection/>
    </xf>
    <xf numFmtId="0" fontId="0" fillId="0" borderId="0" xfId="0" applyBorder="1" applyAlignment="1" applyProtection="1">
      <alignment/>
      <protection/>
    </xf>
    <xf numFmtId="3" fontId="0" fillId="36" borderId="12" xfId="0" applyNumberFormat="1" applyFont="1" applyFill="1" applyBorder="1" applyAlignment="1" applyProtection="1" quotePrefix="1">
      <alignment horizontal="right"/>
      <protection locked="0"/>
    </xf>
    <xf numFmtId="0" fontId="0" fillId="0" borderId="0" xfId="0" applyAlignment="1" applyProtection="1">
      <alignment wrapText="1"/>
      <protection/>
    </xf>
    <xf numFmtId="0" fontId="1" fillId="34" borderId="10" xfId="0" applyFont="1" applyFill="1" applyBorder="1" applyAlignment="1" applyProtection="1">
      <alignment/>
      <protection/>
    </xf>
    <xf numFmtId="0" fontId="0" fillId="34" borderId="33" xfId="0" applyFont="1" applyFill="1" applyBorder="1" applyAlignment="1">
      <alignment/>
    </xf>
    <xf numFmtId="0" fontId="0" fillId="34" borderId="33" xfId="0" applyFont="1" applyFill="1" applyBorder="1" applyAlignment="1" applyProtection="1">
      <alignment/>
      <protection/>
    </xf>
    <xf numFmtId="0" fontId="0" fillId="34" borderId="12" xfId="0" applyFont="1" applyFill="1" applyBorder="1" applyAlignment="1">
      <alignment/>
    </xf>
    <xf numFmtId="0" fontId="0" fillId="34" borderId="28" xfId="0" applyFont="1" applyFill="1" applyBorder="1" applyAlignment="1" applyProtection="1">
      <alignment wrapText="1"/>
      <protection/>
    </xf>
    <xf numFmtId="0" fontId="0" fillId="34" borderId="29" xfId="0" applyFont="1" applyFill="1" applyBorder="1" applyAlignment="1" applyProtection="1">
      <alignment wrapText="1"/>
      <protection/>
    </xf>
    <xf numFmtId="0" fontId="0" fillId="34" borderId="13" xfId="0" applyFont="1" applyFill="1" applyBorder="1" applyAlignment="1" applyProtection="1">
      <alignment wrapText="1"/>
      <protection/>
    </xf>
    <xf numFmtId="0" fontId="0" fillId="34" borderId="11" xfId="0" applyFont="1" applyFill="1" applyBorder="1" applyAlignment="1" applyProtection="1">
      <alignment/>
      <protection/>
    </xf>
    <xf numFmtId="0" fontId="0" fillId="34" borderId="33" xfId="0" applyFont="1" applyFill="1" applyBorder="1" applyAlignment="1">
      <alignment horizontal="right"/>
    </xf>
    <xf numFmtId="0" fontId="8" fillId="35" borderId="10" xfId="0" applyFont="1" applyFill="1" applyBorder="1" applyAlignment="1" applyProtection="1">
      <alignment horizontal="center" wrapText="1"/>
      <protection/>
    </xf>
    <xf numFmtId="174" fontId="0" fillId="34" borderId="32" xfId="0" applyNumberFormat="1" applyFill="1" applyBorder="1" applyAlignment="1" applyProtection="1">
      <alignment horizontal="center" vertical="center"/>
      <protection/>
    </xf>
    <xf numFmtId="174" fontId="0" fillId="34" borderId="10" xfId="0" applyNumberFormat="1" applyFill="1" applyBorder="1" applyAlignment="1" applyProtection="1">
      <alignment horizontal="center" vertical="center" wrapText="1"/>
      <protection/>
    </xf>
    <xf numFmtId="174" fontId="0" fillId="34" borderId="23" xfId="0" applyNumberFormat="1" applyFill="1" applyBorder="1" applyAlignment="1" applyProtection="1">
      <alignment horizontal="center" vertical="center" wrapText="1"/>
      <protection/>
    </xf>
    <xf numFmtId="0" fontId="0" fillId="33" borderId="26" xfId="0" applyFont="1" applyFill="1" applyBorder="1" applyAlignment="1">
      <alignment horizontal="left" wrapText="1" indent="1"/>
    </xf>
    <xf numFmtId="0" fontId="8" fillId="0" borderId="0" xfId="0" applyFont="1" applyFill="1" applyBorder="1" applyAlignment="1" applyProtection="1">
      <alignment horizontal="right"/>
      <protection/>
    </xf>
    <xf numFmtId="0" fontId="31" fillId="0" borderId="0" xfId="0" applyFont="1" applyFill="1" applyBorder="1" applyAlignment="1" applyProtection="1">
      <alignment vertical="top" wrapText="1"/>
      <protection/>
    </xf>
    <xf numFmtId="171" fontId="0" fillId="36" borderId="12" xfId="0" applyNumberFormat="1" applyFill="1" applyBorder="1" applyAlignment="1" applyProtection="1">
      <alignment horizontal="right"/>
      <protection locked="0"/>
    </xf>
    <xf numFmtId="3" fontId="1" fillId="33" borderId="0" xfId="0" applyNumberFormat="1" applyFont="1" applyFill="1" applyBorder="1" applyAlignment="1" applyProtection="1">
      <alignment horizontal="left" wrapText="1"/>
      <protection/>
    </xf>
    <xf numFmtId="3" fontId="0" fillId="33" borderId="0" xfId="0" applyNumberFormat="1" applyFont="1" applyFill="1" applyBorder="1" applyAlignment="1">
      <alignment horizontal="left" wrapText="1"/>
    </xf>
    <xf numFmtId="0" fontId="8" fillId="35" borderId="33" xfId="0" applyFont="1" applyFill="1" applyBorder="1" applyAlignment="1" applyProtection="1">
      <alignment horizontal="left"/>
      <protection/>
    </xf>
    <xf numFmtId="0" fontId="0" fillId="0" borderId="0" xfId="0" applyFont="1" applyAlignment="1">
      <alignment/>
    </xf>
    <xf numFmtId="0" fontId="1" fillId="33" borderId="26" xfId="0" applyFont="1" applyFill="1" applyBorder="1" applyAlignment="1">
      <alignment horizontal="left" indent="1"/>
    </xf>
    <xf numFmtId="0" fontId="0" fillId="33" borderId="27" xfId="0" applyFill="1" applyBorder="1" applyAlignment="1">
      <alignment horizontal="left" indent="1"/>
    </xf>
    <xf numFmtId="0" fontId="0" fillId="33" borderId="27" xfId="0" applyFill="1" applyBorder="1" applyAlignment="1">
      <alignment/>
    </xf>
    <xf numFmtId="0" fontId="1" fillId="33" borderId="26" xfId="0" applyFont="1" applyFill="1" applyBorder="1" applyAlignment="1">
      <alignment horizontal="left" wrapText="1" indent="1"/>
    </xf>
    <xf numFmtId="0" fontId="0" fillId="33" borderId="27" xfId="0" applyFill="1" applyBorder="1" applyAlignment="1">
      <alignment horizontal="left" wrapText="1" indent="1"/>
    </xf>
    <xf numFmtId="0" fontId="0" fillId="33" borderId="29" xfId="0" applyFill="1" applyBorder="1" applyAlignment="1">
      <alignment/>
    </xf>
    <xf numFmtId="0" fontId="0" fillId="33" borderId="13" xfId="0" applyFill="1" applyBorder="1" applyAlignment="1">
      <alignment/>
    </xf>
    <xf numFmtId="0" fontId="0" fillId="33" borderId="28" xfId="0" applyFont="1" applyFill="1" applyBorder="1" applyAlignment="1">
      <alignment horizontal="left" indent="2"/>
    </xf>
    <xf numFmtId="180" fontId="0" fillId="34" borderId="23" xfId="42" applyNumberFormat="1" applyFont="1" applyFill="1" applyBorder="1" applyAlignment="1" applyProtection="1">
      <alignment horizontal="left" wrapText="1" indent="1"/>
      <protection/>
    </xf>
    <xf numFmtId="180" fontId="1" fillId="34" borderId="10" xfId="42" applyNumberFormat="1" applyFont="1" applyFill="1" applyBorder="1" applyAlignment="1" applyProtection="1">
      <alignment horizontal="left" wrapText="1" indent="1"/>
      <protection/>
    </xf>
    <xf numFmtId="0" fontId="0" fillId="34" borderId="32" xfId="0" applyFill="1" applyBorder="1" applyAlignment="1" applyProtection="1">
      <alignment vertical="center"/>
      <protection/>
    </xf>
    <xf numFmtId="0" fontId="0" fillId="34" borderId="10" xfId="0" applyFill="1" applyBorder="1" applyAlignment="1" applyProtection="1">
      <alignment vertical="center"/>
      <protection/>
    </xf>
    <xf numFmtId="174" fontId="0" fillId="34" borderId="10" xfId="0" applyNumberFormat="1" applyFont="1" applyFill="1" applyBorder="1" applyAlignment="1" applyProtection="1">
      <alignment horizontal="center"/>
      <protection/>
    </xf>
    <xf numFmtId="171" fontId="0" fillId="34" borderId="12" xfId="0" applyNumberFormat="1" applyFill="1" applyBorder="1" applyAlignment="1" applyProtection="1">
      <alignment horizontal="right"/>
      <protection/>
    </xf>
    <xf numFmtId="171" fontId="0" fillId="34" borderId="23" xfId="0" applyNumberFormat="1" applyFill="1" applyBorder="1" applyAlignment="1" applyProtection="1">
      <alignment horizontal="right"/>
      <protection/>
    </xf>
    <xf numFmtId="171" fontId="0" fillId="34" borderId="25" xfId="0" applyNumberFormat="1" applyFill="1" applyBorder="1" applyAlignment="1" applyProtection="1">
      <alignment horizontal="right"/>
      <protection/>
    </xf>
    <xf numFmtId="171" fontId="0" fillId="34" borderId="32" xfId="0" applyNumberFormat="1" applyFill="1" applyBorder="1" applyAlignment="1" applyProtection="1">
      <alignment horizontal="right"/>
      <protection/>
    </xf>
    <xf numFmtId="171" fontId="0" fillId="34" borderId="13" xfId="0" applyNumberFormat="1" applyFill="1" applyBorder="1" applyAlignment="1" applyProtection="1">
      <alignment horizontal="right"/>
      <protection/>
    </xf>
    <xf numFmtId="171" fontId="1" fillId="34" borderId="10" xfId="0" applyNumberFormat="1" applyFont="1" applyFill="1" applyBorder="1" applyAlignment="1" applyProtection="1">
      <alignment horizontal="right"/>
      <protection/>
    </xf>
    <xf numFmtId="0" fontId="0" fillId="34" borderId="10" xfId="0" applyFill="1" applyBorder="1" applyAlignment="1" applyProtection="1">
      <alignment vertical="center" wrapText="1"/>
      <protection/>
    </xf>
    <xf numFmtId="0" fontId="28" fillId="34" borderId="0" xfId="53" applyNumberFormat="1" applyFont="1" applyFill="1" applyAlignment="1" applyProtection="1">
      <alignment horizontal="left" wrapText="1"/>
      <protection/>
    </xf>
    <xf numFmtId="0" fontId="28" fillId="34" borderId="10" xfId="53" applyFont="1" applyFill="1" applyBorder="1" applyAlignment="1" applyProtection="1">
      <alignment wrapText="1"/>
      <protection/>
    </xf>
    <xf numFmtId="0" fontId="0" fillId="0" borderId="0" xfId="0" applyNumberFormat="1" applyAlignment="1" applyProtection="1">
      <alignment/>
      <protection/>
    </xf>
    <xf numFmtId="0" fontId="11" fillId="0" borderId="0" xfId="0" applyFont="1" applyAlignment="1" applyProtection="1">
      <alignment horizontal="left" wrapText="1"/>
      <protection/>
    </xf>
    <xf numFmtId="0" fontId="9" fillId="0" borderId="0" xfId="0" applyFont="1" applyAlignment="1">
      <alignment wrapText="1"/>
    </xf>
    <xf numFmtId="0" fontId="9" fillId="0" borderId="0" xfId="0" applyFont="1" applyAlignment="1" applyProtection="1">
      <alignment horizontal="left" wrapText="1"/>
      <protection/>
    </xf>
    <xf numFmtId="0" fontId="9" fillId="0" borderId="0" xfId="0" applyFont="1" applyFill="1" applyAlignment="1" applyProtection="1">
      <alignment horizontal="left" wrapText="1"/>
      <protection/>
    </xf>
    <xf numFmtId="0" fontId="0" fillId="33" borderId="22" xfId="0" applyFill="1" applyBorder="1" applyAlignment="1" applyProtection="1">
      <alignment vertical="top"/>
      <protection/>
    </xf>
    <xf numFmtId="0" fontId="0" fillId="33" borderId="21" xfId="0" applyFill="1" applyBorder="1" applyAlignment="1" applyProtection="1">
      <alignment vertical="top"/>
      <protection/>
    </xf>
    <xf numFmtId="0" fontId="0" fillId="33" borderId="21" xfId="0" applyFill="1" applyBorder="1" applyAlignment="1" applyProtection="1">
      <alignment horizontal="left" vertical="top"/>
      <protection/>
    </xf>
    <xf numFmtId="0" fontId="0" fillId="0" borderId="0" xfId="0" applyAlignment="1" applyProtection="1">
      <alignment vertical="top"/>
      <protection/>
    </xf>
    <xf numFmtId="0" fontId="0" fillId="33" borderId="0" xfId="53" applyFont="1" applyFill="1" applyAlignment="1" applyProtection="1">
      <alignment/>
      <protection/>
    </xf>
    <xf numFmtId="171" fontId="1" fillId="34" borderId="32" xfId="0" applyNumberFormat="1" applyFont="1" applyFill="1" applyBorder="1" applyAlignment="1" applyProtection="1">
      <alignment/>
      <protection/>
    </xf>
    <xf numFmtId="171" fontId="0" fillId="34" borderId="34" xfId="0" applyNumberFormat="1" applyFont="1" applyFill="1" applyBorder="1" applyAlignment="1" applyProtection="1">
      <alignment horizontal="right"/>
      <protection/>
    </xf>
    <xf numFmtId="0" fontId="4" fillId="34" borderId="11" xfId="0" applyFont="1" applyFill="1" applyBorder="1" applyAlignment="1" applyProtection="1">
      <alignment horizontal="left"/>
      <protection/>
    </xf>
    <xf numFmtId="0" fontId="32" fillId="33" borderId="26" xfId="0" applyFont="1" applyFill="1" applyBorder="1" applyAlignment="1">
      <alignment horizontal="left" indent="1"/>
    </xf>
    <xf numFmtId="179" fontId="0" fillId="34" borderId="10" xfId="42" applyNumberFormat="1" applyFont="1" applyFill="1" applyBorder="1" applyAlignment="1" applyProtection="1">
      <alignment horizontal="left" wrapText="1"/>
      <protection/>
    </xf>
    <xf numFmtId="179" fontId="1" fillId="34" borderId="10" xfId="42" applyNumberFormat="1" applyFont="1" applyFill="1" applyBorder="1" applyAlignment="1" applyProtection="1">
      <alignment horizontal="left" wrapText="1"/>
      <protection/>
    </xf>
    <xf numFmtId="0" fontId="28" fillId="34" borderId="0" xfId="53" applyFont="1" applyFill="1" applyAlignment="1" applyProtection="1">
      <alignment wrapText="1"/>
      <protection/>
    </xf>
    <xf numFmtId="174" fontId="0" fillId="34" borderId="10" xfId="0" applyNumberFormat="1" applyFont="1" applyFill="1" applyBorder="1" applyAlignment="1" applyProtection="1">
      <alignment horizontal="left" wrapText="1"/>
      <protection/>
    </xf>
    <xf numFmtId="0" fontId="0" fillId="0" borderId="0" xfId="0" applyFont="1" applyAlignment="1" applyProtection="1">
      <alignment horizontal="left" wrapText="1"/>
      <protection/>
    </xf>
    <xf numFmtId="0" fontId="1" fillId="0" borderId="0" xfId="0" applyFont="1" applyAlignment="1">
      <alignment/>
    </xf>
    <xf numFmtId="0" fontId="0" fillId="0" borderId="0" xfId="0" applyFont="1" applyAlignment="1" applyProtection="1">
      <alignment horizontal="left" wrapText="1"/>
      <protection/>
    </xf>
    <xf numFmtId="3" fontId="0" fillId="0" borderId="0" xfId="0" applyNumberFormat="1" applyFont="1" applyAlignment="1" applyProtection="1">
      <alignment horizontal="left" wrapText="1"/>
      <protection/>
    </xf>
    <xf numFmtId="179" fontId="0" fillId="0" borderId="0" xfId="42" applyNumberFormat="1" applyFont="1" applyAlignment="1" applyProtection="1">
      <alignment horizontal="left" wrapText="1"/>
      <protection/>
    </xf>
    <xf numFmtId="180" fontId="1" fillId="0" borderId="0" xfId="42" applyNumberFormat="1" applyFont="1" applyAlignment="1" applyProtection="1">
      <alignment horizontal="left" wrapText="1" indent="2"/>
      <protection/>
    </xf>
    <xf numFmtId="0" fontId="4" fillId="34" borderId="12" xfId="0" applyFont="1" applyFill="1" applyBorder="1" applyAlignment="1" applyProtection="1">
      <alignment horizontal="left"/>
      <protection/>
    </xf>
    <xf numFmtId="0" fontId="0" fillId="33" borderId="0" xfId="0" applyFill="1" applyAlignment="1" applyProtection="1">
      <alignment/>
      <protection/>
    </xf>
    <xf numFmtId="0" fontId="0" fillId="33" borderId="0" xfId="0" applyFont="1" applyFill="1" applyBorder="1" applyAlignment="1" applyProtection="1">
      <alignment/>
      <protection/>
    </xf>
    <xf numFmtId="0" fontId="33" fillId="0" borderId="0" xfId="0" applyFont="1" applyAlignment="1" applyProtection="1">
      <alignment/>
      <protection/>
    </xf>
    <xf numFmtId="0" fontId="33" fillId="0" borderId="0" xfId="0" applyFont="1" applyBorder="1" applyAlignment="1" applyProtection="1">
      <alignment/>
      <protection/>
    </xf>
    <xf numFmtId="0" fontId="8" fillId="35" borderId="33" xfId="0" applyFont="1" applyFill="1" applyBorder="1" applyAlignment="1" applyProtection="1">
      <alignment horizontal="left" wrapText="1"/>
      <protection/>
    </xf>
    <xf numFmtId="0" fontId="8" fillId="35" borderId="12" xfId="0" applyFont="1" applyFill="1" applyBorder="1" applyAlignment="1" applyProtection="1">
      <alignment horizontal="left" wrapText="1"/>
      <protection/>
    </xf>
    <xf numFmtId="0" fontId="0" fillId="0" borderId="22" xfId="0" applyFill="1" applyBorder="1" applyAlignment="1" applyProtection="1">
      <alignment horizontal="left" wrapText="1"/>
      <protection/>
    </xf>
    <xf numFmtId="0" fontId="0" fillId="0" borderId="21" xfId="0" applyFill="1" applyBorder="1" applyAlignment="1" applyProtection="1">
      <alignment horizontal="right" wrapText="1"/>
      <protection/>
    </xf>
    <xf numFmtId="164" fontId="0" fillId="0" borderId="21" xfId="0" applyNumberFormat="1" applyFill="1" applyBorder="1" applyAlignment="1" applyProtection="1">
      <alignment horizontal="right"/>
      <protection/>
    </xf>
    <xf numFmtId="0" fontId="0" fillId="0" borderId="21" xfId="0" applyFill="1" applyBorder="1" applyAlignment="1" applyProtection="1">
      <alignment horizontal="left" wrapText="1"/>
      <protection/>
    </xf>
    <xf numFmtId="0" fontId="0" fillId="0" borderId="25" xfId="0" applyFill="1" applyBorder="1" applyAlignment="1" applyProtection="1">
      <alignment horizontal="left" wrapText="1"/>
      <protection/>
    </xf>
    <xf numFmtId="0" fontId="0" fillId="34" borderId="23" xfId="0" applyFill="1" applyBorder="1" applyAlignment="1" applyProtection="1">
      <alignment horizontal="right" wrapText="1"/>
      <protection/>
    </xf>
    <xf numFmtId="0" fontId="8" fillId="35" borderId="11" xfId="0" applyFont="1" applyFill="1" applyBorder="1" applyAlignment="1" applyProtection="1">
      <alignment horizontal="center"/>
      <protection/>
    </xf>
    <xf numFmtId="16" fontId="8" fillId="35" borderId="33" xfId="0" applyNumberFormat="1" applyFont="1" applyFill="1" applyBorder="1" applyAlignment="1" applyProtection="1">
      <alignment horizontal="left" wrapText="1"/>
      <protection/>
    </xf>
    <xf numFmtId="0" fontId="11" fillId="35" borderId="25" xfId="0" applyFont="1" applyFill="1" applyBorder="1" applyAlignment="1" applyProtection="1">
      <alignment/>
      <protection/>
    </xf>
    <xf numFmtId="0" fontId="11" fillId="35" borderId="28" xfId="0" applyFont="1" applyFill="1" applyBorder="1" applyAlignment="1" applyProtection="1">
      <alignment horizontal="left"/>
      <protection/>
    </xf>
    <xf numFmtId="0" fontId="0" fillId="34" borderId="29" xfId="0" applyFill="1" applyBorder="1" applyAlignment="1" applyProtection="1">
      <alignment horizontal="left" wrapText="1"/>
      <protection/>
    </xf>
    <xf numFmtId="0" fontId="0" fillId="34" borderId="13" xfId="0" applyFill="1" applyBorder="1" applyAlignment="1" applyProtection="1">
      <alignment horizontal="left" wrapText="1"/>
      <protection/>
    </xf>
    <xf numFmtId="0" fontId="0" fillId="0" borderId="0" xfId="0" applyFont="1" applyFill="1" applyBorder="1" applyAlignment="1">
      <alignment vertical="top" wrapText="1"/>
    </xf>
    <xf numFmtId="0" fontId="8" fillId="35" borderId="33" xfId="0" applyFont="1" applyFill="1" applyBorder="1" applyAlignment="1" applyProtection="1">
      <alignment horizontal="center"/>
      <protection/>
    </xf>
    <xf numFmtId="0" fontId="8" fillId="35" borderId="12" xfId="0" applyFont="1" applyFill="1" applyBorder="1" applyAlignment="1" applyProtection="1">
      <alignment horizontal="center"/>
      <protection/>
    </xf>
    <xf numFmtId="0" fontId="8" fillId="35" borderId="33" xfId="0" applyFont="1" applyFill="1" applyBorder="1" applyAlignment="1" applyProtection="1">
      <alignment horizontal="right"/>
      <protection/>
    </xf>
    <xf numFmtId="0" fontId="8" fillId="35" borderId="12" xfId="0" applyFont="1" applyFill="1" applyBorder="1" applyAlignment="1" applyProtection="1">
      <alignment horizontal="right"/>
      <protection/>
    </xf>
    <xf numFmtId="0" fontId="8" fillId="35" borderId="12" xfId="0" applyFont="1" applyFill="1" applyBorder="1" applyAlignment="1" applyProtection="1">
      <alignment horizontal="right" wrapText="1"/>
      <protection/>
    </xf>
    <xf numFmtId="0" fontId="1" fillId="33" borderId="25" xfId="0" applyFont="1" applyFill="1" applyBorder="1" applyAlignment="1" applyProtection="1">
      <alignment horizontal="right" vertical="top"/>
      <protection/>
    </xf>
    <xf numFmtId="0" fontId="0" fillId="0" borderId="0" xfId="0" applyFont="1" applyAlignment="1" applyProtection="1">
      <alignment/>
      <protection/>
    </xf>
    <xf numFmtId="0" fontId="0" fillId="0" borderId="10" xfId="0" applyFont="1" applyBorder="1" applyAlignment="1" applyProtection="1">
      <alignment horizontal="left" wrapText="1"/>
      <protection/>
    </xf>
    <xf numFmtId="0" fontId="0" fillId="0" borderId="10" xfId="0" applyFont="1" applyBorder="1" applyAlignment="1" applyProtection="1">
      <alignment/>
      <protection/>
    </xf>
    <xf numFmtId="3" fontId="0" fillId="0" borderId="10" xfId="0" applyNumberFormat="1" applyFont="1" applyBorder="1" applyAlignment="1" applyProtection="1">
      <alignment horizontal="left" wrapText="1"/>
      <protection/>
    </xf>
    <xf numFmtId="170" fontId="0" fillId="0" borderId="10" xfId="0" applyNumberFormat="1" applyFont="1" applyBorder="1" applyAlignment="1" applyProtection="1">
      <alignment/>
      <protection/>
    </xf>
    <xf numFmtId="0" fontId="0" fillId="0" borderId="10" xfId="0" applyBorder="1" applyAlignment="1" applyProtection="1">
      <alignment/>
      <protection/>
    </xf>
    <xf numFmtId="191" fontId="0" fillId="0" borderId="10" xfId="0" applyNumberFormat="1" applyFont="1" applyBorder="1" applyAlignment="1" applyProtection="1">
      <alignment/>
      <protection/>
    </xf>
    <xf numFmtId="4" fontId="0" fillId="0" borderId="10" xfId="0" applyNumberFormat="1" applyFont="1" applyBorder="1" applyAlignment="1" applyProtection="1">
      <alignment horizontal="left" wrapText="1"/>
      <protection/>
    </xf>
    <xf numFmtId="43" fontId="0" fillId="0" borderId="10" xfId="42" applyNumberFormat="1" applyFont="1" applyBorder="1" applyAlignment="1" applyProtection="1">
      <alignment/>
      <protection/>
    </xf>
    <xf numFmtId="0" fontId="0" fillId="0" borderId="10" xfId="0" applyBorder="1" applyAlignment="1" applyProtection="1" quotePrefix="1">
      <alignment/>
      <protection/>
    </xf>
    <xf numFmtId="180" fontId="0" fillId="36" borderId="13" xfId="42" applyNumberFormat="1" applyFont="1" applyFill="1" applyBorder="1" applyAlignment="1" applyProtection="1">
      <alignment horizontal="right"/>
      <protection locked="0"/>
    </xf>
    <xf numFmtId="6" fontId="0" fillId="36" borderId="12" xfId="42" applyNumberFormat="1" applyFont="1" applyFill="1" applyBorder="1" applyAlignment="1" applyProtection="1">
      <alignment horizontal="right"/>
      <protection locked="0"/>
    </xf>
    <xf numFmtId="171" fontId="0" fillId="36" borderId="12" xfId="0" applyNumberFormat="1" applyFont="1" applyFill="1" applyBorder="1" applyAlignment="1" applyProtection="1">
      <alignment horizontal="right"/>
      <protection locked="0"/>
    </xf>
    <xf numFmtId="174" fontId="0" fillId="34" borderId="32" xfId="0" applyNumberFormat="1" applyFill="1" applyBorder="1" applyAlignment="1" applyProtection="1">
      <alignment horizontal="right" vertical="center" wrapText="1" indent="1"/>
      <protection/>
    </xf>
    <xf numFmtId="3" fontId="1" fillId="34" borderId="32" xfId="0" applyNumberFormat="1" applyFont="1" applyFill="1" applyBorder="1" applyAlignment="1" applyProtection="1">
      <alignment horizontal="right" vertical="center" wrapText="1" indent="1"/>
      <protection/>
    </xf>
    <xf numFmtId="3" fontId="1" fillId="34" borderId="10" xfId="0" applyNumberFormat="1" applyFont="1" applyFill="1" applyBorder="1" applyAlignment="1" applyProtection="1">
      <alignment horizontal="right" vertical="center" wrapText="1" indent="1"/>
      <protection/>
    </xf>
    <xf numFmtId="3" fontId="1" fillId="34" borderId="23" xfId="0" applyNumberFormat="1" applyFont="1" applyFill="1" applyBorder="1" applyAlignment="1" applyProtection="1">
      <alignment horizontal="right" vertical="center" wrapText="1" indent="1"/>
      <protection/>
    </xf>
    <xf numFmtId="0" fontId="0" fillId="0" borderId="0" xfId="0" applyAlignment="1" applyProtection="1">
      <alignment horizontal="right"/>
      <protection locked="0"/>
    </xf>
    <xf numFmtId="0" fontId="0" fillId="0" borderId="29" xfId="0" applyBorder="1" applyAlignment="1" applyProtection="1">
      <alignment horizontal="right"/>
      <protection locked="0"/>
    </xf>
    <xf numFmtId="0" fontId="9" fillId="35" borderId="12" xfId="0" applyFont="1" applyFill="1" applyBorder="1" applyAlignment="1" applyProtection="1">
      <alignment horizontal="right"/>
      <protection locked="0"/>
    </xf>
    <xf numFmtId="0" fontId="33" fillId="0" borderId="0" xfId="0" applyFont="1" applyAlignment="1" applyProtection="1">
      <alignment/>
      <protection locked="0"/>
    </xf>
    <xf numFmtId="0" fontId="6" fillId="0" borderId="29" xfId="0" applyFont="1" applyBorder="1" applyAlignment="1" applyProtection="1">
      <alignment horizontal="right"/>
      <protection locked="0"/>
    </xf>
    <xf numFmtId="0" fontId="0" fillId="34" borderId="22" xfId="0" applyFont="1" applyFill="1" applyBorder="1" applyAlignment="1" applyProtection="1">
      <alignment horizontal="left" wrapText="1"/>
      <protection locked="0"/>
    </xf>
    <xf numFmtId="0" fontId="0" fillId="0" borderId="0" xfId="0" applyBorder="1" applyAlignment="1" applyProtection="1">
      <alignment/>
      <protection locked="0"/>
    </xf>
    <xf numFmtId="0" fontId="0" fillId="0" borderId="27" xfId="0" applyBorder="1" applyAlignment="1" applyProtection="1">
      <alignment/>
      <protection locked="0"/>
    </xf>
    <xf numFmtId="164" fontId="0" fillId="0" borderId="0" xfId="0" applyNumberFormat="1" applyAlignment="1" applyProtection="1">
      <alignment horizontal="right"/>
      <protection locked="0"/>
    </xf>
    <xf numFmtId="8" fontId="0" fillId="0" borderId="0" xfId="0" applyNumberFormat="1" applyAlignment="1" applyProtection="1">
      <alignment horizontal="right"/>
      <protection locked="0"/>
    </xf>
    <xf numFmtId="0" fontId="0" fillId="0" borderId="0" xfId="0" applyFill="1" applyAlignment="1" applyProtection="1">
      <alignment horizontal="right"/>
      <protection locked="0"/>
    </xf>
    <xf numFmtId="0" fontId="9" fillId="0" borderId="0" xfId="0" applyFont="1" applyAlignment="1" applyProtection="1">
      <alignment horizontal="right"/>
      <protection locked="0"/>
    </xf>
    <xf numFmtId="0" fontId="0" fillId="34" borderId="11" xfId="0" applyFont="1" applyFill="1" applyBorder="1" applyAlignment="1" applyProtection="1">
      <alignment horizontal="left" wrapText="1"/>
      <protection locked="0"/>
    </xf>
    <xf numFmtId="0" fontId="0" fillId="0" borderId="26" xfId="0" applyBorder="1" applyAlignment="1" applyProtection="1">
      <alignment horizontal="right"/>
      <protection locked="0"/>
    </xf>
    <xf numFmtId="1" fontId="26" fillId="0" borderId="0" xfId="0" applyNumberFormat="1" applyFont="1" applyFill="1" applyBorder="1" applyAlignment="1" applyProtection="1">
      <alignment horizontal="right"/>
      <protection locked="0"/>
    </xf>
    <xf numFmtId="9" fontId="26" fillId="0" borderId="0" xfId="0" applyNumberFormat="1" applyFont="1" applyFill="1" applyBorder="1" applyAlignment="1" applyProtection="1">
      <alignment horizontal="right"/>
      <protection locked="0"/>
    </xf>
    <xf numFmtId="9" fontId="0" fillId="0" borderId="0" xfId="0" applyNumberFormat="1" applyFont="1" applyFill="1" applyBorder="1" applyAlignment="1" applyProtection="1">
      <alignment horizontal="right"/>
      <protection locked="0"/>
    </xf>
    <xf numFmtId="1" fontId="26" fillId="0" borderId="0" xfId="0" applyNumberFormat="1" applyFont="1" applyFill="1" applyAlignment="1" applyProtection="1">
      <alignment horizontal="right"/>
      <protection locked="0"/>
    </xf>
    <xf numFmtId="0" fontId="26" fillId="0" borderId="0" xfId="0" applyFont="1" applyFill="1" applyBorder="1" applyAlignment="1" applyProtection="1">
      <alignment horizontal="right"/>
      <protection locked="0"/>
    </xf>
    <xf numFmtId="0" fontId="11" fillId="0" borderId="0" xfId="0" applyFont="1" applyAlignment="1" applyProtection="1">
      <alignment horizontal="right"/>
      <protection locked="0"/>
    </xf>
    <xf numFmtId="0" fontId="8" fillId="35" borderId="28" xfId="0" applyFont="1" applyFill="1" applyBorder="1" applyAlignment="1" applyProtection="1">
      <alignment horizontal="left"/>
      <protection locked="0"/>
    </xf>
    <xf numFmtId="0" fontId="0" fillId="0" borderId="0" xfId="0" applyBorder="1" applyAlignment="1" applyProtection="1">
      <alignment horizontal="right"/>
      <protection locked="0"/>
    </xf>
    <xf numFmtId="0" fontId="0" fillId="0" borderId="26" xfId="0" applyFill="1" applyBorder="1" applyAlignment="1" applyProtection="1">
      <alignment/>
      <protection locked="0"/>
    </xf>
    <xf numFmtId="0" fontId="0" fillId="0" borderId="0" xfId="0" applyFill="1" applyBorder="1" applyAlignment="1" applyProtection="1">
      <alignment/>
      <protection locked="0"/>
    </xf>
    <xf numFmtId="0" fontId="0" fillId="0" borderId="0" xfId="0" applyFill="1" applyBorder="1" applyAlignment="1" applyProtection="1">
      <alignment/>
      <protection locked="0"/>
    </xf>
    <xf numFmtId="0" fontId="0" fillId="0" borderId="27" xfId="0" applyFill="1" applyBorder="1" applyAlignment="1" applyProtection="1">
      <alignment/>
      <protection locked="0"/>
    </xf>
    <xf numFmtId="0" fontId="0" fillId="34" borderId="28" xfId="0" applyFont="1" applyFill="1" applyBorder="1" applyAlignment="1" applyProtection="1">
      <alignment horizontal="left" wrapText="1"/>
      <protection locked="0"/>
    </xf>
    <xf numFmtId="0" fontId="14" fillId="34" borderId="11" xfId="0" applyFont="1" applyFill="1" applyBorder="1" applyAlignment="1" applyProtection="1">
      <alignment horizontal="left" wrapText="1"/>
      <protection locked="0"/>
    </xf>
    <xf numFmtId="0" fontId="0" fillId="0" borderId="26" xfId="0" applyFill="1" applyBorder="1" applyAlignment="1" applyProtection="1">
      <alignment horizontal="left"/>
      <protection locked="0"/>
    </xf>
    <xf numFmtId="0" fontId="0" fillId="0" borderId="0" xfId="0" applyFill="1" applyBorder="1" applyAlignment="1" applyProtection="1">
      <alignment horizontal="right"/>
      <protection locked="0"/>
    </xf>
    <xf numFmtId="0" fontId="0" fillId="0" borderId="26" xfId="0" applyFill="1" applyBorder="1" applyAlignment="1" applyProtection="1">
      <alignment/>
      <protection locked="0"/>
    </xf>
    <xf numFmtId="0" fontId="0" fillId="0" borderId="26" xfId="0" applyBorder="1" applyAlignment="1" applyProtection="1">
      <alignment/>
      <protection locked="0"/>
    </xf>
    <xf numFmtId="0" fontId="29" fillId="33" borderId="10" xfId="0" applyFont="1" applyFill="1" applyBorder="1" applyAlignment="1" applyProtection="1">
      <alignment horizontal="center" wrapText="1"/>
      <protection locked="0"/>
    </xf>
    <xf numFmtId="0" fontId="28" fillId="34" borderId="10" xfId="0" applyFont="1" applyFill="1" applyBorder="1" applyAlignment="1" applyProtection="1">
      <alignment/>
      <protection locked="0"/>
    </xf>
    <xf numFmtId="171" fontId="28" fillId="34" borderId="10" xfId="0" applyNumberFormat="1" applyFont="1" applyFill="1" applyBorder="1" applyAlignment="1" applyProtection="1">
      <alignment/>
      <protection locked="0"/>
    </xf>
    <xf numFmtId="164" fontId="28" fillId="34" borderId="10" xfId="0" applyNumberFormat="1" applyFont="1" applyFill="1" applyBorder="1" applyAlignment="1" applyProtection="1">
      <alignment/>
      <protection locked="0"/>
    </xf>
    <xf numFmtId="0" fontId="0" fillId="0" borderId="0" xfId="0" applyFill="1" applyBorder="1" applyAlignment="1" applyProtection="1">
      <alignment vertical="top" wrapText="1"/>
      <protection locked="0"/>
    </xf>
    <xf numFmtId="0" fontId="0" fillId="0" borderId="26" xfId="0" applyFill="1" applyBorder="1" applyAlignment="1" applyProtection="1">
      <alignment vertical="top" wrapText="1"/>
      <protection locked="0"/>
    </xf>
    <xf numFmtId="0" fontId="28" fillId="0" borderId="26" xfId="0" applyFont="1" applyFill="1" applyBorder="1" applyAlignment="1" applyProtection="1">
      <alignment horizontal="right"/>
      <protection locked="0"/>
    </xf>
    <xf numFmtId="0" fontId="28" fillId="0" borderId="0" xfId="0" applyFont="1" applyFill="1" applyBorder="1" applyAlignment="1" applyProtection="1">
      <alignment horizontal="right"/>
      <protection locked="0"/>
    </xf>
    <xf numFmtId="0" fontId="28" fillId="0" borderId="0" xfId="0" applyFont="1" applyFill="1" applyBorder="1" applyAlignment="1" applyProtection="1">
      <alignment/>
      <protection locked="0"/>
    </xf>
    <xf numFmtId="0" fontId="28" fillId="0" borderId="27" xfId="0" applyFont="1" applyFill="1" applyBorder="1" applyAlignment="1" applyProtection="1">
      <alignment/>
      <protection locked="0"/>
    </xf>
    <xf numFmtId="8" fontId="0" fillId="0" borderId="0" xfId="0" applyNumberFormat="1" applyFill="1" applyAlignment="1" applyProtection="1">
      <alignment horizontal="right"/>
      <protection locked="0"/>
    </xf>
    <xf numFmtId="0" fontId="28" fillId="0" borderId="26" xfId="0" applyFont="1" applyFill="1" applyBorder="1" applyAlignment="1" applyProtection="1">
      <alignment wrapText="1"/>
      <protection locked="0"/>
    </xf>
    <xf numFmtId="0" fontId="28" fillId="0" borderId="0" xfId="0" applyFont="1" applyFill="1" applyBorder="1" applyAlignment="1" applyProtection="1">
      <alignment wrapText="1"/>
      <protection locked="0"/>
    </xf>
    <xf numFmtId="0" fontId="28" fillId="0" borderId="27" xfId="0" applyFont="1" applyFill="1" applyBorder="1" applyAlignment="1" applyProtection="1">
      <alignment wrapText="1"/>
      <protection locked="0"/>
    </xf>
    <xf numFmtId="0" fontId="8" fillId="35" borderId="11" xfId="0" applyFont="1" applyFill="1" applyBorder="1" applyAlignment="1" applyProtection="1">
      <alignment horizontal="left"/>
      <protection locked="0"/>
    </xf>
    <xf numFmtId="170" fontId="0" fillId="34" borderId="10" xfId="0" applyNumberFormat="1" applyFont="1" applyFill="1" applyBorder="1" applyAlignment="1" applyProtection="1">
      <alignment wrapText="1"/>
      <protection/>
    </xf>
    <xf numFmtId="0" fontId="0" fillId="34" borderId="11" xfId="0" applyFill="1" applyBorder="1" applyAlignment="1" applyProtection="1">
      <alignment horizontal="left"/>
      <protection locked="0"/>
    </xf>
    <xf numFmtId="0" fontId="0" fillId="34" borderId="11" xfId="0" applyFill="1" applyBorder="1" applyAlignment="1" applyProtection="1">
      <alignment horizontal="left" wrapText="1"/>
      <protection locked="0"/>
    </xf>
    <xf numFmtId="1" fontId="0" fillId="34" borderId="10" xfId="0" applyNumberFormat="1" applyFill="1" applyBorder="1" applyAlignment="1" applyProtection="1">
      <alignment horizontal="left"/>
      <protection/>
    </xf>
    <xf numFmtId="1" fontId="0" fillId="38" borderId="10" xfId="0" applyNumberFormat="1" applyFill="1" applyBorder="1" applyAlignment="1" applyProtection="1">
      <alignment/>
      <protection/>
    </xf>
    <xf numFmtId="164" fontId="11" fillId="0" borderId="10" xfId="0" applyNumberFormat="1" applyFont="1" applyBorder="1" applyAlignment="1" applyProtection="1">
      <alignment horizontal="right"/>
      <protection/>
    </xf>
    <xf numFmtId="0" fontId="0" fillId="33" borderId="26"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27" xfId="0" applyFont="1" applyFill="1" applyBorder="1" applyAlignment="1">
      <alignment horizontal="left" vertical="top" wrapText="1"/>
    </xf>
    <xf numFmtId="0" fontId="35" fillId="33" borderId="26" xfId="0" applyFont="1" applyFill="1" applyBorder="1" applyAlignment="1" applyProtection="1">
      <alignment horizontal="left" vertical="top" wrapText="1"/>
      <protection/>
    </xf>
    <xf numFmtId="0" fontId="35" fillId="33" borderId="0" xfId="0" applyFont="1" applyFill="1" applyBorder="1" applyAlignment="1" applyProtection="1">
      <alignment horizontal="left" vertical="top" wrapText="1"/>
      <protection/>
    </xf>
    <xf numFmtId="0" fontId="35" fillId="33" borderId="27" xfId="0" applyFont="1" applyFill="1" applyBorder="1" applyAlignment="1" applyProtection="1">
      <alignment horizontal="left" vertical="top" wrapText="1"/>
      <protection/>
    </xf>
    <xf numFmtId="0" fontId="0" fillId="33" borderId="28" xfId="0" applyFont="1" applyFill="1" applyBorder="1" applyAlignment="1">
      <alignment horizontal="left" vertical="top" wrapText="1"/>
    </xf>
    <xf numFmtId="0" fontId="0" fillId="33" borderId="29" xfId="0" applyFont="1" applyFill="1" applyBorder="1" applyAlignment="1">
      <alignment horizontal="left" vertical="top" wrapText="1"/>
    </xf>
    <xf numFmtId="0" fontId="0" fillId="33" borderId="13" xfId="0" applyFont="1" applyFill="1"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0" fillId="0" borderId="0" xfId="0" applyFont="1" applyBorder="1" applyAlignment="1">
      <alignment horizontal="left" vertical="top" wrapText="1"/>
    </xf>
    <xf numFmtId="0" fontId="0" fillId="0" borderId="27" xfId="0" applyFont="1" applyBorder="1" applyAlignment="1">
      <alignment horizontal="left" vertical="top" wrapText="1"/>
    </xf>
    <xf numFmtId="0" fontId="36" fillId="33" borderId="26" xfId="0" applyFont="1" applyFill="1" applyBorder="1" applyAlignment="1">
      <alignment horizontal="left" vertical="top" wrapText="1"/>
    </xf>
    <xf numFmtId="0" fontId="37" fillId="0" borderId="0" xfId="0" applyFont="1" applyBorder="1" applyAlignment="1">
      <alignment horizontal="left" vertical="top" wrapText="1"/>
    </xf>
    <xf numFmtId="0" fontId="37" fillId="0" borderId="27" xfId="0" applyFont="1" applyBorder="1" applyAlignment="1">
      <alignment horizontal="left" vertical="top" wrapText="1"/>
    </xf>
    <xf numFmtId="0" fontId="28" fillId="33" borderId="11" xfId="0" applyFont="1" applyFill="1" applyBorder="1" applyAlignment="1" applyProtection="1">
      <alignment horizontal="left" wrapText="1"/>
      <protection locked="0"/>
    </xf>
    <xf numFmtId="0" fontId="28" fillId="33" borderId="33" xfId="0" applyFont="1" applyFill="1" applyBorder="1" applyAlignment="1" applyProtection="1">
      <alignment horizontal="left" wrapText="1"/>
      <protection locked="0"/>
    </xf>
    <xf numFmtId="0" fontId="28" fillId="33" borderId="12" xfId="0" applyFont="1" applyFill="1" applyBorder="1" applyAlignment="1" applyProtection="1">
      <alignment horizontal="left" wrapText="1"/>
      <protection locked="0"/>
    </xf>
    <xf numFmtId="0" fontId="28" fillId="33" borderId="22" xfId="0" applyFont="1" applyFill="1" applyBorder="1" applyAlignment="1" applyProtection="1">
      <alignment horizontal="left" vertical="top" wrapText="1"/>
      <protection locked="0"/>
    </xf>
    <xf numFmtId="0" fontId="28" fillId="33" borderId="21" xfId="0" applyFont="1" applyFill="1" applyBorder="1" applyAlignment="1" applyProtection="1">
      <alignment horizontal="left" vertical="top" wrapText="1"/>
      <protection locked="0"/>
    </xf>
    <xf numFmtId="0" fontId="28" fillId="33" borderId="25" xfId="0" applyFont="1" applyFill="1" applyBorder="1" applyAlignment="1" applyProtection="1">
      <alignment horizontal="left" vertical="top" wrapText="1"/>
      <protection locked="0"/>
    </xf>
    <xf numFmtId="0" fontId="28" fillId="33" borderId="26" xfId="0" applyFont="1" applyFill="1" applyBorder="1" applyAlignment="1" applyProtection="1">
      <alignment horizontal="left" vertical="top" wrapText="1"/>
      <protection locked="0"/>
    </xf>
    <xf numFmtId="0" fontId="28" fillId="33" borderId="0" xfId="0" applyFont="1" applyFill="1" applyBorder="1" applyAlignment="1" applyProtection="1">
      <alignment horizontal="left" vertical="top" wrapText="1"/>
      <protection locked="0"/>
    </xf>
    <xf numFmtId="0" fontId="28" fillId="33" borderId="27" xfId="0" applyFont="1" applyFill="1" applyBorder="1" applyAlignment="1" applyProtection="1">
      <alignment horizontal="left" vertical="top" wrapText="1"/>
      <protection locked="0"/>
    </xf>
    <xf numFmtId="0" fontId="28" fillId="33" borderId="28" xfId="0" applyFont="1" applyFill="1" applyBorder="1" applyAlignment="1" applyProtection="1">
      <alignment horizontal="left" vertical="top" wrapText="1"/>
      <protection locked="0"/>
    </xf>
    <xf numFmtId="0" fontId="28" fillId="33" borderId="29" xfId="0" applyFont="1" applyFill="1" applyBorder="1" applyAlignment="1" applyProtection="1">
      <alignment horizontal="left" vertical="top" wrapText="1"/>
      <protection locked="0"/>
    </xf>
    <xf numFmtId="0" fontId="28" fillId="33" borderId="13" xfId="0" applyFont="1" applyFill="1" applyBorder="1" applyAlignment="1" applyProtection="1">
      <alignment horizontal="left" vertical="top" wrapText="1"/>
      <protection locked="0"/>
    </xf>
    <xf numFmtId="0" fontId="0" fillId="34" borderId="22" xfId="0" applyFont="1" applyFill="1" applyBorder="1" applyAlignment="1" applyProtection="1">
      <alignment horizontal="left" wrapText="1"/>
      <protection locked="0"/>
    </xf>
    <xf numFmtId="0" fontId="0" fillId="34" borderId="26" xfId="0" applyFont="1" applyFill="1" applyBorder="1" applyAlignment="1" applyProtection="1">
      <alignment horizontal="left" wrapText="1"/>
      <protection locked="0"/>
    </xf>
    <xf numFmtId="0" fontId="0" fillId="0" borderId="28" xfId="0" applyBorder="1" applyAlignment="1" applyProtection="1">
      <alignment horizontal="left" wrapText="1"/>
      <protection locked="0"/>
    </xf>
    <xf numFmtId="164" fontId="0" fillId="36" borderId="27" xfId="0" applyNumberFormat="1" applyFont="1" applyFill="1" applyBorder="1" applyAlignment="1" applyProtection="1">
      <alignment horizontal="right"/>
      <protection locked="0"/>
    </xf>
    <xf numFmtId="164" fontId="0" fillId="36" borderId="13" xfId="0" applyNumberFormat="1" applyFont="1" applyFill="1" applyBorder="1" applyAlignment="1" applyProtection="1">
      <alignment horizontal="right"/>
      <protection locked="0"/>
    </xf>
    <xf numFmtId="0" fontId="28" fillId="33" borderId="11" xfId="0" applyFont="1" applyFill="1" applyBorder="1" applyAlignment="1" applyProtection="1">
      <alignment horizontal="left" vertical="top" wrapText="1"/>
      <protection locked="0"/>
    </xf>
    <xf numFmtId="0" fontId="28" fillId="33" borderId="33" xfId="0" applyFont="1" applyFill="1" applyBorder="1" applyAlignment="1" applyProtection="1">
      <alignment horizontal="left" vertical="top" wrapText="1"/>
      <protection locked="0"/>
    </xf>
    <xf numFmtId="0" fontId="28" fillId="33" borderId="12" xfId="0" applyFont="1" applyFill="1" applyBorder="1" applyAlignment="1" applyProtection="1">
      <alignment horizontal="left" vertical="top" wrapText="1"/>
      <protection locked="0"/>
    </xf>
    <xf numFmtId="0" fontId="28" fillId="33" borderId="22" xfId="0" applyFont="1" applyFill="1" applyBorder="1" applyAlignment="1" applyProtection="1">
      <alignment horizontal="left" vertical="top" wrapText="1"/>
      <protection locked="0"/>
    </xf>
    <xf numFmtId="0" fontId="28" fillId="33" borderId="21" xfId="0" applyFont="1" applyFill="1" applyBorder="1" applyAlignment="1" applyProtection="1">
      <alignment horizontal="left" vertical="top" wrapText="1"/>
      <protection locked="0"/>
    </xf>
    <xf numFmtId="0" fontId="28" fillId="33" borderId="25" xfId="0" applyFont="1" applyFill="1" applyBorder="1" applyAlignment="1" applyProtection="1">
      <alignment horizontal="left" vertical="top" wrapText="1"/>
      <protection locked="0"/>
    </xf>
    <xf numFmtId="0" fontId="28" fillId="33" borderId="26" xfId="0" applyFont="1" applyFill="1" applyBorder="1" applyAlignment="1" applyProtection="1">
      <alignment horizontal="left" vertical="top" wrapText="1"/>
      <protection locked="0"/>
    </xf>
    <xf numFmtId="0" fontId="28" fillId="33" borderId="0" xfId="0" applyFont="1" applyFill="1" applyBorder="1" applyAlignment="1" applyProtection="1">
      <alignment horizontal="left" vertical="top" wrapText="1"/>
      <protection locked="0"/>
    </xf>
    <xf numFmtId="0" fontId="28" fillId="33" borderId="27" xfId="0" applyFont="1" applyFill="1" applyBorder="1" applyAlignment="1" applyProtection="1">
      <alignment horizontal="left" vertical="top" wrapText="1"/>
      <protection locked="0"/>
    </xf>
    <xf numFmtId="0" fontId="28" fillId="33" borderId="28" xfId="0" applyFont="1" applyFill="1" applyBorder="1" applyAlignment="1" applyProtection="1">
      <alignment horizontal="left" vertical="top" wrapText="1"/>
      <protection locked="0"/>
    </xf>
    <xf numFmtId="0" fontId="28" fillId="33" borderId="29" xfId="0" applyFont="1" applyFill="1" applyBorder="1" applyAlignment="1" applyProtection="1">
      <alignment horizontal="left" vertical="top" wrapText="1"/>
      <protection locked="0"/>
    </xf>
    <xf numFmtId="0" fontId="28" fillId="33" borderId="13" xfId="0" applyFont="1" applyFill="1" applyBorder="1" applyAlignment="1" applyProtection="1">
      <alignment horizontal="left" vertical="top" wrapText="1"/>
      <protection locked="0"/>
    </xf>
    <xf numFmtId="0" fontId="28" fillId="33" borderId="11" xfId="53" applyFont="1" applyFill="1" applyBorder="1" applyAlignment="1" applyProtection="1">
      <alignment horizontal="left" wrapText="1"/>
      <protection locked="0"/>
    </xf>
    <xf numFmtId="0" fontId="28" fillId="33" borderId="33" xfId="53" applyFont="1" applyFill="1" applyBorder="1" applyAlignment="1" applyProtection="1">
      <alignment horizontal="left" wrapText="1"/>
      <protection locked="0"/>
    </xf>
    <xf numFmtId="0" fontId="28" fillId="33" borderId="12" xfId="53" applyFont="1" applyFill="1" applyBorder="1" applyAlignment="1" applyProtection="1">
      <alignment horizontal="left" wrapText="1"/>
      <protection locked="0"/>
    </xf>
    <xf numFmtId="0" fontId="28" fillId="33" borderId="11" xfId="53" applyFont="1" applyFill="1" applyBorder="1" applyAlignment="1" applyProtection="1">
      <alignment horizontal="left"/>
      <protection locked="0"/>
    </xf>
    <xf numFmtId="0" fontId="28" fillId="33" borderId="33" xfId="53" applyFont="1" applyFill="1" applyBorder="1" applyAlignment="1" applyProtection="1">
      <alignment horizontal="left"/>
      <protection locked="0"/>
    </xf>
    <xf numFmtId="0" fontId="28" fillId="33" borderId="12" xfId="53" applyFont="1" applyFill="1" applyBorder="1" applyAlignment="1" applyProtection="1">
      <alignment horizontal="left"/>
      <protection locked="0"/>
    </xf>
    <xf numFmtId="0" fontId="28" fillId="33" borderId="11" xfId="53" applyFont="1" applyFill="1" applyBorder="1" applyAlignment="1" applyProtection="1">
      <alignment wrapText="1"/>
      <protection locked="0"/>
    </xf>
    <xf numFmtId="0" fontId="28" fillId="0" borderId="33" xfId="53" applyFont="1" applyBorder="1" applyAlignment="1" applyProtection="1">
      <alignment wrapText="1"/>
      <protection locked="0"/>
    </xf>
    <xf numFmtId="0" fontId="28" fillId="0" borderId="12" xfId="53" applyFont="1" applyBorder="1" applyAlignment="1" applyProtection="1">
      <alignment wrapText="1"/>
      <protection locked="0"/>
    </xf>
    <xf numFmtId="0" fontId="28" fillId="33" borderId="22" xfId="53" applyFont="1" applyFill="1" applyBorder="1" applyAlignment="1" applyProtection="1">
      <alignment horizontal="left" vertical="top" wrapText="1"/>
      <protection locked="0"/>
    </xf>
    <xf numFmtId="0" fontId="28" fillId="33" borderId="21" xfId="53" applyFont="1" applyFill="1" applyBorder="1" applyAlignment="1" applyProtection="1">
      <alignment horizontal="left" vertical="top" wrapText="1"/>
      <protection locked="0"/>
    </xf>
    <xf numFmtId="0" fontId="28" fillId="33" borderId="25" xfId="53" applyFont="1" applyFill="1" applyBorder="1" applyAlignment="1" applyProtection="1">
      <alignment horizontal="left" vertical="top" wrapText="1"/>
      <protection locked="0"/>
    </xf>
    <xf numFmtId="0" fontId="28" fillId="33" borderId="28" xfId="53" applyFont="1" applyFill="1" applyBorder="1" applyAlignment="1" applyProtection="1">
      <alignment horizontal="left" vertical="top" wrapText="1"/>
      <protection locked="0"/>
    </xf>
    <xf numFmtId="0" fontId="28" fillId="33" borderId="29" xfId="53" applyFont="1" applyFill="1" applyBorder="1" applyAlignment="1" applyProtection="1">
      <alignment horizontal="left" vertical="top" wrapText="1"/>
      <protection locked="0"/>
    </xf>
    <xf numFmtId="0" fontId="28" fillId="33" borderId="13" xfId="53" applyFont="1" applyFill="1" applyBorder="1" applyAlignment="1" applyProtection="1">
      <alignment horizontal="left" vertical="top" wrapText="1"/>
      <protection locked="0"/>
    </xf>
    <xf numFmtId="0" fontId="28" fillId="0" borderId="26" xfId="0" applyFont="1" applyFill="1" applyBorder="1" applyAlignment="1" applyProtection="1">
      <alignment horizontal="left"/>
      <protection locked="0"/>
    </xf>
    <xf numFmtId="0" fontId="28" fillId="0" borderId="0" xfId="0" applyFont="1" applyFill="1" applyBorder="1" applyAlignment="1" applyProtection="1">
      <alignment horizontal="left"/>
      <protection locked="0"/>
    </xf>
    <xf numFmtId="0" fontId="28" fillId="0" borderId="27" xfId="0" applyFont="1" applyFill="1" applyBorder="1" applyAlignment="1" applyProtection="1">
      <alignment horizontal="left"/>
      <protection locked="0"/>
    </xf>
    <xf numFmtId="0" fontId="28" fillId="0" borderId="26" xfId="0" applyFont="1" applyFill="1" applyBorder="1" applyAlignment="1" applyProtection="1">
      <alignment horizontal="center"/>
      <protection locked="0"/>
    </xf>
    <xf numFmtId="0" fontId="28" fillId="0" borderId="0" xfId="0" applyFont="1" applyFill="1" applyBorder="1" applyAlignment="1" applyProtection="1">
      <alignment horizontal="center"/>
      <protection locked="0"/>
    </xf>
    <xf numFmtId="0" fontId="28" fillId="0" borderId="27" xfId="0" applyFont="1" applyFill="1" applyBorder="1" applyAlignment="1" applyProtection="1">
      <alignment horizontal="center"/>
      <protection locked="0"/>
    </xf>
    <xf numFmtId="0" fontId="28" fillId="33" borderId="33" xfId="53" applyFont="1" applyFill="1" applyBorder="1" applyAlignment="1" applyProtection="1">
      <alignment wrapText="1"/>
      <protection locked="0"/>
    </xf>
    <xf numFmtId="0" fontId="28" fillId="33" borderId="12" xfId="53" applyFont="1" applyFill="1" applyBorder="1" applyAlignment="1" applyProtection="1">
      <alignment wrapText="1"/>
      <protection locked="0"/>
    </xf>
    <xf numFmtId="0" fontId="28" fillId="33" borderId="11" xfId="0" applyFont="1" applyFill="1" applyBorder="1" applyAlignment="1" applyProtection="1">
      <alignment horizontal="left"/>
      <protection locked="0"/>
    </xf>
    <xf numFmtId="0" fontId="28" fillId="33" borderId="33" xfId="0" applyFont="1" applyFill="1" applyBorder="1" applyAlignment="1" applyProtection="1">
      <alignment horizontal="left"/>
      <protection locked="0"/>
    </xf>
    <xf numFmtId="0" fontId="28" fillId="33" borderId="12" xfId="0" applyFont="1" applyFill="1" applyBorder="1" applyAlignment="1" applyProtection="1">
      <alignment horizontal="left"/>
      <protection locked="0"/>
    </xf>
    <xf numFmtId="0" fontId="28" fillId="33" borderId="11" xfId="0" applyFont="1" applyFill="1" applyBorder="1" applyAlignment="1" applyProtection="1">
      <alignment horizontal="left" vertical="top" wrapText="1"/>
      <protection locked="0"/>
    </xf>
    <xf numFmtId="0" fontId="28" fillId="33" borderId="33" xfId="0" applyFont="1" applyFill="1" applyBorder="1" applyAlignment="1" applyProtection="1">
      <alignment horizontal="left" vertical="top" wrapText="1"/>
      <protection locked="0"/>
    </xf>
    <xf numFmtId="0" fontId="28" fillId="33" borderId="12" xfId="0" applyFont="1" applyFill="1" applyBorder="1" applyAlignment="1" applyProtection="1">
      <alignment horizontal="left" vertical="top" wrapText="1"/>
      <protection locked="0"/>
    </xf>
    <xf numFmtId="0" fontId="8" fillId="35" borderId="11" xfId="0" applyFont="1" applyFill="1" applyBorder="1" applyAlignment="1" applyProtection="1">
      <alignment horizontal="left"/>
      <protection locked="0"/>
    </xf>
    <xf numFmtId="0" fontId="8" fillId="35" borderId="33" xfId="0" applyFont="1" applyFill="1" applyBorder="1" applyAlignment="1" applyProtection="1">
      <alignment horizontal="left"/>
      <protection locked="0"/>
    </xf>
    <xf numFmtId="0" fontId="8" fillId="35" borderId="12" xfId="0" applyFont="1" applyFill="1" applyBorder="1" applyAlignment="1" applyProtection="1">
      <alignment horizontal="left"/>
      <protection locked="0"/>
    </xf>
    <xf numFmtId="0" fontId="28" fillId="33" borderId="11" xfId="0" applyFont="1" applyFill="1" applyBorder="1" applyAlignment="1" applyProtection="1">
      <alignment horizontal="left" vertical="top"/>
      <protection locked="0"/>
    </xf>
    <xf numFmtId="0" fontId="28" fillId="33" borderId="33" xfId="0" applyFont="1" applyFill="1" applyBorder="1" applyAlignment="1" applyProtection="1">
      <alignment horizontal="left" vertical="top"/>
      <protection locked="0"/>
    </xf>
    <xf numFmtId="0" fontId="28" fillId="33" borderId="12" xfId="0" applyFont="1" applyFill="1" applyBorder="1" applyAlignment="1" applyProtection="1">
      <alignment horizontal="left" vertical="top"/>
      <protection locked="0"/>
    </xf>
    <xf numFmtId="0" fontId="29" fillId="33" borderId="22" xfId="53" applyFont="1" applyFill="1" applyBorder="1" applyAlignment="1" applyProtection="1">
      <alignment horizontal="left" vertical="top" wrapText="1"/>
      <protection locked="0"/>
    </xf>
    <xf numFmtId="0" fontId="28" fillId="33" borderId="26" xfId="53" applyFont="1" applyFill="1" applyBorder="1" applyAlignment="1" applyProtection="1">
      <alignment horizontal="left" vertical="top" wrapText="1"/>
      <protection locked="0"/>
    </xf>
    <xf numFmtId="0" fontId="28" fillId="33" borderId="0" xfId="53" applyFont="1" applyFill="1" applyBorder="1" applyAlignment="1" applyProtection="1">
      <alignment horizontal="left" vertical="top" wrapText="1"/>
      <protection locked="0"/>
    </xf>
    <xf numFmtId="0" fontId="28" fillId="33" borderId="27" xfId="53" applyFont="1" applyFill="1" applyBorder="1" applyAlignment="1" applyProtection="1">
      <alignment horizontal="left" vertical="top" wrapText="1"/>
      <protection locked="0"/>
    </xf>
    <xf numFmtId="0" fontId="28" fillId="33" borderId="22" xfId="53" applyNumberFormat="1" applyFont="1" applyFill="1" applyBorder="1" applyAlignment="1" applyProtection="1">
      <alignment horizontal="left" vertical="top" wrapText="1"/>
      <protection locked="0"/>
    </xf>
    <xf numFmtId="0" fontId="28" fillId="33" borderId="21" xfId="53" applyNumberFormat="1" applyFont="1" applyFill="1" applyBorder="1" applyAlignment="1" applyProtection="1">
      <alignment horizontal="left" vertical="top" wrapText="1"/>
      <protection locked="0"/>
    </xf>
    <xf numFmtId="0" fontId="28" fillId="33" borderId="25" xfId="53" applyNumberFormat="1" applyFont="1" applyFill="1" applyBorder="1" applyAlignment="1" applyProtection="1">
      <alignment horizontal="left" vertical="top" wrapText="1"/>
      <protection locked="0"/>
    </xf>
    <xf numFmtId="0" fontId="28" fillId="33" borderId="28" xfId="53" applyNumberFormat="1" applyFont="1" applyFill="1" applyBorder="1" applyAlignment="1" applyProtection="1">
      <alignment horizontal="left" vertical="top" wrapText="1"/>
      <protection locked="0"/>
    </xf>
    <xf numFmtId="0" fontId="28" fillId="33" borderId="29" xfId="53" applyNumberFormat="1" applyFont="1" applyFill="1" applyBorder="1" applyAlignment="1" applyProtection="1">
      <alignment horizontal="left" vertical="top" wrapText="1"/>
      <protection locked="0"/>
    </xf>
    <xf numFmtId="0" fontId="28" fillId="33" borderId="13" xfId="53" applyNumberFormat="1" applyFont="1" applyFill="1" applyBorder="1" applyAlignment="1" applyProtection="1">
      <alignment horizontal="left" vertical="top" wrapText="1"/>
      <protection locked="0"/>
    </xf>
    <xf numFmtId="0" fontId="27" fillId="33" borderId="26" xfId="0" applyFont="1" applyFill="1" applyBorder="1" applyAlignment="1" applyProtection="1">
      <alignment/>
      <protection locked="0"/>
    </xf>
    <xf numFmtId="0" fontId="0" fillId="0" borderId="0" xfId="0" applyBorder="1" applyAlignment="1" applyProtection="1">
      <alignment/>
      <protection locked="0"/>
    </xf>
    <xf numFmtId="0" fontId="0" fillId="0" borderId="27" xfId="0" applyBorder="1" applyAlignment="1" applyProtection="1">
      <alignment/>
      <protection locked="0"/>
    </xf>
    <xf numFmtId="0" fontId="6" fillId="0" borderId="0" xfId="0" applyFont="1" applyAlignment="1" applyProtection="1">
      <alignment horizontal="left"/>
      <protection/>
    </xf>
    <xf numFmtId="0" fontId="8" fillId="35" borderId="22" xfId="0" applyFont="1" applyFill="1" applyBorder="1" applyAlignment="1" applyProtection="1">
      <alignment horizontal="center" wrapText="1"/>
      <protection/>
    </xf>
    <xf numFmtId="0" fontId="8" fillId="35" borderId="21" xfId="0" applyFont="1" applyFill="1" applyBorder="1" applyAlignment="1" applyProtection="1">
      <alignment horizontal="center" wrapText="1"/>
      <protection/>
    </xf>
    <xf numFmtId="0" fontId="1" fillId="34" borderId="10" xfId="0" applyFont="1" applyFill="1" applyBorder="1" applyAlignment="1" applyProtection="1">
      <alignment horizontal="left"/>
      <protection/>
    </xf>
    <xf numFmtId="0" fontId="1" fillId="34" borderId="10" xfId="0" applyFont="1" applyFill="1" applyBorder="1" applyAlignment="1" applyProtection="1">
      <alignment horizontal="left" wrapText="1"/>
      <protection/>
    </xf>
    <xf numFmtId="0" fontId="1" fillId="34" borderId="11" xfId="0" applyFont="1" applyFill="1" applyBorder="1" applyAlignment="1" applyProtection="1">
      <alignment horizontal="left" wrapText="1"/>
      <protection/>
    </xf>
    <xf numFmtId="0" fontId="1" fillId="34" borderId="12" xfId="0" applyFont="1" applyFill="1" applyBorder="1" applyAlignment="1" applyProtection="1">
      <alignment horizontal="left" wrapText="1"/>
      <protection/>
    </xf>
    <xf numFmtId="0" fontId="1" fillId="34" borderId="24" xfId="0" applyFont="1" applyFill="1" applyBorder="1" applyAlignment="1" applyProtection="1">
      <alignment horizontal="left"/>
      <protection/>
    </xf>
    <xf numFmtId="0" fontId="0" fillId="34" borderId="10" xfId="0" applyFill="1" applyBorder="1" applyAlignment="1" applyProtection="1">
      <alignment horizontal="left"/>
      <protection/>
    </xf>
    <xf numFmtId="0" fontId="0" fillId="34" borderId="10" xfId="0" applyFont="1" applyFill="1" applyBorder="1" applyAlignment="1" applyProtection="1">
      <alignment horizontal="left"/>
      <protection/>
    </xf>
    <xf numFmtId="0" fontId="1" fillId="34" borderId="32" xfId="0" applyFont="1" applyFill="1" applyBorder="1" applyAlignment="1" applyProtection="1">
      <alignment horizontal="left"/>
      <protection/>
    </xf>
    <xf numFmtId="0" fontId="1" fillId="34" borderId="23" xfId="0" applyFont="1" applyFill="1" applyBorder="1" applyAlignment="1" applyProtection="1">
      <alignment horizontal="left"/>
      <protection/>
    </xf>
    <xf numFmtId="0" fontId="8" fillId="35" borderId="33" xfId="0" applyFont="1" applyFill="1" applyBorder="1" applyAlignment="1" applyProtection="1">
      <alignment horizontal="center"/>
      <protection/>
    </xf>
    <xf numFmtId="0" fontId="1" fillId="33" borderId="22" xfId="53" applyFont="1" applyFill="1" applyBorder="1" applyAlignment="1" applyProtection="1">
      <alignment horizontal="left" wrapText="1"/>
      <protection/>
    </xf>
    <xf numFmtId="0" fontId="1" fillId="33" borderId="21" xfId="53" applyFont="1" applyFill="1" applyBorder="1" applyAlignment="1" applyProtection="1">
      <alignment horizontal="left" wrapText="1"/>
      <protection/>
    </xf>
    <xf numFmtId="0" fontId="1" fillId="33" borderId="25" xfId="53" applyFont="1" applyFill="1" applyBorder="1" applyAlignment="1" applyProtection="1">
      <alignment horizontal="left" wrapText="1"/>
      <protection/>
    </xf>
    <xf numFmtId="0" fontId="1" fillId="33" borderId="26" xfId="53" applyFont="1" applyFill="1" applyBorder="1" applyAlignment="1" applyProtection="1">
      <alignment horizontal="left" wrapText="1"/>
      <protection/>
    </xf>
    <xf numFmtId="0" fontId="1" fillId="33" borderId="0" xfId="53" applyFont="1" applyFill="1" applyBorder="1" applyAlignment="1" applyProtection="1">
      <alignment horizontal="left" wrapText="1"/>
      <protection/>
    </xf>
    <xf numFmtId="0" fontId="1" fillId="33" borderId="27" xfId="53" applyFont="1" applyFill="1" applyBorder="1" applyAlignment="1" applyProtection="1">
      <alignment horizontal="left" wrapText="1"/>
      <protection/>
    </xf>
    <xf numFmtId="0" fontId="1" fillId="33" borderId="28" xfId="53" applyFont="1" applyFill="1" applyBorder="1" applyAlignment="1" applyProtection="1">
      <alignment horizontal="left" wrapText="1"/>
      <protection/>
    </xf>
    <xf numFmtId="0" fontId="1" fillId="33" borderId="29" xfId="53" applyFont="1" applyFill="1" applyBorder="1" applyAlignment="1" applyProtection="1">
      <alignment horizontal="left" wrapText="1"/>
      <protection/>
    </xf>
    <xf numFmtId="0" fontId="1" fillId="33" borderId="13" xfId="53" applyFont="1" applyFill="1" applyBorder="1" applyAlignment="1" applyProtection="1">
      <alignment horizontal="left" wrapText="1"/>
      <protection/>
    </xf>
    <xf numFmtId="0" fontId="31" fillId="33" borderId="22" xfId="0" applyFont="1" applyFill="1" applyBorder="1" applyAlignment="1" applyProtection="1">
      <alignment horizontal="left" vertical="top" wrapText="1"/>
      <protection/>
    </xf>
    <xf numFmtId="0" fontId="31" fillId="33" borderId="21" xfId="0" applyFont="1" applyFill="1" applyBorder="1" applyAlignment="1" applyProtection="1">
      <alignment horizontal="left" vertical="top" wrapText="1"/>
      <protection/>
    </xf>
    <xf numFmtId="0" fontId="31" fillId="33" borderId="25" xfId="0" applyFont="1" applyFill="1" applyBorder="1" applyAlignment="1" applyProtection="1">
      <alignment horizontal="left" vertical="top" wrapText="1"/>
      <protection/>
    </xf>
    <xf numFmtId="0" fontId="31" fillId="33" borderId="26" xfId="0" applyFont="1" applyFill="1" applyBorder="1" applyAlignment="1" applyProtection="1">
      <alignment horizontal="left" vertical="top" wrapText="1"/>
      <protection/>
    </xf>
    <xf numFmtId="0" fontId="31" fillId="33" borderId="0" xfId="0" applyFont="1" applyFill="1" applyBorder="1" applyAlignment="1" applyProtection="1">
      <alignment horizontal="left" vertical="top" wrapText="1"/>
      <protection/>
    </xf>
    <xf numFmtId="0" fontId="31" fillId="33" borderId="27" xfId="0" applyFont="1" applyFill="1" applyBorder="1" applyAlignment="1" applyProtection="1">
      <alignment horizontal="left" vertical="top" wrapText="1"/>
      <protection/>
    </xf>
    <xf numFmtId="0" fontId="31" fillId="33" borderId="28" xfId="0" applyFont="1" applyFill="1" applyBorder="1" applyAlignment="1" applyProtection="1">
      <alignment horizontal="left" vertical="top" wrapText="1"/>
      <protection/>
    </xf>
    <xf numFmtId="0" fontId="31" fillId="33" borderId="29" xfId="0" applyFont="1" applyFill="1" applyBorder="1" applyAlignment="1" applyProtection="1">
      <alignment horizontal="left" vertical="top" wrapText="1"/>
      <protection/>
    </xf>
    <xf numFmtId="0" fontId="31" fillId="33" borderId="13" xfId="0" applyFont="1" applyFill="1" applyBorder="1" applyAlignment="1" applyProtection="1">
      <alignment horizontal="left" vertical="top" wrapText="1"/>
      <protection/>
    </xf>
    <xf numFmtId="0" fontId="27" fillId="33" borderId="22" xfId="53" applyFont="1" applyFill="1" applyBorder="1" applyAlignment="1" applyProtection="1">
      <alignment horizontal="left" vertical="top" wrapText="1"/>
      <protection/>
    </xf>
    <xf numFmtId="0" fontId="27" fillId="33" borderId="21" xfId="53" applyFont="1" applyFill="1" applyBorder="1" applyAlignment="1" applyProtection="1">
      <alignment horizontal="left" vertical="top" wrapText="1"/>
      <protection/>
    </xf>
    <xf numFmtId="0" fontId="27" fillId="33" borderId="25" xfId="53" applyFont="1" applyFill="1" applyBorder="1" applyAlignment="1" applyProtection="1">
      <alignment horizontal="left" vertical="top" wrapText="1"/>
      <protection/>
    </xf>
    <xf numFmtId="0" fontId="27" fillId="33" borderId="26" xfId="53" applyFont="1" applyFill="1" applyBorder="1" applyAlignment="1" applyProtection="1">
      <alignment horizontal="left" vertical="top" wrapText="1"/>
      <protection/>
    </xf>
    <xf numFmtId="0" fontId="27" fillId="33" borderId="0" xfId="53" applyFont="1" applyFill="1" applyBorder="1" applyAlignment="1" applyProtection="1">
      <alignment horizontal="left" vertical="top" wrapText="1"/>
      <protection/>
    </xf>
    <xf numFmtId="0" fontId="27" fillId="33" borderId="27" xfId="53" applyFont="1" applyFill="1" applyBorder="1" applyAlignment="1" applyProtection="1">
      <alignment horizontal="left" vertical="top" wrapText="1"/>
      <protection/>
    </xf>
    <xf numFmtId="0" fontId="0" fillId="0" borderId="28" xfId="0" applyBorder="1" applyAlignment="1">
      <alignment vertical="top" wrapText="1"/>
    </xf>
    <xf numFmtId="0" fontId="0" fillId="0" borderId="29" xfId="0" applyBorder="1" applyAlignment="1">
      <alignment vertical="top" wrapText="1"/>
    </xf>
    <xf numFmtId="0" fontId="0" fillId="0" borderId="13" xfId="0" applyBorder="1" applyAlignment="1">
      <alignment vertical="top" wrapText="1"/>
    </xf>
    <xf numFmtId="0" fontId="8" fillId="35" borderId="22" xfId="0" applyFont="1" applyFill="1" applyBorder="1" applyAlignment="1" applyProtection="1">
      <alignment horizontal="center"/>
      <protection/>
    </xf>
    <xf numFmtId="0" fontId="8" fillId="35" borderId="21" xfId="0" applyFont="1" applyFill="1" applyBorder="1" applyAlignment="1" applyProtection="1">
      <alignment horizontal="center"/>
      <protection/>
    </xf>
    <xf numFmtId="0" fontId="0" fillId="34" borderId="23" xfId="0" applyFill="1" applyBorder="1" applyAlignment="1" applyProtection="1">
      <alignment horizontal="left" vertical="top" wrapText="1"/>
      <protection/>
    </xf>
    <xf numFmtId="0" fontId="0" fillId="0" borderId="24" xfId="0" applyBorder="1" applyAlignment="1" applyProtection="1">
      <alignment horizontal="left" vertical="top" wrapText="1"/>
      <protection/>
    </xf>
    <xf numFmtId="0" fontId="0" fillId="0" borderId="32" xfId="0" applyBorder="1" applyAlignment="1" applyProtection="1">
      <alignment horizontal="left" vertical="top" wrapText="1"/>
      <protection/>
    </xf>
    <xf numFmtId="0" fontId="0" fillId="34" borderId="23" xfId="0" applyFill="1" applyBorder="1" applyAlignment="1" applyProtection="1">
      <alignment horizontal="left" wrapText="1"/>
      <protection/>
    </xf>
    <xf numFmtId="0" fontId="0" fillId="34" borderId="32" xfId="0" applyFill="1" applyBorder="1" applyAlignment="1" applyProtection="1">
      <alignment horizontal="left" wrapText="1"/>
      <protection/>
    </xf>
    <xf numFmtId="16" fontId="8" fillId="35" borderId="33" xfId="0" applyNumberFormat="1" applyFont="1" applyFill="1" applyBorder="1" applyAlignment="1" applyProtection="1">
      <alignment horizontal="left" wrapText="1"/>
      <protection/>
    </xf>
    <xf numFmtId="0" fontId="0" fillId="0" borderId="12" xfId="0" applyBorder="1" applyAlignment="1" applyProtection="1">
      <alignment/>
      <protection/>
    </xf>
    <xf numFmtId="0" fontId="0" fillId="34" borderId="24" xfId="0" applyFill="1" applyBorder="1" applyAlignment="1" applyProtection="1">
      <alignment horizontal="left" wrapText="1"/>
      <protection/>
    </xf>
    <xf numFmtId="0" fontId="0" fillId="0" borderId="24" xfId="0" applyBorder="1" applyAlignment="1" applyProtection="1">
      <alignment horizontal="left" wrapText="1"/>
      <protection/>
    </xf>
    <xf numFmtId="0" fontId="0" fillId="0" borderId="32" xfId="0" applyBorder="1" applyAlignment="1" applyProtection="1">
      <alignment horizontal="left" wrapText="1"/>
      <protection/>
    </xf>
    <xf numFmtId="0" fontId="0" fillId="0" borderId="24" xfId="0" applyBorder="1" applyAlignment="1" applyProtection="1">
      <alignment/>
      <protection/>
    </xf>
    <xf numFmtId="0" fontId="7" fillId="0" borderId="0" xfId="0" applyFont="1" applyAlignment="1" applyProtection="1">
      <alignment wrapText="1"/>
      <protection/>
    </xf>
    <xf numFmtId="0" fontId="0" fillId="0" borderId="0" xfId="0" applyAlignment="1" applyProtection="1">
      <alignment wrapText="1"/>
      <protection/>
    </xf>
    <xf numFmtId="164" fontId="0" fillId="34" borderId="10" xfId="0" applyNumberFormat="1" applyFill="1" applyBorder="1" applyAlignment="1" applyProtection="1">
      <alignment horizontal="center" wrapText="1"/>
      <protection/>
    </xf>
    <xf numFmtId="0" fontId="0" fillId="34" borderId="10" xfId="0" applyFill="1" applyBorder="1" applyAlignment="1" applyProtection="1">
      <alignment wrapText="1"/>
      <protection/>
    </xf>
    <xf numFmtId="0" fontId="0" fillId="0" borderId="10" xfId="0" applyBorder="1" applyAlignment="1" applyProtection="1">
      <alignment wrapText="1"/>
      <protection/>
    </xf>
    <xf numFmtId="0" fontId="12" fillId="35" borderId="22" xfId="0" applyFont="1" applyFill="1" applyBorder="1" applyAlignment="1" applyProtection="1">
      <alignment horizontal="left"/>
      <protection/>
    </xf>
    <xf numFmtId="0" fontId="11" fillId="35" borderId="21" xfId="0" applyFont="1" applyFill="1" applyBorder="1" applyAlignment="1" applyProtection="1">
      <alignment horizontal="left"/>
      <protection/>
    </xf>
    <xf numFmtId="0" fontId="11" fillId="35" borderId="29" xfId="0" applyFont="1" applyFill="1" applyBorder="1" applyAlignment="1" applyProtection="1">
      <alignment horizontal="left" wrapText="1"/>
      <protection/>
    </xf>
    <xf numFmtId="0" fontId="11" fillId="35" borderId="13" xfId="0" applyFont="1" applyFill="1" applyBorder="1" applyAlignment="1" applyProtection="1">
      <alignment wrapText="1"/>
      <protection/>
    </xf>
    <xf numFmtId="0" fontId="33" fillId="0" borderId="0" xfId="0" applyFont="1" applyAlignment="1" applyProtection="1">
      <alignment wrapText="1"/>
      <protection/>
    </xf>
    <xf numFmtId="0" fontId="34" fillId="0" borderId="0" xfId="0" applyFont="1" applyAlignment="1" applyProtection="1">
      <alignment wrapText="1"/>
      <protection/>
    </xf>
    <xf numFmtId="0" fontId="15" fillId="0" borderId="0" xfId="0" applyFont="1" applyAlignment="1" applyProtection="1">
      <alignment wrapText="1"/>
      <protection/>
    </xf>
    <xf numFmtId="164" fontId="0" fillId="34" borderId="11" xfId="0" applyNumberFormat="1" applyFill="1" applyBorder="1" applyAlignment="1" applyProtection="1">
      <alignment horizontal="center" wrapText="1"/>
      <protection/>
    </xf>
    <xf numFmtId="0" fontId="0" fillId="0" borderId="12" xfId="0" applyBorder="1" applyAlignment="1" applyProtection="1">
      <alignment wrapText="1"/>
      <protection/>
    </xf>
    <xf numFmtId="17" fontId="0" fillId="34" borderId="11" xfId="0" applyNumberFormat="1" applyFill="1" applyBorder="1" applyAlignment="1" applyProtection="1">
      <alignment horizontal="left" wrapText="1"/>
      <protection/>
    </xf>
    <xf numFmtId="0" fontId="0" fillId="0" borderId="12" xfId="0" applyBorder="1" applyAlignment="1" applyProtection="1">
      <alignment horizontal="left"/>
      <protection/>
    </xf>
    <xf numFmtId="0" fontId="0" fillId="34" borderId="24" xfId="0" applyFill="1" applyBorder="1" applyAlignment="1" applyProtection="1">
      <alignment horizontal="left" vertical="top" wrapText="1"/>
      <protection/>
    </xf>
    <xf numFmtId="0" fontId="10" fillId="0" borderId="0" xfId="0" applyFont="1" applyAlignment="1" applyProtection="1">
      <alignment horizontal="left"/>
      <protection/>
    </xf>
    <xf numFmtId="0" fontId="0" fillId="0" borderId="0" xfId="0" applyAlignment="1" applyProtection="1">
      <alignment horizontal="left"/>
      <protection/>
    </xf>
    <xf numFmtId="0" fontId="0" fillId="33" borderId="26" xfId="0" applyFont="1" applyFill="1" applyBorder="1" applyAlignment="1">
      <alignment horizontal="left" wrapText="1" indent="2"/>
    </xf>
    <xf numFmtId="0" fontId="0" fillId="33" borderId="0" xfId="0" applyFill="1" applyBorder="1" applyAlignment="1">
      <alignment horizontal="left" wrapText="1" indent="2"/>
    </xf>
    <xf numFmtId="0" fontId="0" fillId="33" borderId="27" xfId="0" applyFill="1" applyBorder="1" applyAlignment="1">
      <alignment horizontal="left" wrapText="1" indent="2"/>
    </xf>
    <xf numFmtId="0" fontId="23" fillId="33" borderId="22" xfId="0" applyFont="1" applyFill="1" applyBorder="1" applyAlignment="1">
      <alignment horizontal="center" wrapText="1"/>
    </xf>
    <xf numFmtId="0" fontId="0" fillId="33" borderId="21" xfId="0" applyFill="1" applyBorder="1" applyAlignment="1">
      <alignment horizontal="center" wrapText="1"/>
    </xf>
    <xf numFmtId="0" fontId="0" fillId="33" borderId="25" xfId="0" applyFill="1" applyBorder="1" applyAlignment="1">
      <alignment horizontal="center" wrapText="1"/>
    </xf>
    <xf numFmtId="0" fontId="1" fillId="33" borderId="26" xfId="0" applyFont="1" applyFill="1" applyBorder="1" applyAlignment="1">
      <alignment horizontal="left" wrapText="1" indent="1"/>
    </xf>
    <xf numFmtId="0" fontId="0" fillId="33" borderId="0" xfId="0" applyFill="1" applyBorder="1" applyAlignment="1">
      <alignment/>
    </xf>
    <xf numFmtId="0" fontId="0" fillId="33" borderId="27" xfId="0" applyFill="1" applyBorder="1" applyAlignment="1">
      <alignment/>
    </xf>
    <xf numFmtId="0" fontId="15" fillId="0" borderId="0" xfId="0" applyFont="1" applyAlignment="1">
      <alignment wrapText="1"/>
    </xf>
    <xf numFmtId="49" fontId="0" fillId="34" borderId="10" xfId="0" applyNumberFormat="1" applyFill="1" applyBorder="1" applyAlignment="1" applyProtection="1">
      <alignment horizontal="left" wrapText="1"/>
      <protection/>
    </xf>
    <xf numFmtId="0" fontId="8" fillId="35" borderId="11" xfId="0" applyFont="1" applyFill="1" applyBorder="1" applyAlignment="1" applyProtection="1">
      <alignment horizontal="center" wrapText="1"/>
      <protection/>
    </xf>
    <xf numFmtId="0" fontId="8" fillId="35" borderId="33" xfId="0" applyFont="1" applyFill="1" applyBorder="1" applyAlignment="1" applyProtection="1">
      <alignment horizontal="center" wrapText="1"/>
      <protection/>
    </xf>
    <xf numFmtId="0" fontId="8" fillId="35" borderId="12" xfId="0" applyFont="1" applyFill="1" applyBorder="1" applyAlignment="1" applyProtection="1">
      <alignment horizontal="center" wrapText="1"/>
      <protection/>
    </xf>
    <xf numFmtId="174" fontId="1" fillId="34" borderId="11" xfId="0" applyNumberFormat="1" applyFont="1" applyFill="1" applyBorder="1" applyAlignment="1" applyProtection="1">
      <alignment horizontal="left" wrapText="1"/>
      <protection/>
    </xf>
    <xf numFmtId="174" fontId="1" fillId="34" borderId="33" xfId="0" applyNumberFormat="1" applyFont="1" applyFill="1" applyBorder="1" applyAlignment="1" applyProtection="1">
      <alignment horizontal="left" wrapText="1"/>
      <protection/>
    </xf>
    <xf numFmtId="174" fontId="1" fillId="34" borderId="12" xfId="0" applyNumberFormat="1" applyFont="1" applyFill="1" applyBorder="1" applyAlignment="1" applyProtection="1">
      <alignment horizontal="left" wrapText="1"/>
      <protection/>
    </xf>
    <xf numFmtId="0" fontId="0" fillId="34" borderId="22" xfId="0" applyFill="1" applyBorder="1" applyAlignment="1" applyProtection="1">
      <alignment horizontal="left" vertical="top" wrapText="1"/>
      <protection/>
    </xf>
    <xf numFmtId="0" fontId="0" fillId="34" borderId="21" xfId="0" applyFill="1" applyBorder="1" applyAlignment="1" applyProtection="1">
      <alignment horizontal="left" vertical="top" wrapText="1"/>
      <protection/>
    </xf>
    <xf numFmtId="0" fontId="0" fillId="34" borderId="25" xfId="0" applyFill="1" applyBorder="1" applyAlignment="1" applyProtection="1">
      <alignment horizontal="left" vertical="top" wrapText="1"/>
      <protection/>
    </xf>
    <xf numFmtId="0" fontId="0" fillId="34" borderId="26" xfId="0" applyFill="1" applyBorder="1" applyAlignment="1" applyProtection="1">
      <alignment horizontal="left" vertical="top" wrapText="1"/>
      <protection/>
    </xf>
    <xf numFmtId="0" fontId="0" fillId="34" borderId="0" xfId="0" applyFill="1" applyBorder="1" applyAlignment="1" applyProtection="1">
      <alignment horizontal="left" vertical="top" wrapText="1"/>
      <protection/>
    </xf>
    <xf numFmtId="0" fontId="0" fillId="34" borderId="27" xfId="0" applyFill="1" applyBorder="1" applyAlignment="1" applyProtection="1">
      <alignment horizontal="left" vertical="top" wrapText="1"/>
      <protection/>
    </xf>
    <xf numFmtId="0" fontId="0" fillId="34" borderId="0" xfId="0" applyFill="1" applyBorder="1" applyAlignment="1">
      <alignment horizontal="center"/>
    </xf>
    <xf numFmtId="0" fontId="0" fillId="34" borderId="27" xfId="0" applyFill="1" applyBorder="1" applyAlignment="1">
      <alignment horizontal="center"/>
    </xf>
    <xf numFmtId="0" fontId="2" fillId="34" borderId="26" xfId="53" applyFill="1" applyBorder="1" applyAlignment="1" applyProtection="1">
      <alignment horizontal="left"/>
      <protection/>
    </xf>
    <xf numFmtId="0" fontId="2" fillId="34" borderId="0" xfId="53" applyFill="1" applyBorder="1" applyAlignment="1" applyProtection="1">
      <alignment horizontal="left"/>
      <protection/>
    </xf>
    <xf numFmtId="0" fontId="0" fillId="34" borderId="26" xfId="0" applyFill="1" applyBorder="1" applyAlignment="1">
      <alignment horizontal="left" wrapText="1"/>
    </xf>
    <xf numFmtId="0" fontId="0" fillId="34" borderId="0" xfId="0" applyFill="1" applyBorder="1" applyAlignment="1">
      <alignment horizontal="left" wrapText="1"/>
    </xf>
    <xf numFmtId="0" fontId="0" fillId="34" borderId="27" xfId="0" applyFill="1" applyBorder="1" applyAlignment="1">
      <alignment horizontal="left" wrapText="1"/>
    </xf>
    <xf numFmtId="0" fontId="0" fillId="34" borderId="28" xfId="0" applyFill="1" applyBorder="1" applyAlignment="1">
      <alignment horizontal="left" wrapText="1"/>
    </xf>
    <xf numFmtId="0" fontId="0" fillId="34" borderId="29" xfId="0" applyFill="1" applyBorder="1" applyAlignment="1">
      <alignment horizontal="left" wrapText="1"/>
    </xf>
    <xf numFmtId="0" fontId="0" fillId="34" borderId="13" xfId="0" applyFill="1" applyBorder="1" applyAlignment="1">
      <alignment horizontal="left" wrapText="1"/>
    </xf>
    <xf numFmtId="44" fontId="8" fillId="35" borderId="11" xfId="44" applyFont="1" applyFill="1" applyBorder="1" applyAlignment="1" applyProtection="1">
      <alignment horizontal="center" wrapText="1"/>
      <protection/>
    </xf>
    <xf numFmtId="44" fontId="8" fillId="35" borderId="33" xfId="44" applyFont="1" applyFill="1" applyBorder="1" applyAlignment="1" applyProtection="1">
      <alignment horizontal="center" wrapText="1"/>
      <protection/>
    </xf>
    <xf numFmtId="44" fontId="8" fillId="35" borderId="12" xfId="44" applyFont="1" applyFill="1" applyBorder="1" applyAlignment="1" applyProtection="1">
      <alignment horizontal="center" wrapText="1"/>
      <protection/>
    </xf>
    <xf numFmtId="0" fontId="0" fillId="34" borderId="22" xfId="0" applyFill="1" applyBorder="1" applyAlignment="1" applyProtection="1">
      <alignment horizontal="left" wrapText="1"/>
      <protection/>
    </xf>
    <xf numFmtId="0" fontId="0" fillId="34" borderId="21" xfId="0" applyFill="1" applyBorder="1" applyAlignment="1" applyProtection="1">
      <alignment horizontal="left" wrapText="1"/>
      <protection/>
    </xf>
    <xf numFmtId="0" fontId="0" fillId="34" borderId="25" xfId="0" applyFill="1" applyBorder="1" applyAlignment="1" applyProtection="1">
      <alignment horizontal="left" wrapText="1"/>
      <protection/>
    </xf>
    <xf numFmtId="0" fontId="2" fillId="34" borderId="28" xfId="53" applyFill="1" applyBorder="1" applyAlignment="1" applyProtection="1">
      <alignment horizontal="left" wrapText="1"/>
      <protection/>
    </xf>
    <xf numFmtId="0" fontId="2" fillId="34" borderId="29" xfId="53" applyFill="1" applyBorder="1" applyAlignment="1" applyProtection="1">
      <alignment horizontal="left" wrapText="1"/>
      <protection/>
    </xf>
    <xf numFmtId="49" fontId="1" fillId="34" borderId="10" xfId="0" applyNumberFormat="1" applyFont="1" applyFill="1" applyBorder="1" applyAlignment="1" applyProtection="1">
      <alignment horizontal="left" wrapText="1"/>
      <protection/>
    </xf>
    <xf numFmtId="0" fontId="0" fillId="0" borderId="0" xfId="0" applyFont="1" applyFill="1" applyAlignment="1" applyProtection="1">
      <alignment horizontal="center" wrapText="1"/>
      <protection/>
    </xf>
    <xf numFmtId="0" fontId="0" fillId="33" borderId="0" xfId="0" applyFont="1" applyFill="1" applyBorder="1" applyAlignment="1" applyProtection="1">
      <alignment horizontal="left" wrapText="1"/>
      <protection/>
    </xf>
    <xf numFmtId="0" fontId="0" fillId="33" borderId="0" xfId="0" applyFont="1" applyFill="1" applyBorder="1" applyAlignment="1">
      <alignment wrapText="1"/>
    </xf>
    <xf numFmtId="0" fontId="25" fillId="33" borderId="0" xfId="0" applyFont="1" applyFill="1" applyBorder="1" applyAlignment="1" applyProtection="1">
      <alignment horizontal="center" wrapText="1"/>
      <protection/>
    </xf>
    <xf numFmtId="0" fontId="24" fillId="33" borderId="0" xfId="0" applyFont="1" applyFill="1" applyBorder="1" applyAlignment="1" applyProtection="1">
      <alignment horizontal="center" wrapText="1"/>
      <protection/>
    </xf>
    <xf numFmtId="0" fontId="24" fillId="33" borderId="0" xfId="0" applyFont="1" applyFill="1" applyBorder="1" applyAlignment="1">
      <alignment horizontal="center" wrapText="1"/>
    </xf>
    <xf numFmtId="0" fontId="0" fillId="33" borderId="0" xfId="0" applyFont="1" applyFill="1" applyBorder="1" applyAlignment="1">
      <alignment horizontal="center" wrapText="1"/>
    </xf>
    <xf numFmtId="0" fontId="1" fillId="33" borderId="0" xfId="0" applyFont="1" applyFill="1" applyBorder="1" applyAlignment="1" applyProtection="1">
      <alignment horizontal="left" wrapText="1"/>
      <protection/>
    </xf>
    <xf numFmtId="3" fontId="1" fillId="33" borderId="0" xfId="0" applyNumberFormat="1" applyFont="1" applyFill="1" applyBorder="1" applyAlignment="1" applyProtection="1">
      <alignment horizontal="left" wrapText="1"/>
      <protection/>
    </xf>
    <xf numFmtId="3" fontId="0" fillId="33" borderId="0" xfId="0" applyNumberFormat="1" applyFont="1" applyFill="1" applyBorder="1" applyAlignment="1">
      <alignment horizontal="left" wrapText="1"/>
    </xf>
    <xf numFmtId="0" fontId="21" fillId="33" borderId="0" xfId="0" applyFont="1" applyFill="1" applyBorder="1" applyAlignment="1">
      <alignment horizontal="left" wrapText="1" indent="1"/>
    </xf>
    <xf numFmtId="0" fontId="2" fillId="33" borderId="0" xfId="53" applyFill="1" applyBorder="1" applyAlignment="1" applyProtection="1">
      <alignment horizontal="left" vertical="top" wrapText="1" indent="1"/>
      <protection/>
    </xf>
    <xf numFmtId="0" fontId="39" fillId="33" borderId="0" xfId="53" applyFont="1" applyFill="1" applyAlignment="1" applyProtection="1">
      <alignment horizontal="left" wrapText="1"/>
      <protection/>
    </xf>
    <xf numFmtId="0" fontId="2" fillId="33" borderId="0" xfId="53" applyFill="1" applyAlignment="1" applyProtection="1">
      <alignment wrapText="1"/>
      <protection/>
    </xf>
    <xf numFmtId="0" fontId="0" fillId="33" borderId="0" xfId="0" applyFill="1" applyAlignment="1">
      <alignment wrapText="1"/>
    </xf>
    <xf numFmtId="0" fontId="0" fillId="0" borderId="0" xfId="0" applyAlignment="1">
      <alignment wrapText="1"/>
    </xf>
    <xf numFmtId="0" fontId="2" fillId="33" borderId="35" xfId="53" applyFont="1" applyFill="1" applyBorder="1" applyAlignment="1" applyProtection="1">
      <alignment horizontal="left" indent="3"/>
      <protection/>
    </xf>
    <xf numFmtId="0" fontId="2" fillId="33" borderId="14" xfId="53" applyFill="1" applyBorder="1" applyAlignment="1" applyProtection="1">
      <alignment horizontal="left" indent="3"/>
      <protection/>
    </xf>
    <xf numFmtId="0" fontId="23" fillId="33" borderId="0" xfId="0" applyFont="1" applyFill="1" applyBorder="1" applyAlignment="1">
      <alignment horizontal="center" wrapText="1"/>
    </xf>
    <xf numFmtId="0" fontId="23" fillId="33" borderId="0" xfId="0" applyFont="1" applyFill="1" applyBorder="1" applyAlignment="1">
      <alignment horizontal="center"/>
    </xf>
    <xf numFmtId="0" fontId="17" fillId="33" borderId="0" xfId="0" applyFont="1" applyFill="1" applyBorder="1" applyAlignment="1">
      <alignment horizontal="left" wrapText="1"/>
    </xf>
    <xf numFmtId="0" fontId="21" fillId="33" borderId="0" xfId="0" applyFont="1" applyFill="1" applyBorder="1" applyAlignment="1">
      <alignment horizontal="left" vertical="center" wrapText="1" indent="1"/>
    </xf>
    <xf numFmtId="0" fontId="2" fillId="33" borderId="0" xfId="53" applyFill="1" applyBorder="1" applyAlignment="1" applyProtection="1">
      <alignment wrapText="1"/>
      <protection/>
    </xf>
    <xf numFmtId="0" fontId="2" fillId="33" borderId="0" xfId="53" applyFill="1" applyBorder="1" applyAlignment="1" applyProtection="1">
      <alignment horizontal="left" wrapText="1"/>
      <protection/>
    </xf>
    <xf numFmtId="0" fontId="0" fillId="0" borderId="0" xfId="0" applyAlignment="1">
      <alignment horizontal="left" wrapText="1"/>
    </xf>
    <xf numFmtId="0" fontId="22" fillId="33" borderId="0" xfId="0" applyFont="1" applyFill="1" applyBorder="1" applyAlignment="1">
      <alignment horizontal="left" wrapText="1"/>
    </xf>
    <xf numFmtId="0" fontId="0" fillId="33" borderId="0" xfId="53" applyFont="1" applyFill="1" applyBorder="1" applyAlignment="1" applyProtection="1">
      <alignment wrapText="1"/>
      <protection/>
    </xf>
    <xf numFmtId="0" fontId="0" fillId="0" borderId="17" xfId="0" applyBorder="1" applyAlignment="1">
      <alignment wrapText="1"/>
    </xf>
    <xf numFmtId="0" fontId="2" fillId="33" borderId="0" xfId="53" applyFill="1" applyBorder="1" applyAlignment="1" applyProtection="1">
      <alignment horizontal="left" wrapText="1" indent="1"/>
      <protection/>
    </xf>
    <xf numFmtId="0" fontId="2" fillId="33" borderId="0" xfId="53" applyFont="1" applyFill="1" applyAlignment="1" applyProtection="1">
      <alignment horizontal="left" wrapText="1" indent="1"/>
      <protection/>
    </xf>
    <xf numFmtId="0" fontId="0" fillId="0" borderId="0" xfId="0" applyAlignment="1">
      <alignment horizontal="left" wrapText="1" indent="1"/>
    </xf>
    <xf numFmtId="0" fontId="0" fillId="33" borderId="0" xfId="0" applyFont="1" applyFill="1" applyBorder="1" applyAlignment="1">
      <alignment wrapText="1"/>
    </xf>
    <xf numFmtId="0" fontId="0" fillId="33" borderId="0" xfId="0" applyNumberFormat="1" applyFont="1" applyFill="1" applyBorder="1" applyAlignment="1">
      <alignment horizontal="left" wrapText="1"/>
    </xf>
    <xf numFmtId="0" fontId="0" fillId="33" borderId="0" xfId="53" applyFont="1" applyFill="1" applyBorder="1" applyAlignment="1" applyProtection="1">
      <alignment wrapText="1"/>
      <protection/>
    </xf>
    <xf numFmtId="0" fontId="2" fillId="33" borderId="0" xfId="53" applyFill="1" applyAlignment="1" applyProtection="1">
      <alignment/>
      <protection/>
    </xf>
    <xf numFmtId="0" fontId="0" fillId="33" borderId="0" xfId="0" applyFill="1" applyAlignment="1">
      <alignment/>
    </xf>
    <xf numFmtId="0" fontId="2" fillId="33" borderId="0" xfId="53" applyFill="1" applyAlignment="1" applyProtection="1">
      <alignment horizontal="left"/>
      <protection/>
    </xf>
    <xf numFmtId="0" fontId="0" fillId="33" borderId="0" xfId="0" applyFont="1" applyFill="1" applyBorder="1" applyAlignment="1">
      <alignment horizontal="left" wrapText="1"/>
    </xf>
    <xf numFmtId="0" fontId="0" fillId="0" borderId="12" xfId="0" applyBorder="1" applyAlignment="1">
      <alignment/>
    </xf>
    <xf numFmtId="0" fontId="0" fillId="0" borderId="24" xfId="0" applyBorder="1" applyAlignment="1">
      <alignment horizontal="left" wrapText="1"/>
    </xf>
    <xf numFmtId="0" fontId="0" fillId="0" borderId="32" xfId="0" applyBorder="1" applyAlignment="1">
      <alignment horizontal="left" wrapText="1"/>
    </xf>
    <xf numFmtId="0" fontId="0" fillId="0" borderId="32" xfId="0" applyBorder="1" applyAlignment="1">
      <alignment horizontal="left" vertical="top" wrapText="1"/>
    </xf>
    <xf numFmtId="0" fontId="0" fillId="0" borderId="24" xfId="0" applyBorder="1" applyAlignment="1">
      <alignment/>
    </xf>
    <xf numFmtId="0" fontId="0" fillId="0" borderId="12" xfId="0" applyBorder="1" applyAlignment="1">
      <alignment horizontal="left"/>
    </xf>
    <xf numFmtId="0" fontId="8" fillId="35" borderId="29" xfId="0" applyFont="1" applyFill="1" applyBorder="1" applyAlignment="1" applyProtection="1">
      <alignment horizontal="left"/>
      <protection/>
    </xf>
    <xf numFmtId="8" fontId="0" fillId="34" borderId="11" xfId="0" applyNumberFormat="1" applyFill="1" applyBorder="1" applyAlignment="1" applyProtection="1">
      <alignment horizontal="left"/>
      <protection/>
    </xf>
    <xf numFmtId="8" fontId="0" fillId="34" borderId="33" xfId="0" applyNumberFormat="1" applyFill="1" applyBorder="1" applyAlignment="1" applyProtection="1">
      <alignment horizontal="left"/>
      <protection/>
    </xf>
    <xf numFmtId="8" fontId="0" fillId="34" borderId="12" xfId="0" applyNumberFormat="1" applyFill="1" applyBorder="1" applyAlignment="1" applyProtection="1">
      <alignment horizontal="left"/>
      <protection/>
    </xf>
    <xf numFmtId="171" fontId="0" fillId="34" borderId="23" xfId="0" applyNumberFormat="1" applyFill="1" applyBorder="1" applyAlignment="1" applyProtection="1">
      <alignment/>
      <protection/>
    </xf>
    <xf numFmtId="171" fontId="0" fillId="34" borderId="24" xfId="0" applyNumberFormat="1" applyFill="1" applyBorder="1" applyAlignment="1" applyProtection="1">
      <alignment/>
      <protection/>
    </xf>
    <xf numFmtId="0" fontId="0" fillId="0" borderId="24" xfId="0" applyBorder="1" applyAlignment="1" applyProtection="1">
      <alignment/>
      <protection/>
    </xf>
    <xf numFmtId="0" fontId="0" fillId="0" borderId="32" xfId="0" applyBorder="1" applyAlignment="1" applyProtection="1">
      <alignment/>
      <protection/>
    </xf>
    <xf numFmtId="164" fontId="0" fillId="34" borderId="23" xfId="0" applyNumberFormat="1" applyFill="1" applyBorder="1" applyAlignment="1" applyProtection="1">
      <alignment wrapText="1"/>
      <protection/>
    </xf>
    <xf numFmtId="0" fontId="0" fillId="0" borderId="24" xfId="0" applyBorder="1" applyAlignment="1" applyProtection="1">
      <alignment wrapText="1"/>
      <protection/>
    </xf>
    <xf numFmtId="0" fontId="0" fillId="0" borderId="32" xfId="0" applyBorder="1" applyAlignment="1" applyProtection="1">
      <alignment wrapText="1"/>
      <protection/>
    </xf>
    <xf numFmtId="0" fontId="0" fillId="34" borderId="24" xfId="0" applyFill="1" applyBorder="1" applyAlignment="1" applyProtection="1">
      <alignment/>
      <protection/>
    </xf>
    <xf numFmtId="171" fontId="0" fillId="34" borderId="32" xfId="0" applyNumberFormat="1" applyFill="1" applyBorder="1" applyAlignment="1" applyProtection="1">
      <alignment/>
      <protection/>
    </xf>
    <xf numFmtId="2" fontId="0" fillId="34" borderId="23" xfId="0" applyNumberFormat="1" applyFill="1" applyBorder="1" applyAlignment="1" applyProtection="1">
      <alignment/>
      <protection/>
    </xf>
    <xf numFmtId="2" fontId="0" fillId="34" borderId="24" xfId="0" applyNumberFormat="1" applyFill="1" applyBorder="1" applyAlignment="1" applyProtection="1">
      <alignment/>
      <protection/>
    </xf>
    <xf numFmtId="2" fontId="0" fillId="0" borderId="24" xfId="0" applyNumberFormat="1" applyBorder="1" applyAlignment="1" applyProtection="1">
      <alignment/>
      <protection/>
    </xf>
    <xf numFmtId="3" fontId="0" fillId="34" borderId="25" xfId="0" applyNumberFormat="1" applyFill="1" applyBorder="1" applyAlignment="1" applyProtection="1">
      <alignment wrapText="1"/>
      <protection/>
    </xf>
    <xf numFmtId="3" fontId="0" fillId="34" borderId="27" xfId="0" applyNumberFormat="1" applyFill="1" applyBorder="1" applyAlignment="1" applyProtection="1">
      <alignment wrapText="1"/>
      <protection/>
    </xf>
    <xf numFmtId="3" fontId="0" fillId="0" borderId="27" xfId="0" applyNumberFormat="1" applyBorder="1" applyAlignment="1" applyProtection="1">
      <alignment/>
      <protection/>
    </xf>
    <xf numFmtId="164" fontId="0" fillId="34" borderId="23" xfId="0" applyNumberFormat="1" applyFill="1" applyBorder="1" applyAlignment="1" applyProtection="1">
      <alignment/>
      <protection/>
    </xf>
    <xf numFmtId="0" fontId="0" fillId="34" borderId="11" xfId="0" applyFill="1" applyBorder="1" applyAlignment="1" applyProtection="1">
      <alignment wrapText="1"/>
      <protection/>
    </xf>
    <xf numFmtId="0" fontId="0" fillId="34" borderId="12" xfId="0" applyFill="1" applyBorder="1" applyAlignment="1" applyProtection="1">
      <alignment wrapText="1"/>
      <protection/>
    </xf>
    <xf numFmtId="171" fontId="0" fillId="34" borderId="11" xfId="0" applyNumberFormat="1" applyFill="1" applyBorder="1" applyAlignment="1" applyProtection="1">
      <alignment wrapText="1"/>
      <protection/>
    </xf>
    <xf numFmtId="171" fontId="0" fillId="0" borderId="12" xfId="0" applyNumberFormat="1" applyBorder="1" applyAlignment="1" applyProtection="1">
      <alignment wrapText="1"/>
      <protection/>
    </xf>
    <xf numFmtId="171" fontId="0" fillId="34" borderId="23" xfId="0" applyNumberFormat="1" applyFill="1" applyBorder="1" applyAlignment="1" applyProtection="1">
      <alignment wrapText="1"/>
      <protection/>
    </xf>
    <xf numFmtId="171" fontId="0" fillId="0" borderId="24" xfId="0" applyNumberFormat="1" applyBorder="1" applyAlignment="1" applyProtection="1">
      <alignment wrapText="1"/>
      <protection/>
    </xf>
    <xf numFmtId="171" fontId="0" fillId="0" borderId="32" xfId="0" applyNumberFormat="1" applyBorder="1" applyAlignment="1" applyProtection="1">
      <alignment wrapText="1"/>
      <protection/>
    </xf>
    <xf numFmtId="0" fontId="0" fillId="34" borderId="23" xfId="0" applyFill="1" applyBorder="1" applyAlignment="1" applyProtection="1">
      <alignment wrapText="1"/>
      <protection/>
    </xf>
    <xf numFmtId="0" fontId="0" fillId="34" borderId="24" xfId="0" applyFill="1" applyBorder="1" applyAlignment="1" applyProtection="1">
      <alignment wrapText="1"/>
      <protection/>
    </xf>
    <xf numFmtId="0" fontId="0" fillId="34" borderId="32" xfId="0" applyFill="1" applyBorder="1" applyAlignment="1" applyProtection="1">
      <alignment wrapText="1"/>
      <protection/>
    </xf>
    <xf numFmtId="171" fontId="0" fillId="34" borderId="24" xfId="0" applyNumberFormat="1" applyFill="1" applyBorder="1" applyAlignment="1" applyProtection="1">
      <alignment wrapText="1"/>
      <protection/>
    </xf>
    <xf numFmtId="171" fontId="0" fillId="34" borderId="32" xfId="0" applyNumberFormat="1" applyFill="1" applyBorder="1" applyAlignment="1" applyProtection="1">
      <alignment wrapText="1"/>
      <protection/>
    </xf>
    <xf numFmtId="171" fontId="0" fillId="0" borderId="32" xfId="0" applyNumberFormat="1" applyBorder="1" applyAlignment="1" applyProtection="1">
      <alignment/>
      <protection/>
    </xf>
    <xf numFmtId="0" fontId="8" fillId="35" borderId="0" xfId="0" applyFont="1" applyFill="1" applyBorder="1" applyAlignment="1" applyProtection="1">
      <alignment horizontal="left"/>
      <protection/>
    </xf>
    <xf numFmtId="0" fontId="33" fillId="0" borderId="36" xfId="0" applyFont="1" applyFill="1" applyBorder="1" applyAlignment="1" applyProtection="1">
      <alignment horizontal="left" wrapText="1"/>
      <protection/>
    </xf>
    <xf numFmtId="0" fontId="34" fillId="0" borderId="30" xfId="0" applyFont="1" applyBorder="1" applyAlignment="1" applyProtection="1">
      <alignment horizontal="left" wrapText="1"/>
      <protection/>
    </xf>
    <xf numFmtId="0" fontId="0" fillId="34" borderId="11" xfId="0" applyFill="1" applyBorder="1" applyAlignment="1" applyProtection="1">
      <alignment/>
      <protection/>
    </xf>
    <xf numFmtId="3" fontId="0" fillId="34" borderId="11" xfId="0" applyNumberFormat="1" applyFill="1" applyBorder="1" applyAlignment="1" applyProtection="1">
      <alignment/>
      <protection/>
    </xf>
    <xf numFmtId="3" fontId="0" fillId="34" borderId="12" xfId="0" applyNumberFormat="1" applyFill="1" applyBorder="1" applyAlignment="1" applyProtection="1">
      <alignment/>
      <protection/>
    </xf>
    <xf numFmtId="0" fontId="0" fillId="34" borderId="23" xfId="0" applyFill="1" applyBorder="1" applyAlignment="1" applyProtection="1">
      <alignment vertical="center" wrapText="1"/>
      <protection/>
    </xf>
    <xf numFmtId="0" fontId="0" fillId="34" borderId="24" xfId="0" applyFill="1" applyBorder="1" applyAlignment="1" applyProtection="1">
      <alignment vertical="center" wrapText="1"/>
      <protection/>
    </xf>
    <xf numFmtId="0" fontId="0" fillId="34" borderId="32" xfId="0" applyFill="1" applyBorder="1" applyAlignment="1" applyProtection="1">
      <alignment vertical="center" wrapText="1"/>
      <protection/>
    </xf>
    <xf numFmtId="0" fontId="1" fillId="38" borderId="11" xfId="0" applyFont="1" applyFill="1" applyBorder="1" applyAlignment="1">
      <alignment horizontal="center"/>
    </xf>
    <xf numFmtId="0" fontId="1" fillId="38" borderId="33" xfId="0" applyFont="1" applyFill="1" applyBorder="1" applyAlignment="1">
      <alignment horizontal="center"/>
    </xf>
    <xf numFmtId="0" fontId="1" fillId="38" borderId="12" xfId="0" applyFont="1" applyFill="1" applyBorder="1" applyAlignment="1">
      <alignment horizontal="center"/>
    </xf>
    <xf numFmtId="0" fontId="0" fillId="34" borderId="28" xfId="0" applyFont="1" applyFill="1" applyBorder="1" applyAlignment="1" applyProtection="1">
      <alignment horizontal="left" wrapText="1"/>
      <protection/>
    </xf>
    <xf numFmtId="0" fontId="0" fillId="34" borderId="29" xfId="0" applyFont="1" applyFill="1" applyBorder="1" applyAlignment="1" applyProtection="1">
      <alignment horizontal="left" wrapText="1"/>
      <protection/>
    </xf>
    <xf numFmtId="0" fontId="7" fillId="0" borderId="0" xfId="0" applyFont="1" applyAlignment="1" applyProtection="1">
      <alignment/>
      <protection/>
    </xf>
    <xf numFmtId="0" fontId="0" fillId="0" borderId="0" xfId="0" applyAlignment="1">
      <alignment/>
    </xf>
    <xf numFmtId="0" fontId="1" fillId="38" borderId="11" xfId="0" applyFont="1" applyFill="1" applyBorder="1" applyAlignment="1" applyProtection="1">
      <alignment horizontal="right" wrapText="1"/>
      <protection locked="0"/>
    </xf>
    <xf numFmtId="0" fontId="1" fillId="38" borderId="33" xfId="0" applyFont="1" applyFill="1" applyBorder="1" applyAlignment="1" applyProtection="1">
      <alignment horizontal="right" wrapText="1"/>
      <protection locked="0"/>
    </xf>
    <xf numFmtId="0" fontId="1" fillId="38" borderId="12" xfId="0" applyFont="1" applyFill="1" applyBorder="1" applyAlignment="1" applyProtection="1">
      <alignment horizontal="right" wrapText="1"/>
      <protection locked="0"/>
    </xf>
    <xf numFmtId="49" fontId="0" fillId="38" borderId="11" xfId="0" applyNumberFormat="1" applyFill="1" applyBorder="1" applyAlignment="1" applyProtection="1">
      <alignment horizontal="center"/>
      <protection/>
    </xf>
    <xf numFmtId="0" fontId="0" fillId="38" borderId="33" xfId="0"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Total Cost Over Ten Years </a:t>
            </a:r>
          </a:p>
        </c:rich>
      </c:tx>
      <c:layout>
        <c:manualLayout>
          <c:xMode val="factor"/>
          <c:yMode val="factor"/>
          <c:x val="0"/>
          <c:y val="0"/>
        </c:manualLayout>
      </c:layout>
      <c:spPr>
        <a:noFill/>
        <a:ln>
          <a:noFill/>
        </a:ln>
      </c:spPr>
    </c:title>
    <c:plotArea>
      <c:layout>
        <c:manualLayout>
          <c:xMode val="edge"/>
          <c:yMode val="edge"/>
          <c:x val="0.05575"/>
          <c:y val="0.1335"/>
          <c:w val="0.92775"/>
          <c:h val="0.7185"/>
        </c:manualLayout>
      </c:layout>
      <c:lineChart>
        <c:grouping val="standard"/>
        <c:varyColors val="0"/>
        <c:ser>
          <c:idx val="0"/>
          <c:order val="0"/>
          <c:tx>
            <c:v>Baseline Scenario</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'Cost Calculator'!$C$11:$F$11</c:f>
              <c:strCache>
                <c:ptCount val="4"/>
                <c:pt idx="0">
                  <c:v>1 Year</c:v>
                </c:pt>
                <c:pt idx="1">
                  <c:v>3 Years</c:v>
                </c:pt>
                <c:pt idx="2">
                  <c:v>6 Years</c:v>
                </c:pt>
                <c:pt idx="3">
                  <c:v>10 Years</c:v>
                </c:pt>
              </c:strCache>
            </c:strRef>
          </c:cat>
          <c:val>
            <c:numRef>
              <c:f>'Cost Calculator'!$C$9:$F$9</c:f>
              <c:numCache>
                <c:ptCount val="4"/>
                <c:pt idx="0">
                  <c:v>0</c:v>
                </c:pt>
                <c:pt idx="1">
                  <c:v>0</c:v>
                </c:pt>
                <c:pt idx="2">
                  <c:v>0</c:v>
                </c:pt>
                <c:pt idx="3">
                  <c:v>0</c:v>
                </c:pt>
              </c:numCache>
            </c:numRef>
          </c:val>
          <c:smooth val="0"/>
        </c:ser>
        <c:ser>
          <c:idx val="1"/>
          <c:order val="1"/>
          <c:tx>
            <c:v>Alternative Scenario (No Source Reduction)</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'Cost Calculator'!$C$11:$F$11</c:f>
              <c:strCache>
                <c:ptCount val="4"/>
                <c:pt idx="0">
                  <c:v>1 Year</c:v>
                </c:pt>
                <c:pt idx="1">
                  <c:v>3 Years</c:v>
                </c:pt>
                <c:pt idx="2">
                  <c:v>6 Years</c:v>
                </c:pt>
                <c:pt idx="3">
                  <c:v>10 Years</c:v>
                </c:pt>
              </c:strCache>
            </c:strRef>
          </c:cat>
          <c:val>
            <c:numRef>
              <c:f>'Cost Calculator'!$C$24:$F$24</c:f>
              <c:numCache>
                <c:ptCount val="4"/>
                <c:pt idx="0">
                  <c:v>0</c:v>
                </c:pt>
                <c:pt idx="1">
                  <c:v>0</c:v>
                </c:pt>
                <c:pt idx="2">
                  <c:v>0</c:v>
                </c:pt>
                <c:pt idx="3">
                  <c:v>0</c:v>
                </c:pt>
              </c:numCache>
            </c:numRef>
          </c:val>
          <c:smooth val="0"/>
        </c:ser>
        <c:marker val="1"/>
        <c:axId val="43267152"/>
        <c:axId val="53860049"/>
      </c:lineChart>
      <c:catAx>
        <c:axId val="4326715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a:t>
                </a:r>
              </a:p>
            </c:rich>
          </c:tx>
          <c:layout>
            <c:manualLayout>
              <c:xMode val="factor"/>
              <c:yMode val="factor"/>
              <c:x val="-0.01"/>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3860049"/>
        <c:crosses val="autoZero"/>
        <c:auto val="1"/>
        <c:lblOffset val="100"/>
        <c:tickLblSkip val="1"/>
        <c:noMultiLvlLbl val="0"/>
      </c:catAx>
      <c:valAx>
        <c:axId val="5386004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Dollars</a:t>
                </a:r>
              </a:p>
            </c:rich>
          </c:tx>
          <c:layout>
            <c:manualLayout>
              <c:xMode val="factor"/>
              <c:yMode val="factor"/>
              <c:x val="-0.00475"/>
              <c:y val="-0.002"/>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3267152"/>
        <c:crossesAt val="1"/>
        <c:crossBetween val="between"/>
        <c:dispUnits/>
      </c:valAx>
      <c:spPr>
        <a:noFill/>
        <a:ln>
          <a:noFill/>
        </a:ln>
      </c:spPr>
    </c:plotArea>
    <c:legend>
      <c:legendPos val="b"/>
      <c:layout>
        <c:manualLayout>
          <c:xMode val="edge"/>
          <c:yMode val="edge"/>
          <c:x val="0.19175"/>
          <c:y val="0.9355"/>
          <c:w val="0.7"/>
          <c:h val="0.05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Total Savings of Alternative Scenario and Source Reduction Compared to Baseline Scenario</a:t>
            </a:r>
          </a:p>
        </c:rich>
      </c:tx>
      <c:layout>
        <c:manualLayout>
          <c:xMode val="factor"/>
          <c:yMode val="factor"/>
          <c:x val="0.00175"/>
          <c:y val="0"/>
        </c:manualLayout>
      </c:layout>
      <c:spPr>
        <a:noFill/>
        <a:ln>
          <a:noFill/>
        </a:ln>
      </c:spPr>
    </c:title>
    <c:plotArea>
      <c:layout>
        <c:manualLayout>
          <c:xMode val="edge"/>
          <c:yMode val="edge"/>
          <c:x val="0.05575"/>
          <c:y val="0.18375"/>
          <c:w val="0.92775"/>
          <c:h val="0.735"/>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'Cost Calculator'!$C$11:$F$11</c:f>
              <c:strCache>
                <c:ptCount val="4"/>
                <c:pt idx="0">
                  <c:v>1 Year</c:v>
                </c:pt>
                <c:pt idx="1">
                  <c:v>3 Years</c:v>
                </c:pt>
                <c:pt idx="2">
                  <c:v>6 Years</c:v>
                </c:pt>
                <c:pt idx="3">
                  <c:v>10 Years</c:v>
                </c:pt>
              </c:strCache>
            </c:strRef>
          </c:cat>
          <c:val>
            <c:numRef>
              <c:f>'Cost Calculator'!$C$29:$F$29</c:f>
              <c:numCache>
                <c:ptCount val="4"/>
                <c:pt idx="0">
                  <c:v>0</c:v>
                </c:pt>
                <c:pt idx="1">
                  <c:v>0</c:v>
                </c:pt>
                <c:pt idx="2">
                  <c:v>0</c:v>
                </c:pt>
                <c:pt idx="3">
                  <c:v>0</c:v>
                </c:pt>
              </c:numCache>
            </c:numRef>
          </c:val>
        </c:ser>
        <c:axId val="14978394"/>
        <c:axId val="587819"/>
      </c:barChart>
      <c:catAx>
        <c:axId val="1497839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a:t>
                </a:r>
              </a:p>
            </c:rich>
          </c:tx>
          <c:layout>
            <c:manualLayout>
              <c:xMode val="factor"/>
              <c:yMode val="factor"/>
              <c:x val="-0.009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87819"/>
        <c:crosses val="autoZero"/>
        <c:auto val="1"/>
        <c:lblOffset val="100"/>
        <c:tickLblSkip val="1"/>
        <c:noMultiLvlLbl val="0"/>
      </c:catAx>
      <c:valAx>
        <c:axId val="58781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Dollars</a:t>
                </a:r>
              </a:p>
            </c:rich>
          </c:tx>
          <c:layout>
            <c:manualLayout>
              <c:xMode val="factor"/>
              <c:yMode val="factor"/>
              <c:x val="-0.00475"/>
              <c:y val="-0.002"/>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497839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9.emf" /><Relationship Id="rId3" Type="http://schemas.openxmlformats.org/officeDocument/2006/relationships/image" Target="../media/image2.emf" /><Relationship Id="rId4" Type="http://schemas.openxmlformats.org/officeDocument/2006/relationships/image" Target="../media/image25.emf" /><Relationship Id="rId5" Type="http://schemas.openxmlformats.org/officeDocument/2006/relationships/image" Target="../media/image24.emf" /><Relationship Id="rId6" Type="http://schemas.openxmlformats.org/officeDocument/2006/relationships/image" Target="../media/image12.emf" /><Relationship Id="rId7" Type="http://schemas.openxmlformats.org/officeDocument/2006/relationships/image" Target="../media/image23.emf" /><Relationship Id="rId8" Type="http://schemas.openxmlformats.org/officeDocument/2006/relationships/image" Target="../media/image18.emf" /><Relationship Id="rId9" Type="http://schemas.openxmlformats.org/officeDocument/2006/relationships/image" Target="../media/image8.emf" /><Relationship Id="rId10" Type="http://schemas.openxmlformats.org/officeDocument/2006/relationships/image" Target="../media/image28.emf" /><Relationship Id="rId11" Type="http://schemas.openxmlformats.org/officeDocument/2006/relationships/image" Target="../media/image30.emf" /><Relationship Id="rId12" Type="http://schemas.openxmlformats.org/officeDocument/2006/relationships/image" Target="../media/image16.emf" /><Relationship Id="rId13" Type="http://schemas.openxmlformats.org/officeDocument/2006/relationships/image" Target="../media/image3.emf" /><Relationship Id="rId14" Type="http://schemas.openxmlformats.org/officeDocument/2006/relationships/image" Target="../media/image17.emf" /><Relationship Id="rId15" Type="http://schemas.openxmlformats.org/officeDocument/2006/relationships/image" Target="../media/image20.emf" /><Relationship Id="rId16" Type="http://schemas.openxmlformats.org/officeDocument/2006/relationships/image" Target="../media/image22.emf" /><Relationship Id="rId17" Type="http://schemas.openxmlformats.org/officeDocument/2006/relationships/image" Target="../media/image19.emf" /><Relationship Id="rId18" Type="http://schemas.openxmlformats.org/officeDocument/2006/relationships/image" Target="../media/image4.emf" /><Relationship Id="rId19" Type="http://schemas.openxmlformats.org/officeDocument/2006/relationships/image" Target="../media/image32.emf" /><Relationship Id="rId20" Type="http://schemas.openxmlformats.org/officeDocument/2006/relationships/image" Target="../media/image13.emf" /><Relationship Id="rId21" Type="http://schemas.openxmlformats.org/officeDocument/2006/relationships/image" Target="../media/image29.emf" /><Relationship Id="rId22" Type="http://schemas.openxmlformats.org/officeDocument/2006/relationships/image" Target="../media/image10.emf" /><Relationship Id="rId23" Type="http://schemas.openxmlformats.org/officeDocument/2006/relationships/image" Target="../media/image7.emf" /><Relationship Id="rId24" Type="http://schemas.openxmlformats.org/officeDocument/2006/relationships/image" Target="../media/image21.emf" /><Relationship Id="rId25" Type="http://schemas.openxmlformats.org/officeDocument/2006/relationships/image" Target="../media/image1.emf" /><Relationship Id="rId26" Type="http://schemas.openxmlformats.org/officeDocument/2006/relationships/image" Target="../media/image27.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http://www.epa.gov/epaoswer/non-hw/organics/images/foodhier.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15</xdr:row>
      <xdr:rowOff>209550</xdr:rowOff>
    </xdr:from>
    <xdr:to>
      <xdr:col>9</xdr:col>
      <xdr:colOff>0</xdr:colOff>
      <xdr:row>18</xdr:row>
      <xdr:rowOff>0</xdr:rowOff>
    </xdr:to>
    <xdr:pic>
      <xdr:nvPicPr>
        <xdr:cNvPr id="1" name="Picture 13" descr="EPA Logo1"/>
        <xdr:cNvPicPr preferRelativeResize="1">
          <a:picLocks noChangeAspect="1"/>
        </xdr:cNvPicPr>
      </xdr:nvPicPr>
      <xdr:blipFill>
        <a:blip r:embed="rId1"/>
        <a:srcRect r="7476"/>
        <a:stretch>
          <a:fillRect/>
        </a:stretch>
      </xdr:blipFill>
      <xdr:spPr>
        <a:xfrm>
          <a:off x="9525" y="7334250"/>
          <a:ext cx="754380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4752975</xdr:colOff>
      <xdr:row>3</xdr:row>
      <xdr:rowOff>0</xdr:rowOff>
    </xdr:from>
    <xdr:to>
      <xdr:col>2</xdr:col>
      <xdr:colOff>0</xdr:colOff>
      <xdr:row>5</xdr:row>
      <xdr:rowOff>0</xdr:rowOff>
    </xdr:to>
    <xdr:pic>
      <xdr:nvPicPr>
        <xdr:cNvPr id="1" name="Box1"/>
        <xdr:cNvPicPr preferRelativeResize="1">
          <a:picLocks noChangeAspect="1"/>
        </xdr:cNvPicPr>
      </xdr:nvPicPr>
      <xdr:blipFill>
        <a:blip r:embed="rId1"/>
        <a:stretch>
          <a:fillRect/>
        </a:stretch>
      </xdr:blipFill>
      <xdr:spPr>
        <a:xfrm>
          <a:off x="4752975" y="609600"/>
          <a:ext cx="1143000" cy="266700"/>
        </a:xfrm>
        <a:prstGeom prst="rect">
          <a:avLst/>
        </a:prstGeom>
        <a:noFill/>
        <a:ln w="9525" cmpd="sng">
          <a:noFill/>
        </a:ln>
      </xdr:spPr>
    </xdr:pic>
    <xdr:clientData/>
  </xdr:twoCellAnchor>
  <xdr:twoCellAnchor>
    <xdr:from>
      <xdr:col>1</xdr:col>
      <xdr:colOff>0</xdr:colOff>
      <xdr:row>18</xdr:row>
      <xdr:rowOff>0</xdr:rowOff>
    </xdr:from>
    <xdr:to>
      <xdr:col>2</xdr:col>
      <xdr:colOff>0</xdr:colOff>
      <xdr:row>18</xdr:row>
      <xdr:rowOff>228600</xdr:rowOff>
    </xdr:to>
    <xdr:pic>
      <xdr:nvPicPr>
        <xdr:cNvPr id="2" name="Box3"/>
        <xdr:cNvPicPr preferRelativeResize="1">
          <a:picLocks noChangeAspect="1"/>
        </xdr:cNvPicPr>
      </xdr:nvPicPr>
      <xdr:blipFill>
        <a:blip r:embed="rId2"/>
        <a:stretch>
          <a:fillRect/>
        </a:stretch>
      </xdr:blipFill>
      <xdr:spPr>
        <a:xfrm>
          <a:off x="5314950" y="4343400"/>
          <a:ext cx="581025" cy="228600"/>
        </a:xfrm>
        <a:prstGeom prst="rect">
          <a:avLst/>
        </a:prstGeom>
        <a:noFill/>
        <a:ln w="9525" cmpd="sng">
          <a:noFill/>
        </a:ln>
      </xdr:spPr>
    </xdr:pic>
    <xdr:clientData/>
  </xdr:twoCellAnchor>
  <xdr:twoCellAnchor>
    <xdr:from>
      <xdr:col>1</xdr:col>
      <xdr:colOff>0</xdr:colOff>
      <xdr:row>21</xdr:row>
      <xdr:rowOff>0</xdr:rowOff>
    </xdr:from>
    <xdr:to>
      <xdr:col>2</xdr:col>
      <xdr:colOff>0</xdr:colOff>
      <xdr:row>21</xdr:row>
      <xdr:rowOff>228600</xdr:rowOff>
    </xdr:to>
    <xdr:pic>
      <xdr:nvPicPr>
        <xdr:cNvPr id="3" name="Box6" hidden="1"/>
        <xdr:cNvPicPr preferRelativeResize="1">
          <a:picLocks noChangeAspect="1"/>
        </xdr:cNvPicPr>
      </xdr:nvPicPr>
      <xdr:blipFill>
        <a:blip r:embed="rId3"/>
        <a:stretch>
          <a:fillRect/>
        </a:stretch>
      </xdr:blipFill>
      <xdr:spPr>
        <a:xfrm>
          <a:off x="5314950" y="4591050"/>
          <a:ext cx="581025" cy="0"/>
        </a:xfrm>
        <a:prstGeom prst="rect">
          <a:avLst/>
        </a:prstGeom>
        <a:noFill/>
        <a:ln w="9525" cmpd="sng">
          <a:noFill/>
        </a:ln>
      </xdr:spPr>
    </xdr:pic>
    <xdr:clientData/>
  </xdr:twoCellAnchor>
  <xdr:twoCellAnchor>
    <xdr:from>
      <xdr:col>1</xdr:col>
      <xdr:colOff>9525</xdr:colOff>
      <xdr:row>27</xdr:row>
      <xdr:rowOff>0</xdr:rowOff>
    </xdr:from>
    <xdr:to>
      <xdr:col>2</xdr:col>
      <xdr:colOff>0</xdr:colOff>
      <xdr:row>27</xdr:row>
      <xdr:rowOff>219075</xdr:rowOff>
    </xdr:to>
    <xdr:pic>
      <xdr:nvPicPr>
        <xdr:cNvPr id="4" name="Box7" hidden="1"/>
        <xdr:cNvPicPr preferRelativeResize="1">
          <a:picLocks noChangeAspect="1"/>
        </xdr:cNvPicPr>
      </xdr:nvPicPr>
      <xdr:blipFill>
        <a:blip r:embed="rId4"/>
        <a:stretch>
          <a:fillRect/>
        </a:stretch>
      </xdr:blipFill>
      <xdr:spPr>
        <a:xfrm>
          <a:off x="5324475" y="4591050"/>
          <a:ext cx="571500" cy="0"/>
        </a:xfrm>
        <a:prstGeom prst="rect">
          <a:avLst/>
        </a:prstGeom>
        <a:noFill/>
        <a:ln w="9525" cmpd="sng">
          <a:noFill/>
        </a:ln>
      </xdr:spPr>
    </xdr:pic>
    <xdr:clientData/>
  </xdr:twoCellAnchor>
  <xdr:twoCellAnchor>
    <xdr:from>
      <xdr:col>1</xdr:col>
      <xdr:colOff>9525</xdr:colOff>
      <xdr:row>33</xdr:row>
      <xdr:rowOff>0</xdr:rowOff>
    </xdr:from>
    <xdr:to>
      <xdr:col>2</xdr:col>
      <xdr:colOff>0</xdr:colOff>
      <xdr:row>33</xdr:row>
      <xdr:rowOff>228600</xdr:rowOff>
    </xdr:to>
    <xdr:pic>
      <xdr:nvPicPr>
        <xdr:cNvPr id="5" name="Box8"/>
        <xdr:cNvPicPr preferRelativeResize="1">
          <a:picLocks noChangeAspect="1"/>
        </xdr:cNvPicPr>
      </xdr:nvPicPr>
      <xdr:blipFill>
        <a:blip r:embed="rId5"/>
        <a:stretch>
          <a:fillRect/>
        </a:stretch>
      </xdr:blipFill>
      <xdr:spPr>
        <a:xfrm>
          <a:off x="5324475" y="5086350"/>
          <a:ext cx="571500" cy="228600"/>
        </a:xfrm>
        <a:prstGeom prst="rect">
          <a:avLst/>
        </a:prstGeom>
        <a:noFill/>
        <a:ln w="9525" cmpd="sng">
          <a:noFill/>
        </a:ln>
      </xdr:spPr>
    </xdr:pic>
    <xdr:clientData/>
  </xdr:twoCellAnchor>
  <xdr:twoCellAnchor>
    <xdr:from>
      <xdr:col>1</xdr:col>
      <xdr:colOff>9525</xdr:colOff>
      <xdr:row>36</xdr:row>
      <xdr:rowOff>0</xdr:rowOff>
    </xdr:from>
    <xdr:to>
      <xdr:col>2</xdr:col>
      <xdr:colOff>0</xdr:colOff>
      <xdr:row>36</xdr:row>
      <xdr:rowOff>219075</xdr:rowOff>
    </xdr:to>
    <xdr:pic>
      <xdr:nvPicPr>
        <xdr:cNvPr id="6" name="Box11" hidden="1"/>
        <xdr:cNvPicPr preferRelativeResize="1">
          <a:picLocks noChangeAspect="1"/>
        </xdr:cNvPicPr>
      </xdr:nvPicPr>
      <xdr:blipFill>
        <a:blip r:embed="rId4"/>
        <a:stretch>
          <a:fillRect/>
        </a:stretch>
      </xdr:blipFill>
      <xdr:spPr>
        <a:xfrm>
          <a:off x="5324475" y="5334000"/>
          <a:ext cx="571500" cy="0"/>
        </a:xfrm>
        <a:prstGeom prst="rect">
          <a:avLst/>
        </a:prstGeom>
        <a:noFill/>
        <a:ln w="9525" cmpd="sng">
          <a:noFill/>
        </a:ln>
      </xdr:spPr>
    </xdr:pic>
    <xdr:clientData/>
  </xdr:twoCellAnchor>
  <xdr:twoCellAnchor>
    <xdr:from>
      <xdr:col>1</xdr:col>
      <xdr:colOff>9525</xdr:colOff>
      <xdr:row>37</xdr:row>
      <xdr:rowOff>0</xdr:rowOff>
    </xdr:from>
    <xdr:to>
      <xdr:col>2</xdr:col>
      <xdr:colOff>0</xdr:colOff>
      <xdr:row>37</xdr:row>
      <xdr:rowOff>219075</xdr:rowOff>
    </xdr:to>
    <xdr:pic>
      <xdr:nvPicPr>
        <xdr:cNvPr id="7" name="Box12" hidden="1"/>
        <xdr:cNvPicPr preferRelativeResize="1">
          <a:picLocks noChangeAspect="1"/>
        </xdr:cNvPicPr>
      </xdr:nvPicPr>
      <xdr:blipFill>
        <a:blip r:embed="rId4"/>
        <a:stretch>
          <a:fillRect/>
        </a:stretch>
      </xdr:blipFill>
      <xdr:spPr>
        <a:xfrm>
          <a:off x="5324475" y="5334000"/>
          <a:ext cx="571500" cy="0"/>
        </a:xfrm>
        <a:prstGeom prst="rect">
          <a:avLst/>
        </a:prstGeom>
        <a:noFill/>
        <a:ln w="9525" cmpd="sng">
          <a:noFill/>
        </a:ln>
      </xdr:spPr>
    </xdr:pic>
    <xdr:clientData/>
  </xdr:twoCellAnchor>
  <xdr:twoCellAnchor>
    <xdr:from>
      <xdr:col>1</xdr:col>
      <xdr:colOff>9525</xdr:colOff>
      <xdr:row>43</xdr:row>
      <xdr:rowOff>0</xdr:rowOff>
    </xdr:from>
    <xdr:to>
      <xdr:col>2</xdr:col>
      <xdr:colOff>0</xdr:colOff>
      <xdr:row>43</xdr:row>
      <xdr:rowOff>219075</xdr:rowOff>
    </xdr:to>
    <xdr:pic>
      <xdr:nvPicPr>
        <xdr:cNvPr id="8" name="Box13" hidden="1"/>
        <xdr:cNvPicPr preferRelativeResize="1">
          <a:picLocks noChangeAspect="1"/>
        </xdr:cNvPicPr>
      </xdr:nvPicPr>
      <xdr:blipFill>
        <a:blip r:embed="rId4"/>
        <a:stretch>
          <a:fillRect/>
        </a:stretch>
      </xdr:blipFill>
      <xdr:spPr>
        <a:xfrm>
          <a:off x="5324475" y="5334000"/>
          <a:ext cx="571500" cy="0"/>
        </a:xfrm>
        <a:prstGeom prst="rect">
          <a:avLst/>
        </a:prstGeom>
        <a:noFill/>
        <a:ln w="9525" cmpd="sng">
          <a:noFill/>
        </a:ln>
      </xdr:spPr>
    </xdr:pic>
    <xdr:clientData/>
  </xdr:twoCellAnchor>
  <xdr:twoCellAnchor>
    <xdr:from>
      <xdr:col>1</xdr:col>
      <xdr:colOff>0</xdr:colOff>
      <xdr:row>49</xdr:row>
      <xdr:rowOff>0</xdr:rowOff>
    </xdr:from>
    <xdr:to>
      <xdr:col>2</xdr:col>
      <xdr:colOff>0</xdr:colOff>
      <xdr:row>49</xdr:row>
      <xdr:rowOff>219075</xdr:rowOff>
    </xdr:to>
    <xdr:pic>
      <xdr:nvPicPr>
        <xdr:cNvPr id="9" name="Box15" hidden="1"/>
        <xdr:cNvPicPr preferRelativeResize="1">
          <a:picLocks noChangeAspect="1"/>
        </xdr:cNvPicPr>
      </xdr:nvPicPr>
      <xdr:blipFill>
        <a:blip r:embed="rId3"/>
        <a:stretch>
          <a:fillRect/>
        </a:stretch>
      </xdr:blipFill>
      <xdr:spPr>
        <a:xfrm>
          <a:off x="5314950" y="5829300"/>
          <a:ext cx="581025" cy="0"/>
        </a:xfrm>
        <a:prstGeom prst="rect">
          <a:avLst/>
        </a:prstGeom>
        <a:noFill/>
        <a:ln w="9525" cmpd="sng">
          <a:noFill/>
        </a:ln>
      </xdr:spPr>
    </xdr:pic>
    <xdr:clientData/>
  </xdr:twoCellAnchor>
  <xdr:twoCellAnchor>
    <xdr:from>
      <xdr:col>1</xdr:col>
      <xdr:colOff>9525</xdr:colOff>
      <xdr:row>48</xdr:row>
      <xdr:rowOff>0</xdr:rowOff>
    </xdr:from>
    <xdr:to>
      <xdr:col>2</xdr:col>
      <xdr:colOff>0</xdr:colOff>
      <xdr:row>48</xdr:row>
      <xdr:rowOff>228600</xdr:rowOff>
    </xdr:to>
    <xdr:pic>
      <xdr:nvPicPr>
        <xdr:cNvPr id="10" name="Box14"/>
        <xdr:cNvPicPr preferRelativeResize="1">
          <a:picLocks noChangeAspect="1"/>
        </xdr:cNvPicPr>
      </xdr:nvPicPr>
      <xdr:blipFill>
        <a:blip r:embed="rId6"/>
        <a:stretch>
          <a:fillRect/>
        </a:stretch>
      </xdr:blipFill>
      <xdr:spPr>
        <a:xfrm>
          <a:off x="5324475" y="5581650"/>
          <a:ext cx="571500" cy="228600"/>
        </a:xfrm>
        <a:prstGeom prst="rect">
          <a:avLst/>
        </a:prstGeom>
        <a:noFill/>
        <a:ln w="9525" cmpd="sng">
          <a:noFill/>
        </a:ln>
      </xdr:spPr>
    </xdr:pic>
    <xdr:clientData/>
  </xdr:twoCellAnchor>
  <xdr:twoCellAnchor>
    <xdr:from>
      <xdr:col>1</xdr:col>
      <xdr:colOff>0</xdr:colOff>
      <xdr:row>51</xdr:row>
      <xdr:rowOff>0</xdr:rowOff>
    </xdr:from>
    <xdr:to>
      <xdr:col>2</xdr:col>
      <xdr:colOff>9525</xdr:colOff>
      <xdr:row>51</xdr:row>
      <xdr:rowOff>219075</xdr:rowOff>
    </xdr:to>
    <xdr:pic>
      <xdr:nvPicPr>
        <xdr:cNvPr id="11" name="Box17" hidden="1"/>
        <xdr:cNvPicPr preferRelativeResize="1">
          <a:picLocks noChangeAspect="1"/>
        </xdr:cNvPicPr>
      </xdr:nvPicPr>
      <xdr:blipFill>
        <a:blip r:embed="rId7"/>
        <a:stretch>
          <a:fillRect/>
        </a:stretch>
      </xdr:blipFill>
      <xdr:spPr>
        <a:xfrm>
          <a:off x="5314950" y="5829300"/>
          <a:ext cx="590550" cy="0"/>
        </a:xfrm>
        <a:prstGeom prst="rect">
          <a:avLst/>
        </a:prstGeom>
        <a:noFill/>
        <a:ln w="9525" cmpd="sng">
          <a:noFill/>
        </a:ln>
      </xdr:spPr>
    </xdr:pic>
    <xdr:clientData/>
  </xdr:twoCellAnchor>
  <xdr:twoCellAnchor>
    <xdr:from>
      <xdr:col>0</xdr:col>
      <xdr:colOff>5229225</xdr:colOff>
      <xdr:row>58</xdr:row>
      <xdr:rowOff>0</xdr:rowOff>
    </xdr:from>
    <xdr:to>
      <xdr:col>2</xdr:col>
      <xdr:colOff>0</xdr:colOff>
      <xdr:row>58</xdr:row>
      <xdr:rowOff>219075</xdr:rowOff>
    </xdr:to>
    <xdr:pic>
      <xdr:nvPicPr>
        <xdr:cNvPr id="12" name="Box19" hidden="1"/>
        <xdr:cNvPicPr preferRelativeResize="1">
          <a:picLocks noChangeAspect="1"/>
        </xdr:cNvPicPr>
      </xdr:nvPicPr>
      <xdr:blipFill>
        <a:blip r:embed="rId7"/>
        <a:stretch>
          <a:fillRect/>
        </a:stretch>
      </xdr:blipFill>
      <xdr:spPr>
        <a:xfrm>
          <a:off x="5229225" y="5829300"/>
          <a:ext cx="666750" cy="0"/>
        </a:xfrm>
        <a:prstGeom prst="rect">
          <a:avLst/>
        </a:prstGeom>
        <a:noFill/>
        <a:ln w="9525" cmpd="sng">
          <a:noFill/>
        </a:ln>
      </xdr:spPr>
    </xdr:pic>
    <xdr:clientData/>
  </xdr:twoCellAnchor>
  <xdr:twoCellAnchor>
    <xdr:from>
      <xdr:col>1</xdr:col>
      <xdr:colOff>0</xdr:colOff>
      <xdr:row>75</xdr:row>
      <xdr:rowOff>0</xdr:rowOff>
    </xdr:from>
    <xdr:to>
      <xdr:col>2</xdr:col>
      <xdr:colOff>0</xdr:colOff>
      <xdr:row>75</xdr:row>
      <xdr:rowOff>228600</xdr:rowOff>
    </xdr:to>
    <xdr:pic>
      <xdr:nvPicPr>
        <xdr:cNvPr id="13" name="Box25" hidden="1"/>
        <xdr:cNvPicPr preferRelativeResize="1">
          <a:picLocks noChangeAspect="1"/>
        </xdr:cNvPicPr>
      </xdr:nvPicPr>
      <xdr:blipFill>
        <a:blip r:embed="rId3"/>
        <a:stretch>
          <a:fillRect/>
        </a:stretch>
      </xdr:blipFill>
      <xdr:spPr>
        <a:xfrm>
          <a:off x="5314950" y="6819900"/>
          <a:ext cx="581025" cy="0"/>
        </a:xfrm>
        <a:prstGeom prst="rect">
          <a:avLst/>
        </a:prstGeom>
        <a:noFill/>
        <a:ln w="9525" cmpd="sng">
          <a:noFill/>
        </a:ln>
      </xdr:spPr>
    </xdr:pic>
    <xdr:clientData/>
  </xdr:twoCellAnchor>
  <xdr:twoCellAnchor>
    <xdr:from>
      <xdr:col>1</xdr:col>
      <xdr:colOff>0</xdr:colOff>
      <xdr:row>82</xdr:row>
      <xdr:rowOff>0</xdr:rowOff>
    </xdr:from>
    <xdr:to>
      <xdr:col>2</xdr:col>
      <xdr:colOff>0</xdr:colOff>
      <xdr:row>82</xdr:row>
      <xdr:rowOff>228600</xdr:rowOff>
    </xdr:to>
    <xdr:pic>
      <xdr:nvPicPr>
        <xdr:cNvPr id="14" name="Box27" hidden="1"/>
        <xdr:cNvPicPr preferRelativeResize="1">
          <a:picLocks noChangeAspect="1"/>
        </xdr:cNvPicPr>
      </xdr:nvPicPr>
      <xdr:blipFill>
        <a:blip r:embed="rId3"/>
        <a:stretch>
          <a:fillRect/>
        </a:stretch>
      </xdr:blipFill>
      <xdr:spPr>
        <a:xfrm>
          <a:off x="5314950" y="6819900"/>
          <a:ext cx="581025" cy="0"/>
        </a:xfrm>
        <a:prstGeom prst="rect">
          <a:avLst/>
        </a:prstGeom>
        <a:noFill/>
        <a:ln w="9525" cmpd="sng">
          <a:noFill/>
        </a:ln>
      </xdr:spPr>
    </xdr:pic>
    <xdr:clientData/>
  </xdr:twoCellAnchor>
  <xdr:twoCellAnchor>
    <xdr:from>
      <xdr:col>1</xdr:col>
      <xdr:colOff>0</xdr:colOff>
      <xdr:row>91</xdr:row>
      <xdr:rowOff>0</xdr:rowOff>
    </xdr:from>
    <xdr:to>
      <xdr:col>1</xdr:col>
      <xdr:colOff>581025</xdr:colOff>
      <xdr:row>91</xdr:row>
      <xdr:rowOff>219075</xdr:rowOff>
    </xdr:to>
    <xdr:pic>
      <xdr:nvPicPr>
        <xdr:cNvPr id="15" name="Box29"/>
        <xdr:cNvPicPr preferRelativeResize="1">
          <a:picLocks noChangeAspect="1"/>
        </xdr:cNvPicPr>
      </xdr:nvPicPr>
      <xdr:blipFill>
        <a:blip r:embed="rId8"/>
        <a:stretch>
          <a:fillRect/>
        </a:stretch>
      </xdr:blipFill>
      <xdr:spPr>
        <a:xfrm>
          <a:off x="5314950" y="8201025"/>
          <a:ext cx="581025" cy="219075"/>
        </a:xfrm>
        <a:prstGeom prst="rect">
          <a:avLst/>
        </a:prstGeom>
        <a:noFill/>
        <a:ln w="9525" cmpd="sng">
          <a:noFill/>
        </a:ln>
      </xdr:spPr>
    </xdr:pic>
    <xdr:clientData/>
  </xdr:twoCellAnchor>
  <xdr:twoCellAnchor>
    <xdr:from>
      <xdr:col>1</xdr:col>
      <xdr:colOff>0</xdr:colOff>
      <xdr:row>94</xdr:row>
      <xdr:rowOff>0</xdr:rowOff>
    </xdr:from>
    <xdr:to>
      <xdr:col>2</xdr:col>
      <xdr:colOff>0</xdr:colOff>
      <xdr:row>94</xdr:row>
      <xdr:rowOff>219075</xdr:rowOff>
    </xdr:to>
    <xdr:pic>
      <xdr:nvPicPr>
        <xdr:cNvPr id="16" name="Box32" hidden="1"/>
        <xdr:cNvPicPr preferRelativeResize="1">
          <a:picLocks noChangeAspect="1"/>
        </xdr:cNvPicPr>
      </xdr:nvPicPr>
      <xdr:blipFill>
        <a:blip r:embed="rId3"/>
        <a:stretch>
          <a:fillRect/>
        </a:stretch>
      </xdr:blipFill>
      <xdr:spPr>
        <a:xfrm>
          <a:off x="5314950" y="8448675"/>
          <a:ext cx="581025" cy="0"/>
        </a:xfrm>
        <a:prstGeom prst="rect">
          <a:avLst/>
        </a:prstGeom>
        <a:noFill/>
        <a:ln w="9525" cmpd="sng">
          <a:noFill/>
        </a:ln>
      </xdr:spPr>
    </xdr:pic>
    <xdr:clientData/>
  </xdr:twoCellAnchor>
  <xdr:twoCellAnchor>
    <xdr:from>
      <xdr:col>1</xdr:col>
      <xdr:colOff>0</xdr:colOff>
      <xdr:row>52</xdr:row>
      <xdr:rowOff>0</xdr:rowOff>
    </xdr:from>
    <xdr:to>
      <xdr:col>2</xdr:col>
      <xdr:colOff>0</xdr:colOff>
      <xdr:row>52</xdr:row>
      <xdr:rowOff>219075</xdr:rowOff>
    </xdr:to>
    <xdr:pic>
      <xdr:nvPicPr>
        <xdr:cNvPr id="17" name="Box18" hidden="1"/>
        <xdr:cNvPicPr preferRelativeResize="1">
          <a:picLocks noChangeAspect="1"/>
        </xdr:cNvPicPr>
      </xdr:nvPicPr>
      <xdr:blipFill>
        <a:blip r:embed="rId3"/>
        <a:stretch>
          <a:fillRect/>
        </a:stretch>
      </xdr:blipFill>
      <xdr:spPr>
        <a:xfrm>
          <a:off x="5314950" y="5829300"/>
          <a:ext cx="581025" cy="0"/>
        </a:xfrm>
        <a:prstGeom prst="rect">
          <a:avLst/>
        </a:prstGeom>
        <a:noFill/>
        <a:ln w="9525" cmpd="sng">
          <a:noFill/>
        </a:ln>
      </xdr:spPr>
    </xdr:pic>
    <xdr:clientData/>
  </xdr:twoCellAnchor>
  <xdr:twoCellAnchor>
    <xdr:from>
      <xdr:col>1</xdr:col>
      <xdr:colOff>9525</xdr:colOff>
      <xdr:row>76</xdr:row>
      <xdr:rowOff>0</xdr:rowOff>
    </xdr:from>
    <xdr:to>
      <xdr:col>2</xdr:col>
      <xdr:colOff>0</xdr:colOff>
      <xdr:row>76</xdr:row>
      <xdr:rowOff>228600</xdr:rowOff>
    </xdr:to>
    <xdr:pic>
      <xdr:nvPicPr>
        <xdr:cNvPr id="18" name="Box26" hidden="1"/>
        <xdr:cNvPicPr preferRelativeResize="1">
          <a:picLocks noChangeAspect="1"/>
        </xdr:cNvPicPr>
      </xdr:nvPicPr>
      <xdr:blipFill>
        <a:blip r:embed="rId4"/>
        <a:stretch>
          <a:fillRect/>
        </a:stretch>
      </xdr:blipFill>
      <xdr:spPr>
        <a:xfrm>
          <a:off x="5324475" y="6819900"/>
          <a:ext cx="571500" cy="0"/>
        </a:xfrm>
        <a:prstGeom prst="rect">
          <a:avLst/>
        </a:prstGeom>
        <a:noFill/>
        <a:ln w="9525" cmpd="sng">
          <a:noFill/>
        </a:ln>
      </xdr:spPr>
    </xdr:pic>
    <xdr:clientData/>
  </xdr:twoCellAnchor>
  <xdr:twoCellAnchor>
    <xdr:from>
      <xdr:col>1</xdr:col>
      <xdr:colOff>9525</xdr:colOff>
      <xdr:row>63</xdr:row>
      <xdr:rowOff>0</xdr:rowOff>
    </xdr:from>
    <xdr:to>
      <xdr:col>2</xdr:col>
      <xdr:colOff>0</xdr:colOff>
      <xdr:row>63</xdr:row>
      <xdr:rowOff>219075</xdr:rowOff>
    </xdr:to>
    <xdr:pic>
      <xdr:nvPicPr>
        <xdr:cNvPr id="19" name="Box20"/>
        <xdr:cNvPicPr preferRelativeResize="1">
          <a:picLocks noChangeAspect="1"/>
        </xdr:cNvPicPr>
      </xdr:nvPicPr>
      <xdr:blipFill>
        <a:blip r:embed="rId9"/>
        <a:stretch>
          <a:fillRect/>
        </a:stretch>
      </xdr:blipFill>
      <xdr:spPr>
        <a:xfrm>
          <a:off x="5324475" y="6076950"/>
          <a:ext cx="571500" cy="219075"/>
        </a:xfrm>
        <a:prstGeom prst="rect">
          <a:avLst/>
        </a:prstGeom>
        <a:noFill/>
        <a:ln w="9525" cmpd="sng">
          <a:noFill/>
        </a:ln>
      </xdr:spPr>
    </xdr:pic>
    <xdr:clientData/>
  </xdr:twoCellAnchor>
  <xdr:twoCellAnchor>
    <xdr:from>
      <xdr:col>1</xdr:col>
      <xdr:colOff>9525</xdr:colOff>
      <xdr:row>64</xdr:row>
      <xdr:rowOff>0</xdr:rowOff>
    </xdr:from>
    <xdr:to>
      <xdr:col>2</xdr:col>
      <xdr:colOff>0</xdr:colOff>
      <xdr:row>64</xdr:row>
      <xdr:rowOff>228600</xdr:rowOff>
    </xdr:to>
    <xdr:pic>
      <xdr:nvPicPr>
        <xdr:cNvPr id="20" name="Box21" hidden="1"/>
        <xdr:cNvPicPr preferRelativeResize="1">
          <a:picLocks noChangeAspect="1"/>
        </xdr:cNvPicPr>
      </xdr:nvPicPr>
      <xdr:blipFill>
        <a:blip r:embed="rId4"/>
        <a:stretch>
          <a:fillRect/>
        </a:stretch>
      </xdr:blipFill>
      <xdr:spPr>
        <a:xfrm>
          <a:off x="5324475" y="6324600"/>
          <a:ext cx="571500" cy="0"/>
        </a:xfrm>
        <a:prstGeom prst="rect">
          <a:avLst/>
        </a:prstGeom>
        <a:noFill/>
        <a:ln w="9525" cmpd="sng">
          <a:noFill/>
        </a:ln>
      </xdr:spPr>
    </xdr:pic>
    <xdr:clientData/>
  </xdr:twoCellAnchor>
  <xdr:twoCellAnchor>
    <xdr:from>
      <xdr:col>1</xdr:col>
      <xdr:colOff>19050</xdr:colOff>
      <xdr:row>19</xdr:row>
      <xdr:rowOff>19050</xdr:rowOff>
    </xdr:from>
    <xdr:to>
      <xdr:col>2</xdr:col>
      <xdr:colOff>19050</xdr:colOff>
      <xdr:row>19</xdr:row>
      <xdr:rowOff>257175</xdr:rowOff>
    </xdr:to>
    <xdr:pic>
      <xdr:nvPicPr>
        <xdr:cNvPr id="21" name="Box4" hidden="1"/>
        <xdr:cNvPicPr preferRelativeResize="1">
          <a:picLocks noChangeAspect="1"/>
        </xdr:cNvPicPr>
      </xdr:nvPicPr>
      <xdr:blipFill>
        <a:blip r:embed="rId10"/>
        <a:stretch>
          <a:fillRect/>
        </a:stretch>
      </xdr:blipFill>
      <xdr:spPr>
        <a:xfrm>
          <a:off x="5334000" y="4591050"/>
          <a:ext cx="581025" cy="0"/>
        </a:xfrm>
        <a:prstGeom prst="rect">
          <a:avLst/>
        </a:prstGeom>
        <a:noFill/>
        <a:ln w="9525" cmpd="sng">
          <a:noFill/>
        </a:ln>
      </xdr:spPr>
    </xdr:pic>
    <xdr:clientData/>
  </xdr:twoCellAnchor>
  <xdr:twoCellAnchor>
    <xdr:from>
      <xdr:col>1</xdr:col>
      <xdr:colOff>9525</xdr:colOff>
      <xdr:row>34</xdr:row>
      <xdr:rowOff>0</xdr:rowOff>
    </xdr:from>
    <xdr:to>
      <xdr:col>2</xdr:col>
      <xdr:colOff>0</xdr:colOff>
      <xdr:row>34</xdr:row>
      <xdr:rowOff>228600</xdr:rowOff>
    </xdr:to>
    <xdr:pic>
      <xdr:nvPicPr>
        <xdr:cNvPr id="22" name="Box9" hidden="1"/>
        <xdr:cNvPicPr preferRelativeResize="1">
          <a:picLocks noChangeAspect="1"/>
        </xdr:cNvPicPr>
      </xdr:nvPicPr>
      <xdr:blipFill>
        <a:blip r:embed="rId4"/>
        <a:stretch>
          <a:fillRect/>
        </a:stretch>
      </xdr:blipFill>
      <xdr:spPr>
        <a:xfrm>
          <a:off x="5324475" y="5334000"/>
          <a:ext cx="571500" cy="0"/>
        </a:xfrm>
        <a:prstGeom prst="rect">
          <a:avLst/>
        </a:prstGeom>
        <a:noFill/>
        <a:ln w="9525" cmpd="sng">
          <a:noFill/>
        </a:ln>
      </xdr:spPr>
    </xdr:pic>
    <xdr:clientData/>
  </xdr:twoCellAnchor>
  <xdr:twoCellAnchor>
    <xdr:from>
      <xdr:col>1</xdr:col>
      <xdr:colOff>9525</xdr:colOff>
      <xdr:row>35</xdr:row>
      <xdr:rowOff>0</xdr:rowOff>
    </xdr:from>
    <xdr:to>
      <xdr:col>2</xdr:col>
      <xdr:colOff>0</xdr:colOff>
      <xdr:row>35</xdr:row>
      <xdr:rowOff>247650</xdr:rowOff>
    </xdr:to>
    <xdr:pic>
      <xdr:nvPicPr>
        <xdr:cNvPr id="23" name="Box10" hidden="1"/>
        <xdr:cNvPicPr preferRelativeResize="1">
          <a:picLocks noChangeAspect="1"/>
        </xdr:cNvPicPr>
      </xdr:nvPicPr>
      <xdr:blipFill>
        <a:blip r:embed="rId11"/>
        <a:stretch>
          <a:fillRect/>
        </a:stretch>
      </xdr:blipFill>
      <xdr:spPr>
        <a:xfrm>
          <a:off x="5324475" y="5334000"/>
          <a:ext cx="571500" cy="0"/>
        </a:xfrm>
        <a:prstGeom prst="rect">
          <a:avLst/>
        </a:prstGeom>
        <a:noFill/>
        <a:ln w="9525" cmpd="sng">
          <a:noFill/>
        </a:ln>
      </xdr:spPr>
    </xdr:pic>
    <xdr:clientData/>
  </xdr:twoCellAnchor>
  <xdr:twoCellAnchor>
    <xdr:from>
      <xdr:col>1</xdr:col>
      <xdr:colOff>0</xdr:colOff>
      <xdr:row>50</xdr:row>
      <xdr:rowOff>0</xdr:rowOff>
    </xdr:from>
    <xdr:to>
      <xdr:col>2</xdr:col>
      <xdr:colOff>9525</xdr:colOff>
      <xdr:row>50</xdr:row>
      <xdr:rowOff>219075</xdr:rowOff>
    </xdr:to>
    <xdr:pic>
      <xdr:nvPicPr>
        <xdr:cNvPr id="24" name="Box16" hidden="1"/>
        <xdr:cNvPicPr preferRelativeResize="1">
          <a:picLocks noChangeAspect="1"/>
        </xdr:cNvPicPr>
      </xdr:nvPicPr>
      <xdr:blipFill>
        <a:blip r:embed="rId7"/>
        <a:stretch>
          <a:fillRect/>
        </a:stretch>
      </xdr:blipFill>
      <xdr:spPr>
        <a:xfrm>
          <a:off x="5314950" y="5829300"/>
          <a:ext cx="590550" cy="0"/>
        </a:xfrm>
        <a:prstGeom prst="rect">
          <a:avLst/>
        </a:prstGeom>
        <a:noFill/>
        <a:ln w="9525" cmpd="sng">
          <a:noFill/>
        </a:ln>
      </xdr:spPr>
    </xdr:pic>
    <xdr:clientData/>
  </xdr:twoCellAnchor>
  <xdr:twoCellAnchor>
    <xdr:from>
      <xdr:col>1</xdr:col>
      <xdr:colOff>0</xdr:colOff>
      <xdr:row>73</xdr:row>
      <xdr:rowOff>0</xdr:rowOff>
    </xdr:from>
    <xdr:to>
      <xdr:col>2</xdr:col>
      <xdr:colOff>0</xdr:colOff>
      <xdr:row>73</xdr:row>
      <xdr:rowOff>228600</xdr:rowOff>
    </xdr:to>
    <xdr:pic>
      <xdr:nvPicPr>
        <xdr:cNvPr id="25" name="Box23"/>
        <xdr:cNvPicPr preferRelativeResize="1">
          <a:picLocks noChangeAspect="1"/>
        </xdr:cNvPicPr>
      </xdr:nvPicPr>
      <xdr:blipFill>
        <a:blip r:embed="rId12"/>
        <a:stretch>
          <a:fillRect/>
        </a:stretch>
      </xdr:blipFill>
      <xdr:spPr>
        <a:xfrm>
          <a:off x="5314950" y="6572250"/>
          <a:ext cx="581025" cy="228600"/>
        </a:xfrm>
        <a:prstGeom prst="rect">
          <a:avLst/>
        </a:prstGeom>
        <a:noFill/>
        <a:ln w="9525" cmpd="sng">
          <a:noFill/>
        </a:ln>
      </xdr:spPr>
    </xdr:pic>
    <xdr:clientData/>
  </xdr:twoCellAnchor>
  <xdr:twoCellAnchor>
    <xdr:from>
      <xdr:col>1</xdr:col>
      <xdr:colOff>0</xdr:colOff>
      <xdr:row>74</xdr:row>
      <xdr:rowOff>0</xdr:rowOff>
    </xdr:from>
    <xdr:to>
      <xdr:col>2</xdr:col>
      <xdr:colOff>0</xdr:colOff>
      <xdr:row>74</xdr:row>
      <xdr:rowOff>247650</xdr:rowOff>
    </xdr:to>
    <xdr:pic>
      <xdr:nvPicPr>
        <xdr:cNvPr id="26" name="Box24" hidden="1"/>
        <xdr:cNvPicPr preferRelativeResize="1">
          <a:picLocks noChangeAspect="1"/>
        </xdr:cNvPicPr>
      </xdr:nvPicPr>
      <xdr:blipFill>
        <a:blip r:embed="rId13"/>
        <a:stretch>
          <a:fillRect/>
        </a:stretch>
      </xdr:blipFill>
      <xdr:spPr>
        <a:xfrm>
          <a:off x="5314950" y="6819900"/>
          <a:ext cx="581025" cy="0"/>
        </a:xfrm>
        <a:prstGeom prst="rect">
          <a:avLst/>
        </a:prstGeom>
        <a:noFill/>
        <a:ln w="9525" cmpd="sng">
          <a:noFill/>
        </a:ln>
      </xdr:spPr>
    </xdr:pic>
    <xdr:clientData/>
  </xdr:twoCellAnchor>
  <xdr:twoCellAnchor>
    <xdr:from>
      <xdr:col>1</xdr:col>
      <xdr:colOff>0</xdr:colOff>
      <xdr:row>92</xdr:row>
      <xdr:rowOff>0</xdr:rowOff>
    </xdr:from>
    <xdr:to>
      <xdr:col>2</xdr:col>
      <xdr:colOff>0</xdr:colOff>
      <xdr:row>92</xdr:row>
      <xdr:rowOff>228600</xdr:rowOff>
    </xdr:to>
    <xdr:pic>
      <xdr:nvPicPr>
        <xdr:cNvPr id="27" name="Box30" hidden="1"/>
        <xdr:cNvPicPr preferRelativeResize="1">
          <a:picLocks noChangeAspect="1"/>
        </xdr:cNvPicPr>
      </xdr:nvPicPr>
      <xdr:blipFill>
        <a:blip r:embed="rId3"/>
        <a:stretch>
          <a:fillRect/>
        </a:stretch>
      </xdr:blipFill>
      <xdr:spPr>
        <a:xfrm>
          <a:off x="5314950" y="8448675"/>
          <a:ext cx="581025" cy="0"/>
        </a:xfrm>
        <a:prstGeom prst="rect">
          <a:avLst/>
        </a:prstGeom>
        <a:noFill/>
        <a:ln w="9525" cmpd="sng">
          <a:noFill/>
        </a:ln>
      </xdr:spPr>
    </xdr:pic>
    <xdr:clientData/>
  </xdr:twoCellAnchor>
  <xdr:twoCellAnchor>
    <xdr:from>
      <xdr:col>1</xdr:col>
      <xdr:colOff>0</xdr:colOff>
      <xdr:row>93</xdr:row>
      <xdr:rowOff>0</xdr:rowOff>
    </xdr:from>
    <xdr:to>
      <xdr:col>1</xdr:col>
      <xdr:colOff>581025</xdr:colOff>
      <xdr:row>93</xdr:row>
      <xdr:rowOff>219075</xdr:rowOff>
    </xdr:to>
    <xdr:pic>
      <xdr:nvPicPr>
        <xdr:cNvPr id="28" name="Box31" hidden="1"/>
        <xdr:cNvPicPr preferRelativeResize="1">
          <a:picLocks noChangeAspect="1"/>
        </xdr:cNvPicPr>
      </xdr:nvPicPr>
      <xdr:blipFill>
        <a:blip r:embed="rId4"/>
        <a:stretch>
          <a:fillRect/>
        </a:stretch>
      </xdr:blipFill>
      <xdr:spPr>
        <a:xfrm>
          <a:off x="5314950" y="8448675"/>
          <a:ext cx="581025" cy="0"/>
        </a:xfrm>
        <a:prstGeom prst="rect">
          <a:avLst/>
        </a:prstGeom>
        <a:noFill/>
        <a:ln w="9525" cmpd="sng">
          <a:noFill/>
        </a:ln>
      </xdr:spPr>
    </xdr:pic>
    <xdr:clientData/>
  </xdr:twoCellAnchor>
  <xdr:twoCellAnchor>
    <xdr:from>
      <xdr:col>1</xdr:col>
      <xdr:colOff>0</xdr:colOff>
      <xdr:row>96</xdr:row>
      <xdr:rowOff>0</xdr:rowOff>
    </xdr:from>
    <xdr:to>
      <xdr:col>2</xdr:col>
      <xdr:colOff>0</xdr:colOff>
      <xdr:row>96</xdr:row>
      <xdr:rowOff>361950</xdr:rowOff>
    </xdr:to>
    <xdr:pic>
      <xdr:nvPicPr>
        <xdr:cNvPr id="29" name="Box33" hidden="1"/>
        <xdr:cNvPicPr preferRelativeResize="1">
          <a:picLocks noChangeAspect="1"/>
        </xdr:cNvPicPr>
      </xdr:nvPicPr>
      <xdr:blipFill>
        <a:blip r:embed="rId14"/>
        <a:stretch>
          <a:fillRect/>
        </a:stretch>
      </xdr:blipFill>
      <xdr:spPr>
        <a:xfrm>
          <a:off x="5314950" y="8448675"/>
          <a:ext cx="581025" cy="0"/>
        </a:xfrm>
        <a:prstGeom prst="rect">
          <a:avLst/>
        </a:prstGeom>
        <a:noFill/>
        <a:ln w="9525" cmpd="sng">
          <a:noFill/>
        </a:ln>
      </xdr:spPr>
    </xdr:pic>
    <xdr:clientData/>
  </xdr:twoCellAnchor>
  <xdr:twoCellAnchor>
    <xdr:from>
      <xdr:col>1</xdr:col>
      <xdr:colOff>0</xdr:colOff>
      <xdr:row>65</xdr:row>
      <xdr:rowOff>0</xdr:rowOff>
    </xdr:from>
    <xdr:to>
      <xdr:col>2</xdr:col>
      <xdr:colOff>0</xdr:colOff>
      <xdr:row>65</xdr:row>
      <xdr:rowOff>219075</xdr:rowOff>
    </xdr:to>
    <xdr:pic>
      <xdr:nvPicPr>
        <xdr:cNvPr id="30" name="Box22"/>
        <xdr:cNvPicPr preferRelativeResize="1">
          <a:picLocks noChangeAspect="1"/>
        </xdr:cNvPicPr>
      </xdr:nvPicPr>
      <xdr:blipFill>
        <a:blip r:embed="rId15"/>
        <a:stretch>
          <a:fillRect/>
        </a:stretch>
      </xdr:blipFill>
      <xdr:spPr>
        <a:xfrm>
          <a:off x="5314950" y="6324600"/>
          <a:ext cx="581025" cy="219075"/>
        </a:xfrm>
        <a:prstGeom prst="rect">
          <a:avLst/>
        </a:prstGeom>
        <a:noFill/>
        <a:ln w="9525" cmpd="sng">
          <a:noFill/>
        </a:ln>
      </xdr:spPr>
    </xdr:pic>
    <xdr:clientData/>
  </xdr:twoCellAnchor>
  <xdr:twoCellAnchor>
    <xdr:from>
      <xdr:col>0</xdr:col>
      <xdr:colOff>4953000</xdr:colOff>
      <xdr:row>86</xdr:row>
      <xdr:rowOff>19050</xdr:rowOff>
    </xdr:from>
    <xdr:to>
      <xdr:col>2</xdr:col>
      <xdr:colOff>9525</xdr:colOff>
      <xdr:row>87</xdr:row>
      <xdr:rowOff>114300</xdr:rowOff>
    </xdr:to>
    <xdr:pic>
      <xdr:nvPicPr>
        <xdr:cNvPr id="31" name="Box28"/>
        <xdr:cNvPicPr preferRelativeResize="1">
          <a:picLocks noChangeAspect="1"/>
        </xdr:cNvPicPr>
      </xdr:nvPicPr>
      <xdr:blipFill>
        <a:blip r:embed="rId16"/>
        <a:stretch>
          <a:fillRect/>
        </a:stretch>
      </xdr:blipFill>
      <xdr:spPr>
        <a:xfrm>
          <a:off x="4953000" y="7105650"/>
          <a:ext cx="952500" cy="257175"/>
        </a:xfrm>
        <a:prstGeom prst="rect">
          <a:avLst/>
        </a:prstGeom>
        <a:noFill/>
        <a:ln w="9525" cmpd="sng">
          <a:noFill/>
        </a:ln>
      </xdr:spPr>
    </xdr:pic>
    <xdr:clientData/>
  </xdr:twoCellAnchor>
  <xdr:twoCellAnchor>
    <xdr:from>
      <xdr:col>1</xdr:col>
      <xdr:colOff>9525</xdr:colOff>
      <xdr:row>20</xdr:row>
      <xdr:rowOff>0</xdr:rowOff>
    </xdr:from>
    <xdr:to>
      <xdr:col>1</xdr:col>
      <xdr:colOff>581025</xdr:colOff>
      <xdr:row>20</xdr:row>
      <xdr:rowOff>219075</xdr:rowOff>
    </xdr:to>
    <xdr:pic>
      <xdr:nvPicPr>
        <xdr:cNvPr id="32" name="Box5" hidden="1"/>
        <xdr:cNvPicPr preferRelativeResize="1">
          <a:picLocks noChangeAspect="1"/>
        </xdr:cNvPicPr>
      </xdr:nvPicPr>
      <xdr:blipFill>
        <a:blip r:embed="rId17"/>
        <a:stretch>
          <a:fillRect/>
        </a:stretch>
      </xdr:blipFill>
      <xdr:spPr>
        <a:xfrm>
          <a:off x="5324475" y="4591050"/>
          <a:ext cx="571500" cy="0"/>
        </a:xfrm>
        <a:prstGeom prst="rect">
          <a:avLst/>
        </a:prstGeom>
        <a:noFill/>
        <a:ln w="9525" cmpd="sng">
          <a:noFill/>
        </a:ln>
      </xdr:spPr>
    </xdr:pic>
    <xdr:clientData/>
  </xdr:twoCellAnchor>
  <xdr:twoCellAnchor editAs="oneCell">
    <xdr:from>
      <xdr:col>2</xdr:col>
      <xdr:colOff>0</xdr:colOff>
      <xdr:row>13</xdr:row>
      <xdr:rowOff>28575</xdr:rowOff>
    </xdr:from>
    <xdr:to>
      <xdr:col>4</xdr:col>
      <xdr:colOff>590550</xdr:colOff>
      <xdr:row>14</xdr:row>
      <xdr:rowOff>9525</xdr:rowOff>
    </xdr:to>
    <xdr:pic>
      <xdr:nvPicPr>
        <xdr:cNvPr id="33" name="Box34"/>
        <xdr:cNvPicPr preferRelativeResize="1">
          <a:picLocks noChangeAspect="1"/>
        </xdr:cNvPicPr>
      </xdr:nvPicPr>
      <xdr:blipFill>
        <a:blip r:embed="rId18"/>
        <a:stretch>
          <a:fillRect/>
        </a:stretch>
      </xdr:blipFill>
      <xdr:spPr>
        <a:xfrm>
          <a:off x="5895975" y="3114675"/>
          <a:ext cx="704850" cy="228600"/>
        </a:xfrm>
        <a:prstGeom prst="rect">
          <a:avLst/>
        </a:prstGeom>
        <a:noFill/>
        <a:ln w="9525" cmpd="sng">
          <a:noFill/>
        </a:ln>
      </xdr:spPr>
    </xdr:pic>
    <xdr:clientData/>
  </xdr:twoCellAnchor>
  <xdr:twoCellAnchor>
    <xdr:from>
      <xdr:col>0</xdr:col>
      <xdr:colOff>5019675</xdr:colOff>
      <xdr:row>101</xdr:row>
      <xdr:rowOff>0</xdr:rowOff>
    </xdr:from>
    <xdr:to>
      <xdr:col>2</xdr:col>
      <xdr:colOff>0</xdr:colOff>
      <xdr:row>102</xdr:row>
      <xdr:rowOff>0</xdr:rowOff>
    </xdr:to>
    <xdr:pic>
      <xdr:nvPicPr>
        <xdr:cNvPr id="34" name="Box35"/>
        <xdr:cNvPicPr preferRelativeResize="1">
          <a:picLocks noChangeAspect="1"/>
        </xdr:cNvPicPr>
      </xdr:nvPicPr>
      <xdr:blipFill>
        <a:blip r:embed="rId19"/>
        <a:stretch>
          <a:fillRect/>
        </a:stretch>
      </xdr:blipFill>
      <xdr:spPr>
        <a:xfrm>
          <a:off x="5019675" y="8696325"/>
          <a:ext cx="876300" cy="247650"/>
        </a:xfrm>
        <a:prstGeom prst="rect">
          <a:avLst/>
        </a:prstGeom>
        <a:noFill/>
        <a:ln w="9525" cmpd="sng">
          <a:noFill/>
        </a:ln>
      </xdr:spPr>
    </xdr:pic>
    <xdr:clientData/>
  </xdr:twoCellAnchor>
  <xdr:twoCellAnchor>
    <xdr:from>
      <xdr:col>1</xdr:col>
      <xdr:colOff>9525</xdr:colOff>
      <xdr:row>103</xdr:row>
      <xdr:rowOff>19050</xdr:rowOff>
    </xdr:from>
    <xdr:to>
      <xdr:col>2</xdr:col>
      <xdr:colOff>0</xdr:colOff>
      <xdr:row>103</xdr:row>
      <xdr:rowOff>266700</xdr:rowOff>
    </xdr:to>
    <xdr:pic>
      <xdr:nvPicPr>
        <xdr:cNvPr id="35" name="Box36" hidden="1"/>
        <xdr:cNvPicPr preferRelativeResize="1">
          <a:picLocks noChangeAspect="1"/>
        </xdr:cNvPicPr>
      </xdr:nvPicPr>
      <xdr:blipFill>
        <a:blip r:embed="rId11"/>
        <a:stretch>
          <a:fillRect/>
        </a:stretch>
      </xdr:blipFill>
      <xdr:spPr>
        <a:xfrm>
          <a:off x="5324475" y="8943975"/>
          <a:ext cx="571500" cy="0"/>
        </a:xfrm>
        <a:prstGeom prst="rect">
          <a:avLst/>
        </a:prstGeom>
        <a:noFill/>
        <a:ln w="9525" cmpd="sng">
          <a:noFill/>
        </a:ln>
      </xdr:spPr>
    </xdr:pic>
    <xdr:clientData/>
  </xdr:twoCellAnchor>
  <xdr:twoCellAnchor>
    <xdr:from>
      <xdr:col>1</xdr:col>
      <xdr:colOff>9525</xdr:colOff>
      <xdr:row>108</xdr:row>
      <xdr:rowOff>0</xdr:rowOff>
    </xdr:from>
    <xdr:to>
      <xdr:col>2</xdr:col>
      <xdr:colOff>9525</xdr:colOff>
      <xdr:row>109</xdr:row>
      <xdr:rowOff>0</xdr:rowOff>
    </xdr:to>
    <xdr:pic>
      <xdr:nvPicPr>
        <xdr:cNvPr id="36" name="Box37"/>
        <xdr:cNvPicPr preferRelativeResize="1">
          <a:picLocks noChangeAspect="1"/>
        </xdr:cNvPicPr>
      </xdr:nvPicPr>
      <xdr:blipFill>
        <a:blip r:embed="rId13"/>
        <a:stretch>
          <a:fillRect/>
        </a:stretch>
      </xdr:blipFill>
      <xdr:spPr>
        <a:xfrm>
          <a:off x="5324475" y="9191625"/>
          <a:ext cx="581025" cy="247650"/>
        </a:xfrm>
        <a:prstGeom prst="rect">
          <a:avLst/>
        </a:prstGeom>
        <a:noFill/>
        <a:ln w="9525" cmpd="sng">
          <a:noFill/>
        </a:ln>
      </xdr:spPr>
    </xdr:pic>
    <xdr:clientData/>
  </xdr:twoCellAnchor>
  <xdr:twoCellAnchor>
    <xdr:from>
      <xdr:col>1</xdr:col>
      <xdr:colOff>19050</xdr:colOff>
      <xdr:row>110</xdr:row>
      <xdr:rowOff>0</xdr:rowOff>
    </xdr:from>
    <xdr:to>
      <xdr:col>2</xdr:col>
      <xdr:colOff>0</xdr:colOff>
      <xdr:row>111</xdr:row>
      <xdr:rowOff>0</xdr:rowOff>
    </xdr:to>
    <xdr:pic>
      <xdr:nvPicPr>
        <xdr:cNvPr id="37" name="Box38" hidden="1"/>
        <xdr:cNvPicPr preferRelativeResize="1">
          <a:picLocks noChangeAspect="1"/>
        </xdr:cNvPicPr>
      </xdr:nvPicPr>
      <xdr:blipFill>
        <a:blip r:embed="rId20"/>
        <a:stretch>
          <a:fillRect/>
        </a:stretch>
      </xdr:blipFill>
      <xdr:spPr>
        <a:xfrm>
          <a:off x="5334000" y="9439275"/>
          <a:ext cx="561975" cy="0"/>
        </a:xfrm>
        <a:prstGeom prst="rect">
          <a:avLst/>
        </a:prstGeom>
        <a:noFill/>
        <a:ln w="9525" cmpd="sng">
          <a:noFill/>
        </a:ln>
      </xdr:spPr>
    </xdr:pic>
    <xdr:clientData/>
  </xdr:twoCellAnchor>
  <xdr:twoCellAnchor>
    <xdr:from>
      <xdr:col>1</xdr:col>
      <xdr:colOff>9525</xdr:colOff>
      <xdr:row>114</xdr:row>
      <xdr:rowOff>19050</xdr:rowOff>
    </xdr:from>
    <xdr:to>
      <xdr:col>2</xdr:col>
      <xdr:colOff>9525</xdr:colOff>
      <xdr:row>114</xdr:row>
      <xdr:rowOff>257175</xdr:rowOff>
    </xdr:to>
    <xdr:pic>
      <xdr:nvPicPr>
        <xdr:cNvPr id="38" name="Box39"/>
        <xdr:cNvPicPr preferRelativeResize="1">
          <a:picLocks noChangeAspect="1"/>
        </xdr:cNvPicPr>
      </xdr:nvPicPr>
      <xdr:blipFill>
        <a:blip r:embed="rId21"/>
        <a:stretch>
          <a:fillRect/>
        </a:stretch>
      </xdr:blipFill>
      <xdr:spPr>
        <a:xfrm>
          <a:off x="5324475" y="9705975"/>
          <a:ext cx="581025" cy="238125"/>
        </a:xfrm>
        <a:prstGeom prst="rect">
          <a:avLst/>
        </a:prstGeom>
        <a:noFill/>
        <a:ln w="9525" cmpd="sng">
          <a:noFill/>
        </a:ln>
      </xdr:spPr>
    </xdr:pic>
    <xdr:clientData/>
  </xdr:twoCellAnchor>
  <xdr:twoCellAnchor>
    <xdr:from>
      <xdr:col>1</xdr:col>
      <xdr:colOff>0</xdr:colOff>
      <xdr:row>66</xdr:row>
      <xdr:rowOff>0</xdr:rowOff>
    </xdr:from>
    <xdr:to>
      <xdr:col>2</xdr:col>
      <xdr:colOff>0</xdr:colOff>
      <xdr:row>66</xdr:row>
      <xdr:rowOff>228600</xdr:rowOff>
    </xdr:to>
    <xdr:pic>
      <xdr:nvPicPr>
        <xdr:cNvPr id="39" name="Box40" hidden="1"/>
        <xdr:cNvPicPr preferRelativeResize="1">
          <a:picLocks noChangeAspect="1"/>
        </xdr:cNvPicPr>
      </xdr:nvPicPr>
      <xdr:blipFill>
        <a:blip r:embed="rId3"/>
        <a:stretch>
          <a:fillRect/>
        </a:stretch>
      </xdr:blipFill>
      <xdr:spPr>
        <a:xfrm>
          <a:off x="5314950" y="6572250"/>
          <a:ext cx="581025" cy="0"/>
        </a:xfrm>
        <a:prstGeom prst="rect">
          <a:avLst/>
        </a:prstGeom>
        <a:noFill/>
        <a:ln w="9525" cmpd="sng">
          <a:noFill/>
        </a:ln>
      </xdr:spPr>
    </xdr:pic>
    <xdr:clientData/>
  </xdr:twoCellAnchor>
  <xdr:twoCellAnchor>
    <xdr:from>
      <xdr:col>1</xdr:col>
      <xdr:colOff>0</xdr:colOff>
      <xdr:row>67</xdr:row>
      <xdr:rowOff>0</xdr:rowOff>
    </xdr:from>
    <xdr:to>
      <xdr:col>2</xdr:col>
      <xdr:colOff>0</xdr:colOff>
      <xdr:row>67</xdr:row>
      <xdr:rowOff>228600</xdr:rowOff>
    </xdr:to>
    <xdr:pic>
      <xdr:nvPicPr>
        <xdr:cNvPr id="40" name="Box41" hidden="1"/>
        <xdr:cNvPicPr preferRelativeResize="1">
          <a:picLocks noChangeAspect="1"/>
        </xdr:cNvPicPr>
      </xdr:nvPicPr>
      <xdr:blipFill>
        <a:blip r:embed="rId3"/>
        <a:stretch>
          <a:fillRect/>
        </a:stretch>
      </xdr:blipFill>
      <xdr:spPr>
        <a:xfrm>
          <a:off x="5314950" y="6572250"/>
          <a:ext cx="581025" cy="0"/>
        </a:xfrm>
        <a:prstGeom prst="rect">
          <a:avLst/>
        </a:prstGeom>
        <a:noFill/>
        <a:ln w="9525" cmpd="sng">
          <a:noFill/>
        </a:ln>
      </xdr:spPr>
    </xdr:pic>
    <xdr:clientData/>
  </xdr:twoCellAnchor>
  <xdr:twoCellAnchor>
    <xdr:from>
      <xdr:col>1</xdr:col>
      <xdr:colOff>0</xdr:colOff>
      <xdr:row>68</xdr:row>
      <xdr:rowOff>0</xdr:rowOff>
    </xdr:from>
    <xdr:to>
      <xdr:col>2</xdr:col>
      <xdr:colOff>0</xdr:colOff>
      <xdr:row>68</xdr:row>
      <xdr:rowOff>228600</xdr:rowOff>
    </xdr:to>
    <xdr:pic>
      <xdr:nvPicPr>
        <xdr:cNvPr id="41" name="Box42" hidden="1"/>
        <xdr:cNvPicPr preferRelativeResize="1">
          <a:picLocks noChangeAspect="1"/>
        </xdr:cNvPicPr>
      </xdr:nvPicPr>
      <xdr:blipFill>
        <a:blip r:embed="rId3"/>
        <a:stretch>
          <a:fillRect/>
        </a:stretch>
      </xdr:blipFill>
      <xdr:spPr>
        <a:xfrm>
          <a:off x="5314950" y="6572250"/>
          <a:ext cx="581025" cy="0"/>
        </a:xfrm>
        <a:prstGeom prst="rect">
          <a:avLst/>
        </a:prstGeom>
        <a:noFill/>
        <a:ln w="9525" cmpd="sng">
          <a:noFill/>
        </a:ln>
      </xdr:spPr>
    </xdr:pic>
    <xdr:clientData/>
  </xdr:twoCellAnchor>
  <xdr:twoCellAnchor>
    <xdr:from>
      <xdr:col>1</xdr:col>
      <xdr:colOff>0</xdr:colOff>
      <xdr:row>69</xdr:row>
      <xdr:rowOff>0</xdr:rowOff>
    </xdr:from>
    <xdr:to>
      <xdr:col>2</xdr:col>
      <xdr:colOff>0</xdr:colOff>
      <xdr:row>69</xdr:row>
      <xdr:rowOff>228600</xdr:rowOff>
    </xdr:to>
    <xdr:pic>
      <xdr:nvPicPr>
        <xdr:cNvPr id="42" name="Box43" hidden="1"/>
        <xdr:cNvPicPr preferRelativeResize="1">
          <a:picLocks noChangeAspect="1"/>
        </xdr:cNvPicPr>
      </xdr:nvPicPr>
      <xdr:blipFill>
        <a:blip r:embed="rId3"/>
        <a:stretch>
          <a:fillRect/>
        </a:stretch>
      </xdr:blipFill>
      <xdr:spPr>
        <a:xfrm>
          <a:off x="5314950" y="6572250"/>
          <a:ext cx="581025" cy="0"/>
        </a:xfrm>
        <a:prstGeom prst="rect">
          <a:avLst/>
        </a:prstGeom>
        <a:noFill/>
        <a:ln w="9525" cmpd="sng">
          <a:noFill/>
        </a:ln>
      </xdr:spPr>
    </xdr:pic>
    <xdr:clientData/>
  </xdr:twoCellAnchor>
  <xdr:twoCellAnchor>
    <xdr:from>
      <xdr:col>1</xdr:col>
      <xdr:colOff>0</xdr:colOff>
      <xdr:row>116</xdr:row>
      <xdr:rowOff>0</xdr:rowOff>
    </xdr:from>
    <xdr:to>
      <xdr:col>2</xdr:col>
      <xdr:colOff>0</xdr:colOff>
      <xdr:row>116</xdr:row>
      <xdr:rowOff>257175</xdr:rowOff>
    </xdr:to>
    <xdr:pic>
      <xdr:nvPicPr>
        <xdr:cNvPr id="43" name="Box44" hidden="1"/>
        <xdr:cNvPicPr preferRelativeResize="1">
          <a:picLocks noChangeAspect="1"/>
        </xdr:cNvPicPr>
      </xdr:nvPicPr>
      <xdr:blipFill>
        <a:blip r:embed="rId22"/>
        <a:stretch>
          <a:fillRect/>
        </a:stretch>
      </xdr:blipFill>
      <xdr:spPr>
        <a:xfrm>
          <a:off x="5314950" y="10058400"/>
          <a:ext cx="581025" cy="0"/>
        </a:xfrm>
        <a:prstGeom prst="rect">
          <a:avLst/>
        </a:prstGeom>
        <a:noFill/>
        <a:ln w="9525" cmpd="sng">
          <a:noFill/>
        </a:ln>
      </xdr:spPr>
    </xdr:pic>
    <xdr:clientData/>
  </xdr:twoCellAnchor>
  <xdr:twoCellAnchor>
    <xdr:from>
      <xdr:col>0</xdr:col>
      <xdr:colOff>4819650</xdr:colOff>
      <xdr:row>22</xdr:row>
      <xdr:rowOff>9525</xdr:rowOff>
    </xdr:from>
    <xdr:to>
      <xdr:col>2</xdr:col>
      <xdr:colOff>0</xdr:colOff>
      <xdr:row>22</xdr:row>
      <xdr:rowOff>238125</xdr:rowOff>
    </xdr:to>
    <xdr:pic>
      <xdr:nvPicPr>
        <xdr:cNvPr id="44" name="Box45" hidden="1"/>
        <xdr:cNvPicPr preferRelativeResize="1">
          <a:picLocks noChangeAspect="1"/>
        </xdr:cNvPicPr>
      </xdr:nvPicPr>
      <xdr:blipFill>
        <a:blip r:embed="rId23"/>
        <a:stretch>
          <a:fillRect/>
        </a:stretch>
      </xdr:blipFill>
      <xdr:spPr>
        <a:xfrm>
          <a:off x="4819650" y="4591050"/>
          <a:ext cx="1076325" cy="0"/>
        </a:xfrm>
        <a:prstGeom prst="rect">
          <a:avLst/>
        </a:prstGeom>
        <a:noFill/>
        <a:ln w="9525" cmpd="sng">
          <a:noFill/>
        </a:ln>
      </xdr:spPr>
    </xdr:pic>
    <xdr:clientData/>
  </xdr:twoCellAnchor>
  <xdr:twoCellAnchor>
    <xdr:from>
      <xdr:col>0</xdr:col>
      <xdr:colOff>4867275</xdr:colOff>
      <xdr:row>38</xdr:row>
      <xdr:rowOff>9525</xdr:rowOff>
    </xdr:from>
    <xdr:to>
      <xdr:col>2</xdr:col>
      <xdr:colOff>0</xdr:colOff>
      <xdr:row>38</xdr:row>
      <xdr:rowOff>228600</xdr:rowOff>
    </xdr:to>
    <xdr:pic>
      <xdr:nvPicPr>
        <xdr:cNvPr id="45" name="Box46" hidden="1"/>
        <xdr:cNvPicPr preferRelativeResize="1">
          <a:picLocks noChangeAspect="1"/>
        </xdr:cNvPicPr>
      </xdr:nvPicPr>
      <xdr:blipFill>
        <a:blip r:embed="rId24"/>
        <a:stretch>
          <a:fillRect/>
        </a:stretch>
      </xdr:blipFill>
      <xdr:spPr>
        <a:xfrm>
          <a:off x="4867275" y="5334000"/>
          <a:ext cx="1028700" cy="0"/>
        </a:xfrm>
        <a:prstGeom prst="rect">
          <a:avLst/>
        </a:prstGeom>
        <a:noFill/>
        <a:ln w="9525" cmpd="sng">
          <a:noFill/>
        </a:ln>
      </xdr:spPr>
    </xdr:pic>
    <xdr:clientData/>
  </xdr:twoCellAnchor>
  <xdr:twoCellAnchor>
    <xdr:from>
      <xdr:col>0</xdr:col>
      <xdr:colOff>4867275</xdr:colOff>
      <xdr:row>53</xdr:row>
      <xdr:rowOff>9525</xdr:rowOff>
    </xdr:from>
    <xdr:to>
      <xdr:col>2</xdr:col>
      <xdr:colOff>0</xdr:colOff>
      <xdr:row>53</xdr:row>
      <xdr:rowOff>228600</xdr:rowOff>
    </xdr:to>
    <xdr:pic>
      <xdr:nvPicPr>
        <xdr:cNvPr id="46" name="Box47" hidden="1"/>
        <xdr:cNvPicPr preferRelativeResize="1">
          <a:picLocks noChangeAspect="1"/>
        </xdr:cNvPicPr>
      </xdr:nvPicPr>
      <xdr:blipFill>
        <a:blip r:embed="rId25"/>
        <a:stretch>
          <a:fillRect/>
        </a:stretch>
      </xdr:blipFill>
      <xdr:spPr>
        <a:xfrm>
          <a:off x="4867275" y="5829300"/>
          <a:ext cx="1028700" cy="0"/>
        </a:xfrm>
        <a:prstGeom prst="rect">
          <a:avLst/>
        </a:prstGeom>
        <a:noFill/>
        <a:ln w="9525" cmpd="sng">
          <a:noFill/>
        </a:ln>
      </xdr:spPr>
    </xdr:pic>
    <xdr:clientData/>
  </xdr:twoCellAnchor>
  <xdr:twoCellAnchor>
    <xdr:from>
      <xdr:col>0</xdr:col>
      <xdr:colOff>4838700</xdr:colOff>
      <xdr:row>77</xdr:row>
      <xdr:rowOff>9525</xdr:rowOff>
    </xdr:from>
    <xdr:to>
      <xdr:col>2</xdr:col>
      <xdr:colOff>0</xdr:colOff>
      <xdr:row>77</xdr:row>
      <xdr:rowOff>238125</xdr:rowOff>
    </xdr:to>
    <xdr:pic>
      <xdr:nvPicPr>
        <xdr:cNvPr id="47" name="Box48" hidden="1"/>
        <xdr:cNvPicPr preferRelativeResize="1">
          <a:picLocks noChangeAspect="1"/>
        </xdr:cNvPicPr>
      </xdr:nvPicPr>
      <xdr:blipFill>
        <a:blip r:embed="rId26"/>
        <a:stretch>
          <a:fillRect/>
        </a:stretch>
      </xdr:blipFill>
      <xdr:spPr>
        <a:xfrm>
          <a:off x="4838700" y="6819900"/>
          <a:ext cx="10572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3</xdr:col>
      <xdr:colOff>1076325</xdr:colOff>
      <xdr:row>28</xdr:row>
      <xdr:rowOff>133350</xdr:rowOff>
    </xdr:to>
    <xdr:graphicFrame>
      <xdr:nvGraphicFramePr>
        <xdr:cNvPr id="1" name="Chart 4"/>
        <xdr:cNvGraphicFramePr/>
      </xdr:nvGraphicFramePr>
      <xdr:xfrm>
        <a:off x="295275" y="628650"/>
        <a:ext cx="5895975" cy="4076700"/>
      </xdr:xfrm>
      <a:graphic>
        <a:graphicData uri="http://schemas.openxmlformats.org/drawingml/2006/chart">
          <c:chart xmlns:c="http://schemas.openxmlformats.org/drawingml/2006/chart" r:id="rId1"/>
        </a:graphicData>
      </a:graphic>
    </xdr:graphicFrame>
    <xdr:clientData/>
  </xdr:twoCellAnchor>
  <xdr:twoCellAnchor>
    <xdr:from>
      <xdr:col>0</xdr:col>
      <xdr:colOff>304800</xdr:colOff>
      <xdr:row>29</xdr:row>
      <xdr:rowOff>66675</xdr:rowOff>
    </xdr:from>
    <xdr:to>
      <xdr:col>3</xdr:col>
      <xdr:colOff>1085850</xdr:colOff>
      <xdr:row>54</xdr:row>
      <xdr:rowOff>95250</xdr:rowOff>
    </xdr:to>
    <xdr:graphicFrame>
      <xdr:nvGraphicFramePr>
        <xdr:cNvPr id="2" name="Chart 5"/>
        <xdr:cNvGraphicFramePr/>
      </xdr:nvGraphicFramePr>
      <xdr:xfrm>
        <a:off x="304800" y="4800600"/>
        <a:ext cx="5895975" cy="40767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542925</xdr:colOff>
      <xdr:row>11</xdr:row>
      <xdr:rowOff>104775</xdr:rowOff>
    </xdr:from>
    <xdr:to>
      <xdr:col>5</xdr:col>
      <xdr:colOff>1695450</xdr:colOff>
      <xdr:row>19</xdr:row>
      <xdr:rowOff>114300</xdr:rowOff>
    </xdr:to>
    <xdr:grpSp>
      <xdr:nvGrpSpPr>
        <xdr:cNvPr id="1" name="Group 1"/>
        <xdr:cNvGrpSpPr>
          <a:grpSpLocks/>
        </xdr:cNvGrpSpPr>
      </xdr:nvGrpSpPr>
      <xdr:grpSpPr>
        <a:xfrm>
          <a:off x="5610225" y="2743200"/>
          <a:ext cx="2971800" cy="3267075"/>
          <a:chOff x="555" y="396"/>
          <a:chExt cx="282" cy="279"/>
        </a:xfrm>
        <a:solidFill>
          <a:srgbClr val="FFFFFF"/>
        </a:solidFill>
      </xdr:grpSpPr>
      <xdr:pic>
        <xdr:nvPicPr>
          <xdr:cNvPr id="2" name="Picture 2" descr="food hierarchy represented by inverted triangle: source reduction, feed people, feed animals, industrial uses, composting, landfill/inceration"/>
          <xdr:cNvPicPr preferRelativeResize="1">
            <a:picLocks noChangeAspect="1"/>
          </xdr:cNvPicPr>
        </xdr:nvPicPr>
        <xdr:blipFill>
          <a:blip r:link="rId1"/>
          <a:srcRect l="3199" t="3692" r="3199"/>
          <a:stretch>
            <a:fillRect/>
          </a:stretch>
        </xdr:blipFill>
        <xdr:spPr>
          <a:xfrm>
            <a:off x="556" y="397"/>
            <a:ext cx="280" cy="273"/>
          </a:xfrm>
          <a:prstGeom prst="rect">
            <a:avLst/>
          </a:prstGeom>
          <a:solidFill>
            <a:srgbClr val="CCFFCC"/>
          </a:solidFill>
          <a:ln w="9525" cmpd="sng">
            <a:noFill/>
          </a:ln>
        </xdr:spPr>
      </xdr:pic>
      <xdr:sp>
        <xdr:nvSpPr>
          <xdr:cNvPr id="3" name="AutoShape 3"/>
          <xdr:cNvSpPr>
            <a:spLocks/>
          </xdr:cNvSpPr>
        </xdr:nvSpPr>
        <xdr:spPr>
          <a:xfrm>
            <a:off x="555" y="396"/>
            <a:ext cx="145" cy="274"/>
          </a:xfrm>
          <a:prstGeom prst="rtTriangle">
            <a:avLst/>
          </a:prstGeom>
          <a:solidFill>
            <a:srgbClr val="CCFFCC"/>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AutoShape 4"/>
          <xdr:cNvSpPr>
            <a:spLocks/>
          </xdr:cNvSpPr>
        </xdr:nvSpPr>
        <xdr:spPr>
          <a:xfrm rot="16200000">
            <a:off x="692" y="397"/>
            <a:ext cx="145" cy="278"/>
          </a:xfrm>
          <a:prstGeom prst="rtTriangle">
            <a:avLst/>
          </a:prstGeom>
          <a:solidFill>
            <a:srgbClr val="CCFFCC"/>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image" Target="../media/image34.png"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image" Target="../media/image42.png"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image" Target="../media/image43.png"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image" Target="../media/image44.png"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feedingamerica.org/foodbank-results.aspx" TargetMode="External" /><Relationship Id="rId2" Type="http://schemas.openxmlformats.org/officeDocument/2006/relationships/drawing" Target="../drawings/drawing2.xml" /><Relationship Id="rId3" Type="http://schemas.openxmlformats.org/officeDocument/2006/relationships/image" Target="../media/image35.png"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image" Target="../media/image36.png"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image" Target="../media/image37.png"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image" Target="../media/image38.png"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image" Target="../media/image39.png"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epa.gov/climatechange/wycd/waste/calculators/Warm_home.html" TargetMode="External" /><Relationship Id="rId2" Type="http://schemas.openxmlformats.org/officeDocument/2006/relationships/hyperlink" Target="http://www.epa.gov/nrmrl/lcaccess/index.html" TargetMode="External" /><Relationship Id="rId3" Type="http://schemas.openxmlformats.org/officeDocument/2006/relationships/hyperlink" Target="http://www.epa.gov/nrmrl/lcaccess/index.html" TargetMode="External" /><Relationship Id="rId4" Type="http://schemas.openxmlformats.org/officeDocument/2006/relationships/hyperlink" Target="http://www.epa.gov/ttn/atw/hlthef/toluene.html" TargetMode="External" /><Relationship Id="rId5" Type="http://schemas.openxmlformats.org/officeDocument/2006/relationships/hyperlink" Target="http://www.epa.gov/ttn/atw/hlthef/benzene.html" TargetMode="External" /><Relationship Id="rId6" Type="http://schemas.openxmlformats.org/officeDocument/2006/relationships/hyperlink" Target="http://toxics.usgs.gov/definitions/eutrophication.html" TargetMode="External" /><Relationship Id="rId7" Type="http://schemas.openxmlformats.org/officeDocument/2006/relationships/hyperlink" Target="http://epa.gov/oppsrrd1/REDs/factsheets/24d_fs.htm" TargetMode="External" /><Relationship Id="rId8" Type="http://schemas.openxmlformats.org/officeDocument/2006/relationships/hyperlink" Target="http://www.epa.gov/acidrain/" TargetMode="External" /><Relationship Id="rId9" Type="http://schemas.openxmlformats.org/officeDocument/2006/relationships/hyperlink" Target="http://www.epa.gov/oar/particlepollution/health.html" TargetMode="External" /><Relationship Id="rId10" Type="http://schemas.openxmlformats.org/officeDocument/2006/relationships/image" Target="../media/image40.png" /><Relationship Id="rId1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image" Target="../media/image41.png"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epa.gov/epaoswer/non-hw/composting/vessel.htm" TargetMode="External" /><Relationship Id="rId2" Type="http://schemas.openxmlformats.org/officeDocument/2006/relationships/hyperlink" Target="http://www.epa.gov/epawaste/conserve/materials/organics/pubs/wast_not.pdf" TargetMode="External" /><Relationship Id="rId3" Type="http://schemas.openxmlformats.org/officeDocument/2006/relationships/hyperlink" Target="http://www.epa.gov/epawaste/conserve/materials/organics/food/fd-guide.htm" TargetMode="External" /><Relationship Id="rId4" Type="http://schemas.openxmlformats.org/officeDocument/2006/relationships/hyperlink" Target="http://feedingamerica.org/partners/product-partners/tax-benefits.aspx" TargetMode="External" /><Relationship Id="rId5" Type="http://schemas.openxmlformats.org/officeDocument/2006/relationships/hyperlink" Target="http://feedingamerica.org/partners/product-partners/perishable-food.aspx" TargetMode="External" /><Relationship Id="rId6" Type="http://schemas.openxmlformats.org/officeDocument/2006/relationships/hyperlink" Target="http://feedingamerica.org/partners/product-partners/protecting-our-partners.aspx" TargetMode="External" /><Relationship Id="rId7" Type="http://schemas.openxmlformats.org/officeDocument/2006/relationships/hyperlink" Target="http://www.findacomposter.com/" TargetMode="External" /><Relationship Id="rId8" Type="http://schemas.openxmlformats.org/officeDocument/2006/relationships/hyperlink" Target="http://www.epa.gov/epaoswer/non-hw/composting/by_compost.htm" TargetMode="External" /><Relationship Id="rId9" Type="http://schemas.openxmlformats.org/officeDocument/2006/relationships/hyperlink" Target="http://www.ciwmb.ca.gov/FoodWaste/AnimalFeed/" TargetMode="External" /><Relationship Id="rId10" Type="http://schemas.openxmlformats.org/officeDocument/2006/relationships/hyperlink" Target="http://feedingamerica.org/partners/product-partners/distressed-unsaleable-product.aspx" TargetMode="External" /><Relationship Id="rId11" Type="http://schemas.openxmlformats.org/officeDocument/2006/relationships/hyperlink" Target="http://nyc.tristatebiodiesel.com/collect.htm" TargetMode="External" /><Relationship Id="rId12" Type="http://schemas.openxmlformats.org/officeDocument/2006/relationships/hyperlink" Target="http://www.newleafbiofuel.com/oilCollection/commitment.html" TargetMode="External" /><Relationship Id="rId13" Type="http://schemas.openxmlformats.org/officeDocument/2006/relationships/hyperlink" Target="http://www.bworganics.com/" TargetMode="External" /><Relationship Id="rId14" Type="http://schemas.openxmlformats.org/officeDocument/2006/relationships/hyperlink" Target="http://www.gmt-organic.com/" TargetMode="External" /><Relationship Id="rId15" Type="http://schemas.openxmlformats.org/officeDocument/2006/relationships/hyperlink" Target="http://www.composter.com/composting/naturtech/" TargetMode="External" /><Relationship Id="rId16" Type="http://schemas.openxmlformats.org/officeDocument/2006/relationships/hyperlink" Target="http://www.leanpath.com/lpweb/index2.htm" TargetMode="External" /><Relationship Id="rId17" Type="http://schemas.openxmlformats.org/officeDocument/2006/relationships/hyperlink" Target="http://blog.leanpath.com/?page_id=618" TargetMode="External" /><Relationship Id="rId18" Type="http://schemas.openxmlformats.org/officeDocument/2006/relationships/drawing" Target="../drawings/drawing4.xml" /><Relationship Id="rId19"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J18"/>
  <sheetViews>
    <sheetView showGridLines="0" tabSelected="1" zoomScalePageLayoutView="0" workbookViewId="0" topLeftCell="A5">
      <selection activeCell="A16" sqref="A16:I18"/>
    </sheetView>
  </sheetViews>
  <sheetFormatPr defaultColWidth="9.140625" defaultRowHeight="12.75"/>
  <cols>
    <col min="1" max="1" width="21.140625" style="229" customWidth="1"/>
    <col min="2" max="8" width="9.140625" style="229" customWidth="1"/>
    <col min="9" max="9" width="28.140625" style="229" customWidth="1"/>
    <col min="10" max="16384" width="9.140625" style="4" customWidth="1"/>
  </cols>
  <sheetData>
    <row r="1" spans="1:9" ht="12.75">
      <c r="A1" s="226"/>
      <c r="B1" s="227"/>
      <c r="C1" s="227"/>
      <c r="D1" s="227"/>
      <c r="E1" s="227"/>
      <c r="F1" s="227"/>
      <c r="G1" s="228"/>
      <c r="H1" s="228"/>
      <c r="I1" s="270" t="s">
        <v>122</v>
      </c>
    </row>
    <row r="2" spans="1:9" ht="39" customHeight="1">
      <c r="A2" s="344" t="s">
        <v>302</v>
      </c>
      <c r="B2" s="345"/>
      <c r="C2" s="345"/>
      <c r="D2" s="345"/>
      <c r="E2" s="345"/>
      <c r="F2" s="345"/>
      <c r="G2" s="345"/>
      <c r="H2" s="345"/>
      <c r="I2" s="346"/>
    </row>
    <row r="3" spans="1:9" ht="84" customHeight="1">
      <c r="A3" s="341" t="s">
        <v>77</v>
      </c>
      <c r="B3" s="350"/>
      <c r="C3" s="350"/>
      <c r="D3" s="350"/>
      <c r="E3" s="350"/>
      <c r="F3" s="350"/>
      <c r="G3" s="350"/>
      <c r="H3" s="350"/>
      <c r="I3" s="351"/>
    </row>
    <row r="4" spans="1:9" ht="44.25" customHeight="1">
      <c r="A4" s="341" t="s">
        <v>352</v>
      </c>
      <c r="B4" s="352"/>
      <c r="C4" s="352"/>
      <c r="D4" s="352"/>
      <c r="E4" s="352"/>
      <c r="F4" s="352"/>
      <c r="G4" s="352"/>
      <c r="H4" s="352"/>
      <c r="I4" s="353"/>
    </row>
    <row r="5" spans="1:9" ht="31.5" customHeight="1">
      <c r="A5" s="341" t="s">
        <v>94</v>
      </c>
      <c r="B5" s="350"/>
      <c r="C5" s="350"/>
      <c r="D5" s="350"/>
      <c r="E5" s="350"/>
      <c r="F5" s="350"/>
      <c r="G5" s="350"/>
      <c r="H5" s="350"/>
      <c r="I5" s="351"/>
    </row>
    <row r="6" spans="1:9" ht="37.5" customHeight="1">
      <c r="A6" s="341" t="s">
        <v>100</v>
      </c>
      <c r="B6" s="350"/>
      <c r="C6" s="350"/>
      <c r="D6" s="350"/>
      <c r="E6" s="350"/>
      <c r="F6" s="350"/>
      <c r="G6" s="350"/>
      <c r="H6" s="350"/>
      <c r="I6" s="351"/>
    </row>
    <row r="7" spans="1:9" ht="33.75" customHeight="1">
      <c r="A7" s="341" t="s">
        <v>45</v>
      </c>
      <c r="B7" s="342"/>
      <c r="C7" s="342"/>
      <c r="D7" s="342"/>
      <c r="E7" s="342"/>
      <c r="F7" s="342"/>
      <c r="G7" s="342"/>
      <c r="H7" s="342"/>
      <c r="I7" s="343"/>
    </row>
    <row r="8" spans="1:9" s="177" customFormat="1" ht="18" customHeight="1">
      <c r="A8" s="341" t="s">
        <v>95</v>
      </c>
      <c r="B8" s="350"/>
      <c r="C8" s="350"/>
      <c r="D8" s="350"/>
      <c r="E8" s="350"/>
      <c r="F8" s="350"/>
      <c r="G8" s="350"/>
      <c r="H8" s="350"/>
      <c r="I8" s="351"/>
    </row>
    <row r="9" spans="1:9" ht="70.5" customHeight="1">
      <c r="A9" s="341" t="s">
        <v>353</v>
      </c>
      <c r="B9" s="342"/>
      <c r="C9" s="342"/>
      <c r="D9" s="342"/>
      <c r="E9" s="342"/>
      <c r="F9" s="342"/>
      <c r="G9" s="342"/>
      <c r="H9" s="342"/>
      <c r="I9" s="343"/>
    </row>
    <row r="10" spans="1:9" ht="30.75" customHeight="1">
      <c r="A10" s="341" t="s">
        <v>96</v>
      </c>
      <c r="B10" s="342"/>
      <c r="C10" s="342"/>
      <c r="D10" s="342"/>
      <c r="E10" s="342"/>
      <c r="F10" s="342"/>
      <c r="G10" s="342"/>
      <c r="H10" s="342"/>
      <c r="I10" s="343"/>
    </row>
    <row r="11" spans="1:9" ht="31.5" customHeight="1">
      <c r="A11" s="341" t="s">
        <v>97</v>
      </c>
      <c r="B11" s="342"/>
      <c r="C11" s="342"/>
      <c r="D11" s="342"/>
      <c r="E11" s="342"/>
      <c r="F11" s="342"/>
      <c r="G11" s="342"/>
      <c r="H11" s="342"/>
      <c r="I11" s="343"/>
    </row>
    <row r="12" spans="1:9" ht="32.25" customHeight="1">
      <c r="A12" s="341" t="s">
        <v>98</v>
      </c>
      <c r="B12" s="350"/>
      <c r="C12" s="350"/>
      <c r="D12" s="350"/>
      <c r="E12" s="350"/>
      <c r="F12" s="350"/>
      <c r="G12" s="350"/>
      <c r="H12" s="350"/>
      <c r="I12" s="351"/>
    </row>
    <row r="13" spans="1:9" ht="17.25" customHeight="1">
      <c r="A13" s="341" t="s">
        <v>99</v>
      </c>
      <c r="B13" s="350"/>
      <c r="C13" s="350"/>
      <c r="D13" s="350"/>
      <c r="E13" s="350"/>
      <c r="F13" s="350"/>
      <c r="G13" s="350"/>
      <c r="H13" s="350"/>
      <c r="I13" s="351"/>
    </row>
    <row r="14" spans="1:9" ht="43.5" customHeight="1">
      <c r="A14" s="341" t="s">
        <v>46</v>
      </c>
      <c r="B14" s="342"/>
      <c r="C14" s="342"/>
      <c r="D14" s="342"/>
      <c r="E14" s="342"/>
      <c r="F14" s="342"/>
      <c r="G14" s="342"/>
      <c r="H14" s="342"/>
      <c r="I14" s="343"/>
    </row>
    <row r="15" spans="1:10" ht="34.5" customHeight="1">
      <c r="A15" s="354" t="s">
        <v>127</v>
      </c>
      <c r="B15" s="355"/>
      <c r="C15" s="355"/>
      <c r="D15" s="355"/>
      <c r="E15" s="355"/>
      <c r="F15" s="355"/>
      <c r="G15" s="355"/>
      <c r="H15" s="355"/>
      <c r="I15" s="356"/>
      <c r="J15" s="30"/>
    </row>
    <row r="16" spans="1:10" ht="17.25" customHeight="1">
      <c r="A16" s="341" t="s">
        <v>569</v>
      </c>
      <c r="B16" s="342"/>
      <c r="C16" s="342"/>
      <c r="D16" s="342"/>
      <c r="E16" s="342"/>
      <c r="F16" s="342"/>
      <c r="G16" s="342"/>
      <c r="H16" s="342"/>
      <c r="I16" s="343"/>
      <c r="J16" s="264"/>
    </row>
    <row r="17" spans="1:10" ht="18" customHeight="1" hidden="1">
      <c r="A17" s="341"/>
      <c r="B17" s="342"/>
      <c r="C17" s="342"/>
      <c r="D17" s="342"/>
      <c r="E17" s="342"/>
      <c r="F17" s="342"/>
      <c r="G17" s="342"/>
      <c r="H17" s="342"/>
      <c r="I17" s="343"/>
      <c r="J17" s="264"/>
    </row>
    <row r="18" spans="1:10" ht="46.5" customHeight="1">
      <c r="A18" s="347"/>
      <c r="B18" s="348"/>
      <c r="C18" s="348"/>
      <c r="D18" s="348"/>
      <c r="E18" s="348"/>
      <c r="F18" s="348"/>
      <c r="G18" s="348"/>
      <c r="H18" s="348"/>
      <c r="I18" s="349"/>
      <c r="J18" s="264"/>
    </row>
  </sheetData>
  <sheetProtection password="E70C" sheet="1" objects="1" scenarios="1"/>
  <mergeCells count="15">
    <mergeCell ref="A8:I8"/>
    <mergeCell ref="A6:I6"/>
    <mergeCell ref="A11:I11"/>
    <mergeCell ref="A13:I13"/>
    <mergeCell ref="A15:I15"/>
    <mergeCell ref="A9:I9"/>
    <mergeCell ref="A10:I10"/>
    <mergeCell ref="A7:I7"/>
    <mergeCell ref="A14:I14"/>
    <mergeCell ref="A2:I2"/>
    <mergeCell ref="A16:I18"/>
    <mergeCell ref="A3:I3"/>
    <mergeCell ref="A4:I4"/>
    <mergeCell ref="A5:I5"/>
    <mergeCell ref="A12:I12"/>
  </mergeCells>
  <printOptions horizontalCentered="1"/>
  <pageMargins left="0.5" right="0.5" top="1" bottom="1" header="0.5" footer="0.5"/>
  <pageSetup fitToHeight="1" fitToWidth="1" horizontalDpi="600" verticalDpi="600" orientation="portrait" scale="86" r:id="rId3"/>
  <headerFooter alignWithMargins="0">
    <oddHeader>&amp;C&amp;F</oddHeader>
  </headerFooter>
  <drawing r:id="rId1"/>
  <picture r:id="rId2"/>
</worksheet>
</file>

<file path=xl/worksheets/sheet10.xml><?xml version="1.0" encoding="utf-8"?>
<worksheet xmlns="http://schemas.openxmlformats.org/spreadsheetml/2006/main" xmlns:r="http://schemas.openxmlformats.org/officeDocument/2006/relationships">
  <sheetPr codeName="Sheet9">
    <pageSetUpPr fitToPage="1"/>
  </sheetPr>
  <dimension ref="A1:F58"/>
  <sheetViews>
    <sheetView showGridLines="0" zoomScalePageLayoutView="0" workbookViewId="0" topLeftCell="A1">
      <selection activeCell="B6" sqref="B6"/>
    </sheetView>
  </sheetViews>
  <sheetFormatPr defaultColWidth="9.140625" defaultRowHeight="12.75"/>
  <cols>
    <col min="1" max="1" width="28.57421875" style="4" customWidth="1"/>
    <col min="2" max="2" width="13.421875" style="4" customWidth="1"/>
    <col min="3" max="3" width="16.8515625" style="4" customWidth="1"/>
    <col min="4" max="4" width="40.140625" style="5" customWidth="1"/>
    <col min="5" max="5" width="40.00390625" style="5" customWidth="1"/>
    <col min="6" max="6" width="18.28125" style="4" customWidth="1"/>
    <col min="7" max="16384" width="9.140625" style="4" customWidth="1"/>
  </cols>
  <sheetData>
    <row r="1" spans="1:3" ht="15.75">
      <c r="A1" s="496" t="s">
        <v>389</v>
      </c>
      <c r="B1" s="497"/>
      <c r="C1" s="498"/>
    </row>
    <row r="3" spans="1:6" ht="12.75">
      <c r="A3" s="17" t="s">
        <v>19</v>
      </c>
      <c r="B3" s="197" t="s">
        <v>413</v>
      </c>
      <c r="C3" s="197" t="s">
        <v>414</v>
      </c>
      <c r="D3" s="197" t="s">
        <v>14</v>
      </c>
      <c r="E3" s="251" t="s">
        <v>199</v>
      </c>
      <c r="F3" s="29"/>
    </row>
    <row r="4" spans="1:6" ht="12.75" customHeight="1">
      <c r="A4" s="10" t="s">
        <v>415</v>
      </c>
      <c r="B4" s="26" t="s">
        <v>423</v>
      </c>
      <c r="C4" s="80" t="s">
        <v>429</v>
      </c>
      <c r="D4" s="80" t="s">
        <v>12</v>
      </c>
      <c r="E4" s="479" t="s">
        <v>437</v>
      </c>
      <c r="F4" s="29"/>
    </row>
    <row r="5" spans="1:6" ht="12.75">
      <c r="A5" s="10" t="s">
        <v>416</v>
      </c>
      <c r="B5" s="26" t="s">
        <v>424</v>
      </c>
      <c r="C5" s="80" t="s">
        <v>430</v>
      </c>
      <c r="D5" s="80" t="s">
        <v>13</v>
      </c>
      <c r="E5" s="483"/>
      <c r="F5" s="29"/>
    </row>
    <row r="6" spans="1:6" ht="12.75" customHeight="1">
      <c r="A6" s="10" t="s">
        <v>417</v>
      </c>
      <c r="B6" s="26" t="s">
        <v>424</v>
      </c>
      <c r="C6" s="80" t="s">
        <v>431</v>
      </c>
      <c r="D6" s="80" t="s">
        <v>13</v>
      </c>
      <c r="E6" s="587"/>
      <c r="F6" s="29"/>
    </row>
    <row r="7" spans="1:6" ht="12.75">
      <c r="A7" s="10" t="s">
        <v>418</v>
      </c>
      <c r="B7" s="26" t="s">
        <v>425</v>
      </c>
      <c r="C7" s="80" t="s">
        <v>432</v>
      </c>
      <c r="D7" s="80" t="s">
        <v>15</v>
      </c>
      <c r="E7" s="587"/>
      <c r="F7" s="29"/>
    </row>
    <row r="8" spans="1:6" ht="12.75">
      <c r="A8" s="10" t="s">
        <v>419</v>
      </c>
      <c r="B8" s="26" t="s">
        <v>426</v>
      </c>
      <c r="C8" s="80" t="s">
        <v>433</v>
      </c>
      <c r="D8" s="80" t="s">
        <v>16</v>
      </c>
      <c r="E8" s="587"/>
      <c r="F8" s="29"/>
    </row>
    <row r="9" spans="1:6" ht="12.75">
      <c r="A9" s="10" t="s">
        <v>420</v>
      </c>
      <c r="B9" s="26" t="s">
        <v>427</v>
      </c>
      <c r="C9" s="80" t="s">
        <v>434</v>
      </c>
      <c r="D9" s="80" t="s">
        <v>17</v>
      </c>
      <c r="E9" s="587"/>
      <c r="F9" s="29"/>
    </row>
    <row r="10" spans="1:6" ht="12.75">
      <c r="A10" s="10" t="s">
        <v>421</v>
      </c>
      <c r="B10" s="26" t="s">
        <v>425</v>
      </c>
      <c r="C10" s="80" t="s">
        <v>435</v>
      </c>
      <c r="D10" s="80" t="s">
        <v>18</v>
      </c>
      <c r="E10" s="587"/>
      <c r="F10" s="29"/>
    </row>
    <row r="11" spans="1:6" ht="12.75">
      <c r="A11" s="10" t="s">
        <v>422</v>
      </c>
      <c r="B11" s="26" t="s">
        <v>428</v>
      </c>
      <c r="C11" s="80" t="s">
        <v>436</v>
      </c>
      <c r="D11" s="80" t="s">
        <v>18</v>
      </c>
      <c r="E11" s="588"/>
      <c r="F11" s="29"/>
    </row>
    <row r="12" spans="1:5" ht="12.75">
      <c r="A12" s="252"/>
      <c r="B12" s="253"/>
      <c r="C12" s="254"/>
      <c r="D12" s="255"/>
      <c r="E12" s="256"/>
    </row>
    <row r="13" spans="1:5" ht="12.75">
      <c r="A13" s="17" t="s">
        <v>344</v>
      </c>
      <c r="B13" s="197" t="s">
        <v>197</v>
      </c>
      <c r="C13" s="197" t="s">
        <v>198</v>
      </c>
      <c r="D13" s="250" t="s">
        <v>199</v>
      </c>
      <c r="E13" s="251" t="s">
        <v>204</v>
      </c>
    </row>
    <row r="14" spans="1:5" ht="12.75">
      <c r="A14" s="10" t="s">
        <v>404</v>
      </c>
      <c r="B14" s="26" t="s">
        <v>412</v>
      </c>
      <c r="C14" s="2">
        <v>39000</v>
      </c>
      <c r="D14" s="88" t="s">
        <v>506</v>
      </c>
      <c r="E14" s="476" t="s">
        <v>504</v>
      </c>
    </row>
    <row r="15" spans="1:5" ht="25.5">
      <c r="A15" s="10" t="s">
        <v>409</v>
      </c>
      <c r="B15" s="26" t="s">
        <v>222</v>
      </c>
      <c r="C15" s="2">
        <v>40</v>
      </c>
      <c r="D15" s="88" t="s">
        <v>505</v>
      </c>
      <c r="E15" s="477"/>
    </row>
    <row r="16" spans="1:5" ht="12.75">
      <c r="A16" s="10" t="s">
        <v>533</v>
      </c>
      <c r="B16" s="26" t="s">
        <v>410</v>
      </c>
      <c r="C16" s="2">
        <v>250</v>
      </c>
      <c r="D16" s="88" t="s">
        <v>506</v>
      </c>
      <c r="E16" s="477"/>
    </row>
    <row r="17" spans="1:5" ht="12.75">
      <c r="A17" s="10" t="s">
        <v>440</v>
      </c>
      <c r="B17" s="26" t="s">
        <v>410</v>
      </c>
      <c r="C17" s="2">
        <v>120</v>
      </c>
      <c r="D17" s="88" t="s">
        <v>506</v>
      </c>
      <c r="E17" s="477"/>
    </row>
    <row r="18" spans="1:5" ht="25.5">
      <c r="A18" s="10" t="s">
        <v>411</v>
      </c>
      <c r="B18" s="26" t="s">
        <v>222</v>
      </c>
      <c r="C18" s="2">
        <f>56*B41/10</f>
        <v>53.40719999999999</v>
      </c>
      <c r="D18" s="88" t="s">
        <v>505</v>
      </c>
      <c r="E18" s="478"/>
    </row>
    <row r="20" ht="12.75">
      <c r="A20" s="81" t="s">
        <v>35</v>
      </c>
    </row>
    <row r="21" spans="1:5" ht="12.75">
      <c r="A21" s="17" t="s">
        <v>40</v>
      </c>
      <c r="B21" s="197" t="s">
        <v>197</v>
      </c>
      <c r="C21" s="197" t="s">
        <v>198</v>
      </c>
      <c r="D21" s="250" t="s">
        <v>199</v>
      </c>
      <c r="E21" s="251" t="s">
        <v>204</v>
      </c>
    </row>
    <row r="22" spans="1:5" ht="12.75">
      <c r="A22" s="10" t="s">
        <v>404</v>
      </c>
      <c r="B22" s="26" t="s">
        <v>412</v>
      </c>
      <c r="C22" s="78">
        <v>24062</v>
      </c>
      <c r="D22" s="476" t="s">
        <v>42</v>
      </c>
      <c r="E22" s="476" t="s">
        <v>135</v>
      </c>
    </row>
    <row r="23" spans="1:5" ht="25.5" customHeight="1">
      <c r="A23" s="10" t="s">
        <v>438</v>
      </c>
      <c r="B23" s="26" t="s">
        <v>439</v>
      </c>
      <c r="C23" s="113">
        <v>700</v>
      </c>
      <c r="D23" s="589"/>
      <c r="E23" s="503"/>
    </row>
    <row r="24" spans="1:5" ht="38.25" customHeight="1">
      <c r="A24" s="84" t="s">
        <v>409</v>
      </c>
      <c r="B24" s="257" t="s">
        <v>530</v>
      </c>
      <c r="C24" s="114">
        <v>1.07</v>
      </c>
      <c r="D24" s="89" t="s">
        <v>44</v>
      </c>
      <c r="E24" s="477"/>
    </row>
    <row r="25" spans="1:5" s="30" customFormat="1" ht="25.5" customHeight="1">
      <c r="A25" s="17" t="s">
        <v>41</v>
      </c>
      <c r="B25" s="197" t="s">
        <v>197</v>
      </c>
      <c r="C25" s="197" t="s">
        <v>198</v>
      </c>
      <c r="D25" s="250" t="s">
        <v>199</v>
      </c>
      <c r="E25" s="251" t="s">
        <v>204</v>
      </c>
    </row>
    <row r="26" spans="1:5" s="30" customFormat="1" ht="25.5" customHeight="1">
      <c r="A26" s="10" t="s">
        <v>404</v>
      </c>
      <c r="B26" s="26" t="s">
        <v>412</v>
      </c>
      <c r="C26" s="78">
        <v>40000</v>
      </c>
      <c r="D26" s="476" t="s">
        <v>43</v>
      </c>
      <c r="E26" s="476"/>
    </row>
    <row r="27" spans="1:5" ht="12.75">
      <c r="A27" s="10" t="s">
        <v>438</v>
      </c>
      <c r="B27" s="26" t="s">
        <v>439</v>
      </c>
      <c r="C27" s="113">
        <v>1250</v>
      </c>
      <c r="D27" s="590"/>
      <c r="E27" s="590"/>
    </row>
    <row r="28" spans="1:5" s="30" customFormat="1" ht="25.5">
      <c r="A28" s="84" t="s">
        <v>409</v>
      </c>
      <c r="B28" s="257" t="s">
        <v>530</v>
      </c>
      <c r="C28" s="114">
        <v>1.07</v>
      </c>
      <c r="D28" s="590"/>
      <c r="E28" s="590"/>
    </row>
    <row r="29" spans="1:5" s="30" customFormat="1" ht="12.75">
      <c r="A29" s="17" t="s">
        <v>484</v>
      </c>
      <c r="B29" s="197" t="s">
        <v>197</v>
      </c>
      <c r="C29" s="197" t="s">
        <v>487</v>
      </c>
      <c r="D29" s="250" t="s">
        <v>199</v>
      </c>
      <c r="E29" s="251" t="s">
        <v>204</v>
      </c>
    </row>
    <row r="30" spans="1:5" s="30" customFormat="1" ht="38.25" customHeight="1">
      <c r="A30" s="10" t="s">
        <v>485</v>
      </c>
      <c r="B30" s="26" t="s">
        <v>486</v>
      </c>
      <c r="C30" s="112">
        <v>0.2</v>
      </c>
      <c r="D30" s="88" t="s">
        <v>36</v>
      </c>
      <c r="E30" s="88" t="s">
        <v>37</v>
      </c>
    </row>
    <row r="31" spans="1:5" s="30" customFormat="1" ht="12.75">
      <c r="A31" s="4"/>
      <c r="B31" s="4"/>
      <c r="C31" s="4"/>
      <c r="D31" s="5"/>
      <c r="E31" s="5"/>
    </row>
    <row r="32" spans="1:5" ht="12.75">
      <c r="A32" s="17" t="s">
        <v>4</v>
      </c>
      <c r="B32" s="197" t="s">
        <v>197</v>
      </c>
      <c r="C32" s="197" t="s">
        <v>198</v>
      </c>
      <c r="D32" s="250" t="s">
        <v>199</v>
      </c>
      <c r="E32" s="251" t="s">
        <v>204</v>
      </c>
    </row>
    <row r="33" spans="1:5" ht="38.25">
      <c r="A33" s="10" t="s">
        <v>250</v>
      </c>
      <c r="B33" s="26" t="s">
        <v>249</v>
      </c>
      <c r="C33" s="31">
        <v>0.585</v>
      </c>
      <c r="D33" s="10" t="s">
        <v>174</v>
      </c>
      <c r="E33" s="10"/>
    </row>
    <row r="34" spans="1:5" ht="38.25">
      <c r="A34" s="10" t="s">
        <v>251</v>
      </c>
      <c r="B34" s="26" t="s">
        <v>252</v>
      </c>
      <c r="C34" s="2">
        <f>0.286*B52</f>
        <v>0.33462</v>
      </c>
      <c r="D34" s="10" t="s">
        <v>253</v>
      </c>
      <c r="E34" s="10" t="s">
        <v>343</v>
      </c>
    </row>
    <row r="35" spans="1:5" ht="12.75">
      <c r="A35" s="69"/>
      <c r="B35" s="28"/>
      <c r="C35" s="79"/>
      <c r="D35" s="69"/>
      <c r="E35" s="69"/>
    </row>
    <row r="36" spans="1:5" ht="12.75">
      <c r="A36" s="258" t="s">
        <v>402</v>
      </c>
      <c r="B36" s="197" t="s">
        <v>197</v>
      </c>
      <c r="C36" s="197" t="s">
        <v>198</v>
      </c>
      <c r="D36" s="251" t="s">
        <v>199</v>
      </c>
      <c r="E36" s="30"/>
    </row>
    <row r="37" spans="1:5" ht="51">
      <c r="A37" s="10" t="s">
        <v>407</v>
      </c>
      <c r="B37" s="26" t="s">
        <v>554</v>
      </c>
      <c r="C37" s="78">
        <v>1100</v>
      </c>
      <c r="D37" s="479" t="s">
        <v>406</v>
      </c>
      <c r="E37" s="30"/>
    </row>
    <row r="38" spans="1:5" ht="51">
      <c r="A38" s="10" t="s">
        <v>408</v>
      </c>
      <c r="B38" s="26" t="s">
        <v>555</v>
      </c>
      <c r="C38" s="78">
        <v>1200</v>
      </c>
      <c r="D38" s="480"/>
      <c r="E38" s="30"/>
    </row>
    <row r="39" spans="1:5" ht="12.75">
      <c r="A39" s="69"/>
      <c r="B39" s="28"/>
      <c r="C39" s="70"/>
      <c r="D39" s="29"/>
      <c r="E39" s="29"/>
    </row>
    <row r="40" spans="1:5" ht="12.75">
      <c r="A40" s="17" t="s">
        <v>479</v>
      </c>
      <c r="B40" s="259" t="s">
        <v>478</v>
      </c>
      <c r="C40" s="481" t="s">
        <v>199</v>
      </c>
      <c r="D40" s="586"/>
      <c r="E40" s="4"/>
    </row>
    <row r="41" spans="1:5" ht="51" customHeight="1">
      <c r="A41" s="68" t="s">
        <v>477</v>
      </c>
      <c r="B41" s="115">
        <f>9.35*B57</f>
        <v>9.536999999999999</v>
      </c>
      <c r="C41" s="501" t="s">
        <v>5</v>
      </c>
      <c r="D41" s="591"/>
      <c r="E41" s="4"/>
    </row>
    <row r="42" spans="1:5" ht="12.75">
      <c r="A42" s="69"/>
      <c r="B42" s="28"/>
      <c r="C42" s="70"/>
      <c r="D42" s="29"/>
      <c r="E42" s="29"/>
    </row>
    <row r="43" spans="1:5" ht="12.75">
      <c r="A43" s="17" t="s">
        <v>318</v>
      </c>
      <c r="B43" s="259" t="s">
        <v>319</v>
      </c>
      <c r="C43" s="259" t="s">
        <v>320</v>
      </c>
      <c r="D43" s="251" t="s">
        <v>321</v>
      </c>
      <c r="E43" s="4"/>
    </row>
    <row r="44" spans="1:5" ht="25.5">
      <c r="A44" s="68" t="s">
        <v>322</v>
      </c>
      <c r="B44" s="26" t="s">
        <v>527</v>
      </c>
      <c r="C44" s="118" t="s">
        <v>566</v>
      </c>
      <c r="D44" s="110">
        <v>0.2</v>
      </c>
      <c r="E44" s="4"/>
    </row>
    <row r="45" spans="1:5" ht="12.75">
      <c r="A45" s="68" t="s">
        <v>395</v>
      </c>
      <c r="B45" s="26" t="s">
        <v>401</v>
      </c>
      <c r="C45" s="26" t="s">
        <v>323</v>
      </c>
      <c r="D45" s="110">
        <v>7.7</v>
      </c>
      <c r="E45" s="4"/>
    </row>
    <row r="48" spans="1:3" ht="12.75">
      <c r="A48" s="492" t="s">
        <v>200</v>
      </c>
      <c r="B48" s="493"/>
      <c r="C48" s="260"/>
    </row>
    <row r="49" spans="1:3" ht="12.75">
      <c r="A49" s="261" t="s">
        <v>201</v>
      </c>
      <c r="B49" s="494" t="s">
        <v>203</v>
      </c>
      <c r="C49" s="495"/>
    </row>
    <row r="50" spans="1:3" ht="12.75">
      <c r="A50" s="11">
        <v>2000</v>
      </c>
      <c r="B50" s="489">
        <v>1.23</v>
      </c>
      <c r="C50" s="490"/>
    </row>
    <row r="51" spans="1:3" ht="12.75">
      <c r="A51" s="11">
        <v>2001</v>
      </c>
      <c r="B51" s="489">
        <v>1.2</v>
      </c>
      <c r="C51" s="490"/>
    </row>
    <row r="52" spans="1:3" ht="12.75">
      <c r="A52" s="11">
        <v>2002</v>
      </c>
      <c r="B52" s="489">
        <v>1.17</v>
      </c>
      <c r="C52" s="490"/>
    </row>
    <row r="53" spans="1:3" ht="12.75">
      <c r="A53" s="11">
        <v>2003</v>
      </c>
      <c r="B53" s="489">
        <v>1.15</v>
      </c>
      <c r="C53" s="490"/>
    </row>
    <row r="54" spans="1:3" ht="12.75">
      <c r="A54" s="11">
        <v>2004</v>
      </c>
      <c r="B54" s="489">
        <v>1.12</v>
      </c>
      <c r="C54" s="490"/>
    </row>
    <row r="55" spans="1:3" ht="12.75">
      <c r="A55" s="11">
        <v>2005</v>
      </c>
      <c r="B55" s="489">
        <v>1.08</v>
      </c>
      <c r="C55" s="490"/>
    </row>
    <row r="56" spans="1:3" ht="12.75">
      <c r="A56" s="11">
        <v>2006</v>
      </c>
      <c r="B56" s="499">
        <v>1.05</v>
      </c>
      <c r="C56" s="500"/>
    </row>
    <row r="57" spans="1:3" ht="12.75">
      <c r="A57" s="11">
        <v>2007</v>
      </c>
      <c r="B57" s="489">
        <v>1.02</v>
      </c>
      <c r="C57" s="491"/>
    </row>
    <row r="58" spans="1:4" ht="12.75">
      <c r="A58" s="487" t="s">
        <v>202</v>
      </c>
      <c r="B58" s="487"/>
      <c r="C58" s="487"/>
      <c r="D58" s="488"/>
    </row>
  </sheetData>
  <sheetProtection sheet="1" objects="1" scenarios="1"/>
  <mergeCells count="21">
    <mergeCell ref="B50:C50"/>
    <mergeCell ref="A58:D58"/>
    <mergeCell ref="B55:C55"/>
    <mergeCell ref="B57:C57"/>
    <mergeCell ref="A48:B48"/>
    <mergeCell ref="B49:C49"/>
    <mergeCell ref="D22:D23"/>
    <mergeCell ref="D26:D28"/>
    <mergeCell ref="C41:D41"/>
    <mergeCell ref="B52:C52"/>
    <mergeCell ref="B51:C51"/>
    <mergeCell ref="B54:C54"/>
    <mergeCell ref="B53:C53"/>
    <mergeCell ref="B56:C56"/>
    <mergeCell ref="A1:C1"/>
    <mergeCell ref="E14:E18"/>
    <mergeCell ref="D37:D38"/>
    <mergeCell ref="C40:D40"/>
    <mergeCell ref="E4:E11"/>
    <mergeCell ref="E22:E24"/>
    <mergeCell ref="E26:E28"/>
  </mergeCells>
  <printOptions horizontalCentered="1"/>
  <pageMargins left="0.5" right="0.5" top="0.5" bottom="0.5" header="0.5" footer="0.5"/>
  <pageSetup fitToHeight="0" fitToWidth="1" horizontalDpi="600" verticalDpi="600" orientation="portrait" scale="70" r:id="rId2"/>
  <headerFooter alignWithMargins="0">
    <oddHeader>&amp;C&amp;F</oddHeader>
  </headerFooter>
  <picture r:id="rId1"/>
</worksheet>
</file>

<file path=xl/worksheets/sheet11.xml><?xml version="1.0" encoding="utf-8"?>
<worksheet xmlns="http://schemas.openxmlformats.org/spreadsheetml/2006/main" xmlns:r="http://schemas.openxmlformats.org/officeDocument/2006/relationships">
  <sheetPr codeName="Sheet8">
    <pageSetUpPr fitToPage="1"/>
  </sheetPr>
  <dimension ref="A1:AW89"/>
  <sheetViews>
    <sheetView showGridLines="0" zoomScalePageLayoutView="0" workbookViewId="0" topLeftCell="A28">
      <selection activeCell="A1" sqref="A1:C1"/>
    </sheetView>
  </sheetViews>
  <sheetFormatPr defaultColWidth="9.140625" defaultRowHeight="12.75"/>
  <cols>
    <col min="1" max="1" width="20.57421875" style="4" customWidth="1"/>
    <col min="2" max="2" width="16.00390625" style="4" customWidth="1"/>
    <col min="3" max="3" width="19.00390625" style="4" customWidth="1"/>
    <col min="4" max="4" width="13.421875" style="4" customWidth="1"/>
    <col min="5" max="5" width="13.421875" style="4" bestFit="1" customWidth="1"/>
    <col min="6" max="6" width="16.28125" style="4" customWidth="1"/>
    <col min="7" max="7" width="15.421875" style="4" customWidth="1"/>
    <col min="8" max="8" width="13.7109375" style="4" customWidth="1"/>
    <col min="9" max="9" width="12.7109375" style="4" customWidth="1"/>
    <col min="10" max="10" width="13.8515625" style="4" customWidth="1"/>
    <col min="11" max="11" width="11.8515625" style="4" customWidth="1"/>
    <col min="12" max="12" width="15.28125" style="4" customWidth="1"/>
    <col min="13" max="13" width="14.7109375" style="4" customWidth="1"/>
    <col min="14" max="14" width="15.28125" style="4" customWidth="1"/>
    <col min="15" max="15" width="12.7109375" style="4" bestFit="1" customWidth="1"/>
    <col min="16" max="18" width="8.7109375" style="4" customWidth="1"/>
    <col min="19" max="19" width="14.7109375" style="4" customWidth="1"/>
    <col min="20" max="27" width="8.7109375" style="4" customWidth="1"/>
    <col min="28" max="29" width="14.7109375" style="4" customWidth="1"/>
    <col min="30" max="33" width="8.7109375" style="4" customWidth="1"/>
    <col min="34" max="34" width="14.7109375" style="4" customWidth="1"/>
    <col min="35" max="35" width="8.7109375" style="4" customWidth="1"/>
    <col min="36" max="36" width="9.28125" style="4" customWidth="1"/>
    <col min="37" max="42" width="8.7109375" style="4" customWidth="1"/>
    <col min="43" max="45" width="9.140625" style="4" customWidth="1"/>
    <col min="46" max="46" width="10.00390625" style="4" customWidth="1"/>
    <col min="47" max="16384" width="9.140625" style="4" customWidth="1"/>
  </cols>
  <sheetData>
    <row r="1" spans="1:40" ht="16.5" thickTop="1">
      <c r="A1" s="626" t="s">
        <v>361</v>
      </c>
      <c r="B1" s="627"/>
      <c r="C1" s="627"/>
      <c r="D1" s="119"/>
      <c r="E1" s="119"/>
      <c r="F1" s="119"/>
      <c r="G1" s="119"/>
      <c r="H1" s="119"/>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1"/>
    </row>
    <row r="3" spans="1:49" ht="12.75">
      <c r="A3" s="12" t="s">
        <v>257</v>
      </c>
      <c r="B3" s="12"/>
      <c r="C3" s="12"/>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12.75">
      <c r="A4" s="33"/>
      <c r="B4" s="33">
        <v>1</v>
      </c>
      <c r="C4" s="33">
        <v>2</v>
      </c>
      <c r="D4" s="33">
        <v>3</v>
      </c>
      <c r="E4" s="33" t="s">
        <v>258</v>
      </c>
      <c r="F4" s="33" t="s">
        <v>259</v>
      </c>
      <c r="G4" s="33" t="s">
        <v>260</v>
      </c>
      <c r="H4" s="33" t="s">
        <v>261</v>
      </c>
      <c r="I4" s="33" t="s">
        <v>262</v>
      </c>
      <c r="J4" s="33" t="s">
        <v>263</v>
      </c>
      <c r="K4" s="33" t="s">
        <v>264</v>
      </c>
      <c r="L4" s="33" t="s">
        <v>265</v>
      </c>
      <c r="M4" s="33" t="s">
        <v>266</v>
      </c>
      <c r="N4" s="33" t="s">
        <v>267</v>
      </c>
      <c r="O4" s="33" t="s">
        <v>268</v>
      </c>
      <c r="P4" s="33" t="s">
        <v>269</v>
      </c>
      <c r="Q4" s="33" t="s">
        <v>270</v>
      </c>
      <c r="R4" s="33" t="s">
        <v>271</v>
      </c>
      <c r="S4" s="33" t="s">
        <v>272</v>
      </c>
      <c r="T4" s="33" t="s">
        <v>273</v>
      </c>
      <c r="U4" s="33" t="s">
        <v>274</v>
      </c>
      <c r="V4" s="33" t="s">
        <v>275</v>
      </c>
      <c r="W4" s="33" t="s">
        <v>276</v>
      </c>
      <c r="X4" s="33" t="s">
        <v>277</v>
      </c>
      <c r="Y4" s="33" t="s">
        <v>278</v>
      </c>
      <c r="Z4" s="33" t="s">
        <v>279</v>
      </c>
      <c r="AA4" s="33" t="s">
        <v>280</v>
      </c>
      <c r="AB4" s="33" t="s">
        <v>281</v>
      </c>
      <c r="AC4" s="33" t="s">
        <v>282</v>
      </c>
      <c r="AD4" s="33" t="s">
        <v>283</v>
      </c>
      <c r="AE4" s="33" t="s">
        <v>284</v>
      </c>
      <c r="AF4" s="33" t="s">
        <v>285</v>
      </c>
      <c r="AG4" s="33" t="s">
        <v>286</v>
      </c>
      <c r="AH4" s="33" t="s">
        <v>375</v>
      </c>
      <c r="AI4" s="33" t="s">
        <v>400</v>
      </c>
      <c r="AJ4" s="33" t="s">
        <v>447</v>
      </c>
      <c r="AK4" s="33" t="s">
        <v>452</v>
      </c>
      <c r="AL4" s="33" t="s">
        <v>453</v>
      </c>
      <c r="AM4" s="33" t="s">
        <v>456</v>
      </c>
      <c r="AN4" s="33" t="s">
        <v>464</v>
      </c>
      <c r="AO4" s="33" t="s">
        <v>466</v>
      </c>
      <c r="AP4" s="33" t="s">
        <v>467</v>
      </c>
      <c r="AQ4" s="33" t="s">
        <v>468</v>
      </c>
      <c r="AR4" s="33" t="s">
        <v>469</v>
      </c>
      <c r="AS4" s="33" t="s">
        <v>28</v>
      </c>
      <c r="AT4" s="33" t="s">
        <v>29</v>
      </c>
      <c r="AU4" s="33" t="s">
        <v>31</v>
      </c>
      <c r="AV4" s="33" t="s">
        <v>32</v>
      </c>
      <c r="AW4" s="33" t="s">
        <v>33</v>
      </c>
    </row>
    <row r="5" spans="1:49" ht="12.75">
      <c r="A5" s="631" t="s">
        <v>288</v>
      </c>
      <c r="B5" s="32" t="s">
        <v>206</v>
      </c>
      <c r="C5" s="32" t="s">
        <v>212</v>
      </c>
      <c r="D5" s="32" t="s">
        <v>189</v>
      </c>
      <c r="E5" s="32" t="s">
        <v>189</v>
      </c>
      <c r="F5" s="32" t="s">
        <v>189</v>
      </c>
      <c r="G5" s="32" t="s">
        <v>189</v>
      </c>
      <c r="H5" s="32" t="s">
        <v>189</v>
      </c>
      <c r="I5" s="32" t="s">
        <v>189</v>
      </c>
      <c r="J5" s="32" t="s">
        <v>189</v>
      </c>
      <c r="K5" s="32" t="s">
        <v>189</v>
      </c>
      <c r="L5" s="32" t="s">
        <v>189</v>
      </c>
      <c r="M5" s="32" t="s">
        <v>189</v>
      </c>
      <c r="N5" s="32" t="s">
        <v>189</v>
      </c>
      <c r="O5" s="32" t="s">
        <v>189</v>
      </c>
      <c r="P5" s="32" t="s">
        <v>189</v>
      </c>
      <c r="Q5" s="32" t="s">
        <v>189</v>
      </c>
      <c r="R5" s="32" t="s">
        <v>189</v>
      </c>
      <c r="S5" s="32" t="s">
        <v>189</v>
      </c>
      <c r="T5" s="32" t="s">
        <v>189</v>
      </c>
      <c r="U5" s="32" t="s">
        <v>189</v>
      </c>
      <c r="V5" s="32" t="s">
        <v>189</v>
      </c>
      <c r="W5" s="32" t="s">
        <v>189</v>
      </c>
      <c r="X5" s="32" t="s">
        <v>189</v>
      </c>
      <c r="Y5" s="32" t="s">
        <v>189</v>
      </c>
      <c r="Z5" s="32" t="s">
        <v>189</v>
      </c>
      <c r="AA5" s="32" t="s">
        <v>189</v>
      </c>
      <c r="AB5" s="32" t="s">
        <v>189</v>
      </c>
      <c r="AC5" s="77">
        <f>IF(Inputs!J87="N/A","","Outdoor")</f>
      </c>
      <c r="AD5" s="32" t="s">
        <v>189</v>
      </c>
      <c r="AE5" s="32" t="s">
        <v>189</v>
      </c>
      <c r="AF5" s="32" t="s">
        <v>189</v>
      </c>
      <c r="AG5" s="32" t="s">
        <v>189</v>
      </c>
      <c r="AH5" s="32" t="s">
        <v>189</v>
      </c>
      <c r="AI5" s="32" t="s">
        <v>323</v>
      </c>
      <c r="AJ5" s="32" t="s">
        <v>444</v>
      </c>
      <c r="AK5" s="32" t="s">
        <v>189</v>
      </c>
      <c r="AL5" s="32" t="s">
        <v>189</v>
      </c>
      <c r="AM5" s="32" t="s">
        <v>189</v>
      </c>
      <c r="AN5" s="32" t="s">
        <v>189</v>
      </c>
      <c r="AO5" s="32" t="s">
        <v>189</v>
      </c>
      <c r="AP5" s="32" t="s">
        <v>189</v>
      </c>
      <c r="AQ5" s="32" t="s">
        <v>189</v>
      </c>
      <c r="AR5" s="32" t="s">
        <v>470</v>
      </c>
      <c r="AS5" s="32" t="s">
        <v>470</v>
      </c>
      <c r="AT5" s="32" t="s">
        <v>445</v>
      </c>
      <c r="AU5" s="32" t="s">
        <v>445</v>
      </c>
      <c r="AV5" s="32" t="s">
        <v>445</v>
      </c>
      <c r="AW5" s="32" t="s">
        <v>445</v>
      </c>
    </row>
    <row r="6" spans="1:49" ht="12.75">
      <c r="A6" s="632"/>
      <c r="B6" s="32" t="s">
        <v>205</v>
      </c>
      <c r="C6" s="32" t="s">
        <v>213</v>
      </c>
      <c r="D6" s="32" t="s">
        <v>190</v>
      </c>
      <c r="E6" s="32" t="s">
        <v>190</v>
      </c>
      <c r="F6" s="32" t="s">
        <v>190</v>
      </c>
      <c r="G6" s="32" t="s">
        <v>190</v>
      </c>
      <c r="H6" s="32" t="s">
        <v>190</v>
      </c>
      <c r="I6" s="32" t="s">
        <v>190</v>
      </c>
      <c r="J6" s="32" t="s">
        <v>190</v>
      </c>
      <c r="K6" s="32" t="s">
        <v>190</v>
      </c>
      <c r="L6" s="32" t="s">
        <v>190</v>
      </c>
      <c r="M6" s="32" t="s">
        <v>190</v>
      </c>
      <c r="N6" s="32" t="s">
        <v>190</v>
      </c>
      <c r="O6" s="32" t="s">
        <v>190</v>
      </c>
      <c r="P6" s="32" t="s">
        <v>190</v>
      </c>
      <c r="Q6" s="32" t="s">
        <v>190</v>
      </c>
      <c r="R6" s="32" t="s">
        <v>190</v>
      </c>
      <c r="S6" s="32" t="s">
        <v>190</v>
      </c>
      <c r="T6" s="32" t="s">
        <v>190</v>
      </c>
      <c r="U6" s="32" t="s">
        <v>190</v>
      </c>
      <c r="V6" s="32" t="s">
        <v>190</v>
      </c>
      <c r="W6" s="32" t="s">
        <v>190</v>
      </c>
      <c r="X6" s="32" t="s">
        <v>190</v>
      </c>
      <c r="Y6" s="32" t="s">
        <v>190</v>
      </c>
      <c r="Z6" s="32" t="s">
        <v>190</v>
      </c>
      <c r="AA6" s="32" t="s">
        <v>190</v>
      </c>
      <c r="AB6" s="32" t="s">
        <v>190</v>
      </c>
      <c r="AC6" s="77">
        <f>IF(Inputs!J88="N/A","","In-Vessel")</f>
      </c>
      <c r="AD6" s="32" t="s">
        <v>190</v>
      </c>
      <c r="AE6" s="32" t="s">
        <v>190</v>
      </c>
      <c r="AF6" s="32" t="s">
        <v>190</v>
      </c>
      <c r="AG6" s="32" t="s">
        <v>190</v>
      </c>
      <c r="AH6" s="32" t="s">
        <v>190</v>
      </c>
      <c r="AI6" s="32" t="s">
        <v>401</v>
      </c>
      <c r="AJ6" s="32" t="s">
        <v>445</v>
      </c>
      <c r="AK6" s="32" t="s">
        <v>190</v>
      </c>
      <c r="AL6" s="32" t="s">
        <v>190</v>
      </c>
      <c r="AM6" s="32" t="s">
        <v>190</v>
      </c>
      <c r="AN6" s="32" t="s">
        <v>190</v>
      </c>
      <c r="AO6" s="32" t="s">
        <v>190</v>
      </c>
      <c r="AP6" s="32" t="s">
        <v>190</v>
      </c>
      <c r="AQ6" s="32" t="s">
        <v>190</v>
      </c>
      <c r="AR6" s="32" t="s">
        <v>471</v>
      </c>
      <c r="AS6" s="32" t="s">
        <v>471</v>
      </c>
      <c r="AT6" s="32" t="s">
        <v>30</v>
      </c>
      <c r="AU6" s="32" t="s">
        <v>30</v>
      </c>
      <c r="AV6" s="32" t="s">
        <v>30</v>
      </c>
      <c r="AW6" s="32" t="s">
        <v>30</v>
      </c>
    </row>
    <row r="7" spans="1:49" ht="12.75">
      <c r="A7" s="632"/>
      <c r="B7" s="32" t="s">
        <v>207</v>
      </c>
      <c r="C7" s="32" t="s">
        <v>214</v>
      </c>
      <c r="D7" s="32"/>
      <c r="E7" s="32"/>
      <c r="F7" s="32"/>
      <c r="G7" s="32"/>
      <c r="H7" s="32"/>
      <c r="I7" s="32"/>
      <c r="J7" s="32"/>
      <c r="K7" s="32"/>
      <c r="L7" s="32"/>
      <c r="M7" s="32"/>
      <c r="N7" s="32"/>
      <c r="O7" s="32"/>
      <c r="P7" s="32"/>
      <c r="Q7" s="32"/>
      <c r="R7" s="32"/>
      <c r="S7" s="32"/>
      <c r="T7" s="32"/>
      <c r="U7" s="32"/>
      <c r="V7" s="32"/>
      <c r="W7" s="32"/>
      <c r="X7" s="32"/>
      <c r="Y7" s="32"/>
      <c r="Z7" s="32"/>
      <c r="AA7" s="32"/>
      <c r="AB7" s="32"/>
      <c r="AC7" s="77">
        <f>IF(Inputs!J89="N/A","","Off-Site")</f>
      </c>
      <c r="AD7" s="32"/>
      <c r="AE7" s="32"/>
      <c r="AF7" s="32"/>
      <c r="AG7" s="32"/>
      <c r="AH7" s="32"/>
      <c r="AI7" s="32"/>
      <c r="AJ7" s="32" t="s">
        <v>446</v>
      </c>
      <c r="AK7" s="32"/>
      <c r="AL7" s="32"/>
      <c r="AM7" s="32"/>
      <c r="AN7" s="32"/>
      <c r="AO7" s="32"/>
      <c r="AP7" s="32"/>
      <c r="AQ7" s="32"/>
      <c r="AR7" s="32"/>
      <c r="AS7" s="32"/>
      <c r="AT7" s="32" t="s">
        <v>444</v>
      </c>
      <c r="AU7" s="32" t="s">
        <v>444</v>
      </c>
      <c r="AV7" s="32" t="s">
        <v>444</v>
      </c>
      <c r="AW7" s="32" t="s">
        <v>444</v>
      </c>
    </row>
    <row r="8" spans="1:49" ht="12.75">
      <c r="A8" s="632"/>
      <c r="B8" s="32" t="s">
        <v>208</v>
      </c>
      <c r="C8" s="32" t="s">
        <v>295</v>
      </c>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t="s">
        <v>463</v>
      </c>
      <c r="AK8" s="32"/>
      <c r="AL8" s="32"/>
      <c r="AM8" s="32"/>
      <c r="AN8" s="32"/>
      <c r="AO8" s="32"/>
      <c r="AP8" s="32"/>
      <c r="AQ8" s="32"/>
      <c r="AR8" s="32"/>
      <c r="AS8" s="32"/>
      <c r="AT8" s="32"/>
      <c r="AU8" s="32"/>
      <c r="AV8" s="32"/>
      <c r="AW8" s="32"/>
    </row>
    <row r="9" spans="1:49" ht="12.75">
      <c r="A9" s="632"/>
      <c r="B9" s="32" t="s">
        <v>209</v>
      </c>
      <c r="C9" s="32" t="s">
        <v>215</v>
      </c>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row>
    <row r="10" spans="1:49" ht="12.75">
      <c r="A10" s="632"/>
      <c r="B10" s="32" t="s">
        <v>223</v>
      </c>
      <c r="C10" s="32" t="s">
        <v>216</v>
      </c>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row>
    <row r="11" spans="1:49" ht="12.75">
      <c r="A11" s="632"/>
      <c r="B11" s="32" t="s">
        <v>211</v>
      </c>
      <c r="C11" s="32" t="s">
        <v>217</v>
      </c>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row>
    <row r="12" spans="1:49" ht="12.75">
      <c r="A12" s="633"/>
      <c r="B12" s="32" t="s">
        <v>210</v>
      </c>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row>
    <row r="13" spans="1:49" s="170" customFormat="1" ht="12.75">
      <c r="A13" s="171" t="s">
        <v>287</v>
      </c>
      <c r="B13" s="171" t="s">
        <v>206</v>
      </c>
      <c r="C13" s="172" t="s">
        <v>212</v>
      </c>
      <c r="D13" s="171" t="s">
        <v>190</v>
      </c>
      <c r="E13" s="171"/>
      <c r="F13" s="171"/>
      <c r="G13" s="171"/>
      <c r="H13" s="171"/>
      <c r="I13" s="171" t="s">
        <v>190</v>
      </c>
      <c r="J13" s="171"/>
      <c r="K13" s="171"/>
      <c r="L13" s="171"/>
      <c r="M13" s="171"/>
      <c r="N13" s="171"/>
      <c r="O13" s="171" t="s">
        <v>190</v>
      </c>
      <c r="P13" s="171"/>
      <c r="Q13" s="171"/>
      <c r="R13" s="171"/>
      <c r="S13" s="171"/>
      <c r="T13" s="171"/>
      <c r="U13" s="171" t="s">
        <v>190</v>
      </c>
      <c r="V13" s="171"/>
      <c r="W13" s="171" t="s">
        <v>190</v>
      </c>
      <c r="X13" s="171" t="s">
        <v>190</v>
      </c>
      <c r="Y13" s="171"/>
      <c r="Z13" s="171"/>
      <c r="AA13" s="171"/>
      <c r="AB13" s="171"/>
      <c r="AC13" s="171"/>
      <c r="AD13" s="171" t="s">
        <v>190</v>
      </c>
      <c r="AE13" s="171"/>
      <c r="AF13" s="171"/>
      <c r="AG13" s="171"/>
      <c r="AH13" s="171"/>
      <c r="AI13" s="171" t="s">
        <v>323</v>
      </c>
      <c r="AJ13" s="171" t="s">
        <v>445</v>
      </c>
      <c r="AK13" s="171"/>
      <c r="AL13" s="171"/>
      <c r="AM13" s="171"/>
      <c r="AN13" s="171" t="s">
        <v>190</v>
      </c>
      <c r="AO13" s="171"/>
      <c r="AP13" s="171"/>
      <c r="AQ13" s="171"/>
      <c r="AR13" s="171"/>
      <c r="AS13" s="171"/>
      <c r="AT13" s="171"/>
      <c r="AU13" s="171"/>
      <c r="AV13" s="171"/>
      <c r="AW13" s="171"/>
    </row>
    <row r="15" spans="1:2" ht="12.75">
      <c r="A15" s="123" t="s">
        <v>403</v>
      </c>
      <c r="B15" s="124"/>
    </row>
    <row r="16" spans="1:7" ht="12.75">
      <c r="A16" s="628" t="s">
        <v>405</v>
      </c>
      <c r="B16" s="482"/>
      <c r="F16" s="125"/>
      <c r="G16" s="126"/>
    </row>
    <row r="17" spans="1:2" ht="12.75">
      <c r="A17" s="629">
        <f>IF(I29="Disposal",0,IF(H25="With Food Scraps",(Inputs!D13+Inputs!B8*(1-Inputs!B9))*52/2000,Inputs!D13*52/2000))</f>
        <v>0</v>
      </c>
      <c r="B17" s="630"/>
    </row>
    <row r="19" spans="1:8" ht="12.75">
      <c r="A19" s="123" t="s">
        <v>186</v>
      </c>
      <c r="B19" s="124"/>
      <c r="C19" s="124"/>
      <c r="D19" s="124"/>
      <c r="E19" s="124"/>
      <c r="H19" s="126"/>
    </row>
    <row r="20" spans="1:5" ht="38.25">
      <c r="A20" s="122" t="s">
        <v>294</v>
      </c>
      <c r="B20" s="117" t="s">
        <v>362</v>
      </c>
      <c r="C20" s="117" t="s">
        <v>546</v>
      </c>
      <c r="D20" s="122" t="s">
        <v>296</v>
      </c>
      <c r="E20" s="122" t="s">
        <v>287</v>
      </c>
    </row>
    <row r="21" spans="1:5" ht="12.75" customHeight="1">
      <c r="A21" s="127" t="str">
        <f>IF(F13="Yes","Yes",IF(H13="Yes","Yes","No"))</f>
        <v>No</v>
      </c>
      <c r="B21" s="128">
        <f>(IF(Lookup!G13="Yes",IF(AT13="By Weight",Inputs!B24*Inputs!B6*(1-Inputs!B7)*52/2000,IF(AT13="Per Trip",Inputs!B25*Inputs!B26*12,Inputs!B27*52)),IF(Lookup!G13="No",0,Inputs!B29*Inputs!B30*12*2*('Cost Data'!C33+'Cost Data'!C34))))-Inputs!B31</f>
        <v>0</v>
      </c>
      <c r="C21" s="129">
        <f>(F47+F54)*(Inputs!B6*(1-Inputs!B7))/2000*52</f>
        <v>0</v>
      </c>
      <c r="D21" s="127" t="str">
        <f>IF(B21&gt;C21,"No","Yes")</f>
        <v>Yes</v>
      </c>
      <c r="E21" s="122" t="str">
        <f>IF(D21="Yes",IF(A21="Yes","Food Bank","Disposal"),"Disposal")</f>
        <v>Disposal</v>
      </c>
    </row>
    <row r="23" spans="1:8" ht="12.75" customHeight="1">
      <c r="A23" s="123" t="s">
        <v>520</v>
      </c>
      <c r="B23" s="124"/>
      <c r="C23" s="124"/>
      <c r="D23" s="124"/>
      <c r="E23" s="124"/>
      <c r="F23" s="124"/>
      <c r="G23" s="124"/>
      <c r="H23" s="124"/>
    </row>
    <row r="24" spans="1:41" ht="76.5">
      <c r="A24" s="122" t="s">
        <v>297</v>
      </c>
      <c r="B24" s="122" t="s">
        <v>294</v>
      </c>
      <c r="C24" s="117" t="s">
        <v>557</v>
      </c>
      <c r="D24" s="117" t="s">
        <v>558</v>
      </c>
      <c r="E24" s="117" t="s">
        <v>560</v>
      </c>
      <c r="F24" s="117" t="s">
        <v>301</v>
      </c>
      <c r="G24" s="117" t="s">
        <v>287</v>
      </c>
      <c r="H24" s="117" t="s">
        <v>293</v>
      </c>
      <c r="AO24" s="4" t="e">
        <f>1/0</f>
        <v>#DIV/0!</v>
      </c>
    </row>
    <row r="25" spans="1:8" ht="25.5">
      <c r="A25" s="127" t="s">
        <v>229</v>
      </c>
      <c r="B25" s="127" t="str">
        <f>IF($L$13="Yes","Yes",IF($N$13="Yes","Yes","No"))</f>
        <v>No</v>
      </c>
      <c r="C25" s="130">
        <f>(IF(Lookup!M13="Yes",IF(AU13="By Weight",Inputs!B40*C77,IF(AU13="Per Trip",Inputs!B41*Inputs!B42*12,Inputs!B43*52)),IF(Lookup!M13="No",0,Inputs!B45*Inputs!B46*12*2*('Cost Data'!$C$33+'Cost Data'!$C$34))))-Inputs!B47</f>
        <v>0</v>
      </c>
      <c r="D25" s="129">
        <f>(F47+F54)*(Inputs!B8*(1-Inputs!B9))/2000*52</f>
        <v>0</v>
      </c>
      <c r="E25" s="127" t="str">
        <f>IF((C25*10)+(A89*Inputs!B8*(1-Inputs!B9))&gt;D25*10,"No","Yes")</f>
        <v>Yes</v>
      </c>
      <c r="F25" s="122" t="str">
        <f>IF(E25="Yes",IF(B25="Yes","Food Rescue","Disposal"),"Disposal")</f>
        <v>Disposal</v>
      </c>
      <c r="G25" s="117" t="str">
        <f>IF(F25=A25,A25,"Disposal")</f>
        <v>Disposal</v>
      </c>
      <c r="H25" s="131" t="str">
        <f>IF(G25=A25,C25,"With Food Scraps")</f>
        <v>With Food Scraps</v>
      </c>
    </row>
    <row r="27" spans="1:11" ht="12.75">
      <c r="A27" s="123" t="s">
        <v>521</v>
      </c>
      <c r="B27" s="124"/>
      <c r="C27" s="124"/>
      <c r="D27" s="124"/>
      <c r="E27" s="124"/>
      <c r="F27" s="124"/>
      <c r="G27" s="124"/>
      <c r="H27" s="124"/>
      <c r="I27" s="124"/>
      <c r="J27" s="124"/>
      <c r="K27" s="124"/>
    </row>
    <row r="28" spans="1:11" ht="89.25">
      <c r="A28" s="122" t="s">
        <v>297</v>
      </c>
      <c r="B28" s="122" t="s">
        <v>294</v>
      </c>
      <c r="C28" s="122" t="s">
        <v>404</v>
      </c>
      <c r="D28" s="117" t="s">
        <v>557</v>
      </c>
      <c r="E28" s="117" t="s">
        <v>558</v>
      </c>
      <c r="F28" s="117" t="s">
        <v>560</v>
      </c>
      <c r="G28" s="117" t="s">
        <v>301</v>
      </c>
      <c r="H28" s="117" t="s">
        <v>386</v>
      </c>
      <c r="I28" s="117" t="s">
        <v>287</v>
      </c>
      <c r="J28" s="117" t="s">
        <v>547</v>
      </c>
      <c r="K28" s="117" t="s">
        <v>139</v>
      </c>
    </row>
    <row r="29" spans="1:11" ht="12.75">
      <c r="A29" s="122" t="s">
        <v>298</v>
      </c>
      <c r="B29" s="122" t="str">
        <f>IF($R$13="Yes","Yes",IF($T$13="Yes","Yes","No"))</f>
        <v>No</v>
      </c>
      <c r="C29" s="132" t="s">
        <v>387</v>
      </c>
      <c r="D29" s="133">
        <f>IF(Lookup!S13="Yes",IF(AV13="By Weight",Inputs!B55*C78,IF(AV13="Per Trip",Inputs!B56*Inputs!B57*12,Inputs!B58*52)),IF(Lookup!S13="No",0,Inputs!B60*Inputs!B61*12*2*('Cost Data'!$C$33+'Cost Data'!$C$34)))-(Inputs!B62*(Inputs!D11*(1-Inputs!D12))*52/2000)</f>
        <v>0</v>
      </c>
      <c r="E29" s="134">
        <f>(F47+F54)*(Inputs!D11*(1-Inputs!D12))/2000*52</f>
        <v>0</v>
      </c>
      <c r="F29" s="122" t="str">
        <f>IF(D29*10+A89*(Inputs!D11*(1-Inputs!D12))&gt;E29*10,"No","Yes")</f>
        <v>Yes</v>
      </c>
      <c r="G29" s="122" t="str">
        <f>IF(F29="Yes",IF(B29="Yes",A29,"Disposal"),"Disposal")</f>
        <v>Disposal</v>
      </c>
      <c r="H29" s="619">
        <f>IF(AC13="","",AC13)</f>
      </c>
      <c r="I29" s="619" t="str">
        <f>IF(G29=A29,A29,IF(H29="Outdoor",A30,IF(H29="In-Vessel",A31,IF(H29="Off-Site",A32,"Disposal"))))</f>
        <v>Disposal</v>
      </c>
      <c r="J29" s="616">
        <f>IF(I29=A29,D29,IF(I29=A30,D30,IF(I29=A31,D31,IF(I29=A32,D32,C78*F47))))</f>
        <v>0</v>
      </c>
      <c r="K29" s="600">
        <f>IF(K62="Yes"," and Pulp",IF(K65="Yes",IF(I29="Disposal"," and Pulp",""),""))</f>
      </c>
    </row>
    <row r="30" spans="1:11" ht="12.75">
      <c r="A30" s="122" t="s">
        <v>299</v>
      </c>
      <c r="B30" s="122" t="str">
        <f>IF($V$13="Yes","Yes","No")</f>
        <v>No</v>
      </c>
      <c r="C30" s="138" t="s">
        <v>387</v>
      </c>
      <c r="D30" s="133">
        <f>-(((Inputs!D11*(1-Inputs!D12)*'Cost Data'!D44)*Inputs!B86))*52</f>
        <v>0</v>
      </c>
      <c r="E30" s="134">
        <f>E29</f>
        <v>0</v>
      </c>
      <c r="F30" s="122" t="str">
        <f>IF((D30*10+A89*Inputs!D11*(1-Inputs!D12))&gt;E30*10,"No","Yes")</f>
        <v>Yes</v>
      </c>
      <c r="G30" s="122" t="str">
        <f>IF(F30="Yes",IF(B30="Yes",A30,"Disposal"),"Disposal")</f>
        <v>Disposal</v>
      </c>
      <c r="H30" s="601"/>
      <c r="I30" s="620"/>
      <c r="J30" s="622"/>
      <c r="K30" s="598"/>
    </row>
    <row r="31" spans="1:11" ht="12.75">
      <c r="A31" s="122" t="s">
        <v>378</v>
      </c>
      <c r="B31" s="122" t="str">
        <f>IF($W$13="Yes","Yes","No")</f>
        <v>No</v>
      </c>
      <c r="C31" s="132">
        <f>C70</f>
        <v>39000</v>
      </c>
      <c r="D31" s="133">
        <f>I71-(((Inputs!D11*(1-Inputs!D12)*'Cost Data'!D44)*Inputs!B86))*52</f>
        <v>0</v>
      </c>
      <c r="E31" s="134">
        <f>E29</f>
        <v>0</v>
      </c>
      <c r="F31" s="122" t="str">
        <f>IF(C31+D31*10+A89*Inputs!D11*(1-Inputs!D12)-IF(Inputs!B73&lt;10,(10-Inputs!B73),0)*D70&gt;E31*10,"No","Yes")</f>
        <v>No</v>
      </c>
      <c r="G31" s="122" t="str">
        <f>IF(F31="Yes",IF(B31="Yes",A31,"Disposal"),"Disposal")</f>
        <v>Disposal</v>
      </c>
      <c r="H31" s="601"/>
      <c r="I31" s="620"/>
      <c r="J31" s="622"/>
      <c r="K31" s="598"/>
    </row>
    <row r="32" spans="1:11" ht="12.75">
      <c r="A32" s="122" t="s">
        <v>300</v>
      </c>
      <c r="B32" s="122" t="str">
        <f>IF($Z$13="Yes","Yes",IF($AB$13="Yes","Yes","No"))</f>
        <v>No</v>
      </c>
      <c r="C32" s="138" t="s">
        <v>387</v>
      </c>
      <c r="D32" s="133">
        <f>IF(Lookup!AA13="Yes",IF(AW13="By Weight",Inputs!B79*C78,IF(AW13="Per Trip",Inputs!B80*Inputs!B81*12,Inputs!B82*52)),IF(Lookup!AA13="No",0,Inputs!B84*Inputs!B85*12*2*('Cost Data'!C33+'Cost Data'!C34)))</f>
        <v>0</v>
      </c>
      <c r="E32" s="134">
        <f>E29</f>
        <v>0</v>
      </c>
      <c r="F32" s="122" t="str">
        <f>IF(D32*10+A89*(Inputs!D11*(1-Inputs!D12))&gt;E32*10,"No","Yes")</f>
        <v>Yes</v>
      </c>
      <c r="G32" s="122" t="str">
        <f>IF(F32="Yes",IF(B32="Yes",A32,"Disposal"),"Disposal")</f>
        <v>Disposal</v>
      </c>
      <c r="H32" s="602"/>
      <c r="I32" s="621"/>
      <c r="J32" s="623"/>
      <c r="K32" s="599"/>
    </row>
    <row r="34" spans="1:11" ht="12.75" customHeight="1">
      <c r="A34" s="123" t="s">
        <v>377</v>
      </c>
      <c r="B34" s="124"/>
      <c r="C34" s="124"/>
      <c r="D34" s="124"/>
      <c r="E34" s="124"/>
      <c r="F34" s="124"/>
      <c r="G34" s="124"/>
      <c r="H34" s="124"/>
      <c r="I34" s="124"/>
      <c r="J34" s="124"/>
      <c r="K34" s="124"/>
    </row>
    <row r="35" spans="1:11" ht="89.25">
      <c r="A35" s="122" t="s">
        <v>297</v>
      </c>
      <c r="B35" s="122" t="s">
        <v>294</v>
      </c>
      <c r="C35" s="122" t="s">
        <v>404</v>
      </c>
      <c r="D35" s="117" t="s">
        <v>557</v>
      </c>
      <c r="E35" s="117" t="s">
        <v>558</v>
      </c>
      <c r="F35" s="117" t="s">
        <v>560</v>
      </c>
      <c r="G35" s="117" t="s">
        <v>301</v>
      </c>
      <c r="H35" s="117" t="s">
        <v>386</v>
      </c>
      <c r="I35" s="117" t="s">
        <v>287</v>
      </c>
      <c r="J35" s="117" t="s">
        <v>561</v>
      </c>
      <c r="K35" s="117" t="s">
        <v>139</v>
      </c>
    </row>
    <row r="36" spans="1:11" ht="12.75" customHeight="1">
      <c r="A36" s="122" t="s">
        <v>298</v>
      </c>
      <c r="B36" s="127" t="str">
        <f>B29</f>
        <v>No</v>
      </c>
      <c r="C36" s="139" t="s">
        <v>387</v>
      </c>
      <c r="D36" s="140">
        <f>IF(Lookup!S13="Yes",IF(AV13="By Weight",Inputs!B55*(C78+C77),IF(AV13="Per Trip",Inputs!B56*Inputs!B57*12,Inputs!B58*52)),IF(Lookup!S13="No",0,Inputs!B60*Inputs!B61*12*2*('Cost Data'!$C$33+'Cost Data'!$C$34)))-(Inputs!B62*((Inputs!D11*(1-Inputs!D12))+(Inputs!B8*(1-Inputs!B9)))*52/2000)</f>
        <v>0</v>
      </c>
      <c r="E36" s="140">
        <f>(F47+F54)*(((Inputs!D11*(1-Inputs!D12)))+(Inputs!B8*(1-Inputs!B9)))/2000*52</f>
        <v>0</v>
      </c>
      <c r="F36" s="122" t="str">
        <f>IF(D36*10+A89*((Inputs!D11*(1-Inputs!D12))+(Inputs!B8*(1-Inputs!B9)))&gt;E36*10,"No","Yes")</f>
        <v>Yes</v>
      </c>
      <c r="G36" s="122" t="str">
        <f>IF(F36="Yes",IF(B36="Yes",A36,"Disposal"),"Disposal")</f>
        <v>Disposal</v>
      </c>
      <c r="H36" s="619">
        <f>IF(AC13="","",AC13)</f>
      </c>
      <c r="I36" s="619" t="str">
        <f>IF(G36=A36,A36,IF(H36="Outdoor",A37,IF(H36="In-Vessel",A38,IF(H36="Off-Site",A39,"Disposal"))))</f>
        <v>Disposal</v>
      </c>
      <c r="J36" s="616">
        <f>IF(I36=A36,D36,IF(I36=A37,D37,IF(I36=A38,D38,IF(I36=A39,D39,(C78+C77)*F47))))</f>
        <v>0</v>
      </c>
      <c r="K36" s="600">
        <f>IF(K63="Yes"," and Pulp",IF(K66="Yes",IF(I36="Disposal"," and Pulp",""),""))</f>
      </c>
    </row>
    <row r="37" spans="1:11" ht="12.75">
      <c r="A37" s="122" t="s">
        <v>299</v>
      </c>
      <c r="B37" s="127" t="str">
        <f>B30</f>
        <v>No</v>
      </c>
      <c r="C37" s="139" t="s">
        <v>387</v>
      </c>
      <c r="D37" s="134">
        <f>-(((Inputs!D11*(1-Inputs!D12))+(Inputs!B8*(1-Inputs!B9)))*'Cost Data'!D44*Inputs!B86)*52</f>
        <v>0</v>
      </c>
      <c r="E37" s="140">
        <f>E36</f>
        <v>0</v>
      </c>
      <c r="F37" s="122" t="str">
        <f>IF(D37*10+A89*((Inputs!D11*(1-Inputs!D12))+(Inputs!B8*(1-Inputs!B9)))&gt;E37*10,"No","Yes")</f>
        <v>Yes</v>
      </c>
      <c r="G37" s="122" t="str">
        <f>IF(F37="Yes",IF(B37="Yes",A37,"Disposal"),"Disposal")</f>
        <v>Disposal</v>
      </c>
      <c r="H37" s="601"/>
      <c r="I37" s="601"/>
      <c r="J37" s="617"/>
      <c r="K37" s="598"/>
    </row>
    <row r="38" spans="1:11" ht="12.75">
      <c r="A38" s="122" t="s">
        <v>378</v>
      </c>
      <c r="B38" s="127" t="str">
        <f>B31</f>
        <v>No</v>
      </c>
      <c r="C38" s="139">
        <f>C70</f>
        <v>39000</v>
      </c>
      <c r="D38" s="134">
        <f>I72-(((Inputs!D11*(1-Inputs!D12))+(Inputs!B8*(1-Inputs!B9)))*'Cost Data'!D44*Inputs!B86)*52</f>
        <v>370</v>
      </c>
      <c r="E38" s="140">
        <f>E36</f>
        <v>0</v>
      </c>
      <c r="F38" s="122" t="str">
        <f>IF(C38+D38*10+A89*(Inputs!D11*(1-Inputs!D12)+(Inputs!B8*(1-Inputs!B9)))-IF(Inputs!B73&lt;10,(10-Inputs!B73),0)*D70&gt;E38*10,"No","Yes")</f>
        <v>No</v>
      </c>
      <c r="G38" s="122" t="str">
        <f>IF(F38="Yes",IF(B38="Yes",A38,"Disposal"),"Disposal")</f>
        <v>Disposal</v>
      </c>
      <c r="H38" s="601"/>
      <c r="I38" s="601"/>
      <c r="J38" s="617"/>
      <c r="K38" s="598"/>
    </row>
    <row r="39" spans="1:11" ht="12.75">
      <c r="A39" s="122" t="s">
        <v>300</v>
      </c>
      <c r="B39" s="127" t="str">
        <f>B32</f>
        <v>No</v>
      </c>
      <c r="C39" s="139" t="s">
        <v>387</v>
      </c>
      <c r="D39" s="140">
        <f>IF(Lookup!AA13="Yes",IF(AW13="By Weight",Inputs!B79*(C77+C78),IF(AW13="Per Trip",Inputs!B80*Inputs!B81*12,Inputs!B82*52)),IF(Lookup!AA13="No",0,Inputs!B84*Inputs!B85*12*2*('Cost Data'!C33+'Cost Data'!C34)))</f>
        <v>0</v>
      </c>
      <c r="E39" s="140">
        <f>E36</f>
        <v>0</v>
      </c>
      <c r="F39" s="122" t="str">
        <f>IF(D39*10+A89*((Inputs!D11*(1-Inputs!D12))+(Inputs!B8*(1-Inputs!B9)))&gt;E39*10,"No","Yes")</f>
        <v>Yes</v>
      </c>
      <c r="G39" s="122" t="str">
        <f>IF(F39="Yes",IF(B39="Yes",A39,"Disposal"),"Disposal")</f>
        <v>Disposal</v>
      </c>
      <c r="H39" s="602"/>
      <c r="I39" s="602"/>
      <c r="J39" s="618"/>
      <c r="K39" s="599"/>
    </row>
    <row r="41" spans="1:10" ht="12.75">
      <c r="A41" s="141" t="s">
        <v>395</v>
      </c>
      <c r="B41" s="124"/>
      <c r="C41" s="124"/>
      <c r="D41" s="124"/>
      <c r="E41" s="124"/>
      <c r="G41" s="142"/>
      <c r="H41" s="142"/>
      <c r="I41" s="143"/>
      <c r="J41" s="144"/>
    </row>
    <row r="42" spans="1:10" ht="38.25">
      <c r="A42" s="122" t="s">
        <v>294</v>
      </c>
      <c r="B42" s="117" t="s">
        <v>363</v>
      </c>
      <c r="C42" s="117" t="s">
        <v>546</v>
      </c>
      <c r="D42" s="117" t="s">
        <v>560</v>
      </c>
      <c r="E42" s="122" t="s">
        <v>287</v>
      </c>
      <c r="G42" s="145"/>
      <c r="H42" s="144"/>
      <c r="I42" s="145"/>
      <c r="J42" s="30"/>
    </row>
    <row r="43" spans="1:5" ht="25.5" customHeight="1">
      <c r="A43" s="127" t="str">
        <f>IF(AF13="Yes","Yes",IF(AH13="Yes","Yes","No"))</f>
        <v>No</v>
      </c>
      <c r="B43" s="140">
        <f>(IF(Lookup!AG13="Yes",Inputs!B96*52,IF(Lookup!AG13="No",0,Inputs!B98*Inputs!B99*12*2*('Cost Data'!C33+'Cost Data'!C34))))-(Inputs!B100*52)</f>
        <v>0</v>
      </c>
      <c r="C43" s="146">
        <f>(F47+F54)*(Inputs!D14)/2000*52</f>
        <v>0</v>
      </c>
      <c r="D43" s="127" t="str">
        <f>IF(B43&gt;C43,"No","Yes")</f>
        <v>Yes</v>
      </c>
      <c r="E43" s="117" t="str">
        <f>IF(D43="Yes",IF(A43="Yes","For Biodiesel Production","Disposal"),"Disposal")</f>
        <v>Disposal</v>
      </c>
    </row>
    <row r="45" spans="1:9" ht="12.75">
      <c r="A45" s="141" t="s">
        <v>459</v>
      </c>
      <c r="B45" s="141"/>
      <c r="C45" s="141"/>
      <c r="D45" s="141"/>
      <c r="E45" s="141"/>
      <c r="F45" s="141"/>
      <c r="H45" s="147"/>
      <c r="I45" s="148"/>
    </row>
    <row r="46" spans="1:6" ht="25.5">
      <c r="A46" s="122" t="s">
        <v>297</v>
      </c>
      <c r="B46" s="149" t="s">
        <v>294</v>
      </c>
      <c r="C46" s="117" t="s">
        <v>448</v>
      </c>
      <c r="D46" s="117" t="s">
        <v>449</v>
      </c>
      <c r="E46" s="117" t="s">
        <v>544</v>
      </c>
      <c r="F46" s="117" t="s">
        <v>545</v>
      </c>
    </row>
    <row r="47" spans="1:7" ht="12.75">
      <c r="A47" s="122" t="s">
        <v>444</v>
      </c>
      <c r="B47" s="149" t="str">
        <f>IF($AJ$13="Flat Fee","Yes","No")</f>
        <v>No</v>
      </c>
      <c r="C47" s="150">
        <f>Inputs!B103</f>
        <v>0</v>
      </c>
      <c r="D47" s="131">
        <v>0</v>
      </c>
      <c r="E47" s="616">
        <f>VLOOKUP("Yes",$B47:C50,2,FALSE)</f>
        <v>0</v>
      </c>
      <c r="F47" s="616">
        <f>VLOOKUP("Yes",$B47:D50,3,FALSE)</f>
        <v>0</v>
      </c>
      <c r="G47" s="151"/>
    </row>
    <row r="48" spans="1:9" ht="12.75">
      <c r="A48" s="122" t="s">
        <v>445</v>
      </c>
      <c r="B48" s="149" t="str">
        <f>IF($AJ$13="By Weight","Yes","No")</f>
        <v>Yes</v>
      </c>
      <c r="C48" s="131">
        <f>Inputs!B110</f>
        <v>0</v>
      </c>
      <c r="D48" s="131">
        <f>Inputs!B106</f>
        <v>0</v>
      </c>
      <c r="E48" s="622"/>
      <c r="F48" s="622"/>
      <c r="H48" s="147"/>
      <c r="I48" s="111"/>
    </row>
    <row r="49" spans="1:8" ht="12.75">
      <c r="A49" s="122" t="s">
        <v>446</v>
      </c>
      <c r="B49" s="149" t="str">
        <f>IF($AJ$13="Per Pull","Yes","No")</f>
        <v>No</v>
      </c>
      <c r="C49" s="131">
        <f>Inputs!B110</f>
        <v>0</v>
      </c>
      <c r="D49" s="131">
        <f>IF(Inputs!B108="",0,IF(Inputs!B108=0,0,Inputs!B107/(Inputs!B108/2000)+Inputs!B113))</f>
        <v>0</v>
      </c>
      <c r="E49" s="622"/>
      <c r="F49" s="622"/>
      <c r="H49" s="148"/>
    </row>
    <row r="50" spans="1:8" ht="12.75">
      <c r="A50" s="122" t="s">
        <v>463</v>
      </c>
      <c r="B50" s="149" t="str">
        <f>IF($AJ$13="In Rent","Yes","No")</f>
        <v>No</v>
      </c>
      <c r="C50" s="150">
        <f>Inputs!B103</f>
        <v>0</v>
      </c>
      <c r="D50" s="131">
        <v>0</v>
      </c>
      <c r="E50" s="618"/>
      <c r="F50" s="618"/>
      <c r="H50" s="151"/>
    </row>
    <row r="52" spans="1:7" ht="12.75" customHeight="1">
      <c r="A52" s="625" t="s">
        <v>542</v>
      </c>
      <c r="B52" s="625"/>
      <c r="C52" s="625"/>
      <c r="D52" s="625"/>
      <c r="E52" s="625"/>
      <c r="F52" s="625"/>
      <c r="G52" s="625"/>
    </row>
    <row r="53" spans="1:11" ht="37.5" customHeight="1">
      <c r="A53" s="122" t="s">
        <v>297</v>
      </c>
      <c r="B53" s="149" t="s">
        <v>461</v>
      </c>
      <c r="C53" s="131" t="s">
        <v>541</v>
      </c>
      <c r="D53" s="612" t="s">
        <v>543</v>
      </c>
      <c r="E53" s="613"/>
      <c r="F53" s="131" t="s">
        <v>287</v>
      </c>
      <c r="G53" s="152"/>
      <c r="I53" s="125"/>
      <c r="J53" s="111"/>
      <c r="K53" s="111"/>
    </row>
    <row r="54" spans="1:9" ht="12.75">
      <c r="A54" s="122" t="s">
        <v>444</v>
      </c>
      <c r="B54" s="611" t="str">
        <f>AJ13</f>
        <v>By Weight</v>
      </c>
      <c r="C54" s="608">
        <f>(Inputs!B6+Inputs!B8+Inputs!B10+Inputs!B12+Inputs!D14)/2000*52</f>
        <v>0</v>
      </c>
      <c r="D54" s="614">
        <f>IF($AK$13="Yes",(Inputs!$B$105)/Lookup!$C$54,0)</f>
        <v>0</v>
      </c>
      <c r="E54" s="615"/>
      <c r="F54" s="616">
        <f>VLOOKUP(B54,A54:E57,4,FALSE)</f>
        <v>0</v>
      </c>
      <c r="G54" s="153"/>
      <c r="I54" s="154"/>
    </row>
    <row r="55" spans="1:9" ht="12.75" customHeight="1">
      <c r="A55" s="122" t="s">
        <v>445</v>
      </c>
      <c r="B55" s="598"/>
      <c r="C55" s="609"/>
      <c r="D55" s="614">
        <f>IF($AM$13="Yes",(Inputs!$B$112)/Lookup!$C$54,0)</f>
        <v>0</v>
      </c>
      <c r="E55" s="615"/>
      <c r="F55" s="622"/>
      <c r="G55" s="153"/>
      <c r="I55" s="111"/>
    </row>
    <row r="56" spans="1:10" ht="12.75" customHeight="1">
      <c r="A56" s="122" t="s">
        <v>446</v>
      </c>
      <c r="B56" s="598"/>
      <c r="C56" s="609"/>
      <c r="D56" s="614">
        <f>IF($AM$13="Yes",(Inputs!$B$112)/Lookup!$C$54,0)</f>
        <v>0</v>
      </c>
      <c r="E56" s="615"/>
      <c r="F56" s="622"/>
      <c r="G56" s="153"/>
      <c r="H56" s="111"/>
      <c r="I56" s="111"/>
      <c r="J56" s="111"/>
    </row>
    <row r="57" spans="1:7" ht="12.75">
      <c r="A57" s="122" t="s">
        <v>463</v>
      </c>
      <c r="B57" s="598"/>
      <c r="C57" s="610"/>
      <c r="D57" s="614">
        <f>IF($AK$13="Yes",(Inputs!$B$105)/Lookup!$C$54,0)</f>
        <v>0</v>
      </c>
      <c r="E57" s="615"/>
      <c r="F57" s="624"/>
      <c r="G57" s="155"/>
    </row>
    <row r="58" spans="2:7" ht="12.75">
      <c r="B58" s="22"/>
      <c r="C58" s="22"/>
      <c r="F58" s="22"/>
      <c r="G58" s="22"/>
    </row>
    <row r="59" spans="1:14" ht="12.75">
      <c r="A59" s="156" t="s">
        <v>35</v>
      </c>
      <c r="B59" s="156"/>
      <c r="C59" s="156"/>
      <c r="D59" s="156"/>
      <c r="E59" s="156"/>
      <c r="F59" s="156"/>
      <c r="G59" s="156"/>
      <c r="H59" s="156"/>
      <c r="I59" s="156"/>
      <c r="J59" s="156"/>
      <c r="K59" s="156"/>
      <c r="L59" s="156"/>
      <c r="M59" s="156"/>
      <c r="N59" s="156"/>
    </row>
    <row r="60" spans="1:14" ht="51">
      <c r="A60" s="122" t="s">
        <v>297</v>
      </c>
      <c r="B60" s="122" t="s">
        <v>294</v>
      </c>
      <c r="C60" s="117" t="s">
        <v>465</v>
      </c>
      <c r="D60" s="117" t="s">
        <v>136</v>
      </c>
      <c r="E60" s="117" t="s">
        <v>550</v>
      </c>
      <c r="F60" s="117" t="s">
        <v>140</v>
      </c>
      <c r="G60" s="117" t="s">
        <v>548</v>
      </c>
      <c r="H60" s="117" t="s">
        <v>141</v>
      </c>
      <c r="I60" s="117" t="s">
        <v>142</v>
      </c>
      <c r="J60" s="117" t="s">
        <v>560</v>
      </c>
      <c r="K60" s="117" t="s">
        <v>287</v>
      </c>
      <c r="L60" s="117" t="s">
        <v>539</v>
      </c>
      <c r="M60" s="117" t="s">
        <v>538</v>
      </c>
      <c r="N60" s="117" t="s">
        <v>549</v>
      </c>
    </row>
    <row r="61" spans="1:14" ht="12.75">
      <c r="A61" s="157" t="s">
        <v>480</v>
      </c>
      <c r="B61" s="157" t="str">
        <f>IF(C61="None","No",IF($AN$13="Yes",IF($Z$13="Yes",IF($H$36="Off-Site","Yes","No"),"No"),"No"))</f>
        <v>No</v>
      </c>
      <c r="C61" s="605" t="str">
        <f>IF(Inputs!D13&gt;Inputs!B116*'Cost Data'!C23,IF(Inputs!D13&gt;Inputs!B116*'Cost Data'!C27,"None",'Cost Data'!A25),'Cost Data'!A21)</f>
        <v>Small Pulper</v>
      </c>
      <c r="D61" s="596">
        <f>IF(C61="None",0,IF(Lookup!AS13="Finance",Inputs!$B$118,IF(Lookup!C61='Cost Data'!A21,'Cost Data'!C22,'Cost Data'!C26)))</f>
        <v>24062</v>
      </c>
      <c r="E61" s="596">
        <f>IF(B61="No",0,IF(Inputs!B120="",0,IF(Inputs!B119="",0,IF(Inputs!B118="",0,-PMT(Inputs!$B$119,Inputs!$B$120,IF($C$61='Cost Data'!$A$21,'Cost Data'!$C$22-Inputs!$B$118,'Cost Data'!$C$26-Inputs!$B$118))))))</f>
        <v>0</v>
      </c>
      <c r="F61" s="158">
        <f>IF(Inputs!B120=0,0,IF(B61="No",0,(IF(Lookup!$AS$13="Outright",0,IF(Inputs!B8=0,0,1)*IF(Inputs!B10+Inputs!B12=0,1,0.5)*-PMT(Inputs!$B$119,Inputs!$B$120,IF($C$61='Cost Data'!$A$21,'Cost Data'!$C$22-Inputs!$B$118,'Cost Data'!$C$26-Inputs!$B$118))))+'Cost Data'!$C$24*Inputs!$B$8*(1-Inputs!$B$9)*52/2000+((Inputs!B8*(1-Inputs!B9)*52)/IF(Lookup!C61='Cost Data'!A21,'Cost Data'!C23,'Cost Data'!C27))*'Cost Data'!B41))</f>
        <v>0</v>
      </c>
      <c r="G61" s="158">
        <f>IF(B61="No",0,E61*(10-Inputs!B120))</f>
        <v>0</v>
      </c>
      <c r="H61" s="159">
        <f>(Inputs!$B$8*(1-Inputs!$B$9)*'Cost Data'!C30)*52/2000</f>
        <v>0</v>
      </c>
      <c r="I61" s="160">
        <f>IF(AW13="By Weight",H61*Inputs!B$79,0)</f>
        <v>0</v>
      </c>
      <c r="J61" s="135" t="str">
        <f>IF(D$61+F61*10-IF(Inputs!B120&lt;10,(10-Inputs!B120),0)*E61&gt;I61*10,"No","Yes")</f>
        <v>No</v>
      </c>
      <c r="K61" s="135" t="str">
        <f aca="true" t="shared" si="0" ref="K61:K66">IF(J61="Yes",IF(B61="Yes","Yes","No"),"No")</f>
        <v>No</v>
      </c>
      <c r="L61" s="135" t="s">
        <v>387</v>
      </c>
      <c r="M61" s="135" t="s">
        <v>387</v>
      </c>
      <c r="N61" s="596">
        <f>IF(Lookup!C61='Cost Data'!A21,'Cost Data'!C22,'Cost Data'!C26)</f>
        <v>24062</v>
      </c>
    </row>
    <row r="62" spans="1:14" ht="12.75">
      <c r="A62" s="157" t="s">
        <v>481</v>
      </c>
      <c r="B62" s="157" t="str">
        <f>IF(C61="None","No",IF($AN$13="Yes",IF($Z$13="Yes",IF(H29="Off-Site","Yes","No"),"No"),"No"))</f>
        <v>No</v>
      </c>
      <c r="C62" s="606"/>
      <c r="D62" s="597"/>
      <c r="E62" s="603"/>
      <c r="F62" s="158">
        <f>IF(Inputs!B120=0,0,IF(B62="No",0,(IF(Lookup!$AS$13="Outright",0,IF(Inputs!B10+Inputs!B12=0,0,1)*IF(Inputs!B8=0,1,0.5)*-PMT(Inputs!$B$119,Inputs!$B$120,IF($C$61='Cost Data'!$A$21,'Cost Data'!$C$22-Inputs!$B$118,'Cost Data'!$C$26-Inputs!$B$118))))+'Cost Data'!$C$24*Inputs!$D$13*52/2000+((Inputs!D13*52)/IF(Lookup!C61='Cost Data'!A21,'Cost Data'!C23,'Cost Data'!C27))*'Cost Data'!B41))</f>
        <v>0</v>
      </c>
      <c r="G62" s="158">
        <f>IF(B62="No",0,E61*(10-Inputs!B120))</f>
        <v>0</v>
      </c>
      <c r="H62" s="159">
        <f>(Inputs!$D$13*'Cost Data'!$C$30)*52/2000</f>
        <v>0</v>
      </c>
      <c r="I62" s="160">
        <f>IF(AW13="By Weight",H62*Inputs!B$79,0)</f>
        <v>0</v>
      </c>
      <c r="J62" s="135" t="str">
        <f>IF(D$61+F62*10-IF(Inputs!B120&lt;10,(10-Inputs!B120),0)*E61&gt;I62*10,"No","Yes")</f>
        <v>No</v>
      </c>
      <c r="K62" s="135" t="str">
        <f t="shared" si="0"/>
        <v>No</v>
      </c>
      <c r="L62" s="135" t="s">
        <v>387</v>
      </c>
      <c r="M62" s="135" t="s">
        <v>387</v>
      </c>
      <c r="N62" s="597"/>
    </row>
    <row r="63" spans="1:14" ht="12.75">
      <c r="A63" s="157" t="s">
        <v>482</v>
      </c>
      <c r="B63" s="157" t="str">
        <f>IF(C61="None","No",IF($AN$13="Yes",IF($Z$13="Yes",IF($H$36="Off-Site","Yes","No"),"No"),"No"))</f>
        <v>No</v>
      </c>
      <c r="C63" s="606"/>
      <c r="D63" s="597"/>
      <c r="E63" s="603"/>
      <c r="F63" s="158">
        <f>IF(Inputs!B120=0,0,IF(B63="No",0,(IF(Lookup!$AS$13="Outright",0,-PMT(Inputs!$B$119,Inputs!$B$120,IF($C$61='Cost Data'!$A$21,'Cost Data'!$C$22-Inputs!$B$118,'Cost Data'!$C$26-Inputs!$B$118))))+'Cost Data'!$C$24*(Inputs!$D$13+(Inputs!$B$8*(1-Inputs!$B$9)))*52/2000+(((Inputs!D13+Inputs!B8*(1-Inputs!B9))*52)/IF(Lookup!C61='Cost Data'!A21,'Cost Data'!C23,'Cost Data'!C27))*'Cost Data'!B41))</f>
        <v>0</v>
      </c>
      <c r="G63" s="158">
        <f>IF(B63="No",0,E61*(10-Inputs!B120))</f>
        <v>0</v>
      </c>
      <c r="H63" s="159">
        <f>((Inputs!$D$13+(Inputs!$B$8*(1-Inputs!$B$9)))*'Cost Data'!$C$30)*52/2000</f>
        <v>0</v>
      </c>
      <c r="I63" s="160">
        <f>IF(AW13="By Weight",H63*Inputs!B$79,0)</f>
        <v>0</v>
      </c>
      <c r="J63" s="135" t="str">
        <f>IF(D$61+F63*10-IF(Inputs!B120&lt;10,(10-Inputs!B120),0)*E61&gt;I63*10,"No","Yes")</f>
        <v>No</v>
      </c>
      <c r="K63" s="135" t="str">
        <f t="shared" si="0"/>
        <v>No</v>
      </c>
      <c r="L63" s="135" t="s">
        <v>387</v>
      </c>
      <c r="M63" s="135" t="s">
        <v>387</v>
      </c>
      <c r="N63" s="597"/>
    </row>
    <row r="64" spans="1:14" ht="12.75">
      <c r="A64" s="152" t="s">
        <v>474</v>
      </c>
      <c r="B64" s="157" t="str">
        <f>IF(C61="None","No",IF($AN$13="Yes","Yes","No"))</f>
        <v>No</v>
      </c>
      <c r="C64" s="607"/>
      <c r="D64" s="598"/>
      <c r="E64" s="596">
        <f>IF(B64="No",0,IF(Inputs!B120="",0,IF(Inputs!B119="",0,IF(Inputs!B118="",0,-PMT(Inputs!$B$119,Inputs!$B$120,IF($C$61='Cost Data'!$A$21,'Cost Data'!$C$22-Inputs!$B$118,'Cost Data'!$C$26-Inputs!$B$118))))))</f>
        <v>0</v>
      </c>
      <c r="F64" s="158">
        <f>IF(Inputs!B120=0,0,IF(B64="No",0,(IF(Lookup!$AS$13="Outright",0,IF(G25="Food Rescue",0,1)*IF(Inputs!B8=0,0,1)*IF(Inputs!B10+Inputs!B12=0,1,0.5)*-PMT(Inputs!$B$119,Inputs!$B$120,IF($C$61='Cost Data'!$A$21,'Cost Data'!$C$22-Inputs!$B$118,'Cost Data'!$C$26-Inputs!$B$118))))+'Cost Data'!$C$24*Inputs!$B$8*(1-Inputs!$B$9)*52/2000+((Inputs!B8*(1-Inputs!B9)*52)/IF(Lookup!C61='Cost Data'!A21,'Cost Data'!C23,'Cost Data'!C27))*'Cost Data'!B41))</f>
        <v>0</v>
      </c>
      <c r="G64" s="158">
        <f>IF(B64="No",0,E64*(10-Inputs!B120))</f>
        <v>0</v>
      </c>
      <c r="H64" s="159">
        <f>(Inputs!$B$8*(1-Inputs!$B$9)*'Cost Data'!C30)*52/2000</f>
        <v>0</v>
      </c>
      <c r="I64" s="160">
        <f>H64*($F$54+F47)</f>
        <v>0</v>
      </c>
      <c r="J64" s="135" t="str">
        <f>IF(D$61+F64*10-IF(Inputs!B120&lt;10,(10-Inputs!B120),0)*E64&gt;I64*10,"No","Yes")</f>
        <v>No</v>
      </c>
      <c r="K64" s="135" t="str">
        <f t="shared" si="0"/>
        <v>No</v>
      </c>
      <c r="L64" s="136">
        <f>H64*F54</f>
        <v>0</v>
      </c>
      <c r="M64" s="137">
        <f>H64*F47</f>
        <v>0</v>
      </c>
      <c r="N64" s="598"/>
    </row>
    <row r="65" spans="1:14" ht="12.75">
      <c r="A65" s="122" t="s">
        <v>475</v>
      </c>
      <c r="B65" s="157" t="str">
        <f>IF(C61="None","No",IF($AN$13="Yes","Yes","No"))</f>
        <v>No</v>
      </c>
      <c r="C65" s="598"/>
      <c r="D65" s="598"/>
      <c r="E65" s="597"/>
      <c r="F65" s="158">
        <f>IF(Inputs!B120=0,0,IF(B65="No",0,(IF(Lookup!$AS$13="Outright",0,IF(Inputs!B10+Inputs!B12=0,0,1)*IF(G25="Food Rescue",1,IF(Inputs!B8=0,1,0.5))*-PMT(Inputs!$B$119,Inputs!$B$120,IF($C$61='Cost Data'!$A$21,'Cost Data'!$C$22-Inputs!$B$118,'Cost Data'!$C$26-Inputs!$B$118))))+'Cost Data'!$C$24*Inputs!$D$13*52/2000+((Inputs!D13*52)/IF(Lookup!C61='Cost Data'!A21,'Cost Data'!C23,'Cost Data'!C27))*'Cost Data'!B41))</f>
        <v>0</v>
      </c>
      <c r="G65" s="158">
        <f>IF(B65="No",0,E64*(10-Inputs!B120))</f>
        <v>0</v>
      </c>
      <c r="H65" s="159">
        <f>(Inputs!$D$13*'Cost Data'!$C$30)*52/2000</f>
        <v>0</v>
      </c>
      <c r="I65" s="160">
        <f>H65*($F$54+F47)</f>
        <v>0</v>
      </c>
      <c r="J65" s="135" t="str">
        <f>IF(D$61+F65*10-IF(Inputs!B120&lt;10,(10-Inputs!B120),0)*E64&gt;I65*10,"No","Yes")</f>
        <v>No</v>
      </c>
      <c r="K65" s="135" t="str">
        <f t="shared" si="0"/>
        <v>No</v>
      </c>
      <c r="L65" s="136">
        <f>H65*F54</f>
        <v>0</v>
      </c>
      <c r="M65" s="137">
        <f>H65*F47</f>
        <v>0</v>
      </c>
      <c r="N65" s="598"/>
    </row>
    <row r="66" spans="1:14" ht="12.75">
      <c r="A66" s="122" t="s">
        <v>476</v>
      </c>
      <c r="B66" s="157" t="str">
        <f>IF(C61="None","No",IF($AN$13="Yes","Yes","No"))</f>
        <v>No</v>
      </c>
      <c r="C66" s="599"/>
      <c r="D66" s="599"/>
      <c r="E66" s="604"/>
      <c r="F66" s="140">
        <f>IF(Inputs!B120=0,0,IF(B66="No",0,(IF(Lookup!$AS$13="Outright",0,-PMT(Inputs!$B$119,Inputs!$B$120,IF($C$61='Cost Data'!$A$21,'Cost Data'!$C$22-Inputs!$B$118,'Cost Data'!$C$26-Inputs!$B$118))))+'Cost Data'!$C$24*(Inputs!$D$13+(Inputs!$B$8*(1-Inputs!$B$9)))*52/2000+(((Inputs!D13+Inputs!B8*(1-Inputs!B9))*52)/IF(Lookup!C61='Cost Data'!A21,'Cost Data'!C23,'Cost Data'!C27))*'Cost Data'!B41))</f>
        <v>0</v>
      </c>
      <c r="G66" s="158">
        <f>IF(B66="No",0,E64*(10-Inputs!B120))</f>
        <v>0</v>
      </c>
      <c r="H66" s="161">
        <f>((Inputs!$D$13+(Inputs!$B$8*(1-Inputs!$B$9)))*'Cost Data'!$C$30)*52/2000</f>
        <v>0</v>
      </c>
      <c r="I66" s="160">
        <f>H66*(F47+F54)</f>
        <v>0</v>
      </c>
      <c r="J66" s="135" t="str">
        <f>IF(D$61+F66*10-IF(Inputs!B120&lt;10,(10-Inputs!B120),0)*E64&gt;I66*10,"No","Yes")</f>
        <v>No</v>
      </c>
      <c r="K66" s="117" t="str">
        <f t="shared" si="0"/>
        <v>No</v>
      </c>
      <c r="L66" s="150">
        <f>H66*F54</f>
        <v>0</v>
      </c>
      <c r="M66" s="131">
        <f>H66*F47</f>
        <v>0</v>
      </c>
      <c r="N66" s="599"/>
    </row>
    <row r="68" spans="1:13" ht="12.75">
      <c r="A68" s="123" t="s">
        <v>490</v>
      </c>
      <c r="B68" s="124"/>
      <c r="C68" s="124"/>
      <c r="D68" s="124"/>
      <c r="E68" s="124"/>
      <c r="F68" s="124"/>
      <c r="G68" s="124"/>
      <c r="H68" s="124"/>
      <c r="I68" s="124"/>
      <c r="J68" s="124"/>
      <c r="K68" s="124"/>
      <c r="L68" s="124"/>
      <c r="M68" s="124"/>
    </row>
    <row r="69" spans="1:13" ht="76.5">
      <c r="A69" s="122" t="s">
        <v>297</v>
      </c>
      <c r="B69" s="122" t="s">
        <v>294</v>
      </c>
      <c r="C69" s="117" t="s">
        <v>404</v>
      </c>
      <c r="D69" s="117" t="s">
        <v>550</v>
      </c>
      <c r="E69" s="117" t="s">
        <v>559</v>
      </c>
      <c r="F69" s="117" t="s">
        <v>535</v>
      </c>
      <c r="G69" s="117" t="s">
        <v>534</v>
      </c>
      <c r="H69" s="117" t="s">
        <v>532</v>
      </c>
      <c r="I69" s="117" t="s">
        <v>537</v>
      </c>
      <c r="J69" s="117" t="s">
        <v>563</v>
      </c>
      <c r="K69" s="117" t="s">
        <v>560</v>
      </c>
      <c r="L69" s="117" t="s">
        <v>287</v>
      </c>
      <c r="M69" s="135" t="s">
        <v>551</v>
      </c>
    </row>
    <row r="70" spans="1:13" ht="12.75">
      <c r="A70" s="157" t="s">
        <v>491</v>
      </c>
      <c r="B70" s="157" t="str">
        <f>IF($W$13="Yes","Yes","No")</f>
        <v>No</v>
      </c>
      <c r="C70" s="596">
        <f>IF(AO13="No",0,IF(Lookup!AR13="Finance",Inputs!$B$71,'Cost Data'!C14))</f>
        <v>39000</v>
      </c>
      <c r="D70" s="596">
        <f>IF(AO13="No",0,IF(Lookup!AR13="Finance",-PMT(Inputs!$B$72,Inputs!$B$73,'Cost Data'!C14-Inputs!$B$71),0))</f>
        <v>0</v>
      </c>
      <c r="E70" s="162">
        <f>IF(Inputs!$B$73&lt;10,D70*(10-Inputs!B73),0)</f>
        <v>0</v>
      </c>
      <c r="F70" s="160">
        <f>IF($AP$13="No",0,Inputs!$B$8*(1-Inputs!$B$9)*52/2000*'Cost Data'!$C$15)</f>
        <v>0</v>
      </c>
      <c r="G70" s="158">
        <f>IF($AQ$13="No",0,Inputs!$B$8*(1-Inputs!$B$9)*52/2000*'Cost Data'!$C$18)</f>
        <v>0</v>
      </c>
      <c r="H70" s="158">
        <f>'Cost Data'!C$16+'Cost Data'!C$17</f>
        <v>370</v>
      </c>
      <c r="I70" s="158">
        <f>SUM(F70,G70,IF(Inputs!B8=0,0,1)*IF(G25="Food Rescue",0,1)*IF(Inputs!B10+Inputs!B12=0,1,0.5)*(H70+D70))</f>
        <v>0</v>
      </c>
      <c r="J70" s="158">
        <f>(Inputs!$B$8*(1-Inputs!$B$9)*52/2000)*($F$54+$F$47)</f>
        <v>0</v>
      </c>
      <c r="K70" s="135" t="str">
        <f>IF(D70+I$70*10-IF(Inputs!B73&lt;10,(10-Inputs!B73),0)*D70&gt;J70*10,"No","Yes")</f>
        <v>Yes</v>
      </c>
      <c r="L70" s="135" t="str">
        <f>IF(K70="Yes",IF(B70="Yes","Yes","No"),"No")</f>
        <v>No</v>
      </c>
      <c r="M70" s="600">
        <f>D70*0.5</f>
        <v>0</v>
      </c>
    </row>
    <row r="71" spans="1:13" ht="12.75">
      <c r="A71" s="157" t="s">
        <v>492</v>
      </c>
      <c r="B71" s="157" t="str">
        <f>IF($W$13="Yes","Yes","No")</f>
        <v>No</v>
      </c>
      <c r="C71" s="597"/>
      <c r="D71" s="597"/>
      <c r="E71" s="162">
        <f>IF(Inputs!$B$73&lt;10,D70*(10-Inputs!B73),0)</f>
        <v>0</v>
      </c>
      <c r="F71" s="160">
        <f>IF($AP$13="No",0,Inputs!$D$13*52/2000*'Cost Data'!$C$15)</f>
        <v>0</v>
      </c>
      <c r="G71" s="158">
        <f>IF($AQ$13="No",0,Inputs!D13*52/2000*'Cost Data'!$C$18)</f>
        <v>0</v>
      </c>
      <c r="H71" s="158">
        <f>'Cost Data'!C$16+'Cost Data'!C$17</f>
        <v>370</v>
      </c>
      <c r="I71" s="158">
        <f>SUM(F71,G71,IF(Inputs!B8=0,0,1)*IF(G25="Food Rescue",1,IF(Inputs!B10+Inputs!B12=0,1,0.5))*(H71+D70))</f>
        <v>0</v>
      </c>
      <c r="J71" s="158">
        <f>(Inputs!$D13*52/2000)*($F$54+$F$47)</f>
        <v>0</v>
      </c>
      <c r="K71" s="135" t="str">
        <f>IF(D70+I$71*10-IF(Inputs!B73&lt;10,(10-Inputs!B73),0)*D70&gt;J71*10,"No","Yes")</f>
        <v>Yes</v>
      </c>
      <c r="L71" s="135" t="str">
        <f>IF(K71="Yes",IF(B71="Yes","Yes","No"),"No")</f>
        <v>No</v>
      </c>
      <c r="M71" s="601"/>
    </row>
    <row r="72" spans="1:13" ht="19.5" customHeight="1">
      <c r="A72" s="127" t="s">
        <v>493</v>
      </c>
      <c r="B72" s="127" t="str">
        <f>IF($W$13="Yes","Yes","No")</f>
        <v>No</v>
      </c>
      <c r="C72" s="604"/>
      <c r="D72" s="604"/>
      <c r="E72" s="162">
        <f>IF(Inputs!$B$73&lt;10,D70*(10-Inputs!B73),0)</f>
        <v>0</v>
      </c>
      <c r="F72" s="149">
        <f>IF($AP$13="No",0,(Inputs!$B$8*(1-Inputs!$B$9)+Inputs!D13)*52/2000*'Cost Data'!$C$15)</f>
        <v>0</v>
      </c>
      <c r="G72" s="140">
        <f>IF($AQ$13="No",0,(Inputs!$B$8*(1-Inputs!$B$9)+Inputs!D13)*52/2000*'Cost Data'!$C$18)</f>
        <v>0</v>
      </c>
      <c r="H72" s="140">
        <f>'Cost Data'!C$16+'Cost Data'!C$17</f>
        <v>370</v>
      </c>
      <c r="I72" s="140">
        <f>SUM(D$70,F72,G72,H72)</f>
        <v>370</v>
      </c>
      <c r="J72" s="140">
        <f>((Inputs!$B$8*(1-Inputs!$B$9)*52/2000)+Inputs!D13*52/2000)*($F$54+$F$47)</f>
        <v>0</v>
      </c>
      <c r="K72" s="117" t="str">
        <f>IF(D70+I$72*10-IF(Inputs!B73&lt;10,(10-Inputs!B73),0)*D70&gt;J72*10,"No","Yes")</f>
        <v>No</v>
      </c>
      <c r="L72" s="117" t="str">
        <f>IF(K72="Yes",IF(B72="Yes","Yes","No"),"No")</f>
        <v>No</v>
      </c>
      <c r="M72" s="602"/>
    </row>
    <row r="74" spans="1:11" ht="12.75">
      <c r="A74" s="123" t="s">
        <v>496</v>
      </c>
      <c r="B74" s="124"/>
      <c r="C74" s="124"/>
      <c r="D74" s="124"/>
      <c r="E74" s="124"/>
      <c r="F74" s="124"/>
      <c r="K74" s="111"/>
    </row>
    <row r="75" spans="1:8" ht="38.25">
      <c r="A75" s="122" t="s">
        <v>297</v>
      </c>
      <c r="B75" s="117" t="s">
        <v>460</v>
      </c>
      <c r="C75" s="117" t="s">
        <v>500</v>
      </c>
      <c r="D75" s="117" t="s">
        <v>501</v>
      </c>
      <c r="E75" s="117" t="s">
        <v>553</v>
      </c>
      <c r="F75" s="117" t="s">
        <v>536</v>
      </c>
      <c r="H75" s="151"/>
    </row>
    <row r="76" spans="1:6" ht="12.75">
      <c r="A76" s="157" t="s">
        <v>497</v>
      </c>
      <c r="B76" s="159">
        <f>Inputs!B6*52/2000</f>
        <v>0</v>
      </c>
      <c r="C76" s="163">
        <f>B76*(1-Inputs!B7)</f>
        <v>0</v>
      </c>
      <c r="D76" s="164" t="str">
        <f>IF('Cost Calculator'!B16="Disposal","Yes","No")</f>
        <v>Yes</v>
      </c>
      <c r="E76" s="159">
        <f>IF(D76="No",B76,B76-C76)</f>
        <v>0</v>
      </c>
      <c r="F76" s="158">
        <f>E76*$F$54</f>
        <v>0</v>
      </c>
    </row>
    <row r="77" spans="1:6" ht="12.75">
      <c r="A77" s="157" t="s">
        <v>498</v>
      </c>
      <c r="B77" s="159">
        <f>Inputs!B8*52/2000</f>
        <v>0</v>
      </c>
      <c r="C77" s="163">
        <f>B77*(1-Inputs!B9)</f>
        <v>0</v>
      </c>
      <c r="D77" s="164" t="str">
        <f>IF('Cost Calculator'!B18="Disposal","Yes",IF('Cost Calculator'!B18="Disposal and Pulp","Yes","No"))</f>
        <v>Yes</v>
      </c>
      <c r="E77" s="159">
        <f>IF(D77="No",B77,B77-C77)</f>
        <v>0</v>
      </c>
      <c r="F77" s="158">
        <f>E77*$F$54</f>
        <v>0</v>
      </c>
    </row>
    <row r="78" spans="1:6" ht="12.75">
      <c r="A78" s="157" t="s">
        <v>499</v>
      </c>
      <c r="B78" s="159">
        <f>(Inputs!B10+Inputs!B12)*52/2000</f>
        <v>0</v>
      </c>
      <c r="C78" s="163">
        <f>Inputs!D13*52/2000</f>
        <v>0</v>
      </c>
      <c r="D78" s="164" t="str">
        <f>IF('Cost Calculator'!B20="Disposal","Yes",IF('Cost Calculator'!B18="Disposal and Pulp","Yes","No"))</f>
        <v>Yes</v>
      </c>
      <c r="E78" s="159">
        <f>IF(D78="No",B78,B78-C78)</f>
        <v>0</v>
      </c>
      <c r="F78" s="158">
        <f>E78*$F$54</f>
        <v>0</v>
      </c>
    </row>
    <row r="79" spans="1:6" ht="12.75">
      <c r="A79" s="127" t="s">
        <v>395</v>
      </c>
      <c r="B79" s="161">
        <f>Inputs!B14*52/2000</f>
        <v>0</v>
      </c>
      <c r="C79" s="163">
        <f>B$79</f>
        <v>0</v>
      </c>
      <c r="D79" s="164" t="str">
        <f>IF('Cost Calculator'!B22="Disposal","Yes","No")</f>
        <v>Yes</v>
      </c>
      <c r="E79" s="159">
        <f>IF(D79="No",B79,B79-C79)</f>
        <v>0</v>
      </c>
      <c r="F79" s="158">
        <f>E79*$F$54</f>
        <v>0</v>
      </c>
    </row>
    <row r="80" spans="1:6" ht="12.75">
      <c r="A80" s="165" t="s">
        <v>462</v>
      </c>
      <c r="B80" s="166">
        <f>SUM(B76:B79)</f>
        <v>0</v>
      </c>
      <c r="C80" s="166">
        <f>SUM(C76:C79)</f>
        <v>0</v>
      </c>
      <c r="D80" s="167" t="s">
        <v>387</v>
      </c>
      <c r="E80" s="166">
        <f>SUM(E76:E79)</f>
        <v>0</v>
      </c>
      <c r="F80" s="168">
        <f>E80*$F$54</f>
        <v>0</v>
      </c>
    </row>
    <row r="82" spans="1:3" ht="12.75">
      <c r="A82" s="123" t="s">
        <v>552</v>
      </c>
      <c r="B82" s="124"/>
      <c r="C82" s="124"/>
    </row>
    <row r="83" spans="1:3" ht="12.75">
      <c r="A83" s="122" t="s">
        <v>297</v>
      </c>
      <c r="B83" s="117" t="s">
        <v>491</v>
      </c>
      <c r="C83" s="117" t="s">
        <v>492</v>
      </c>
    </row>
    <row r="84" spans="1:3" ht="12.75">
      <c r="A84" s="127" t="s">
        <v>540</v>
      </c>
      <c r="B84" s="127">
        <f>IF(Inputs!B8=0,0,IF('Cost Calculator'!B18="Food Rescue",0,IF('Cost Calculator'!B18="In-Vessel Compost",IF(Inputs!D11&gt;0,Lookup!D70/2,Lookup!D70),0)))</f>
        <v>0</v>
      </c>
      <c r="C84" s="169">
        <f>IF(Inputs!D11=0,0,IF('Cost Calculator'!B20="In-Vessel Compost",IF('Cost Calculator'!B18="Food Rescue",D70,IF(Inputs!B8&gt;0,Lookup!D70/2,Lookup!D70)),0))</f>
        <v>0</v>
      </c>
    </row>
    <row r="85" spans="1:3" ht="12.75">
      <c r="A85" s="127" t="s">
        <v>137</v>
      </c>
      <c r="B85" s="127">
        <f>IF(Inputs!B8=0,0,IF('Cost Calculator'!B18="Food Rescue",0,IF('Cost Calculator'!B18="Disposal and Pulp",IF(Inputs!D11&gt;0,E64/2,Lookup!E64),0)))</f>
        <v>0</v>
      </c>
      <c r="C85" s="169">
        <f>IF(Inputs!D11=0,0,IF('Cost Calculator'!B20="Disposal and Pulp",IF('Cost Calculator'!B18="Food Rescue",E64,IF(Inputs!B8&gt;0,Lookup!E64/2,Lookup!E64)),0))</f>
        <v>0</v>
      </c>
    </row>
    <row r="86" spans="1:3" ht="12.75">
      <c r="A86" s="127" t="s">
        <v>138</v>
      </c>
      <c r="B86" s="127">
        <f>IF(Inputs!B8=0,0,IF('Cost Calculator'!B18="Food Rescue",0,IF('Cost Calculator'!B18="Off-Site Compost and Pulp",IF(Inputs!D11&gt;0,Lookup!E61/2,Lookup!E61),0)))</f>
        <v>0</v>
      </c>
      <c r="C86" s="169">
        <f>IF(Inputs!D11=0,0,IF('Cost Calculator'!B20="Off-Site Compost and Pulp",IF('Cost Calculator'!B18="Food Rescue",E61,IF(Inputs!B8&gt;0,Lookup!E61/2,Lookup!E61)),0))</f>
        <v>0</v>
      </c>
    </row>
    <row r="88" spans="1:4" ht="12.75">
      <c r="A88" s="592" t="s">
        <v>556</v>
      </c>
      <c r="B88" s="592"/>
      <c r="C88" s="592"/>
      <c r="D88" s="592"/>
    </row>
    <row r="89" spans="1:4" ht="12.75">
      <c r="A89" s="593">
        <f>('Cost Data'!$C$37+('Cost Data'!$C$38*10))*52/2000/365</f>
        <v>0.9331506849315069</v>
      </c>
      <c r="B89" s="594"/>
      <c r="C89" s="594"/>
      <c r="D89" s="595"/>
    </row>
  </sheetData>
  <sheetProtection password="98CB" sheet="1" objects="1" scenarios="1"/>
  <mergeCells count="33">
    <mergeCell ref="A1:C1"/>
    <mergeCell ref="I36:I39"/>
    <mergeCell ref="A16:B16"/>
    <mergeCell ref="E47:E50"/>
    <mergeCell ref="F47:F50"/>
    <mergeCell ref="A17:B17"/>
    <mergeCell ref="A5:A12"/>
    <mergeCell ref="J29:J32"/>
    <mergeCell ref="H29:H32"/>
    <mergeCell ref="H36:H39"/>
    <mergeCell ref="D57:E57"/>
    <mergeCell ref="F54:F57"/>
    <mergeCell ref="A52:G52"/>
    <mergeCell ref="K29:K32"/>
    <mergeCell ref="K36:K39"/>
    <mergeCell ref="C54:C57"/>
    <mergeCell ref="B54:B57"/>
    <mergeCell ref="D53:E53"/>
    <mergeCell ref="D54:E54"/>
    <mergeCell ref="D55:E55"/>
    <mergeCell ref="D56:E56"/>
    <mergeCell ref="J36:J39"/>
    <mergeCell ref="I29:I32"/>
    <mergeCell ref="A88:D88"/>
    <mergeCell ref="A89:D89"/>
    <mergeCell ref="N61:N66"/>
    <mergeCell ref="M70:M72"/>
    <mergeCell ref="D61:D66"/>
    <mergeCell ref="E61:E63"/>
    <mergeCell ref="E64:E66"/>
    <mergeCell ref="C70:C72"/>
    <mergeCell ref="D70:D72"/>
    <mergeCell ref="C61:C66"/>
  </mergeCells>
  <printOptions horizontalCentered="1"/>
  <pageMargins left="0.75" right="0.75" top="1" bottom="1" header="0.5" footer="0.5"/>
  <pageSetup fitToHeight="1" fitToWidth="1" horizontalDpi="600" verticalDpi="600" orientation="portrait" scale="50" r:id="rId2"/>
  <headerFooter alignWithMargins="0">
    <oddHeader>&amp;C&amp;F</oddHeader>
  </headerFooter>
  <picture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I37"/>
  <sheetViews>
    <sheetView showGridLines="0" zoomScalePageLayoutView="0" workbookViewId="0" topLeftCell="A1">
      <selection activeCell="A2" sqref="A2"/>
    </sheetView>
  </sheetViews>
  <sheetFormatPr defaultColWidth="9.140625" defaultRowHeight="12.75"/>
  <cols>
    <col min="1" max="1" width="13.140625" style="4" customWidth="1"/>
    <col min="2" max="2" width="20.140625" style="4" customWidth="1"/>
    <col min="3" max="3" width="22.57421875" style="4" customWidth="1"/>
    <col min="4" max="4" width="24.140625" style="4" customWidth="1"/>
    <col min="5" max="5" width="15.7109375" style="4" customWidth="1"/>
    <col min="6" max="6" width="14.7109375" style="4" customWidth="1"/>
    <col min="7" max="7" width="16.28125" style="4" customWidth="1"/>
    <col min="8" max="16384" width="9.140625" style="4" customWidth="1"/>
  </cols>
  <sheetData>
    <row r="1" spans="1:9" ht="15.75">
      <c r="A1" s="249" t="s">
        <v>91</v>
      </c>
      <c r="B1" s="174"/>
      <c r="C1" s="174"/>
      <c r="D1" s="174"/>
      <c r="E1" s="174"/>
      <c r="F1" s="174"/>
      <c r="G1" s="174"/>
      <c r="H1" s="175"/>
      <c r="I1" s="175"/>
    </row>
    <row r="2" spans="1:7" ht="13.5" customHeight="1">
      <c r="A2" s="16"/>
      <c r="B2" s="174"/>
      <c r="C2" s="174"/>
      <c r="D2" s="174"/>
      <c r="E2" s="174"/>
      <c r="F2" s="174"/>
      <c r="G2" s="174"/>
    </row>
    <row r="3" spans="1:7" ht="17.25" customHeight="1">
      <c r="A3" s="185" t="s">
        <v>156</v>
      </c>
      <c r="B3" s="179"/>
      <c r="C3" s="186" t="s">
        <v>157</v>
      </c>
      <c r="D3" s="180"/>
      <c r="E3" s="179"/>
      <c r="F3" s="179"/>
      <c r="G3" s="181"/>
    </row>
    <row r="4" spans="1:7" ht="17.25" customHeight="1">
      <c r="A4" s="637" t="s">
        <v>158</v>
      </c>
      <c r="B4" s="638"/>
      <c r="C4" s="183"/>
      <c r="D4" s="183"/>
      <c r="E4" s="183"/>
      <c r="F4" s="183"/>
      <c r="G4" s="184"/>
    </row>
    <row r="5" spans="1:7" ht="17.25" customHeight="1">
      <c r="A5" s="182"/>
      <c r="B5" s="183"/>
      <c r="C5" s="183"/>
      <c r="D5" s="183"/>
      <c r="E5" s="183"/>
      <c r="F5" s="183"/>
      <c r="G5" s="184"/>
    </row>
    <row r="6" spans="1:7" ht="17.25" customHeight="1">
      <c r="A6" s="182"/>
      <c r="B6" s="183"/>
      <c r="C6" s="183"/>
      <c r="D6" s="183"/>
      <c r="E6" s="183"/>
      <c r="F6" s="183"/>
      <c r="G6" s="184"/>
    </row>
    <row r="7" spans="1:7" ht="7.5" customHeight="1">
      <c r="A7" s="182"/>
      <c r="B7" s="183"/>
      <c r="C7" s="183"/>
      <c r="D7" s="183"/>
      <c r="E7" s="183"/>
      <c r="F7" s="183"/>
      <c r="G7" s="184"/>
    </row>
    <row r="9" spans="1:7" ht="12.75">
      <c r="A9" s="178" t="s">
        <v>143</v>
      </c>
      <c r="B9" s="178" t="s">
        <v>144</v>
      </c>
      <c r="C9" s="178" t="s">
        <v>145</v>
      </c>
      <c r="D9" s="178" t="s">
        <v>151</v>
      </c>
      <c r="E9" s="178" t="s">
        <v>146</v>
      </c>
      <c r="F9" s="178" t="s">
        <v>147</v>
      </c>
      <c r="G9" s="178" t="s">
        <v>148</v>
      </c>
    </row>
    <row r="10" spans="1:7" ht="12.75">
      <c r="A10" s="644"/>
      <c r="B10" s="645"/>
      <c r="C10" s="645"/>
      <c r="D10" s="645"/>
      <c r="E10" s="634" t="s">
        <v>149</v>
      </c>
      <c r="F10" s="635"/>
      <c r="G10" s="636"/>
    </row>
    <row r="11" spans="1:7" ht="12.75">
      <c r="A11" s="77"/>
      <c r="B11" s="77"/>
      <c r="C11" s="77"/>
      <c r="D11" s="77"/>
      <c r="E11" s="338"/>
      <c r="F11" s="338"/>
      <c r="G11" s="338"/>
    </row>
    <row r="12" spans="1:7" ht="12.75">
      <c r="A12" s="77"/>
      <c r="B12" s="77"/>
      <c r="C12" s="77"/>
      <c r="D12" s="77"/>
      <c r="E12" s="338"/>
      <c r="F12" s="338"/>
      <c r="G12" s="338"/>
    </row>
    <row r="13" spans="1:7" ht="12.75">
      <c r="A13" s="77"/>
      <c r="B13" s="77"/>
      <c r="C13" s="77"/>
      <c r="D13" s="77"/>
      <c r="E13" s="338"/>
      <c r="F13" s="338"/>
      <c r="G13" s="338"/>
    </row>
    <row r="14" spans="1:7" ht="12.75">
      <c r="A14" s="77"/>
      <c r="B14" s="77"/>
      <c r="C14" s="77"/>
      <c r="D14" s="77"/>
      <c r="E14" s="338"/>
      <c r="F14" s="338"/>
      <c r="G14" s="338"/>
    </row>
    <row r="15" spans="1:7" ht="12.75">
      <c r="A15" s="77"/>
      <c r="B15" s="77"/>
      <c r="C15" s="77"/>
      <c r="D15" s="77"/>
      <c r="E15" s="338"/>
      <c r="F15" s="338"/>
      <c r="G15" s="338"/>
    </row>
    <row r="16" spans="1:7" ht="12.75">
      <c r="A16" s="77"/>
      <c r="B16" s="77"/>
      <c r="C16" s="77"/>
      <c r="D16" s="77"/>
      <c r="E16" s="338"/>
      <c r="F16" s="338"/>
      <c r="G16" s="338"/>
    </row>
    <row r="17" spans="1:7" ht="12.75">
      <c r="A17" s="77"/>
      <c r="B17" s="77"/>
      <c r="C17" s="77"/>
      <c r="D17" s="77"/>
      <c r="E17" s="338"/>
      <c r="F17" s="338"/>
      <c r="G17" s="338"/>
    </row>
    <row r="18" spans="1:7" ht="12.75">
      <c r="A18" s="77"/>
      <c r="B18" s="77"/>
      <c r="C18" s="77"/>
      <c r="D18" s="77"/>
      <c r="E18" s="338"/>
      <c r="F18" s="338"/>
      <c r="G18" s="338"/>
    </row>
    <row r="19" spans="1:7" ht="12.75">
      <c r="A19" s="77"/>
      <c r="B19" s="77"/>
      <c r="C19" s="77"/>
      <c r="D19" s="77"/>
      <c r="E19" s="338"/>
      <c r="F19" s="338"/>
      <c r="G19" s="338"/>
    </row>
    <row r="20" spans="1:7" ht="12.75">
      <c r="A20" s="77"/>
      <c r="B20" s="77"/>
      <c r="C20" s="77"/>
      <c r="D20" s="77"/>
      <c r="E20" s="338"/>
      <c r="F20" s="338"/>
      <c r="G20" s="338"/>
    </row>
    <row r="21" spans="1:7" ht="12.75">
      <c r="A21" s="77"/>
      <c r="B21" s="77"/>
      <c r="C21" s="77"/>
      <c r="D21" s="77"/>
      <c r="E21" s="338"/>
      <c r="F21" s="338"/>
      <c r="G21" s="338"/>
    </row>
    <row r="22" spans="1:7" ht="12.75">
      <c r="A22" s="77"/>
      <c r="B22" s="77"/>
      <c r="C22" s="77"/>
      <c r="D22" s="77"/>
      <c r="E22" s="338"/>
      <c r="F22" s="338"/>
      <c r="G22" s="338"/>
    </row>
    <row r="23" spans="1:7" ht="12.75">
      <c r="A23" s="77"/>
      <c r="B23" s="77"/>
      <c r="C23" s="77"/>
      <c r="D23" s="77"/>
      <c r="E23" s="338"/>
      <c r="F23" s="338"/>
      <c r="G23" s="338"/>
    </row>
    <row r="24" spans="1:7" ht="12.75">
      <c r="A24" s="77"/>
      <c r="B24" s="77"/>
      <c r="C24" s="77"/>
      <c r="D24" s="77"/>
      <c r="E24" s="338"/>
      <c r="F24" s="338"/>
      <c r="G24" s="338"/>
    </row>
    <row r="25" spans="1:7" ht="12.75">
      <c r="A25" s="77"/>
      <c r="B25" s="77"/>
      <c r="C25" s="77"/>
      <c r="D25" s="77"/>
      <c r="E25" s="338"/>
      <c r="F25" s="338"/>
      <c r="G25" s="338"/>
    </row>
    <row r="26" spans="1:7" ht="12.75">
      <c r="A26" s="77"/>
      <c r="B26" s="77"/>
      <c r="C26" s="77"/>
      <c r="D26" s="77"/>
      <c r="E26" s="338"/>
      <c r="F26" s="338"/>
      <c r="G26" s="338"/>
    </row>
    <row r="27" spans="1:7" ht="12.75">
      <c r="A27" s="77"/>
      <c r="B27" s="77"/>
      <c r="C27" s="77"/>
      <c r="D27" s="77"/>
      <c r="E27" s="338"/>
      <c r="F27" s="338"/>
      <c r="G27" s="338"/>
    </row>
    <row r="28" spans="1:7" ht="12.75">
      <c r="A28" s="77"/>
      <c r="B28" s="77"/>
      <c r="C28" s="77"/>
      <c r="D28" s="77"/>
      <c r="E28" s="338"/>
      <c r="F28" s="338"/>
      <c r="G28" s="338"/>
    </row>
    <row r="29" spans="1:7" ht="12.75">
      <c r="A29" s="77"/>
      <c r="B29" s="77"/>
      <c r="C29" s="77"/>
      <c r="D29" s="77"/>
      <c r="E29" s="338"/>
      <c r="F29" s="338"/>
      <c r="G29" s="338"/>
    </row>
    <row r="30" spans="1:7" ht="12.75">
      <c r="A30" s="77"/>
      <c r="B30" s="77"/>
      <c r="C30" s="77"/>
      <c r="D30" s="77"/>
      <c r="E30" s="338"/>
      <c r="F30" s="338"/>
      <c r="G30" s="338"/>
    </row>
    <row r="31" spans="1:7" ht="12.75">
      <c r="A31" s="77"/>
      <c r="B31" s="77"/>
      <c r="C31" s="77"/>
      <c r="D31" s="77"/>
      <c r="E31" s="338"/>
      <c r="F31" s="338"/>
      <c r="G31" s="338"/>
    </row>
    <row r="32" spans="1:7" ht="12.75">
      <c r="A32" s="77"/>
      <c r="B32" s="77"/>
      <c r="C32" s="77"/>
      <c r="D32" s="77"/>
      <c r="E32" s="338"/>
      <c r="F32" s="338"/>
      <c r="G32" s="338"/>
    </row>
    <row r="33" spans="1:7" ht="12.75">
      <c r="A33" s="77"/>
      <c r="B33" s="77"/>
      <c r="C33" s="77"/>
      <c r="D33" s="77"/>
      <c r="E33" s="338"/>
      <c r="F33" s="338"/>
      <c r="G33" s="338"/>
    </row>
    <row r="34" spans="1:7" ht="12.75">
      <c r="A34" s="77"/>
      <c r="B34" s="77"/>
      <c r="C34" s="77"/>
      <c r="D34" s="77"/>
      <c r="E34" s="338"/>
      <c r="F34" s="338"/>
      <c r="G34" s="338"/>
    </row>
    <row r="35" spans="1:7" ht="12.75">
      <c r="A35" s="77"/>
      <c r="B35" s="77"/>
      <c r="C35" s="77"/>
      <c r="D35" s="77"/>
      <c r="E35" s="338"/>
      <c r="F35" s="338"/>
      <c r="G35" s="338"/>
    </row>
    <row r="36" spans="1:7" s="170" customFormat="1" ht="12.75">
      <c r="A36" s="641" t="s">
        <v>152</v>
      </c>
      <c r="B36" s="642"/>
      <c r="C36" s="642"/>
      <c r="D36" s="643"/>
      <c r="E36" s="339">
        <f>SUM(E11:E35)</f>
        <v>0</v>
      </c>
      <c r="F36" s="339">
        <f>SUM(F11:F35)</f>
        <v>0</v>
      </c>
      <c r="G36" s="339">
        <f>SUM(G11:G35)</f>
        <v>0</v>
      </c>
    </row>
    <row r="37" spans="1:3" ht="12.75">
      <c r="A37" s="639" t="s">
        <v>150</v>
      </c>
      <c r="B37" s="640"/>
      <c r="C37" s="640"/>
    </row>
    <row r="44" ht="12.75" customHeight="1"/>
    <row r="46" ht="12.75" customHeight="1"/>
    <row r="57" ht="12.75" customHeight="1"/>
    <row r="59" ht="12.75" customHeight="1"/>
    <row r="66" ht="25.5" customHeight="1"/>
    <row r="75" ht="12.75" customHeight="1"/>
    <row r="76" ht="37.5" customHeight="1"/>
    <row r="78" ht="12.75" customHeight="1"/>
    <row r="79" ht="12.75" customHeight="1"/>
    <row r="95" ht="19.5" customHeight="1"/>
  </sheetData>
  <sheetProtection/>
  <mergeCells count="5">
    <mergeCell ref="E10:G10"/>
    <mergeCell ref="A4:B4"/>
    <mergeCell ref="A37:C37"/>
    <mergeCell ref="A36:D36"/>
    <mergeCell ref="A10:D10"/>
  </mergeCells>
  <printOptions horizontalCentered="1"/>
  <pageMargins left="0.75" right="0.75" top="1" bottom="1" header="0.5" footer="0.5"/>
  <pageSetup fitToHeight="1" fitToWidth="1" horizontalDpi="600" verticalDpi="600" orientation="landscape" scale="97" r:id="rId2"/>
  <headerFooter alignWithMargins="0">
    <oddHeader>&amp;LWaste Logbook</oddHeader>
    <oddFooter>&amp;LProvided by LeanPath, Inc.</oddFooter>
  </headerFooter>
  <picture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K121"/>
  <sheetViews>
    <sheetView showGridLines="0" zoomScalePageLayoutView="0" workbookViewId="0" topLeftCell="A19">
      <selection activeCell="A19" sqref="A19"/>
    </sheetView>
  </sheetViews>
  <sheetFormatPr defaultColWidth="9.140625" defaultRowHeight="12.75"/>
  <cols>
    <col min="1" max="1" width="79.7109375" style="288" customWidth="1"/>
    <col min="2" max="2" width="8.7109375" style="288" customWidth="1"/>
    <col min="3" max="3" width="1.1484375" style="288" customWidth="1"/>
    <col min="4" max="4" width="0.5625" style="288" customWidth="1"/>
    <col min="5" max="5" width="11.00390625" style="288" customWidth="1"/>
    <col min="6" max="6" width="11.8515625" style="288" customWidth="1"/>
    <col min="7" max="7" width="9.140625" style="288" customWidth="1"/>
    <col min="8" max="8" width="0.71875" style="170" customWidth="1"/>
    <col min="9" max="9" width="16.57421875" style="170" customWidth="1"/>
    <col min="10" max="10" width="15.28125" style="170" customWidth="1"/>
    <col min="11" max="11" width="18.8515625" style="170" customWidth="1"/>
    <col min="12" max="16384" width="9.140625" style="170" customWidth="1"/>
  </cols>
  <sheetData>
    <row r="1" ht="15.75">
      <c r="A1" s="291" t="s">
        <v>351</v>
      </c>
    </row>
    <row r="2" spans="1:2" ht="12.75">
      <c r="A2" s="292"/>
      <c r="B2" s="289"/>
    </row>
    <row r="3" spans="1:11" ht="19.5" customHeight="1">
      <c r="A3" s="334" t="s">
        <v>185</v>
      </c>
      <c r="B3" s="290"/>
      <c r="E3" s="415" t="s">
        <v>153</v>
      </c>
      <c r="F3" s="416"/>
      <c r="G3" s="416"/>
      <c r="H3" s="416"/>
      <c r="I3" s="416"/>
      <c r="J3" s="416"/>
      <c r="K3" s="417"/>
    </row>
    <row r="4" spans="1:11" ht="21" customHeight="1">
      <c r="A4" s="336" t="s">
        <v>196</v>
      </c>
      <c r="B4" s="18"/>
      <c r="E4" s="418" t="s">
        <v>155</v>
      </c>
      <c r="F4" s="419"/>
      <c r="G4" s="419"/>
      <c r="H4" s="419"/>
      <c r="I4" s="419"/>
      <c r="J4" s="419"/>
      <c r="K4" s="420"/>
    </row>
    <row r="5" spans="1:11" ht="9.75" customHeight="1" hidden="1">
      <c r="A5" s="336" t="s">
        <v>494</v>
      </c>
      <c r="B5" s="18"/>
      <c r="E5" s="431" t="s">
        <v>154</v>
      </c>
      <c r="F5" s="432"/>
      <c r="G5" s="433"/>
      <c r="H5" s="294"/>
      <c r="I5" s="294"/>
      <c r="J5" s="294"/>
      <c r="K5" s="295"/>
    </row>
    <row r="6" spans="1:11" ht="21" customHeight="1">
      <c r="A6" s="336" t="s">
        <v>371</v>
      </c>
      <c r="B6" s="27">
        <v>0</v>
      </c>
      <c r="E6" s="421" t="s">
        <v>123</v>
      </c>
      <c r="F6" s="396"/>
      <c r="G6" s="396"/>
      <c r="H6" s="396"/>
      <c r="I6" s="396"/>
      <c r="J6" s="396"/>
      <c r="K6" s="397"/>
    </row>
    <row r="7" spans="1:11" ht="19.5" customHeight="1">
      <c r="A7" s="293" t="s">
        <v>358</v>
      </c>
      <c r="B7" s="23">
        <v>0</v>
      </c>
      <c r="E7" s="422"/>
      <c r="F7" s="423"/>
      <c r="G7" s="423"/>
      <c r="H7" s="423"/>
      <c r="I7" s="423"/>
      <c r="J7" s="423"/>
      <c r="K7" s="424"/>
    </row>
    <row r="8" spans="1:11" ht="21" customHeight="1">
      <c r="A8" s="336" t="s">
        <v>516</v>
      </c>
      <c r="B8" s="27">
        <v>0</v>
      </c>
      <c r="C8" s="296"/>
      <c r="D8" s="297"/>
      <c r="E8" s="422"/>
      <c r="F8" s="423"/>
      <c r="G8" s="423"/>
      <c r="H8" s="423"/>
      <c r="I8" s="423"/>
      <c r="J8" s="423"/>
      <c r="K8" s="424"/>
    </row>
    <row r="9" spans="1:11" ht="21" customHeight="1">
      <c r="A9" s="293" t="s">
        <v>517</v>
      </c>
      <c r="B9" s="24">
        <v>0</v>
      </c>
      <c r="C9" s="298"/>
      <c r="D9" s="299"/>
      <c r="E9" s="398"/>
      <c r="F9" s="399"/>
      <c r="G9" s="399"/>
      <c r="H9" s="399"/>
      <c r="I9" s="399"/>
      <c r="J9" s="399"/>
      <c r="K9" s="400"/>
    </row>
    <row r="10" spans="1:11" ht="21" customHeight="1">
      <c r="A10" s="300" t="s">
        <v>7</v>
      </c>
      <c r="B10" s="27">
        <v>0</v>
      </c>
      <c r="C10" s="301"/>
      <c r="D10" s="299"/>
      <c r="E10" s="421" t="s">
        <v>355</v>
      </c>
      <c r="F10" s="396"/>
      <c r="G10" s="396"/>
      <c r="H10" s="396"/>
      <c r="I10" s="396"/>
      <c r="J10" s="396"/>
      <c r="K10" s="397"/>
    </row>
    <row r="11" spans="1:11" ht="21" customHeight="1">
      <c r="A11" s="293" t="s">
        <v>8</v>
      </c>
      <c r="B11" s="23">
        <v>0</v>
      </c>
      <c r="C11" s="301"/>
      <c r="D11" s="302">
        <f>IF(B10+B12=0,0,B10+B12)</f>
        <v>0</v>
      </c>
      <c r="E11" s="422"/>
      <c r="F11" s="423"/>
      <c r="G11" s="423"/>
      <c r="H11" s="423"/>
      <c r="I11" s="423"/>
      <c r="J11" s="423"/>
      <c r="K11" s="424"/>
    </row>
    <row r="12" spans="1:11" ht="21" customHeight="1">
      <c r="A12" s="300" t="s">
        <v>9</v>
      </c>
      <c r="B12" s="27">
        <v>0</v>
      </c>
      <c r="C12" s="301"/>
      <c r="D12" s="303">
        <f>IF(D11=0,0,((B11*B10)+(B13*B12))/(D11))</f>
        <v>0</v>
      </c>
      <c r="E12" s="422"/>
      <c r="F12" s="423"/>
      <c r="G12" s="423"/>
      <c r="H12" s="423"/>
      <c r="I12" s="423"/>
      <c r="J12" s="423"/>
      <c r="K12" s="424"/>
    </row>
    <row r="13" spans="1:11" ht="28.5" customHeight="1">
      <c r="A13" s="293" t="s">
        <v>10</v>
      </c>
      <c r="B13" s="23">
        <v>0</v>
      </c>
      <c r="C13" s="304"/>
      <c r="D13" s="305">
        <f>IF(D11=0,0,D11*(1-D12))</f>
        <v>0</v>
      </c>
      <c r="E13" s="398"/>
      <c r="F13" s="399"/>
      <c r="G13" s="399"/>
      <c r="H13" s="399"/>
      <c r="I13" s="399"/>
      <c r="J13" s="399"/>
      <c r="K13" s="400"/>
    </row>
    <row r="14" spans="1:11" ht="19.5" customHeight="1">
      <c r="A14" s="336" t="s">
        <v>399</v>
      </c>
      <c r="B14" s="85">
        <v>0</v>
      </c>
      <c r="D14" s="306">
        <f>IF(Lookup!AI13="Gallons",Inputs!B14*'Cost Data'!D45,Inputs!B14)</f>
        <v>0</v>
      </c>
      <c r="E14" s="374" t="s">
        <v>354</v>
      </c>
      <c r="F14" s="375"/>
      <c r="G14" s="375"/>
      <c r="H14" s="375"/>
      <c r="I14" s="375"/>
      <c r="J14" s="375"/>
      <c r="K14" s="376"/>
    </row>
    <row r="15" spans="1:11" ht="19.5" customHeight="1">
      <c r="A15" s="336" t="s">
        <v>359</v>
      </c>
      <c r="B15" s="21">
        <v>0</v>
      </c>
      <c r="D15" s="307"/>
      <c r="E15" s="377" t="s">
        <v>58</v>
      </c>
      <c r="F15" s="378"/>
      <c r="G15" s="378"/>
      <c r="H15" s="378"/>
      <c r="I15" s="378"/>
      <c r="J15" s="378"/>
      <c r="K15" s="379"/>
    </row>
    <row r="16" spans="1:11" ht="19.5" customHeight="1">
      <c r="A16" s="336" t="s">
        <v>518</v>
      </c>
      <c r="B16" s="21">
        <v>0</v>
      </c>
      <c r="D16" s="307"/>
      <c r="E16" s="380"/>
      <c r="F16" s="381"/>
      <c r="G16" s="381"/>
      <c r="H16" s="381"/>
      <c r="I16" s="381"/>
      <c r="J16" s="381"/>
      <c r="K16" s="382"/>
    </row>
    <row r="17" spans="1:11" ht="21" customHeight="1">
      <c r="A17" s="337" t="s">
        <v>339</v>
      </c>
      <c r="B17" s="21">
        <v>0</v>
      </c>
      <c r="D17" s="307"/>
      <c r="E17" s="383"/>
      <c r="F17" s="384"/>
      <c r="G17" s="384"/>
      <c r="H17" s="384"/>
      <c r="I17" s="384"/>
      <c r="J17" s="384"/>
      <c r="K17" s="385"/>
    </row>
    <row r="18" spans="1:11" ht="19.5" customHeight="1">
      <c r="A18" s="308" t="s">
        <v>186</v>
      </c>
      <c r="B18" s="36"/>
      <c r="D18" s="307"/>
      <c r="E18" s="301"/>
      <c r="F18" s="309"/>
      <c r="G18" s="309"/>
      <c r="H18" s="309"/>
      <c r="I18" s="294"/>
      <c r="J18" s="294"/>
      <c r="K18" s="295"/>
    </row>
    <row r="19" spans="1:11" ht="19.5" customHeight="1">
      <c r="A19" s="300" t="s">
        <v>188</v>
      </c>
      <c r="B19" s="19"/>
      <c r="C19" s="296"/>
      <c r="D19" s="296"/>
      <c r="E19" s="389" t="s">
        <v>165</v>
      </c>
      <c r="F19" s="390"/>
      <c r="G19" s="390"/>
      <c r="H19" s="390"/>
      <c r="I19" s="390"/>
      <c r="J19" s="390"/>
      <c r="K19" s="391"/>
    </row>
    <row r="20" spans="1:11" ht="28.5" customHeight="1" hidden="1">
      <c r="A20" s="300" t="s">
        <v>224</v>
      </c>
      <c r="B20" s="20"/>
      <c r="C20" s="296"/>
      <c r="D20" s="296"/>
      <c r="E20" s="310"/>
      <c r="F20" s="311"/>
      <c r="G20" s="311"/>
      <c r="H20" s="312"/>
      <c r="I20" s="312"/>
      <c r="J20" s="312"/>
      <c r="K20" s="313"/>
    </row>
    <row r="21" spans="1:11" ht="19.5" customHeight="1" hidden="1">
      <c r="A21" s="300" t="s">
        <v>191</v>
      </c>
      <c r="B21" s="20"/>
      <c r="C21" s="296"/>
      <c r="D21" s="296"/>
      <c r="E21" s="310"/>
      <c r="F21" s="311"/>
      <c r="G21" s="311"/>
      <c r="H21" s="294"/>
      <c r="I21" s="294"/>
      <c r="J21" s="294"/>
      <c r="K21" s="295"/>
    </row>
    <row r="22" spans="1:11" ht="19.5" customHeight="1" hidden="1">
      <c r="A22" s="300" t="s">
        <v>225</v>
      </c>
      <c r="B22" s="20"/>
      <c r="C22" s="296"/>
      <c r="D22" s="296"/>
      <c r="E22" s="301"/>
      <c r="F22" s="309"/>
      <c r="G22" s="309"/>
      <c r="H22" s="294"/>
      <c r="I22" s="294"/>
      <c r="J22" s="294"/>
      <c r="K22" s="295"/>
    </row>
    <row r="23" spans="1:11" ht="19.5" customHeight="1" hidden="1">
      <c r="A23" s="300" t="s">
        <v>20</v>
      </c>
      <c r="B23" s="20"/>
      <c r="C23" s="296"/>
      <c r="D23" s="296"/>
      <c r="E23" s="301"/>
      <c r="F23" s="309"/>
      <c r="G23" s="309"/>
      <c r="H23" s="294"/>
      <c r="I23" s="294"/>
      <c r="J23" s="294"/>
      <c r="K23" s="295"/>
    </row>
    <row r="24" spans="1:11" ht="19.5" customHeight="1" hidden="1">
      <c r="A24" s="300" t="s">
        <v>495</v>
      </c>
      <c r="B24" s="87"/>
      <c r="C24" s="296"/>
      <c r="D24" s="296"/>
      <c r="E24" s="301"/>
      <c r="F24" s="309"/>
      <c r="G24" s="309"/>
      <c r="H24" s="294"/>
      <c r="I24" s="294"/>
      <c r="J24" s="294"/>
      <c r="K24" s="295"/>
    </row>
    <row r="25" spans="1:11" ht="19.5" customHeight="1" hidden="1">
      <c r="A25" s="300" t="s">
        <v>21</v>
      </c>
      <c r="B25" s="87"/>
      <c r="C25" s="296"/>
      <c r="D25" s="296"/>
      <c r="E25" s="301"/>
      <c r="F25" s="309"/>
      <c r="G25" s="309"/>
      <c r="H25" s="294"/>
      <c r="I25" s="294"/>
      <c r="J25" s="294"/>
      <c r="K25" s="295"/>
    </row>
    <row r="26" spans="1:11" ht="19.5" customHeight="1" hidden="1">
      <c r="A26" s="300" t="s">
        <v>34</v>
      </c>
      <c r="B26" s="281"/>
      <c r="C26" s="296"/>
      <c r="D26" s="296"/>
      <c r="E26" s="301"/>
      <c r="F26" s="309"/>
      <c r="G26" s="309"/>
      <c r="H26" s="294"/>
      <c r="I26" s="294"/>
      <c r="J26" s="294"/>
      <c r="K26" s="295"/>
    </row>
    <row r="27" spans="1:11" ht="19.5" customHeight="1" hidden="1">
      <c r="A27" s="300" t="s">
        <v>22</v>
      </c>
      <c r="B27" s="87"/>
      <c r="C27" s="296"/>
      <c r="D27" s="296"/>
      <c r="E27" s="301"/>
      <c r="F27" s="309"/>
      <c r="G27" s="309"/>
      <c r="H27" s="294"/>
      <c r="I27" s="294"/>
      <c r="J27" s="294"/>
      <c r="K27" s="295"/>
    </row>
    <row r="28" spans="1:11" ht="19.5" customHeight="1" hidden="1">
      <c r="A28" s="300" t="s">
        <v>192</v>
      </c>
      <c r="B28" s="20"/>
      <c r="C28" s="296"/>
      <c r="D28" s="296"/>
      <c r="E28" s="301"/>
      <c r="F28" s="309"/>
      <c r="G28" s="309"/>
      <c r="H28" s="294"/>
      <c r="I28" s="294"/>
      <c r="J28" s="294"/>
      <c r="K28" s="295"/>
    </row>
    <row r="29" spans="1:11" ht="19.5" customHeight="1" hidden="1">
      <c r="A29" s="314" t="s">
        <v>227</v>
      </c>
      <c r="B29" s="20"/>
      <c r="C29" s="296"/>
      <c r="D29" s="296"/>
      <c r="E29" s="301"/>
      <c r="F29" s="309"/>
      <c r="G29" s="309"/>
      <c r="H29" s="294"/>
      <c r="I29" s="294"/>
      <c r="J29" s="294"/>
      <c r="K29" s="295"/>
    </row>
    <row r="30" spans="1:11" ht="19.5" customHeight="1" hidden="1">
      <c r="A30" s="314" t="s">
        <v>236</v>
      </c>
      <c r="B30" s="20"/>
      <c r="C30" s="296"/>
      <c r="D30" s="296"/>
      <c r="E30" s="301"/>
      <c r="F30" s="309"/>
      <c r="G30" s="309"/>
      <c r="H30" s="294"/>
      <c r="I30" s="294"/>
      <c r="J30" s="294"/>
      <c r="K30" s="295"/>
    </row>
    <row r="31" spans="1:11" ht="19.5" customHeight="1" hidden="1">
      <c r="A31" s="314" t="s">
        <v>379</v>
      </c>
      <c r="B31" s="87"/>
      <c r="C31" s="296"/>
      <c r="D31" s="296"/>
      <c r="E31" s="386" t="s">
        <v>162</v>
      </c>
      <c r="F31" s="407"/>
      <c r="G31" s="407"/>
      <c r="H31" s="407"/>
      <c r="I31" s="407"/>
      <c r="J31" s="407"/>
      <c r="K31" s="408"/>
    </row>
    <row r="32" spans="1:11" ht="19.5" customHeight="1">
      <c r="A32" s="308" t="s">
        <v>11</v>
      </c>
      <c r="B32" s="36"/>
      <c r="C32" s="296" t="s">
        <v>385</v>
      </c>
      <c r="E32" s="301"/>
      <c r="F32" s="309"/>
      <c r="G32" s="309"/>
      <c r="H32" s="294"/>
      <c r="I32" s="294"/>
      <c r="J32" s="294"/>
      <c r="K32" s="295"/>
    </row>
    <row r="33" spans="1:11" ht="19.5" customHeight="1">
      <c r="A33" s="315" t="s">
        <v>229</v>
      </c>
      <c r="B33" s="34"/>
      <c r="C33" s="296"/>
      <c r="D33" s="288" t="s">
        <v>382</v>
      </c>
      <c r="E33" s="301"/>
      <c r="F33" s="309"/>
      <c r="G33" s="309"/>
      <c r="H33" s="294"/>
      <c r="I33" s="294"/>
      <c r="J33" s="294"/>
      <c r="K33" s="295"/>
    </row>
    <row r="34" spans="1:11" ht="19.5" customHeight="1">
      <c r="A34" s="300" t="s">
        <v>187</v>
      </c>
      <c r="B34" s="19"/>
      <c r="C34" s="288" t="s">
        <v>384</v>
      </c>
      <c r="D34" s="288" t="s">
        <v>383</v>
      </c>
      <c r="E34" s="386" t="s">
        <v>171</v>
      </c>
      <c r="F34" s="387"/>
      <c r="G34" s="387"/>
      <c r="H34" s="387"/>
      <c r="I34" s="387"/>
      <c r="J34" s="387"/>
      <c r="K34" s="388"/>
    </row>
    <row r="35" spans="1:11" ht="25.5" customHeight="1" hidden="1">
      <c r="A35" s="300" t="s">
        <v>514</v>
      </c>
      <c r="B35" s="20"/>
      <c r="E35" s="301"/>
      <c r="F35" s="309"/>
      <c r="G35" s="309"/>
      <c r="H35" s="294"/>
      <c r="I35" s="294"/>
      <c r="J35" s="294"/>
      <c r="K35" s="295"/>
    </row>
    <row r="36" spans="1:11" ht="30" customHeight="1" hidden="1">
      <c r="A36" s="300" t="s">
        <v>515</v>
      </c>
      <c r="B36" s="20"/>
      <c r="C36" s="288" t="s">
        <v>380</v>
      </c>
      <c r="E36" s="316"/>
      <c r="F36" s="317"/>
      <c r="G36" s="317"/>
      <c r="H36" s="312"/>
      <c r="I36" s="312"/>
      <c r="J36" s="312"/>
      <c r="K36" s="313"/>
    </row>
    <row r="37" spans="1:11" ht="19.5" customHeight="1" hidden="1">
      <c r="A37" s="300" t="s">
        <v>195</v>
      </c>
      <c r="B37" s="20"/>
      <c r="D37" s="288" t="s">
        <v>381</v>
      </c>
      <c r="E37" s="301"/>
      <c r="F37" s="309"/>
      <c r="G37" s="309"/>
      <c r="H37" s="294"/>
      <c r="I37" s="294"/>
      <c r="J37" s="294"/>
      <c r="K37" s="295"/>
    </row>
    <row r="38" spans="1:11" ht="19.5" customHeight="1" hidden="1">
      <c r="A38" s="300" t="s">
        <v>230</v>
      </c>
      <c r="B38" s="20"/>
      <c r="E38" s="301"/>
      <c r="F38" s="309"/>
      <c r="G38" s="309"/>
      <c r="H38" s="294"/>
      <c r="I38" s="294"/>
      <c r="J38" s="294"/>
      <c r="K38" s="295"/>
    </row>
    <row r="39" spans="1:11" ht="19.5" customHeight="1" hidden="1">
      <c r="A39" s="300" t="s">
        <v>20</v>
      </c>
      <c r="B39" s="20"/>
      <c r="E39" s="301"/>
      <c r="F39" s="309"/>
      <c r="G39" s="309"/>
      <c r="H39" s="294"/>
      <c r="I39" s="294"/>
      <c r="J39" s="294"/>
      <c r="K39" s="295"/>
    </row>
    <row r="40" spans="1:11" ht="19.5" customHeight="1" hidden="1">
      <c r="A40" s="300" t="s">
        <v>489</v>
      </c>
      <c r="B40" s="87"/>
      <c r="E40" s="301"/>
      <c r="F40" s="309"/>
      <c r="G40" s="309"/>
      <c r="H40" s="294"/>
      <c r="I40" s="294"/>
      <c r="J40" s="294"/>
      <c r="K40" s="295"/>
    </row>
    <row r="41" spans="1:11" ht="19.5" customHeight="1" hidden="1">
      <c r="A41" s="300" t="s">
        <v>23</v>
      </c>
      <c r="B41" s="87"/>
      <c r="E41" s="301"/>
      <c r="F41" s="309"/>
      <c r="G41" s="309"/>
      <c r="H41" s="294"/>
      <c r="I41" s="294"/>
      <c r="J41" s="294"/>
      <c r="K41" s="295"/>
    </row>
    <row r="42" spans="1:11" ht="19.5" customHeight="1" hidden="1">
      <c r="A42" s="300" t="s">
        <v>34</v>
      </c>
      <c r="B42" s="281"/>
      <c r="E42" s="301"/>
      <c r="F42" s="309"/>
      <c r="G42" s="309"/>
      <c r="H42" s="294"/>
      <c r="I42" s="294"/>
      <c r="J42" s="294"/>
      <c r="K42" s="295"/>
    </row>
    <row r="43" spans="1:11" ht="19.5" customHeight="1" hidden="1">
      <c r="A43" s="300" t="s">
        <v>226</v>
      </c>
      <c r="B43" s="87"/>
      <c r="E43" s="301"/>
      <c r="F43" s="309"/>
      <c r="G43" s="309"/>
      <c r="H43" s="294"/>
      <c r="I43" s="294"/>
      <c r="J43" s="294"/>
      <c r="K43" s="295"/>
    </row>
    <row r="44" spans="1:11" ht="19.5" customHeight="1" hidden="1">
      <c r="A44" s="300" t="s">
        <v>256</v>
      </c>
      <c r="B44" s="20"/>
      <c r="E44" s="301"/>
      <c r="F44" s="309"/>
      <c r="G44" s="309"/>
      <c r="H44" s="294"/>
      <c r="I44" s="294"/>
      <c r="J44" s="294"/>
      <c r="K44" s="295"/>
    </row>
    <row r="45" spans="1:11" ht="19.5" customHeight="1" hidden="1">
      <c r="A45" s="314" t="s">
        <v>291</v>
      </c>
      <c r="B45" s="35"/>
      <c r="E45" s="301"/>
      <c r="F45" s="309"/>
      <c r="G45" s="309"/>
      <c r="H45" s="294"/>
      <c r="I45" s="294"/>
      <c r="J45" s="294"/>
      <c r="K45" s="295"/>
    </row>
    <row r="46" spans="1:11" ht="19.5" customHeight="1" hidden="1">
      <c r="A46" s="314" t="s">
        <v>236</v>
      </c>
      <c r="B46" s="35"/>
      <c r="E46" s="301"/>
      <c r="F46" s="309"/>
      <c r="G46" s="309"/>
      <c r="H46" s="294"/>
      <c r="I46" s="294"/>
      <c r="J46" s="294"/>
      <c r="K46" s="295"/>
    </row>
    <row r="47" spans="1:11" ht="19.5" customHeight="1" hidden="1">
      <c r="A47" s="314" t="s">
        <v>379</v>
      </c>
      <c r="B47" s="87"/>
      <c r="E47" s="386" t="s">
        <v>48</v>
      </c>
      <c r="F47" s="407"/>
      <c r="G47" s="407"/>
      <c r="H47" s="407"/>
      <c r="I47" s="407"/>
      <c r="J47" s="407"/>
      <c r="K47" s="408"/>
    </row>
    <row r="48" spans="1:11" ht="19.5" customHeight="1">
      <c r="A48" s="315" t="s">
        <v>231</v>
      </c>
      <c r="B48" s="34"/>
      <c r="E48" s="301"/>
      <c r="F48" s="309"/>
      <c r="G48" s="309"/>
      <c r="H48" s="294"/>
      <c r="I48" s="294"/>
      <c r="J48" s="294"/>
      <c r="K48" s="295"/>
    </row>
    <row r="49" spans="1:11" ht="19.5" customHeight="1">
      <c r="A49" s="300" t="s">
        <v>289</v>
      </c>
      <c r="B49" s="20"/>
      <c r="E49" s="389" t="s">
        <v>172</v>
      </c>
      <c r="F49" s="390"/>
      <c r="G49" s="390"/>
      <c r="H49" s="390"/>
      <c r="I49" s="390"/>
      <c r="J49" s="390"/>
      <c r="K49" s="391"/>
    </row>
    <row r="50" spans="1:11" ht="19.5" customHeight="1" hidden="1">
      <c r="A50" s="293" t="s">
        <v>232</v>
      </c>
      <c r="B50" s="20"/>
      <c r="E50" s="301"/>
      <c r="F50" s="309"/>
      <c r="G50" s="309"/>
      <c r="H50" s="294"/>
      <c r="I50" s="294"/>
      <c r="J50" s="294"/>
      <c r="K50" s="295"/>
    </row>
    <row r="51" spans="1:11" ht="19.5" customHeight="1" hidden="1">
      <c r="A51" s="293" t="s">
        <v>233</v>
      </c>
      <c r="B51" s="20"/>
      <c r="E51" s="301"/>
      <c r="F51" s="309"/>
      <c r="G51" s="309"/>
      <c r="H51" s="294"/>
      <c r="I51" s="294"/>
      <c r="J51" s="294"/>
      <c r="K51" s="295"/>
    </row>
    <row r="52" spans="1:11" ht="19.5" customHeight="1" hidden="1">
      <c r="A52" s="300" t="s">
        <v>193</v>
      </c>
      <c r="B52" s="20"/>
      <c r="E52" s="301"/>
      <c r="F52" s="309"/>
      <c r="G52" s="309"/>
      <c r="H52" s="294"/>
      <c r="I52" s="294"/>
      <c r="J52" s="294"/>
      <c r="K52" s="295"/>
    </row>
    <row r="53" spans="1:11" ht="19.5" customHeight="1" hidden="1">
      <c r="A53" s="314" t="s">
        <v>234</v>
      </c>
      <c r="B53" s="20"/>
      <c r="E53" s="301"/>
      <c r="F53" s="309"/>
      <c r="G53" s="309"/>
      <c r="H53" s="294"/>
      <c r="I53" s="294"/>
      <c r="J53" s="294"/>
      <c r="K53" s="295"/>
    </row>
    <row r="54" spans="1:11" ht="19.5" customHeight="1" hidden="1">
      <c r="A54" s="314" t="s">
        <v>20</v>
      </c>
      <c r="B54" s="20"/>
      <c r="E54" s="301"/>
      <c r="F54" s="309"/>
      <c r="G54" s="309"/>
      <c r="H54" s="294"/>
      <c r="I54" s="294"/>
      <c r="J54" s="294"/>
      <c r="K54" s="295"/>
    </row>
    <row r="55" spans="1:11" ht="19.5" customHeight="1" hidden="1">
      <c r="A55" s="300" t="s">
        <v>488</v>
      </c>
      <c r="B55" s="87"/>
      <c r="D55" s="296"/>
      <c r="E55" s="301"/>
      <c r="F55" s="309"/>
      <c r="G55" s="309"/>
      <c r="H55" s="294"/>
      <c r="I55" s="294"/>
      <c r="J55" s="294"/>
      <c r="K55" s="295"/>
    </row>
    <row r="56" spans="1:11" ht="19.5" customHeight="1" hidden="1">
      <c r="A56" s="300" t="s">
        <v>24</v>
      </c>
      <c r="B56" s="87"/>
      <c r="D56" s="296"/>
      <c r="E56" s="301"/>
      <c r="F56" s="309"/>
      <c r="G56" s="309"/>
      <c r="H56" s="294"/>
      <c r="I56" s="294"/>
      <c r="J56" s="294"/>
      <c r="K56" s="295"/>
    </row>
    <row r="57" spans="1:11" ht="19.5" customHeight="1" hidden="1">
      <c r="A57" s="300" t="s">
        <v>34</v>
      </c>
      <c r="B57" s="281"/>
      <c r="D57" s="296"/>
      <c r="E57" s="301"/>
      <c r="F57" s="309"/>
      <c r="G57" s="309"/>
      <c r="H57" s="294"/>
      <c r="I57" s="294"/>
      <c r="J57" s="294"/>
      <c r="K57" s="295"/>
    </row>
    <row r="58" spans="1:11" ht="19.5" customHeight="1" hidden="1">
      <c r="A58" s="300" t="s">
        <v>25</v>
      </c>
      <c r="B58" s="87"/>
      <c r="D58" s="296"/>
      <c r="E58" s="301"/>
      <c r="F58" s="309"/>
      <c r="G58" s="309"/>
      <c r="H58" s="294"/>
      <c r="I58" s="294"/>
      <c r="J58" s="294"/>
      <c r="K58" s="295"/>
    </row>
    <row r="59" spans="1:11" ht="19.5" customHeight="1" hidden="1">
      <c r="A59" s="314" t="s">
        <v>194</v>
      </c>
      <c r="B59" s="20"/>
      <c r="E59" s="301"/>
      <c r="F59" s="309"/>
      <c r="G59" s="309"/>
      <c r="H59" s="294"/>
      <c r="I59" s="294"/>
      <c r="J59" s="294"/>
      <c r="K59" s="295"/>
    </row>
    <row r="60" spans="1:11" ht="19.5" customHeight="1" hidden="1">
      <c r="A60" s="314" t="s">
        <v>235</v>
      </c>
      <c r="B60" s="35"/>
      <c r="E60" s="301"/>
      <c r="F60" s="309"/>
      <c r="G60" s="309"/>
      <c r="H60" s="294"/>
      <c r="I60" s="294"/>
      <c r="J60" s="294"/>
      <c r="K60" s="295"/>
    </row>
    <row r="61" spans="1:11" ht="19.5" customHeight="1" hidden="1">
      <c r="A61" s="314" t="s">
        <v>236</v>
      </c>
      <c r="B61" s="35"/>
      <c r="E61" s="301"/>
      <c r="F61" s="309"/>
      <c r="G61" s="309"/>
      <c r="H61" s="294"/>
      <c r="I61" s="294"/>
      <c r="J61" s="294"/>
      <c r="K61" s="295"/>
    </row>
    <row r="62" spans="1:11" ht="19.5" customHeight="1" hidden="1">
      <c r="A62" s="314" t="s">
        <v>507</v>
      </c>
      <c r="B62" s="87"/>
      <c r="E62" s="301"/>
      <c r="F62" s="309"/>
      <c r="G62" s="309"/>
      <c r="H62" s="294"/>
      <c r="I62" s="294"/>
      <c r="J62" s="294"/>
      <c r="K62" s="295"/>
    </row>
    <row r="63" spans="1:11" ht="19.5" customHeight="1">
      <c r="A63" s="315" t="s">
        <v>237</v>
      </c>
      <c r="B63" s="34"/>
      <c r="E63" s="301"/>
      <c r="F63" s="309"/>
      <c r="G63" s="309"/>
      <c r="H63" s="294"/>
      <c r="I63" s="294"/>
      <c r="J63" s="294"/>
      <c r="K63" s="295"/>
    </row>
    <row r="64" spans="1:11" ht="19.5" customHeight="1">
      <c r="A64" s="314" t="s">
        <v>103</v>
      </c>
      <c r="B64" s="35"/>
      <c r="E64" s="392" t="s">
        <v>104</v>
      </c>
      <c r="F64" s="393"/>
      <c r="G64" s="393"/>
      <c r="H64" s="393"/>
      <c r="I64" s="393"/>
      <c r="J64" s="393"/>
      <c r="K64" s="394"/>
    </row>
    <row r="65" spans="1:11" ht="19.5" customHeight="1" hidden="1">
      <c r="A65" s="314" t="s">
        <v>290</v>
      </c>
      <c r="B65" s="35"/>
      <c r="E65" s="318"/>
      <c r="F65" s="312"/>
      <c r="G65" s="312"/>
      <c r="H65" s="312"/>
      <c r="I65" s="312"/>
      <c r="J65" s="312"/>
      <c r="K65" s="313"/>
    </row>
    <row r="66" spans="1:11" ht="19.5" customHeight="1">
      <c r="A66" s="314" t="s">
        <v>292</v>
      </c>
      <c r="B66" s="20"/>
      <c r="E66" s="386" t="s">
        <v>356</v>
      </c>
      <c r="F66" s="387"/>
      <c r="G66" s="387"/>
      <c r="H66" s="387"/>
      <c r="I66" s="387"/>
      <c r="J66" s="387"/>
      <c r="K66" s="388"/>
    </row>
    <row r="67" spans="1:11" ht="25.5" customHeight="1" hidden="1">
      <c r="A67" s="314" t="s">
        <v>0</v>
      </c>
      <c r="B67" s="20"/>
      <c r="E67" s="404"/>
      <c r="F67" s="405"/>
      <c r="G67" s="405"/>
      <c r="H67" s="405"/>
      <c r="I67" s="405"/>
      <c r="J67" s="405"/>
      <c r="K67" s="406"/>
    </row>
    <row r="68" spans="1:11" ht="25.5" customHeight="1" hidden="1">
      <c r="A68" s="314" t="s">
        <v>1</v>
      </c>
      <c r="B68" s="20"/>
      <c r="E68" s="404"/>
      <c r="F68" s="405"/>
      <c r="G68" s="405"/>
      <c r="H68" s="405"/>
      <c r="I68" s="405"/>
      <c r="J68" s="405"/>
      <c r="K68" s="406"/>
    </row>
    <row r="69" spans="1:11" ht="25.5" customHeight="1" hidden="1">
      <c r="A69" s="314" t="s">
        <v>2</v>
      </c>
      <c r="B69" s="20"/>
      <c r="E69" s="395" t="s">
        <v>357</v>
      </c>
      <c r="F69" s="396"/>
      <c r="G69" s="396"/>
      <c r="H69" s="396"/>
      <c r="I69" s="396"/>
      <c r="J69" s="396"/>
      <c r="K69" s="397"/>
    </row>
    <row r="70" spans="1:11" ht="25.5" customHeight="1" hidden="1">
      <c r="A70" s="314" t="s">
        <v>564</v>
      </c>
      <c r="B70" s="20"/>
      <c r="E70" s="398"/>
      <c r="F70" s="399"/>
      <c r="G70" s="399"/>
      <c r="H70" s="399"/>
      <c r="I70" s="399"/>
      <c r="J70" s="399"/>
      <c r="K70" s="400"/>
    </row>
    <row r="71" spans="1:11" ht="19.5" customHeight="1" hidden="1">
      <c r="A71" s="314" t="s">
        <v>531</v>
      </c>
      <c r="B71" s="116"/>
      <c r="E71" s="401"/>
      <c r="F71" s="402"/>
      <c r="G71" s="402"/>
      <c r="H71" s="402"/>
      <c r="I71" s="402"/>
      <c r="J71" s="402"/>
      <c r="K71" s="403"/>
    </row>
    <row r="72" spans="1:11" ht="19.5" customHeight="1" hidden="1">
      <c r="A72" s="314" t="s">
        <v>472</v>
      </c>
      <c r="B72" s="86"/>
      <c r="E72" s="401"/>
      <c r="F72" s="402"/>
      <c r="G72" s="402"/>
      <c r="H72" s="402"/>
      <c r="I72" s="402"/>
      <c r="J72" s="402"/>
      <c r="K72" s="403"/>
    </row>
    <row r="73" spans="1:11" ht="19.5" customHeight="1" hidden="1">
      <c r="A73" s="314" t="s">
        <v>175</v>
      </c>
      <c r="B73" s="20"/>
      <c r="E73" s="357" t="s">
        <v>176</v>
      </c>
      <c r="F73" s="358"/>
      <c r="G73" s="358"/>
      <c r="H73" s="358"/>
      <c r="I73" s="358"/>
      <c r="J73" s="358"/>
      <c r="K73" s="359"/>
    </row>
    <row r="74" spans="1:11" ht="19.5" customHeight="1">
      <c r="A74" s="314" t="s">
        <v>238</v>
      </c>
      <c r="B74" s="20"/>
      <c r="E74" s="386" t="s">
        <v>64</v>
      </c>
      <c r="F74" s="387"/>
      <c r="G74" s="387"/>
      <c r="H74" s="387"/>
      <c r="I74" s="387"/>
      <c r="J74" s="387"/>
      <c r="K74" s="388"/>
    </row>
    <row r="75" spans="1:11" ht="30" customHeight="1" hidden="1">
      <c r="A75" s="314" t="s">
        <v>239</v>
      </c>
      <c r="B75" s="20"/>
      <c r="E75" s="319"/>
      <c r="F75" s="294"/>
      <c r="G75" s="294"/>
      <c r="H75" s="294"/>
      <c r="I75" s="294"/>
      <c r="J75" s="294"/>
      <c r="K75" s="295"/>
    </row>
    <row r="76" spans="1:11" ht="19.5" customHeight="1" hidden="1">
      <c r="A76" s="314" t="s">
        <v>240</v>
      </c>
      <c r="B76" s="20"/>
      <c r="E76" s="301"/>
      <c r="F76" s="309"/>
      <c r="G76" s="309"/>
      <c r="H76" s="294"/>
      <c r="I76" s="294"/>
      <c r="J76" s="294"/>
      <c r="K76" s="295"/>
    </row>
    <row r="77" spans="1:11" ht="19.5" customHeight="1" hidden="1">
      <c r="A77" s="314" t="s">
        <v>243</v>
      </c>
      <c r="B77" s="20"/>
      <c r="E77" s="301"/>
      <c r="F77" s="309"/>
      <c r="G77" s="309"/>
      <c r="H77" s="294"/>
      <c r="I77" s="294"/>
      <c r="J77" s="294"/>
      <c r="K77" s="295"/>
    </row>
    <row r="78" spans="1:11" ht="19.5" customHeight="1" hidden="1">
      <c r="A78" s="314" t="s">
        <v>20</v>
      </c>
      <c r="B78" s="20"/>
      <c r="E78" s="409" t="s">
        <v>116</v>
      </c>
      <c r="F78" s="410"/>
      <c r="G78" s="410"/>
      <c r="H78" s="410"/>
      <c r="I78" s="410"/>
      <c r="J78" s="410"/>
      <c r="K78" s="411"/>
    </row>
    <row r="79" spans="1:11" ht="19.5" customHeight="1" hidden="1">
      <c r="A79" s="300" t="s">
        <v>483</v>
      </c>
      <c r="B79" s="87"/>
      <c r="E79" s="301"/>
      <c r="F79" s="309"/>
      <c r="G79" s="309"/>
      <c r="H79" s="294"/>
      <c r="I79" s="294"/>
      <c r="J79" s="294"/>
      <c r="K79" s="295"/>
    </row>
    <row r="80" spans="1:11" ht="19.5" customHeight="1" hidden="1">
      <c r="A80" s="300" t="s">
        <v>27</v>
      </c>
      <c r="B80" s="87"/>
      <c r="E80" s="301"/>
      <c r="F80" s="309"/>
      <c r="G80" s="309"/>
      <c r="H80" s="294"/>
      <c r="I80" s="294"/>
      <c r="J80" s="294"/>
      <c r="K80" s="295"/>
    </row>
    <row r="81" spans="1:11" ht="19.5" customHeight="1" hidden="1">
      <c r="A81" s="300" t="s">
        <v>34</v>
      </c>
      <c r="B81" s="281"/>
      <c r="E81" s="301"/>
      <c r="F81" s="309"/>
      <c r="G81" s="309"/>
      <c r="H81" s="294"/>
      <c r="I81" s="294"/>
      <c r="J81" s="294"/>
      <c r="K81" s="295"/>
    </row>
    <row r="82" spans="1:11" ht="19.5" customHeight="1" hidden="1">
      <c r="A82" s="300" t="s">
        <v>26</v>
      </c>
      <c r="B82" s="25"/>
      <c r="E82" s="301"/>
      <c r="F82" s="309"/>
      <c r="G82" s="309"/>
      <c r="H82" s="294"/>
      <c r="I82" s="294"/>
      <c r="J82" s="294"/>
      <c r="K82" s="295"/>
    </row>
    <row r="83" spans="1:11" ht="19.5" customHeight="1" hidden="1">
      <c r="A83" s="314" t="s">
        <v>244</v>
      </c>
      <c r="B83" s="20"/>
      <c r="E83" s="301"/>
      <c r="F83" s="309"/>
      <c r="G83" s="309"/>
      <c r="H83" s="294"/>
      <c r="I83" s="294"/>
      <c r="J83" s="294"/>
      <c r="K83" s="295"/>
    </row>
    <row r="84" spans="1:11" ht="19.5" customHeight="1" hidden="1">
      <c r="A84" s="314" t="s">
        <v>245</v>
      </c>
      <c r="B84" s="20"/>
      <c r="E84" s="301"/>
      <c r="F84" s="309"/>
      <c r="G84" s="309"/>
      <c r="H84" s="294"/>
      <c r="I84" s="294"/>
      <c r="J84" s="294"/>
      <c r="K84" s="295"/>
    </row>
    <row r="85" spans="1:11" ht="19.5" customHeight="1" hidden="1">
      <c r="A85" s="314" t="s">
        <v>228</v>
      </c>
      <c r="B85" s="20"/>
      <c r="E85" s="301"/>
      <c r="F85" s="309"/>
      <c r="G85" s="309"/>
      <c r="H85" s="294"/>
      <c r="I85" s="294"/>
      <c r="J85" s="294"/>
      <c r="K85" s="295"/>
    </row>
    <row r="86" spans="1:11" ht="21" customHeight="1">
      <c r="A86" s="314" t="s">
        <v>350</v>
      </c>
      <c r="B86" s="25">
        <v>0</v>
      </c>
      <c r="E86" s="357" t="s">
        <v>105</v>
      </c>
      <c r="F86" s="358"/>
      <c r="G86" s="359"/>
      <c r="H86" s="294"/>
      <c r="I86" s="320" t="s">
        <v>376</v>
      </c>
      <c r="J86" s="320" t="s">
        <v>562</v>
      </c>
      <c r="K86" s="320" t="s">
        <v>173</v>
      </c>
    </row>
    <row r="87" spans="1:11" ht="12.75" customHeight="1">
      <c r="A87" s="369" t="s">
        <v>129</v>
      </c>
      <c r="B87" s="372"/>
      <c r="E87" s="360" t="s">
        <v>49</v>
      </c>
      <c r="F87" s="361"/>
      <c r="G87" s="362"/>
      <c r="H87" s="294"/>
      <c r="I87" s="321" t="s">
        <v>372</v>
      </c>
      <c r="J87" s="322" t="str">
        <f>IF(Lookup!B37="No","N/A",IF(Lookup!G25="Food Rescue",Lookup!E30-Lookup!D30-'Cost Calculator'!F12/10,Lookup!E37-Lookup!D37-'Cost Calculator'!F12/10))</f>
        <v>N/A</v>
      </c>
      <c r="K87" s="323" t="str">
        <f>IF(J87="N/A","Not Available",IF(J87&gt;=0,"Cost Effective","Not Cost Effective"))</f>
        <v>Not Available</v>
      </c>
    </row>
    <row r="88" spans="1:11" ht="12.75" customHeight="1">
      <c r="A88" s="370"/>
      <c r="B88" s="372"/>
      <c r="E88" s="363"/>
      <c r="F88" s="364"/>
      <c r="G88" s="365"/>
      <c r="H88" s="294"/>
      <c r="I88" s="321" t="s">
        <v>503</v>
      </c>
      <c r="J88" s="322" t="str">
        <f>IF(Lookup!B38="No","N/A",IF(Lookup!G$25="Food Rescue",((Lookup!E31-Lookup!D31)*10+Lookup!E71)/10-'Cost Calculator'!F12/10,((Lookup!E38-Lookup!D38)*10+Lookup!E72)/10-'Cost Calculator'!F12/10))</f>
        <v>N/A</v>
      </c>
      <c r="K88" s="323" t="str">
        <f>IF(J88="N/A","Not Available",IF(J88&gt;=0,"Cost Effective","Not Cost Effective"))</f>
        <v>Not Available</v>
      </c>
    </row>
    <row r="89" spans="1:11" ht="12.75" customHeight="1">
      <c r="A89" s="370"/>
      <c r="B89" s="372"/>
      <c r="E89" s="363"/>
      <c r="F89" s="364"/>
      <c r="G89" s="365"/>
      <c r="H89" s="294"/>
      <c r="I89" s="321" t="s">
        <v>373</v>
      </c>
      <c r="J89" s="322" t="str">
        <f>IF(Lookup!B39="No","N/A",IF(Lookup!G$25="Food Rescue",Lookup!E32-Lookup!D32-'Cost Calculator'!F12/10,Lookup!E39-Lookup!D39-'Cost Calculator'!F12/10))</f>
        <v>N/A</v>
      </c>
      <c r="K89" s="323" t="str">
        <f>IF(J89="N/A","Not Available",IF(J89&gt;=0,"Cost Effective","Not Cost Effective"))</f>
        <v>Not Available</v>
      </c>
    </row>
    <row r="90" spans="1:11" ht="30" customHeight="1">
      <c r="A90" s="371"/>
      <c r="B90" s="373"/>
      <c r="E90" s="366"/>
      <c r="F90" s="367"/>
      <c r="G90" s="368"/>
      <c r="H90" s="294"/>
      <c r="I90" s="412" t="s">
        <v>107</v>
      </c>
      <c r="J90" s="413"/>
      <c r="K90" s="414"/>
    </row>
    <row r="91" spans="1:11" ht="19.5" customHeight="1">
      <c r="A91" s="308" t="s">
        <v>395</v>
      </c>
      <c r="B91" s="36"/>
      <c r="E91" s="301"/>
      <c r="F91" s="309"/>
      <c r="G91" s="309"/>
      <c r="H91" s="294" t="s">
        <v>374</v>
      </c>
      <c r="I91" s="294"/>
      <c r="J91" s="294"/>
      <c r="K91" s="295"/>
    </row>
    <row r="92" spans="1:11" ht="19.5" customHeight="1">
      <c r="A92" s="300" t="s">
        <v>246</v>
      </c>
      <c r="B92" s="19"/>
      <c r="E92" s="389" t="s">
        <v>65</v>
      </c>
      <c r="F92" s="390"/>
      <c r="G92" s="390"/>
      <c r="H92" s="390"/>
      <c r="I92" s="390"/>
      <c r="J92" s="390"/>
      <c r="K92" s="391"/>
    </row>
    <row r="93" spans="1:11" ht="30" customHeight="1" hidden="1">
      <c r="A93" s="300" t="s">
        <v>394</v>
      </c>
      <c r="B93" s="19"/>
      <c r="D93" s="324"/>
      <c r="E93" s="325"/>
      <c r="F93" s="324"/>
      <c r="G93" s="317"/>
      <c r="H93" s="294"/>
      <c r="I93" s="294"/>
      <c r="J93" s="294"/>
      <c r="K93" s="295"/>
    </row>
    <row r="94" spans="1:11" ht="19.5" customHeight="1" hidden="1">
      <c r="A94" s="300" t="s">
        <v>247</v>
      </c>
      <c r="B94" s="19"/>
      <c r="D94" s="324"/>
      <c r="E94" s="325"/>
      <c r="F94" s="324"/>
      <c r="G94" s="317"/>
      <c r="H94" s="294"/>
      <c r="I94" s="294"/>
      <c r="J94" s="294"/>
      <c r="K94" s="295"/>
    </row>
    <row r="95" spans="1:11" ht="19.5" customHeight="1" hidden="1">
      <c r="A95" s="300" t="s">
        <v>393</v>
      </c>
      <c r="B95" s="18"/>
      <c r="D95" s="324"/>
      <c r="E95" s="325"/>
      <c r="F95" s="324"/>
      <c r="G95" s="317"/>
      <c r="H95" s="294"/>
      <c r="I95" s="294"/>
      <c r="J95" s="294"/>
      <c r="K95" s="295"/>
    </row>
    <row r="96" spans="1:11" ht="19.5" customHeight="1" hidden="1">
      <c r="A96" s="300" t="s">
        <v>226</v>
      </c>
      <c r="B96" s="194"/>
      <c r="D96" s="324"/>
      <c r="E96" s="325"/>
      <c r="F96" s="324"/>
      <c r="G96" s="317"/>
      <c r="H96" s="294"/>
      <c r="I96" s="294"/>
      <c r="J96" s="294"/>
      <c r="K96" s="295"/>
    </row>
    <row r="97" spans="1:11" ht="30" customHeight="1" hidden="1">
      <c r="A97" s="300" t="s">
        <v>397</v>
      </c>
      <c r="B97" s="21"/>
      <c r="D97" s="324"/>
      <c r="E97" s="325"/>
      <c r="F97" s="324"/>
      <c r="G97" s="317"/>
      <c r="H97" s="294"/>
      <c r="I97" s="294"/>
      <c r="J97" s="294"/>
      <c r="K97" s="295"/>
    </row>
    <row r="98" spans="1:11" ht="30" customHeight="1" hidden="1">
      <c r="A98" s="300" t="s">
        <v>248</v>
      </c>
      <c r="B98" s="27"/>
      <c r="D98" s="324"/>
      <c r="E98" s="325"/>
      <c r="F98" s="324"/>
      <c r="G98" s="317"/>
      <c r="H98" s="294"/>
      <c r="I98" s="294"/>
      <c r="J98" s="294"/>
      <c r="K98" s="295"/>
    </row>
    <row r="99" spans="1:11" ht="19.5" customHeight="1" hidden="1">
      <c r="A99" s="300" t="s">
        <v>228</v>
      </c>
      <c r="B99" s="27"/>
      <c r="D99" s="324"/>
      <c r="E99" s="325"/>
      <c r="F99" s="324"/>
      <c r="G99" s="317"/>
      <c r="H99" s="294"/>
      <c r="I99" s="294"/>
      <c r="J99" s="294"/>
      <c r="K99" s="295"/>
    </row>
    <row r="100" spans="1:11" ht="30" customHeight="1" hidden="1">
      <c r="A100" s="300" t="s">
        <v>396</v>
      </c>
      <c r="B100" s="21"/>
      <c r="D100" s="324"/>
      <c r="E100" s="325"/>
      <c r="F100" s="324"/>
      <c r="G100" s="317"/>
      <c r="H100" s="294"/>
      <c r="I100" s="294"/>
      <c r="J100" s="294"/>
      <c r="K100" s="295"/>
    </row>
    <row r="101" spans="1:11" ht="19.5" customHeight="1">
      <c r="A101" s="308" t="s">
        <v>568</v>
      </c>
      <c r="B101" s="36"/>
      <c r="D101" s="324"/>
      <c r="E101" s="325"/>
      <c r="F101" s="324"/>
      <c r="G101" s="309"/>
      <c r="H101" s="294"/>
      <c r="I101" s="294"/>
      <c r="J101" s="294"/>
      <c r="K101" s="295"/>
    </row>
    <row r="102" spans="1:11" ht="19.5" customHeight="1">
      <c r="A102" s="300" t="s">
        <v>441</v>
      </c>
      <c r="B102" s="19"/>
      <c r="E102" s="409" t="s">
        <v>117</v>
      </c>
      <c r="F102" s="410"/>
      <c r="G102" s="410"/>
      <c r="H102" s="410"/>
      <c r="I102" s="410"/>
      <c r="J102" s="410"/>
      <c r="K102" s="411"/>
    </row>
    <row r="103" spans="1:11" ht="37.5" customHeight="1" hidden="1">
      <c r="A103" s="300">
        <f>IF(Lookup!AJ13="Flat Fee","What is your waste removal fee per year?",IF(Lookup!AJ13="In Rent","What is your total waste removal fee per year (comingled paper, food, etc.), minus recycling fee?  For facilities where food service is only one component of operations, enter charges from food service only.",""))</f>
      </c>
      <c r="B103" s="282"/>
      <c r="E103" s="301"/>
      <c r="F103" s="309"/>
      <c r="G103" s="309"/>
      <c r="H103" s="294"/>
      <c r="I103" s="294"/>
      <c r="J103" s="294"/>
      <c r="K103" s="295"/>
    </row>
    <row r="104" spans="1:11" ht="26.25" customHeight="1" hidden="1">
      <c r="A104" s="300">
        <f>IF(Lookup!AJ13="Flat Fee","Can you reduce this fee by reducing your tonnage of food waste?",IF(Lookup!AJ13="In Rent","Can you negotiate with your landlord to reduce this portion of your rent by reducing your tonnage of food waste?",""))</f>
      </c>
      <c r="B104" s="82"/>
      <c r="E104" s="326"/>
      <c r="F104" s="327"/>
      <c r="G104" s="327"/>
      <c r="H104" s="328"/>
      <c r="I104" s="328"/>
      <c r="J104" s="328"/>
      <c r="K104" s="329"/>
    </row>
    <row r="105" spans="1:11" ht="25.5" customHeight="1" hidden="1">
      <c r="A105" s="300">
        <f>IF(Lookup!AJ13="Flat Fee","How much would your annual waste removal charge be reduced by if you employed alternative management methods to handle all of your food waste and did not dispose any food waste?",IF(Lookup!AJ13="In Rent","How much would your annual rent be reduced by if you employed alternative management methods to handle all of your food waste and did not dispose any food waste?",""))</f>
      </c>
      <c r="B105" s="283"/>
      <c r="E105" s="326"/>
      <c r="F105" s="327"/>
      <c r="G105" s="327"/>
      <c r="H105" s="328"/>
      <c r="I105" s="328"/>
      <c r="J105" s="328"/>
      <c r="K105" s="329"/>
    </row>
    <row r="106" spans="1:11" ht="19.5" customHeight="1">
      <c r="A106" s="300" t="s">
        <v>450</v>
      </c>
      <c r="B106" s="283"/>
      <c r="E106" s="326"/>
      <c r="F106" s="327"/>
      <c r="G106" s="327"/>
      <c r="H106" s="328"/>
      <c r="I106" s="328"/>
      <c r="J106" s="328"/>
      <c r="K106" s="329"/>
    </row>
    <row r="107" spans="1:11" ht="19.5" customHeight="1" hidden="1">
      <c r="A107" s="300" t="s">
        <v>442</v>
      </c>
      <c r="B107" s="194"/>
      <c r="E107" s="326"/>
      <c r="F107" s="327"/>
      <c r="G107" s="327"/>
      <c r="H107" s="328"/>
      <c r="I107" s="328"/>
      <c r="J107" s="328"/>
      <c r="K107" s="329"/>
    </row>
    <row r="108" spans="1:11" ht="20.25" customHeight="1" hidden="1">
      <c r="A108" s="300" t="s">
        <v>451</v>
      </c>
      <c r="B108" s="27"/>
      <c r="E108" s="326"/>
      <c r="F108" s="327"/>
      <c r="G108" s="327"/>
      <c r="H108" s="328"/>
      <c r="I108" s="328"/>
      <c r="J108" s="328"/>
      <c r="K108" s="329"/>
    </row>
    <row r="109" spans="1:11" ht="19.5" customHeight="1">
      <c r="A109" s="300" t="s">
        <v>458</v>
      </c>
      <c r="B109" s="21"/>
      <c r="E109" s="326"/>
      <c r="F109" s="327"/>
      <c r="G109" s="327"/>
      <c r="H109" s="328"/>
      <c r="I109" s="328"/>
      <c r="J109" s="328"/>
      <c r="K109" s="329"/>
    </row>
    <row r="110" spans="1:11" ht="17.25" customHeight="1" hidden="1">
      <c r="A110" s="300" t="s">
        <v>457</v>
      </c>
      <c r="B110" s="194"/>
      <c r="E110" s="326"/>
      <c r="F110" s="327"/>
      <c r="G110" s="327"/>
      <c r="H110" s="328"/>
      <c r="I110" s="328"/>
      <c r="J110" s="328"/>
      <c r="K110" s="329"/>
    </row>
    <row r="111" spans="1:11" ht="19.5" customHeight="1" hidden="1">
      <c r="A111" s="300" t="s">
        <v>454</v>
      </c>
      <c r="B111" s="21"/>
      <c r="E111" s="326"/>
      <c r="F111" s="327"/>
      <c r="G111" s="327"/>
      <c r="H111" s="328"/>
      <c r="I111" s="328"/>
      <c r="J111" s="328"/>
      <c r="K111" s="329"/>
    </row>
    <row r="112" spans="1:11" ht="25.5" customHeight="1" hidden="1">
      <c r="A112" s="300" t="s">
        <v>455</v>
      </c>
      <c r="B112" s="194"/>
      <c r="E112" s="326"/>
      <c r="F112" s="327"/>
      <c r="G112" s="327"/>
      <c r="H112" s="328"/>
      <c r="I112" s="328"/>
      <c r="J112" s="328"/>
      <c r="K112" s="329"/>
    </row>
    <row r="113" spans="1:11" ht="19.5" customHeight="1" hidden="1">
      <c r="A113" s="300" t="s">
        <v>443</v>
      </c>
      <c r="B113" s="194"/>
      <c r="E113" s="326"/>
      <c r="F113" s="327"/>
      <c r="G113" s="327"/>
      <c r="H113" s="328"/>
      <c r="I113" s="328"/>
      <c r="J113" s="328"/>
      <c r="K113" s="329"/>
    </row>
    <row r="114" spans="1:11" ht="19.5" customHeight="1">
      <c r="A114" s="308" t="s">
        <v>39</v>
      </c>
      <c r="B114" s="36"/>
      <c r="E114" s="326"/>
      <c r="F114" s="327"/>
      <c r="G114" s="327"/>
      <c r="H114" s="328"/>
      <c r="I114" s="328"/>
      <c r="J114" s="328"/>
      <c r="K114" s="329"/>
    </row>
    <row r="115" spans="1:11" ht="29.25" customHeight="1">
      <c r="A115" s="300" t="s">
        <v>38</v>
      </c>
      <c r="B115" s="82"/>
      <c r="C115" s="298"/>
      <c r="D115" s="298"/>
      <c r="E115" s="386" t="s">
        <v>50</v>
      </c>
      <c r="F115" s="387"/>
      <c r="G115" s="387"/>
      <c r="H115" s="387"/>
      <c r="I115" s="387"/>
      <c r="J115" s="387"/>
      <c r="K115" s="388"/>
    </row>
    <row r="116" spans="1:11" ht="26.25" customHeight="1" hidden="1">
      <c r="A116" s="300" t="s">
        <v>76</v>
      </c>
      <c r="B116" s="176"/>
      <c r="C116" s="298"/>
      <c r="D116" s="298"/>
      <c r="E116" s="425" t="s">
        <v>59</v>
      </c>
      <c r="F116" s="426"/>
      <c r="G116" s="426"/>
      <c r="H116" s="426"/>
      <c r="I116" s="426"/>
      <c r="J116" s="426"/>
      <c r="K116" s="427"/>
    </row>
    <row r="117" spans="1:11" ht="42.75" customHeight="1" hidden="1">
      <c r="A117" s="314" t="str">
        <f>IF(Lookup!C61="None","N/A","Based on the weight of food waste eligible for pulping and the number of hours per week you will operate the system, the ideal pulper for your facility is the "&amp;Lookup!C61&amp;" which currently costs "&amp;IF(Lookup!N61=0,0,TEXT(Lookup!N61,"$#,###"))&amp;".  Will you finance the cost of the pulper or will you buy it outright?")</f>
        <v>Based on the weight of food waste eligible for pulping and the number of hours per week you will operate the system, the ideal pulper for your facility is the Small Pulper which currently costs $24,062.  Will you finance the cost of the pulper or will you buy it outright?</v>
      </c>
      <c r="B117" s="20"/>
      <c r="C117" s="298"/>
      <c r="D117" s="298"/>
      <c r="E117" s="428"/>
      <c r="F117" s="429"/>
      <c r="G117" s="429"/>
      <c r="H117" s="429"/>
      <c r="I117" s="429"/>
      <c r="J117" s="429"/>
      <c r="K117" s="430"/>
    </row>
    <row r="118" spans="1:11" ht="19.5" customHeight="1" hidden="1">
      <c r="A118" s="314" t="s">
        <v>531</v>
      </c>
      <c r="B118" s="87"/>
      <c r="C118" s="298"/>
      <c r="D118" s="330"/>
      <c r="E118" s="331"/>
      <c r="F118" s="332"/>
      <c r="G118" s="332"/>
      <c r="H118" s="332"/>
      <c r="I118" s="332"/>
      <c r="J118" s="332"/>
      <c r="K118" s="333"/>
    </row>
    <row r="119" spans="1:11" ht="19.5" customHeight="1" hidden="1">
      <c r="A119" s="314" t="s">
        <v>473</v>
      </c>
      <c r="B119" s="86"/>
      <c r="C119" s="298"/>
      <c r="D119" s="298"/>
      <c r="E119" s="331"/>
      <c r="F119" s="332"/>
      <c r="G119" s="332"/>
      <c r="H119" s="332"/>
      <c r="I119" s="332"/>
      <c r="J119" s="332"/>
      <c r="K119" s="333"/>
    </row>
    <row r="120" spans="1:11" ht="19.5" customHeight="1" hidden="1">
      <c r="A120" s="314" t="s">
        <v>177</v>
      </c>
      <c r="B120" s="20"/>
      <c r="C120" s="298"/>
      <c r="D120" s="298"/>
      <c r="E120" s="357" t="s">
        <v>176</v>
      </c>
      <c r="F120" s="358"/>
      <c r="G120" s="358"/>
      <c r="H120" s="358"/>
      <c r="I120" s="358"/>
      <c r="J120" s="358"/>
      <c r="K120" s="359"/>
    </row>
    <row r="121" spans="3:11" ht="12.75">
      <c r="C121" s="298"/>
      <c r="D121" s="298"/>
      <c r="E121" s="332"/>
      <c r="F121" s="332"/>
      <c r="G121" s="332"/>
      <c r="H121" s="332"/>
      <c r="I121" s="332"/>
      <c r="J121" s="332"/>
      <c r="K121" s="332"/>
    </row>
  </sheetData>
  <sheetProtection/>
  <mergeCells count="31">
    <mergeCell ref="E116:K117"/>
    <mergeCell ref="E5:G5"/>
    <mergeCell ref="E19:K19"/>
    <mergeCell ref="E31:K31"/>
    <mergeCell ref="E78:K78"/>
    <mergeCell ref="E71:K71"/>
    <mergeCell ref="E86:G86"/>
    <mergeCell ref="E3:K3"/>
    <mergeCell ref="E4:K4"/>
    <mergeCell ref="E10:K13"/>
    <mergeCell ref="E6:K9"/>
    <mergeCell ref="E72:K72"/>
    <mergeCell ref="E120:K120"/>
    <mergeCell ref="E67:K68"/>
    <mergeCell ref="E47:K47"/>
    <mergeCell ref="E102:K102"/>
    <mergeCell ref="E115:K115"/>
    <mergeCell ref="E92:K92"/>
    <mergeCell ref="E66:K66"/>
    <mergeCell ref="E74:K74"/>
    <mergeCell ref="I90:K90"/>
    <mergeCell ref="E73:K73"/>
    <mergeCell ref="E87:G90"/>
    <mergeCell ref="A87:A90"/>
    <mergeCell ref="B87:B90"/>
    <mergeCell ref="E14:K14"/>
    <mergeCell ref="E15:K17"/>
    <mergeCell ref="E34:K34"/>
    <mergeCell ref="E49:K49"/>
    <mergeCell ref="E64:K64"/>
    <mergeCell ref="E69:K70"/>
  </mergeCells>
  <dataValidations count="1">
    <dataValidation errorStyle="information" type="decimal" allowBlank="1" showErrorMessage="1" error="Please enter between 1 and 30 years" sqref="B73">
      <formula1>1</formula1>
      <formula2>30</formula2>
    </dataValidation>
  </dataValidations>
  <hyperlinks>
    <hyperlink ref="E31:K31" location="TaxDeduct" display="For more information on tax deductions for food donation, see Tax Deduction section on the Resources Tab."/>
    <hyperlink ref="E19:K19" r:id="rId1" display="To locate a local food bank near you, visit http://feedingamerica.org/foodbank-results.aspx or click this cell."/>
    <hyperlink ref="E34:K34" location="FoodRescue" display="Food rescue, also called food recovery, is the practice of safely retrieving edible food that would otherwise go to waste and distributing it to those in need.   For more information, see Food Rescue on the Resources tab or click this cell.               "/>
    <hyperlink ref="E92:K92" location="YellowGrease" display="For more information of yellow grease recyclling, see Industrial Uses on the Resources tab, or click this cell."/>
    <hyperlink ref="E115:K115" location="PulpPercent" display="PulpPercent"/>
    <hyperlink ref="E47:K47" location="TaxDeduct" display="For more information on tax deductions for food donation, see Tax Deduction section on the Resources Tab."/>
    <hyperlink ref="E6:K9" location="FoodGen" display="FoodGen"/>
    <hyperlink ref="E10:K13" location="SourceRed" display="SourceRed"/>
    <hyperlink ref="E64:K64" location="OutdoorComp" display="You can create a compost pile at your facility, depending on your available outdoor space.  For more information, see On-site Outdoor Composting in the Resources tab, or click this cell."/>
    <hyperlink ref="E66:K66" location="InVesselComp" display="In-vessel composting requires the purchase of a special composting vessel designed to promote the airflow and temperature necessary for composting.  For more information, see In-Vessel Composting on the Resources tab, or click this cell."/>
    <hyperlink ref="E49:K49" location="FeedAnimals" display="For more information on feeding animals, see Food Diversion to Animal Feed on the Resources tab, or click this cell."/>
    <hyperlink ref="E69:K70" location="InVesselCosts" display="The defaut price for in-vessel composter assumes that your facility will compost up to 500 pounds of food waste per day.   If your facility would like to compost over 500 pounds of food waste per day, please enter your own in-vessel cost data on the Cost "/>
    <hyperlink ref="E74:K74" location="OutdoorComp" display="Off-site composting requires accessibility to a local composting facility that will accept food waste.  For more information, seeOff-Site Composting on the Resource tab, or click this cell."/>
    <hyperlink ref="E116:K117" location="PulpCosts" display="PulpCosts"/>
  </hyperlinks>
  <printOptions horizontalCentered="1"/>
  <pageMargins left="0.5" right="0.5" top="1" bottom="1" header="0.5" footer="0.5"/>
  <pageSetup fitToHeight="5" fitToWidth="1" horizontalDpi="600" verticalDpi="600" orientation="portrait" scale="56" r:id="rId4"/>
  <headerFooter alignWithMargins="0">
    <oddHeader>&amp;C&amp;F</oddHeader>
  </headerFooter>
  <drawing r:id="rId2"/>
  <picture r:id="rId3"/>
</worksheet>
</file>

<file path=xl/worksheets/sheet3.xml><?xml version="1.0" encoding="utf-8"?>
<worksheet xmlns="http://schemas.openxmlformats.org/spreadsheetml/2006/main" xmlns:r="http://schemas.openxmlformats.org/officeDocument/2006/relationships">
  <sheetPr codeName="Sheet4">
    <pageSetUpPr fitToPage="1"/>
  </sheetPr>
  <dimension ref="A1:J39"/>
  <sheetViews>
    <sheetView showGridLines="0" zoomScale="115" zoomScaleNormal="115" zoomScalePageLayoutView="0" workbookViewId="0" topLeftCell="A1">
      <selection activeCell="C14" sqref="C14"/>
    </sheetView>
  </sheetViews>
  <sheetFormatPr defaultColWidth="9.140625" defaultRowHeight="12.75"/>
  <cols>
    <col min="1" max="1" width="27.00390625" style="4" customWidth="1"/>
    <col min="2" max="2" width="28.8515625" style="6" customWidth="1"/>
    <col min="3" max="4" width="15.7109375" style="6" customWidth="1"/>
    <col min="5" max="5" width="16.140625" style="6" customWidth="1"/>
    <col min="6" max="6" width="15.28125" style="4" customWidth="1"/>
    <col min="7" max="7" width="1.7109375" style="4" customWidth="1"/>
    <col min="8" max="8" width="9.140625" style="4" customWidth="1"/>
    <col min="9" max="9" width="7.00390625" style="4" customWidth="1"/>
    <col min="10" max="10" width="12.57421875" style="4" customWidth="1"/>
    <col min="11" max="16384" width="9.140625" style="4" customWidth="1"/>
  </cols>
  <sheetData>
    <row r="1" spans="1:6" ht="12.75">
      <c r="A1" s="434" t="s">
        <v>302</v>
      </c>
      <c r="B1" s="434"/>
      <c r="C1" s="434"/>
      <c r="D1" s="434"/>
      <c r="E1" s="434"/>
      <c r="F1" s="434"/>
    </row>
    <row r="2" spans="3:6" ht="12.75">
      <c r="C2" s="446" t="s">
        <v>128</v>
      </c>
      <c r="D2" s="446"/>
      <c r="E2" s="446"/>
      <c r="F2" s="446"/>
    </row>
    <row r="3" spans="1:10" ht="12.75" customHeight="1">
      <c r="A3" s="474" t="s">
        <v>254</v>
      </c>
      <c r="B3" s="475"/>
      <c r="C3" s="265" t="s">
        <v>218</v>
      </c>
      <c r="D3" s="265" t="s">
        <v>219</v>
      </c>
      <c r="E3" s="265" t="s">
        <v>220</v>
      </c>
      <c r="F3" s="266" t="s">
        <v>221</v>
      </c>
      <c r="G3" s="192"/>
      <c r="H3" s="456" t="s">
        <v>60</v>
      </c>
      <c r="I3" s="457"/>
      <c r="J3" s="458"/>
    </row>
    <row r="4" spans="1:10" ht="12.75">
      <c r="A4" s="442" t="s">
        <v>391</v>
      </c>
      <c r="B4" s="442"/>
      <c r="C4" s="173">
        <f>((Inputs!B6/2000)*Lookup!F47*52)</f>
        <v>0</v>
      </c>
      <c r="D4" s="212">
        <f>C4*3</f>
        <v>0</v>
      </c>
      <c r="E4" s="212">
        <f>C4*6</f>
        <v>0</v>
      </c>
      <c r="F4" s="212">
        <f>C4*10</f>
        <v>0</v>
      </c>
      <c r="H4" s="459"/>
      <c r="I4" s="460"/>
      <c r="J4" s="461"/>
    </row>
    <row r="5" spans="1:10" ht="12.75">
      <c r="A5" s="443" t="s">
        <v>522</v>
      </c>
      <c r="B5" s="443"/>
      <c r="C5" s="173">
        <f>((Inputs!B8/2000)*52*Lookup!F47)</f>
        <v>0</v>
      </c>
      <c r="D5" s="212">
        <f>C5*3</f>
        <v>0</v>
      </c>
      <c r="E5" s="212">
        <f>C5*6</f>
        <v>0</v>
      </c>
      <c r="F5" s="212">
        <f>C5*10</f>
        <v>0</v>
      </c>
      <c r="H5" s="459"/>
      <c r="I5" s="460"/>
      <c r="J5" s="461"/>
    </row>
    <row r="6" spans="1:10" ht="12.75" customHeight="1">
      <c r="A6" s="443" t="s">
        <v>120</v>
      </c>
      <c r="B6" s="443"/>
      <c r="C6" s="173">
        <f>(Inputs!B10+Inputs!B12)*52/2000*Lookup!F47</f>
        <v>0</v>
      </c>
      <c r="D6" s="212">
        <f>C6*3</f>
        <v>0</v>
      </c>
      <c r="E6" s="212">
        <f>C6*6</f>
        <v>0</v>
      </c>
      <c r="F6" s="212">
        <f>C6*10</f>
        <v>0</v>
      </c>
      <c r="H6" s="459"/>
      <c r="I6" s="460"/>
      <c r="J6" s="461"/>
    </row>
    <row r="7" spans="1:10" ht="12.75">
      <c r="A7" s="442" t="s">
        <v>395</v>
      </c>
      <c r="B7" s="442"/>
      <c r="C7" s="173">
        <f>((Inputs!$D$14/2000)*52*Lookup!F$47)</f>
        <v>0</v>
      </c>
      <c r="D7" s="212">
        <f>C7*3</f>
        <v>0</v>
      </c>
      <c r="E7" s="212">
        <f>C7*6</f>
        <v>0</v>
      </c>
      <c r="F7" s="212">
        <f>C7*10</f>
        <v>0</v>
      </c>
      <c r="H7" s="462"/>
      <c r="I7" s="463"/>
      <c r="J7" s="464"/>
    </row>
    <row r="8" spans="1:10" ht="12.75">
      <c r="A8" s="442" t="s">
        <v>62</v>
      </c>
      <c r="B8" s="442"/>
      <c r="C8" s="173">
        <f>Lookup!E47</f>
        <v>0</v>
      </c>
      <c r="D8" s="212">
        <f>C8*3</f>
        <v>0</v>
      </c>
      <c r="E8" s="212">
        <f>C8*6</f>
        <v>0</v>
      </c>
      <c r="F8" s="212">
        <f>C8*10</f>
        <v>0</v>
      </c>
      <c r="H8" s="193"/>
      <c r="I8" s="193"/>
      <c r="J8" s="193"/>
    </row>
    <row r="9" spans="1:10" ht="12.75">
      <c r="A9" s="437" t="s">
        <v>390</v>
      </c>
      <c r="B9" s="437"/>
      <c r="C9" s="168">
        <f>SUM(C4:C8)</f>
        <v>0</v>
      </c>
      <c r="D9" s="168">
        <f>SUM(D4:D8)</f>
        <v>0</v>
      </c>
      <c r="E9" s="168">
        <f>SUM(E4:E8)</f>
        <v>0</v>
      </c>
      <c r="F9" s="168">
        <f>SUM(F4:F8)</f>
        <v>0</v>
      </c>
      <c r="H9" s="193"/>
      <c r="I9" s="193"/>
      <c r="J9" s="193"/>
    </row>
    <row r="10" spans="2:4" ht="12.75">
      <c r="B10" s="7"/>
      <c r="C10" s="4"/>
      <c r="D10" s="340"/>
    </row>
    <row r="11" spans="1:10" ht="39" customHeight="1">
      <c r="A11" s="435" t="s">
        <v>369</v>
      </c>
      <c r="B11" s="436"/>
      <c r="C11" s="265" t="s">
        <v>218</v>
      </c>
      <c r="D11" s="265" t="s">
        <v>219</v>
      </c>
      <c r="E11" s="265" t="s">
        <v>220</v>
      </c>
      <c r="F11" s="266" t="s">
        <v>221</v>
      </c>
      <c r="H11" s="465" t="s">
        <v>66</v>
      </c>
      <c r="I11" s="466"/>
      <c r="J11" s="467"/>
    </row>
    <row r="12" spans="1:10" ht="12.75">
      <c r="A12" s="437" t="s">
        <v>403</v>
      </c>
      <c r="B12" s="437"/>
      <c r="C12" s="213">
        <f>((IF($B$20="Disposal",0,Inputs!$D$11*(1-Inputs!$D$12)))*('Cost Data'!$C$37+'Cost Data'!$C$38)+(IF($B$18="Disposal",0,Inputs!$B$8*(1-Inputs!$B$9)))*('Cost Data'!$C$37+'Cost Data'!$C$38))*52/2000/365</f>
        <v>0</v>
      </c>
      <c r="D12" s="213">
        <f>((IF($B$20="Disposal",0,Inputs!$D$11*(1-Inputs!$D$12)))*('Cost Data'!$C$37+('Cost Data'!$C$38*3))+(IF($B$18="Disposal",0,Inputs!$B$8*(1-Inputs!$B$9)))*('Cost Data'!$C$37+('Cost Data'!$C$38*3)))*52/2000/365</f>
        <v>0</v>
      </c>
      <c r="E12" s="213">
        <f>((IF($B$20="Disposal",0,Inputs!$D$11*(1-Inputs!$D$12)))*('Cost Data'!$C$37+('Cost Data'!$C$38*6))+(IF($B$18="Disposal",0,Inputs!$B$8*(1-Inputs!$B$9)))*('Cost Data'!$C$37+('Cost Data'!$C$38*6)))*52/2000/365</f>
        <v>0</v>
      </c>
      <c r="F12" s="213">
        <f>((IF($B$20="Disposal",0,Inputs!$D$11*(1-Inputs!$D$12)))*('Cost Data'!$C$37+('Cost Data'!$C$38*10))+(IF($B$18="Disposal",0,Inputs!$B$8*(1-Inputs!$B$9)))*('Cost Data'!$C$37+('Cost Data'!$C$38*10)))*52/2000/365</f>
        <v>0</v>
      </c>
      <c r="H12" s="468"/>
      <c r="I12" s="469"/>
      <c r="J12" s="470"/>
    </row>
    <row r="13" spans="1:10" ht="12.75">
      <c r="A13" s="437" t="s">
        <v>136</v>
      </c>
      <c r="B13" s="437"/>
      <c r="C13" s="213">
        <f>IF(Lookup!K29=" and Pulp",Lookup!D61,IF(Lookup!K36=" and Pulp",Lookup!D61,0))</f>
        <v>0</v>
      </c>
      <c r="D13" s="213">
        <f>C13</f>
        <v>0</v>
      </c>
      <c r="E13" s="214">
        <f>C13</f>
        <v>0</v>
      </c>
      <c r="F13" s="214">
        <f>C13</f>
        <v>0</v>
      </c>
      <c r="H13" s="468"/>
      <c r="I13" s="469"/>
      <c r="J13" s="470"/>
    </row>
    <row r="14" spans="1:10" ht="12.75">
      <c r="A14" s="437" t="s">
        <v>502</v>
      </c>
      <c r="B14" s="437"/>
      <c r="C14" s="213">
        <f>IF(B20="In-Vessel Compost",Lookup!C70,0)</f>
        <v>0</v>
      </c>
      <c r="D14" s="213">
        <f>C14</f>
        <v>0</v>
      </c>
      <c r="E14" s="214">
        <f>C14</f>
        <v>0</v>
      </c>
      <c r="F14" s="214">
        <f>C14</f>
        <v>0</v>
      </c>
      <c r="H14" s="468"/>
      <c r="I14" s="469"/>
      <c r="J14" s="470"/>
    </row>
    <row r="15" spans="1:10" ht="12.75">
      <c r="A15" s="445" t="s">
        <v>392</v>
      </c>
      <c r="B15" s="445"/>
      <c r="C15" s="213"/>
      <c r="D15" s="213"/>
      <c r="E15" s="214"/>
      <c r="F15" s="214"/>
      <c r="H15" s="468"/>
      <c r="I15" s="469"/>
      <c r="J15" s="470"/>
    </row>
    <row r="16" spans="1:10" ht="12.75">
      <c r="A16" s="233" t="s">
        <v>89</v>
      </c>
      <c r="B16" s="245" t="str">
        <f>Lookup!E21</f>
        <v>Disposal</v>
      </c>
      <c r="C16" s="216">
        <f>IF(Lookup!E21="Disposal",Lookup!C21,IF(Lookup!E21="Food Bank",Lookup!B21,"Error"))</f>
        <v>0</v>
      </c>
      <c r="D16" s="215">
        <f>C16*3</f>
        <v>0</v>
      </c>
      <c r="E16" s="216">
        <f>C16*6</f>
        <v>0</v>
      </c>
      <c r="F16" s="216">
        <f>C16*10</f>
        <v>0</v>
      </c>
      <c r="H16" s="468"/>
      <c r="I16" s="469"/>
      <c r="J16" s="470"/>
    </row>
    <row r="17" spans="1:10" ht="12.75">
      <c r="A17" s="441" t="s">
        <v>522</v>
      </c>
      <c r="B17" s="441"/>
      <c r="C17" s="213"/>
      <c r="D17" s="213"/>
      <c r="E17" s="214"/>
      <c r="F17" s="214"/>
      <c r="H17" s="468"/>
      <c r="I17" s="469"/>
      <c r="J17" s="470"/>
    </row>
    <row r="18" spans="1:10" ht="12.75">
      <c r="A18" s="233" t="s">
        <v>89</v>
      </c>
      <c r="B18" s="245" t="str">
        <f>IF(Lookup!G25="Food Rescue",Lookup!G25,Lookup!I36&amp;Lookup!K36)</f>
        <v>Disposal</v>
      </c>
      <c r="C18" s="216">
        <f>IF(Lookup!G25="Food Rescue",Lookup!H25,IF('Cost Calculator'!B18="In-Vessel Compost",Lookup!I70,Lookup!J36*Inputs!B8*(1-Inputs!B9)/IF((Inputs!B8*(1-Inputs!B9)+Inputs!D11*(1-Inputs!D12))=0,1,(Inputs!B8*(1-Inputs!B9)+Inputs!D11*(1-Inputs!D12)))))+IF(B18="Food Rescue",0,IF(B18="Disposal and Pulp",Lookup!F64-Lookup!I64,IF(B18="Off-Site Compost and Pulp",Lookup!F61-Lookup!I61,0)))</f>
        <v>0</v>
      </c>
      <c r="D18" s="215">
        <f>C18*3-IF(Inputs!B73&lt;3,3-Inputs!B73,0)*(Lookup!B84)-IF(Inputs!B73&lt;3,3-Inputs!B120,0)*(Lookup!B85+Lookup!B86)</f>
        <v>0</v>
      </c>
      <c r="E18" s="216">
        <f>C18*6-IF(Inputs!B73&lt;6,6-Inputs!B73,0)*(Lookup!B84)-IF(Inputs!B73&lt;6,6-Inputs!B120,0)*(Lookup!B85+Lookup!B86)</f>
        <v>0</v>
      </c>
      <c r="F18" s="216">
        <f>C18*10-IF(Inputs!B73&lt;10,10-Inputs!B73,0)*(Lookup!B84)-IF(Inputs!B73&lt;10,10-Inputs!B120,0)*(Lookup!B85+Lookup!B86)</f>
        <v>0</v>
      </c>
      <c r="H18" s="468"/>
      <c r="I18" s="469"/>
      <c r="J18" s="470"/>
    </row>
    <row r="19" spans="1:10" ht="12.75">
      <c r="A19" s="441" t="s">
        <v>120</v>
      </c>
      <c r="B19" s="441"/>
      <c r="C19" s="213"/>
      <c r="D19" s="213"/>
      <c r="E19" s="214"/>
      <c r="F19" s="214"/>
      <c r="H19" s="468"/>
      <c r="I19" s="469"/>
      <c r="J19" s="470"/>
    </row>
    <row r="20" spans="1:10" ht="12.75">
      <c r="A20" s="233" t="s">
        <v>89</v>
      </c>
      <c r="B20" s="245" t="str">
        <f>IF(Lookup!G25="Food Rescue",Lookup!I29&amp;Lookup!K29,Lookup!I36&amp;Lookup!K36)</f>
        <v>Disposal</v>
      </c>
      <c r="C20" s="216">
        <f>IF(Lookup!G25="Food Rescue",Lookup!J29,IF(B20="In-Vessel Compost",Lookup!I71,Lookup!J36*Inputs!D11*(1-Inputs!D12)/IF((Inputs!B8*(1-Inputs!B9)+Inputs!D11*(1-Inputs!D12))=0,1,(Inputs!B8*(1-Inputs!B9)+Inputs!D11*(1-Inputs!D12)))))+IF(B20="Disposal and Pulp",Lookup!F65-Lookup!I65,IF(B20="Off-Site Compost and Pulp",Lookup!F62-Lookup!I62,0))</f>
        <v>0</v>
      </c>
      <c r="D20" s="215">
        <f>C20*3-IF(Inputs!B73&lt;3,3-Inputs!B73,0)*(Lookup!C84)-IF(Inputs!B73&lt;3,3-Inputs!B120,0)*(Lookup!C85+Lookup!C86)</f>
        <v>0</v>
      </c>
      <c r="E20" s="216">
        <f>C20*6-IF(Inputs!B73&lt;6,6-Inputs!B73,0)*(Lookup!C84)-IF(Inputs!B73&lt;6,6-Inputs!B120,0)*(Lookup!C85+Lookup!C86)</f>
        <v>0</v>
      </c>
      <c r="F20" s="216">
        <f>C20*10-IF(Inputs!B73&lt;10,10-Inputs!B73,0)*(Lookup!C84)-IF(Inputs!B73&lt;10,10-Inputs!B120,0)*(Lookup!C85+Lookup!C86)</f>
        <v>0</v>
      </c>
      <c r="H20" s="468"/>
      <c r="I20" s="469"/>
      <c r="J20" s="470"/>
    </row>
    <row r="21" spans="1:10" ht="12.75">
      <c r="A21" s="441" t="s">
        <v>395</v>
      </c>
      <c r="B21" s="441"/>
      <c r="C21" s="213"/>
      <c r="D21" s="213"/>
      <c r="E21" s="214"/>
      <c r="F21" s="214"/>
      <c r="H21" s="471"/>
      <c r="I21" s="472"/>
      <c r="J21" s="473"/>
    </row>
    <row r="22" spans="1:6" ht="12.75">
      <c r="A22" s="233" t="s">
        <v>89</v>
      </c>
      <c r="B22" s="245" t="str">
        <f>Lookup!E43</f>
        <v>Disposal</v>
      </c>
      <c r="C22" s="216">
        <f>IF(Lookup!E43="Disposal",C7,IF(Lookup!E43="For Biodiesel Production",Lookup!B43,"Error"))</f>
        <v>0</v>
      </c>
      <c r="D22" s="215">
        <f>C22*3</f>
        <v>0</v>
      </c>
      <c r="E22" s="216">
        <f>C22*6</f>
        <v>0</v>
      </c>
      <c r="F22" s="216">
        <f>C22*10</f>
        <v>0</v>
      </c>
    </row>
    <row r="23" spans="1:6" ht="12.75">
      <c r="A23" s="444" t="s">
        <v>62</v>
      </c>
      <c r="B23" s="444"/>
      <c r="C23" s="215">
        <f>C8-Lookup!F80-IF(B18="Disposal and Pulp",Lookup!L64,0)-IF(B20="Disposal and Pulp",Lookup!L65,0)</f>
        <v>0</v>
      </c>
      <c r="D23" s="215">
        <f>C23*3</f>
        <v>0</v>
      </c>
      <c r="E23" s="215">
        <f>C23*6</f>
        <v>0</v>
      </c>
      <c r="F23" s="215">
        <f>C23*10</f>
        <v>0</v>
      </c>
    </row>
    <row r="24" spans="1:9" ht="12.75">
      <c r="A24" s="437" t="s">
        <v>255</v>
      </c>
      <c r="B24" s="437"/>
      <c r="C24" s="217">
        <f>SUM(C12:C23)</f>
        <v>0</v>
      </c>
      <c r="D24" s="217">
        <f>SUM(D12:D23)</f>
        <v>0</v>
      </c>
      <c r="E24" s="217">
        <f>SUM(E12:E23)</f>
        <v>0</v>
      </c>
      <c r="F24" s="217">
        <f>SUM(F12:F23)</f>
        <v>0</v>
      </c>
      <c r="I24" s="111"/>
    </row>
    <row r="25" spans="2:9" ht="12.75">
      <c r="B25" s="107"/>
      <c r="C25" s="108"/>
      <c r="D25" s="108"/>
      <c r="E25" s="108"/>
      <c r="F25" s="108"/>
      <c r="I25" s="111"/>
    </row>
    <row r="26" spans="1:10" ht="12.75" customHeight="1">
      <c r="A26" s="435" t="s">
        <v>163</v>
      </c>
      <c r="B26" s="436"/>
      <c r="C26" s="267" t="s">
        <v>218</v>
      </c>
      <c r="D26" s="267" t="s">
        <v>219</v>
      </c>
      <c r="E26" s="267" t="s">
        <v>220</v>
      </c>
      <c r="F26" s="268" t="s">
        <v>221</v>
      </c>
      <c r="H26" s="456" t="s">
        <v>63</v>
      </c>
      <c r="I26" s="457"/>
      <c r="J26" s="458"/>
    </row>
    <row r="27" spans="1:10" ht="25.5" customHeight="1">
      <c r="A27" s="438" t="s">
        <v>61</v>
      </c>
      <c r="B27" s="438"/>
      <c r="C27" s="173">
        <f>(Inputs!B6*Inputs!B7*Inputs!B15*52)+(Inputs!B8*Inputs!B9*Inputs!B16*52)+(Inputs!D11*Inputs!D12*Inputs!B17*52)</f>
        <v>0</v>
      </c>
      <c r="D27" s="212">
        <f>C27*3</f>
        <v>0</v>
      </c>
      <c r="E27" s="212">
        <f>C27*6</f>
        <v>0</v>
      </c>
      <c r="F27" s="212">
        <f>C27*10</f>
        <v>0</v>
      </c>
      <c r="H27" s="459"/>
      <c r="I27" s="460"/>
      <c r="J27" s="461"/>
    </row>
    <row r="28" spans="1:10" ht="26.25" customHeight="1" thickBot="1">
      <c r="A28" s="439" t="s">
        <v>118</v>
      </c>
      <c r="B28" s="440"/>
      <c r="C28" s="232">
        <f>C9-C24</f>
        <v>0</v>
      </c>
      <c r="D28" s="232">
        <f>D9-D24</f>
        <v>0</v>
      </c>
      <c r="E28" s="232">
        <f>E9-E24</f>
        <v>0</v>
      </c>
      <c r="F28" s="232">
        <f>F9-F24</f>
        <v>0</v>
      </c>
      <c r="H28" s="459"/>
      <c r="I28" s="460"/>
      <c r="J28" s="461"/>
    </row>
    <row r="29" spans="1:10" ht="25.5" customHeight="1">
      <c r="A29" s="438" t="s">
        <v>119</v>
      </c>
      <c r="B29" s="438"/>
      <c r="C29" s="231">
        <f>C27+C28</f>
        <v>0</v>
      </c>
      <c r="D29" s="231">
        <f>D27+D28</f>
        <v>0</v>
      </c>
      <c r="E29" s="231">
        <f>E27+E28</f>
        <v>0</v>
      </c>
      <c r="F29" s="231">
        <f>F27+F28</f>
        <v>0</v>
      </c>
      <c r="H29" s="462"/>
      <c r="I29" s="463"/>
      <c r="J29" s="464"/>
    </row>
    <row r="30" spans="2:8" ht="12.75">
      <c r="B30" s="4"/>
      <c r="C30" s="4"/>
      <c r="D30" s="4"/>
      <c r="E30" s="4"/>
      <c r="H30" s="111"/>
    </row>
    <row r="31" spans="8:10" ht="12.75">
      <c r="H31" s="447" t="s">
        <v>114</v>
      </c>
      <c r="I31" s="448"/>
      <c r="J31" s="449"/>
    </row>
    <row r="32" spans="1:10" ht="25.5" customHeight="1">
      <c r="A32" s="435" t="s">
        <v>86</v>
      </c>
      <c r="B32" s="436"/>
      <c r="C32" s="267" t="s">
        <v>366</v>
      </c>
      <c r="D32" s="267" t="s">
        <v>368</v>
      </c>
      <c r="E32" s="269" t="s">
        <v>367</v>
      </c>
      <c r="H32" s="450"/>
      <c r="I32" s="451"/>
      <c r="J32" s="452"/>
    </row>
    <row r="33" spans="1:10" ht="12.75">
      <c r="A33" s="437" t="s">
        <v>364</v>
      </c>
      <c r="B33" s="437"/>
      <c r="C33" s="109">
        <f>(Inputs!B6+Inputs!B8+Inputs!D11+Inputs!D14)*52</f>
        <v>0</v>
      </c>
      <c r="D33" s="109" t="s">
        <v>387</v>
      </c>
      <c r="E33" s="109" t="s">
        <v>387</v>
      </c>
      <c r="H33" s="450"/>
      <c r="I33" s="451"/>
      <c r="J33" s="452"/>
    </row>
    <row r="34" spans="1:10" ht="12.75">
      <c r="A34" s="437" t="s">
        <v>365</v>
      </c>
      <c r="B34" s="437"/>
      <c r="C34" s="109">
        <f>C33-D34-E34</f>
        <v>0</v>
      </c>
      <c r="D34" s="109">
        <f>(IF(B16="Disposal",0,Inputs!B6*(1-Inputs!B7))+IF(B18="Disposal",0,Inputs!B8*(1-Inputs!B9))+IF(B20="Disposal",0,Inputs!D11*(1-Inputs!D12))+IF(B22="Disposal",0,Inputs!D14))*52</f>
        <v>0</v>
      </c>
      <c r="E34" s="109">
        <f>((Inputs!B6*Inputs!B7)+(Inputs!B8*Inputs!B9)+(Inputs!D11*Inputs!D12))*52</f>
        <v>0</v>
      </c>
      <c r="H34" s="453"/>
      <c r="I34" s="454"/>
      <c r="J34" s="455"/>
    </row>
    <row r="39" ht="12.75">
      <c r="E39" s="8"/>
    </row>
  </sheetData>
  <sheetProtection password="98CB" sheet="1" objects="1" scenarios="1"/>
  <mergeCells count="30">
    <mergeCell ref="C2:F2"/>
    <mergeCell ref="H31:J34"/>
    <mergeCell ref="H26:J29"/>
    <mergeCell ref="H3:J7"/>
    <mergeCell ref="H11:J21"/>
    <mergeCell ref="A7:B7"/>
    <mergeCell ref="A8:B8"/>
    <mergeCell ref="A9:B9"/>
    <mergeCell ref="A12:B12"/>
    <mergeCell ref="A3:B3"/>
    <mergeCell ref="A4:B4"/>
    <mergeCell ref="A5:B5"/>
    <mergeCell ref="A6:B6"/>
    <mergeCell ref="A21:B21"/>
    <mergeCell ref="A23:B23"/>
    <mergeCell ref="A24:B24"/>
    <mergeCell ref="A13:B13"/>
    <mergeCell ref="A14:B14"/>
    <mergeCell ref="A15:B15"/>
    <mergeCell ref="A17:B17"/>
    <mergeCell ref="A1:F1"/>
    <mergeCell ref="A32:B32"/>
    <mergeCell ref="A33:B33"/>
    <mergeCell ref="A34:B34"/>
    <mergeCell ref="A11:B11"/>
    <mergeCell ref="A26:B26"/>
    <mergeCell ref="A27:B27"/>
    <mergeCell ref="A28:B28"/>
    <mergeCell ref="A29:B29"/>
    <mergeCell ref="A19:B19"/>
  </mergeCells>
  <hyperlinks>
    <hyperlink ref="H11:J20" location="FoodSep" display="FoodSep"/>
    <hyperlink ref="H31:J34" location="Summary" display="To view a summary of the alternative scenario, including potential cost savings and environmental benefits, see the Summary tab, or click this cell."/>
  </hyperlinks>
  <printOptions horizontalCentered="1"/>
  <pageMargins left="0.5" right="0.5" top="1" bottom="1" header="0.5" footer="0.5"/>
  <pageSetup fitToHeight="1" fitToWidth="1" horizontalDpi="600" verticalDpi="600" orientation="landscape" scale="87" r:id="rId2"/>
  <headerFooter alignWithMargins="0">
    <oddHeader>&amp;C&amp;F</oddHeader>
  </headerFooter>
  <picture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F58"/>
  <sheetViews>
    <sheetView showGridLines="0" zoomScalePageLayoutView="0" workbookViewId="0" topLeftCell="A1">
      <selection activeCell="A3" sqref="A3:E11"/>
    </sheetView>
  </sheetViews>
  <sheetFormatPr defaultColWidth="9.140625" defaultRowHeight="12.75"/>
  <cols>
    <col min="1" max="1" width="28.57421875" style="4" customWidth="1"/>
    <col min="2" max="2" width="13.421875" style="4" customWidth="1"/>
    <col min="3" max="3" width="16.8515625" style="4" customWidth="1"/>
    <col min="4" max="4" width="40.140625" style="5" customWidth="1"/>
    <col min="5" max="5" width="40.00390625" style="5" customWidth="1"/>
    <col min="6" max="6" width="18.28125" style="4" customWidth="1"/>
    <col min="7" max="16384" width="9.140625" style="4" customWidth="1"/>
  </cols>
  <sheetData>
    <row r="1" spans="1:3" ht="15.75">
      <c r="A1" s="496" t="s">
        <v>389</v>
      </c>
      <c r="B1" s="497"/>
      <c r="C1" s="498"/>
    </row>
    <row r="3" spans="1:6" ht="12.75">
      <c r="A3" s="17" t="s">
        <v>19</v>
      </c>
      <c r="B3" s="197" t="s">
        <v>413</v>
      </c>
      <c r="C3" s="197" t="s">
        <v>414</v>
      </c>
      <c r="D3" s="197" t="s">
        <v>14</v>
      </c>
      <c r="E3" s="251" t="s">
        <v>199</v>
      </c>
      <c r="F3" s="29"/>
    </row>
    <row r="4" spans="1:6" ht="12.75" customHeight="1">
      <c r="A4" s="10" t="s">
        <v>415</v>
      </c>
      <c r="B4" s="26" t="s">
        <v>423</v>
      </c>
      <c r="C4" s="80" t="s">
        <v>429</v>
      </c>
      <c r="D4" s="80" t="s">
        <v>12</v>
      </c>
      <c r="E4" s="479" t="s">
        <v>437</v>
      </c>
      <c r="F4" s="29"/>
    </row>
    <row r="5" spans="1:6" ht="12.75">
      <c r="A5" s="10" t="s">
        <v>416</v>
      </c>
      <c r="B5" s="26" t="s">
        <v>424</v>
      </c>
      <c r="C5" s="80" t="s">
        <v>430</v>
      </c>
      <c r="D5" s="80" t="s">
        <v>13</v>
      </c>
      <c r="E5" s="483"/>
      <c r="F5" s="29"/>
    </row>
    <row r="6" spans="1:6" ht="12.75" customHeight="1">
      <c r="A6" s="10" t="s">
        <v>417</v>
      </c>
      <c r="B6" s="26" t="s">
        <v>424</v>
      </c>
      <c r="C6" s="80" t="s">
        <v>431</v>
      </c>
      <c r="D6" s="80" t="s">
        <v>13</v>
      </c>
      <c r="E6" s="484"/>
      <c r="F6" s="29"/>
    </row>
    <row r="7" spans="1:6" ht="12.75">
      <c r="A7" s="10" t="s">
        <v>418</v>
      </c>
      <c r="B7" s="26" t="s">
        <v>425</v>
      </c>
      <c r="C7" s="80" t="s">
        <v>432</v>
      </c>
      <c r="D7" s="80" t="s">
        <v>15</v>
      </c>
      <c r="E7" s="484"/>
      <c r="F7" s="29"/>
    </row>
    <row r="8" spans="1:6" ht="12.75">
      <c r="A8" s="10" t="s">
        <v>419</v>
      </c>
      <c r="B8" s="26" t="s">
        <v>426</v>
      </c>
      <c r="C8" s="80" t="s">
        <v>433</v>
      </c>
      <c r="D8" s="80" t="s">
        <v>16</v>
      </c>
      <c r="E8" s="484"/>
      <c r="F8" s="29"/>
    </row>
    <row r="9" spans="1:6" ht="12.75">
      <c r="A9" s="10" t="s">
        <v>420</v>
      </c>
      <c r="B9" s="26" t="s">
        <v>427</v>
      </c>
      <c r="C9" s="80" t="s">
        <v>434</v>
      </c>
      <c r="D9" s="80" t="s">
        <v>17</v>
      </c>
      <c r="E9" s="484"/>
      <c r="F9" s="29"/>
    </row>
    <row r="10" spans="1:6" ht="12.75">
      <c r="A10" s="10" t="s">
        <v>421</v>
      </c>
      <c r="B10" s="26" t="s">
        <v>425</v>
      </c>
      <c r="C10" s="80" t="s">
        <v>435</v>
      </c>
      <c r="D10" s="80" t="s">
        <v>18</v>
      </c>
      <c r="E10" s="484"/>
      <c r="F10" s="29"/>
    </row>
    <row r="11" spans="1:6" ht="12.75">
      <c r="A11" s="10" t="s">
        <v>422</v>
      </c>
      <c r="B11" s="26" t="s">
        <v>428</v>
      </c>
      <c r="C11" s="80" t="s">
        <v>436</v>
      </c>
      <c r="D11" s="80" t="s">
        <v>18</v>
      </c>
      <c r="E11" s="485"/>
      <c r="F11" s="29"/>
    </row>
    <row r="12" spans="1:5" ht="12.75">
      <c r="A12" s="252"/>
      <c r="B12" s="253"/>
      <c r="C12" s="254"/>
      <c r="D12" s="255"/>
      <c r="E12" s="256"/>
    </row>
    <row r="13" spans="1:5" ht="12.75">
      <c r="A13" s="17" t="s">
        <v>344</v>
      </c>
      <c r="B13" s="197" t="s">
        <v>197</v>
      </c>
      <c r="C13" s="197" t="s">
        <v>198</v>
      </c>
      <c r="D13" s="250" t="s">
        <v>199</v>
      </c>
      <c r="E13" s="251" t="s">
        <v>204</v>
      </c>
    </row>
    <row r="14" spans="1:5" ht="12.75">
      <c r="A14" s="10" t="s">
        <v>404</v>
      </c>
      <c r="B14" s="26" t="s">
        <v>412</v>
      </c>
      <c r="C14" s="2">
        <v>39000</v>
      </c>
      <c r="D14" s="88" t="s">
        <v>506</v>
      </c>
      <c r="E14" s="476" t="s">
        <v>504</v>
      </c>
    </row>
    <row r="15" spans="1:5" ht="25.5">
      <c r="A15" s="10" t="s">
        <v>409</v>
      </c>
      <c r="B15" s="26" t="s">
        <v>222</v>
      </c>
      <c r="C15" s="2">
        <v>40</v>
      </c>
      <c r="D15" s="88" t="s">
        <v>505</v>
      </c>
      <c r="E15" s="477"/>
    </row>
    <row r="16" spans="1:5" ht="12.75">
      <c r="A16" s="10" t="s">
        <v>533</v>
      </c>
      <c r="B16" s="26" t="s">
        <v>410</v>
      </c>
      <c r="C16" s="2">
        <v>250</v>
      </c>
      <c r="D16" s="88" t="s">
        <v>506</v>
      </c>
      <c r="E16" s="477"/>
    </row>
    <row r="17" spans="1:5" ht="12.75">
      <c r="A17" s="10" t="s">
        <v>440</v>
      </c>
      <c r="B17" s="26" t="s">
        <v>410</v>
      </c>
      <c r="C17" s="2">
        <v>120</v>
      </c>
      <c r="D17" s="88" t="s">
        <v>506</v>
      </c>
      <c r="E17" s="477"/>
    </row>
    <row r="18" spans="1:5" ht="25.5">
      <c r="A18" s="10" t="s">
        <v>411</v>
      </c>
      <c r="B18" s="26" t="s">
        <v>222</v>
      </c>
      <c r="C18" s="2">
        <f>56*B41/10</f>
        <v>53.40719999999999</v>
      </c>
      <c r="D18" s="88" t="s">
        <v>505</v>
      </c>
      <c r="E18" s="478"/>
    </row>
    <row r="20" ht="12.75">
      <c r="A20" s="81" t="s">
        <v>35</v>
      </c>
    </row>
    <row r="21" spans="1:5" ht="12.75">
      <c r="A21" s="17" t="s">
        <v>40</v>
      </c>
      <c r="B21" s="197" t="s">
        <v>197</v>
      </c>
      <c r="C21" s="197" t="s">
        <v>198</v>
      </c>
      <c r="D21" s="250" t="s">
        <v>199</v>
      </c>
      <c r="E21" s="251" t="s">
        <v>204</v>
      </c>
    </row>
    <row r="22" spans="1:5" ht="12.75">
      <c r="A22" s="10" t="s">
        <v>404</v>
      </c>
      <c r="B22" s="26" t="s">
        <v>412</v>
      </c>
      <c r="C22" s="78">
        <v>24062</v>
      </c>
      <c r="D22" s="476" t="s">
        <v>42</v>
      </c>
      <c r="E22" s="476" t="s">
        <v>135</v>
      </c>
    </row>
    <row r="23" spans="1:5" ht="25.5" customHeight="1">
      <c r="A23" s="10" t="s">
        <v>438</v>
      </c>
      <c r="B23" s="26" t="s">
        <v>439</v>
      </c>
      <c r="C23" s="113">
        <v>700</v>
      </c>
      <c r="D23" s="478"/>
      <c r="E23" s="503"/>
    </row>
    <row r="24" spans="1:5" ht="38.25" customHeight="1">
      <c r="A24" s="84" t="s">
        <v>409</v>
      </c>
      <c r="B24" s="257" t="s">
        <v>530</v>
      </c>
      <c r="C24" s="114">
        <v>1.07</v>
      </c>
      <c r="D24" s="89" t="s">
        <v>44</v>
      </c>
      <c r="E24" s="477"/>
    </row>
    <row r="25" spans="1:5" s="30" customFormat="1" ht="25.5" customHeight="1">
      <c r="A25" s="17" t="s">
        <v>41</v>
      </c>
      <c r="B25" s="197" t="s">
        <v>197</v>
      </c>
      <c r="C25" s="197" t="s">
        <v>198</v>
      </c>
      <c r="D25" s="250" t="s">
        <v>199</v>
      </c>
      <c r="E25" s="251" t="s">
        <v>204</v>
      </c>
    </row>
    <row r="26" spans="1:5" s="30" customFormat="1" ht="25.5" customHeight="1">
      <c r="A26" s="10" t="s">
        <v>404</v>
      </c>
      <c r="B26" s="26" t="s">
        <v>412</v>
      </c>
      <c r="C26" s="78">
        <v>40000</v>
      </c>
      <c r="D26" s="476" t="s">
        <v>43</v>
      </c>
      <c r="E26" s="476"/>
    </row>
    <row r="27" spans="1:5" ht="12.75">
      <c r="A27" s="10" t="s">
        <v>438</v>
      </c>
      <c r="B27" s="26" t="s">
        <v>439</v>
      </c>
      <c r="C27" s="113">
        <v>1250</v>
      </c>
      <c r="D27" s="486"/>
      <c r="E27" s="486"/>
    </row>
    <row r="28" spans="1:5" s="30" customFormat="1" ht="25.5">
      <c r="A28" s="84" t="s">
        <v>409</v>
      </c>
      <c r="B28" s="257" t="s">
        <v>530</v>
      </c>
      <c r="C28" s="114">
        <v>1.07</v>
      </c>
      <c r="D28" s="486"/>
      <c r="E28" s="486"/>
    </row>
    <row r="29" spans="1:5" s="30" customFormat="1" ht="12.75">
      <c r="A29" s="17" t="s">
        <v>484</v>
      </c>
      <c r="B29" s="197" t="s">
        <v>197</v>
      </c>
      <c r="C29" s="197" t="s">
        <v>487</v>
      </c>
      <c r="D29" s="250" t="s">
        <v>199</v>
      </c>
      <c r="E29" s="251" t="s">
        <v>204</v>
      </c>
    </row>
    <row r="30" spans="1:5" s="30" customFormat="1" ht="38.25" customHeight="1">
      <c r="A30" s="10" t="s">
        <v>485</v>
      </c>
      <c r="B30" s="26" t="s">
        <v>486</v>
      </c>
      <c r="C30" s="112">
        <v>0.2</v>
      </c>
      <c r="D30" s="88" t="s">
        <v>36</v>
      </c>
      <c r="E30" s="88" t="s">
        <v>37</v>
      </c>
    </row>
    <row r="31" spans="1:5" s="30" customFormat="1" ht="12.75">
      <c r="A31" s="4"/>
      <c r="B31" s="4"/>
      <c r="C31" s="4"/>
      <c r="D31" s="5"/>
      <c r="E31" s="5"/>
    </row>
    <row r="32" spans="1:5" ht="12.75">
      <c r="A32" s="17" t="s">
        <v>4</v>
      </c>
      <c r="B32" s="197" t="s">
        <v>197</v>
      </c>
      <c r="C32" s="197" t="s">
        <v>198</v>
      </c>
      <c r="D32" s="250" t="s">
        <v>199</v>
      </c>
      <c r="E32" s="251" t="s">
        <v>204</v>
      </c>
    </row>
    <row r="33" spans="1:5" ht="38.25">
      <c r="A33" s="10" t="s">
        <v>250</v>
      </c>
      <c r="B33" s="26" t="s">
        <v>249</v>
      </c>
      <c r="C33" s="31">
        <v>0.585</v>
      </c>
      <c r="D33" s="10" t="s">
        <v>174</v>
      </c>
      <c r="E33" s="10"/>
    </row>
    <row r="34" spans="1:5" ht="38.25">
      <c r="A34" s="10" t="s">
        <v>251</v>
      </c>
      <c r="B34" s="26" t="s">
        <v>252</v>
      </c>
      <c r="C34" s="2">
        <f>0.286*B52</f>
        <v>0.33462</v>
      </c>
      <c r="D34" s="10" t="s">
        <v>253</v>
      </c>
      <c r="E34" s="10" t="s">
        <v>343</v>
      </c>
    </row>
    <row r="35" spans="1:5" ht="12.75">
      <c r="A35" s="69"/>
      <c r="B35" s="28"/>
      <c r="C35" s="70"/>
      <c r="D35" s="69"/>
      <c r="E35" s="69"/>
    </row>
    <row r="36" spans="1:5" ht="12.75">
      <c r="A36" s="258" t="s">
        <v>402</v>
      </c>
      <c r="B36" s="197" t="s">
        <v>197</v>
      </c>
      <c r="C36" s="197" t="s">
        <v>198</v>
      </c>
      <c r="D36" s="251" t="s">
        <v>199</v>
      </c>
      <c r="E36" s="30"/>
    </row>
    <row r="37" spans="1:5" ht="51">
      <c r="A37" s="10" t="s">
        <v>407</v>
      </c>
      <c r="B37" s="26" t="s">
        <v>554</v>
      </c>
      <c r="C37" s="78">
        <v>1100</v>
      </c>
      <c r="D37" s="479" t="s">
        <v>406</v>
      </c>
      <c r="E37" s="30"/>
    </row>
    <row r="38" spans="1:5" ht="51">
      <c r="A38" s="10" t="s">
        <v>408</v>
      </c>
      <c r="B38" s="26" t="s">
        <v>555</v>
      </c>
      <c r="C38" s="78">
        <v>1200</v>
      </c>
      <c r="D38" s="480"/>
      <c r="E38" s="30"/>
    </row>
    <row r="39" spans="1:5" ht="12.75">
      <c r="A39" s="69"/>
      <c r="B39" s="28"/>
      <c r="C39" s="70"/>
      <c r="D39" s="29"/>
      <c r="E39" s="29"/>
    </row>
    <row r="40" spans="1:5" ht="12.75">
      <c r="A40" s="17" t="s">
        <v>479</v>
      </c>
      <c r="B40" s="259" t="s">
        <v>478</v>
      </c>
      <c r="C40" s="481" t="s">
        <v>199</v>
      </c>
      <c r="D40" s="482"/>
      <c r="E40" s="4"/>
    </row>
    <row r="41" spans="1:5" ht="51" customHeight="1">
      <c r="A41" s="68" t="s">
        <v>477</v>
      </c>
      <c r="B41" s="115">
        <f>9.35*B57</f>
        <v>9.536999999999999</v>
      </c>
      <c r="C41" s="501" t="s">
        <v>5</v>
      </c>
      <c r="D41" s="502"/>
      <c r="E41" s="4"/>
    </row>
    <row r="42" spans="1:5" ht="12.75">
      <c r="A42" s="69"/>
      <c r="B42" s="28"/>
      <c r="C42" s="70"/>
      <c r="D42" s="29"/>
      <c r="E42" s="29"/>
    </row>
    <row r="43" spans="1:5" ht="12.75">
      <c r="A43" s="17" t="s">
        <v>318</v>
      </c>
      <c r="B43" s="259" t="s">
        <v>319</v>
      </c>
      <c r="C43" s="259" t="s">
        <v>320</v>
      </c>
      <c r="D43" s="251" t="s">
        <v>321</v>
      </c>
      <c r="E43" s="4"/>
    </row>
    <row r="44" spans="1:5" ht="25.5">
      <c r="A44" s="68" t="s">
        <v>322</v>
      </c>
      <c r="B44" s="26" t="s">
        <v>527</v>
      </c>
      <c r="C44" s="118" t="s">
        <v>566</v>
      </c>
      <c r="D44" s="335">
        <v>0.2</v>
      </c>
      <c r="E44" s="4"/>
    </row>
    <row r="45" spans="1:5" ht="12.75">
      <c r="A45" s="68" t="s">
        <v>395</v>
      </c>
      <c r="B45" s="26" t="s">
        <v>401</v>
      </c>
      <c r="C45" s="26" t="s">
        <v>323</v>
      </c>
      <c r="D45" s="335">
        <v>7.7</v>
      </c>
      <c r="E45" s="4"/>
    </row>
    <row r="48" spans="1:3" ht="12.75">
      <c r="A48" s="492" t="s">
        <v>200</v>
      </c>
      <c r="B48" s="493"/>
      <c r="C48" s="260"/>
    </row>
    <row r="49" spans="1:3" ht="12.75">
      <c r="A49" s="261" t="s">
        <v>201</v>
      </c>
      <c r="B49" s="494" t="s">
        <v>203</v>
      </c>
      <c r="C49" s="495"/>
    </row>
    <row r="50" spans="1:3" ht="12.75">
      <c r="A50" s="11">
        <v>2000</v>
      </c>
      <c r="B50" s="489">
        <v>1.23</v>
      </c>
      <c r="C50" s="490"/>
    </row>
    <row r="51" spans="1:3" ht="12.75">
      <c r="A51" s="11">
        <v>2001</v>
      </c>
      <c r="B51" s="489">
        <v>1.2</v>
      </c>
      <c r="C51" s="490"/>
    </row>
    <row r="52" spans="1:3" ht="12.75">
      <c r="A52" s="11">
        <v>2002</v>
      </c>
      <c r="B52" s="489">
        <v>1.17</v>
      </c>
      <c r="C52" s="490"/>
    </row>
    <row r="53" spans="1:3" ht="12.75">
      <c r="A53" s="11">
        <v>2003</v>
      </c>
      <c r="B53" s="489">
        <v>1.15</v>
      </c>
      <c r="C53" s="490"/>
    </row>
    <row r="54" spans="1:3" ht="12.75">
      <c r="A54" s="11">
        <v>2004</v>
      </c>
      <c r="B54" s="489">
        <v>1.12</v>
      </c>
      <c r="C54" s="490"/>
    </row>
    <row r="55" spans="1:3" ht="12.75">
      <c r="A55" s="11">
        <v>2005</v>
      </c>
      <c r="B55" s="489">
        <v>1.08</v>
      </c>
      <c r="C55" s="490"/>
    </row>
    <row r="56" spans="1:3" ht="12.75">
      <c r="A56" s="11">
        <v>2006</v>
      </c>
      <c r="B56" s="499">
        <v>1.05</v>
      </c>
      <c r="C56" s="500"/>
    </row>
    <row r="57" spans="1:3" ht="12.75">
      <c r="A57" s="11">
        <v>2007</v>
      </c>
      <c r="B57" s="489">
        <v>1.02</v>
      </c>
      <c r="C57" s="491"/>
    </row>
    <row r="58" spans="1:4" ht="12.75">
      <c r="A58" s="487" t="s">
        <v>202</v>
      </c>
      <c r="B58" s="487"/>
      <c r="C58" s="487"/>
      <c r="D58" s="488"/>
    </row>
  </sheetData>
  <sheetProtection/>
  <mergeCells count="21">
    <mergeCell ref="C41:D41"/>
    <mergeCell ref="E22:E24"/>
    <mergeCell ref="B52:C52"/>
    <mergeCell ref="B51:C51"/>
    <mergeCell ref="E26:E28"/>
    <mergeCell ref="A58:D58"/>
    <mergeCell ref="B55:C55"/>
    <mergeCell ref="B57:C57"/>
    <mergeCell ref="A48:B48"/>
    <mergeCell ref="B49:C49"/>
    <mergeCell ref="A1:C1"/>
    <mergeCell ref="B50:C50"/>
    <mergeCell ref="B54:C54"/>
    <mergeCell ref="B53:C53"/>
    <mergeCell ref="B56:C56"/>
    <mergeCell ref="E14:E18"/>
    <mergeCell ref="D37:D38"/>
    <mergeCell ref="C40:D40"/>
    <mergeCell ref="E4:E11"/>
    <mergeCell ref="D22:D23"/>
    <mergeCell ref="D26:D28"/>
  </mergeCells>
  <printOptions horizontalCentered="1"/>
  <pageMargins left="0.5" right="0.5" top="0.5" bottom="0.5" header="0.5" footer="0.5"/>
  <pageSetup fitToHeight="0" fitToWidth="1" horizontalDpi="600" verticalDpi="600" orientation="portrait" scale="70" r:id="rId2"/>
  <headerFooter alignWithMargins="0">
    <oddHeader>&amp;C&amp;F</oddHeader>
  </headerFooter>
  <picture r:id="rId1"/>
</worksheet>
</file>

<file path=xl/worksheets/sheet5.xml><?xml version="1.0" encoding="utf-8"?>
<worksheet xmlns="http://schemas.openxmlformats.org/spreadsheetml/2006/main" xmlns:r="http://schemas.openxmlformats.org/officeDocument/2006/relationships">
  <sheetPr codeName="Sheet3">
    <pageSetUpPr fitToPage="1"/>
  </sheetPr>
  <dimension ref="A1:D26"/>
  <sheetViews>
    <sheetView showGridLines="0" zoomScalePageLayoutView="0" workbookViewId="0" topLeftCell="A1">
      <selection activeCell="A3" sqref="A3"/>
    </sheetView>
  </sheetViews>
  <sheetFormatPr defaultColWidth="9.140625" defaultRowHeight="12.75"/>
  <cols>
    <col min="1" max="1" width="37.57421875" style="6" bestFit="1" customWidth="1"/>
    <col min="2" max="2" width="21.57421875" style="6" customWidth="1"/>
    <col min="3" max="3" width="17.57421875" style="6" customWidth="1"/>
    <col min="4" max="4" width="18.7109375" style="6" customWidth="1"/>
    <col min="5" max="5" width="16.00390625" style="6" customWidth="1"/>
    <col min="6" max="6" width="15.421875" style="6" customWidth="1"/>
    <col min="7" max="16384" width="9.140625" style="4" customWidth="1"/>
  </cols>
  <sheetData>
    <row r="1" ht="15.75">
      <c r="A1" s="248" t="s">
        <v>360</v>
      </c>
    </row>
    <row r="3" spans="2:4" ht="12.75">
      <c r="B3" s="8"/>
      <c r="C3" s="8"/>
      <c r="D3" s="8"/>
    </row>
    <row r="4" spans="2:4" ht="12.75">
      <c r="B4" s="8"/>
      <c r="C4" s="8"/>
      <c r="D4" s="8"/>
    </row>
    <row r="5" spans="1:4" ht="12.75">
      <c r="A5" s="9"/>
      <c r="D5" s="8"/>
    </row>
    <row r="6" ht="12.75">
      <c r="D6" s="8"/>
    </row>
    <row r="7" spans="2:4" ht="12.75">
      <c r="B7" s="8"/>
      <c r="C7" s="8"/>
      <c r="D7" s="8"/>
    </row>
    <row r="8" spans="2:3" ht="12.75">
      <c r="B8" s="8"/>
      <c r="C8" s="8"/>
    </row>
    <row r="9" spans="2:3" ht="12.75">
      <c r="B9" s="8"/>
      <c r="C9" s="8"/>
    </row>
    <row r="10" spans="2:3" ht="12.75">
      <c r="B10" s="8"/>
      <c r="C10" s="8"/>
    </row>
    <row r="11" spans="2:3" ht="12.75">
      <c r="B11" s="8"/>
      <c r="C11" s="8"/>
    </row>
    <row r="26" spans="1:4" ht="12.75">
      <c r="A26" s="504"/>
      <c r="B26" s="505"/>
      <c r="C26" s="505"/>
      <c r="D26" s="505"/>
    </row>
  </sheetData>
  <sheetProtection password="98CB" sheet="1" objects="1" scenarios="1"/>
  <mergeCells count="1">
    <mergeCell ref="A26:D26"/>
  </mergeCells>
  <printOptions horizontalCentered="1" verticalCentered="1"/>
  <pageMargins left="0.5" right="0.5" top="0.5" bottom="0.5" header="0.5" footer="0.5"/>
  <pageSetup fitToHeight="1" fitToWidth="1" horizontalDpi="600" verticalDpi="600" orientation="portrait" r:id="rId3"/>
  <headerFooter alignWithMargins="0">
    <oddHeader>&amp;C&amp;F</oddHeader>
  </headerFooter>
  <drawing r:id="rId1"/>
  <picture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J34"/>
  <sheetViews>
    <sheetView showGridLines="0" zoomScalePageLayoutView="0" workbookViewId="0" topLeftCell="A1">
      <selection activeCell="A1" sqref="A1:J1"/>
    </sheetView>
  </sheetViews>
  <sheetFormatPr defaultColWidth="9.140625" defaultRowHeight="12.75"/>
  <cols>
    <col min="1" max="1" width="9.00390625" style="0" customWidth="1"/>
    <col min="9" max="9" width="11.421875" style="0" customWidth="1"/>
  </cols>
  <sheetData>
    <row r="1" spans="1:10" ht="27" customHeight="1">
      <c r="A1" s="509" t="s">
        <v>303</v>
      </c>
      <c r="B1" s="510"/>
      <c r="C1" s="510"/>
      <c r="D1" s="510"/>
      <c r="E1" s="510"/>
      <c r="F1" s="510"/>
      <c r="G1" s="510"/>
      <c r="H1" s="510"/>
      <c r="I1" s="510"/>
      <c r="J1" s="511"/>
    </row>
    <row r="2" spans="1:10" ht="12.75">
      <c r="A2" s="199"/>
      <c r="B2" s="14"/>
      <c r="C2" s="14"/>
      <c r="D2" s="14"/>
      <c r="E2" s="14"/>
      <c r="F2" s="14"/>
      <c r="G2" s="14"/>
      <c r="H2" s="14"/>
      <c r="I2" s="14"/>
      <c r="J2" s="200"/>
    </row>
    <row r="3" spans="1:10" ht="20.25" customHeight="1">
      <c r="A3" s="199" t="s">
        <v>327</v>
      </c>
      <c r="B3" s="76"/>
      <c r="C3" s="76"/>
      <c r="D3" s="76"/>
      <c r="E3" s="76"/>
      <c r="F3" s="76"/>
      <c r="G3" s="76"/>
      <c r="H3" s="76"/>
      <c r="I3" s="76"/>
      <c r="J3" s="201"/>
    </row>
    <row r="4" spans="1:10" ht="12.75" customHeight="1">
      <c r="A4" s="202"/>
      <c r="B4" s="15"/>
      <c r="C4" s="15"/>
      <c r="D4" s="15"/>
      <c r="E4" s="15"/>
      <c r="F4" s="15"/>
      <c r="G4" s="15"/>
      <c r="H4" s="15"/>
      <c r="I4" s="15"/>
      <c r="J4" s="203"/>
    </row>
    <row r="5" spans="1:10" ht="12.75" customHeight="1">
      <c r="A5" s="234" t="s">
        <v>304</v>
      </c>
      <c r="B5" s="76"/>
      <c r="C5" s="76"/>
      <c r="D5" s="76"/>
      <c r="E5" s="76"/>
      <c r="F5" s="76"/>
      <c r="G5" s="76"/>
      <c r="H5" s="76"/>
      <c r="I5" s="76"/>
      <c r="J5" s="201"/>
    </row>
    <row r="6" spans="1:10" ht="9.75" customHeight="1">
      <c r="A6" s="199"/>
      <c r="B6" s="76"/>
      <c r="C6" s="76"/>
      <c r="D6" s="76"/>
      <c r="E6" s="76"/>
      <c r="F6" s="76"/>
      <c r="G6" s="76"/>
      <c r="H6" s="76"/>
      <c r="I6" s="76"/>
      <c r="J6" s="201"/>
    </row>
    <row r="7" spans="1:10" ht="12.75">
      <c r="A7" s="506" t="s">
        <v>305</v>
      </c>
      <c r="B7" s="507"/>
      <c r="C7" s="507"/>
      <c r="D7" s="507"/>
      <c r="E7" s="507"/>
      <c r="F7" s="507"/>
      <c r="G7" s="507"/>
      <c r="H7" s="507"/>
      <c r="I7" s="507"/>
      <c r="J7" s="508"/>
    </row>
    <row r="8" spans="1:10" ht="45" customHeight="1">
      <c r="A8" s="506" t="s">
        <v>345</v>
      </c>
      <c r="B8" s="507"/>
      <c r="C8" s="507"/>
      <c r="D8" s="507"/>
      <c r="E8" s="507"/>
      <c r="F8" s="507"/>
      <c r="G8" s="507"/>
      <c r="H8" s="507"/>
      <c r="I8" s="507"/>
      <c r="J8" s="508"/>
    </row>
    <row r="9" spans="1:10" ht="12.75" customHeight="1">
      <c r="A9" s="512"/>
      <c r="B9" s="513"/>
      <c r="C9" s="513"/>
      <c r="D9" s="513"/>
      <c r="E9" s="513"/>
      <c r="F9" s="513"/>
      <c r="G9" s="513"/>
      <c r="H9" s="513"/>
      <c r="I9" s="513"/>
      <c r="J9" s="514"/>
    </row>
    <row r="10" spans="1:10" ht="12" customHeight="1">
      <c r="A10" s="234" t="s">
        <v>306</v>
      </c>
      <c r="B10" s="15"/>
      <c r="C10" s="15"/>
      <c r="D10" s="15"/>
      <c r="E10" s="15"/>
      <c r="F10" s="15"/>
      <c r="G10" s="15"/>
      <c r="H10" s="15"/>
      <c r="I10" s="15"/>
      <c r="J10" s="203"/>
    </row>
    <row r="11" spans="1:10" ht="9.75" customHeight="1">
      <c r="A11" s="199"/>
      <c r="B11" s="15"/>
      <c r="C11" s="15"/>
      <c r="D11" s="15"/>
      <c r="E11" s="15"/>
      <c r="F11" s="15"/>
      <c r="G11" s="15"/>
      <c r="H11" s="15"/>
      <c r="I11" s="15"/>
      <c r="J11" s="203"/>
    </row>
    <row r="12" spans="1:10" ht="65.25" customHeight="1">
      <c r="A12" s="506" t="s">
        <v>109</v>
      </c>
      <c r="B12" s="507"/>
      <c r="C12" s="507"/>
      <c r="D12" s="507"/>
      <c r="E12" s="507"/>
      <c r="F12" s="507"/>
      <c r="G12" s="507"/>
      <c r="H12" s="507"/>
      <c r="I12" s="507"/>
      <c r="J12" s="508"/>
    </row>
    <row r="13" spans="1:10" ht="9.75" customHeight="1">
      <c r="A13" s="191"/>
      <c r="B13" s="53"/>
      <c r="C13" s="53"/>
      <c r="D13" s="53"/>
      <c r="E13" s="53"/>
      <c r="F13" s="53"/>
      <c r="G13" s="53"/>
      <c r="H13" s="53"/>
      <c r="I13" s="53"/>
      <c r="J13" s="98"/>
    </row>
    <row r="14" spans="1:10" ht="16.5" customHeight="1">
      <c r="A14" s="234" t="s">
        <v>307</v>
      </c>
      <c r="B14" s="15"/>
      <c r="C14" s="15"/>
      <c r="D14" s="15"/>
      <c r="E14" s="15"/>
      <c r="F14" s="15"/>
      <c r="G14" s="15"/>
      <c r="H14" s="15"/>
      <c r="I14" s="15"/>
      <c r="J14" s="203"/>
    </row>
    <row r="15" spans="1:10" ht="9.75" customHeight="1">
      <c r="A15" s="199"/>
      <c r="B15" s="15"/>
      <c r="C15" s="15"/>
      <c r="D15" s="15"/>
      <c r="E15" s="15"/>
      <c r="F15" s="15"/>
      <c r="G15" s="15"/>
      <c r="H15" s="15"/>
      <c r="I15" s="15"/>
      <c r="J15" s="203"/>
    </row>
    <row r="16" spans="1:10" ht="27" customHeight="1">
      <c r="A16" s="506" t="s">
        <v>388</v>
      </c>
      <c r="B16" s="507"/>
      <c r="C16" s="507"/>
      <c r="D16" s="507"/>
      <c r="E16" s="507"/>
      <c r="F16" s="507"/>
      <c r="G16" s="507"/>
      <c r="H16" s="507"/>
      <c r="I16" s="507"/>
      <c r="J16" s="508"/>
    </row>
    <row r="17" spans="1:10" ht="9.75" customHeight="1">
      <c r="A17" s="191"/>
      <c r="B17" s="53"/>
      <c r="C17" s="53"/>
      <c r="D17" s="53"/>
      <c r="E17" s="53"/>
      <c r="F17" s="53"/>
      <c r="G17" s="53"/>
      <c r="H17" s="53"/>
      <c r="I17" s="53"/>
      <c r="J17" s="98"/>
    </row>
    <row r="18" spans="1:10" ht="17.25" customHeight="1">
      <c r="A18" s="199" t="s">
        <v>308</v>
      </c>
      <c r="B18" s="15"/>
      <c r="C18" s="15"/>
      <c r="D18" s="15"/>
      <c r="E18" s="15"/>
      <c r="F18" s="15"/>
      <c r="G18" s="15"/>
      <c r="H18" s="15"/>
      <c r="I18" s="15"/>
      <c r="J18" s="203"/>
    </row>
    <row r="19" spans="1:10" ht="9.75" customHeight="1">
      <c r="A19" s="199"/>
      <c r="B19" s="15"/>
      <c r="C19" s="15"/>
      <c r="D19" s="15"/>
      <c r="E19" s="15"/>
      <c r="F19" s="15"/>
      <c r="G19" s="15"/>
      <c r="H19" s="15"/>
      <c r="I19" s="15"/>
      <c r="J19" s="203"/>
    </row>
    <row r="20" spans="1:10" ht="63.75" customHeight="1">
      <c r="A20" s="506" t="s">
        <v>6</v>
      </c>
      <c r="B20" s="507"/>
      <c r="C20" s="507"/>
      <c r="D20" s="507"/>
      <c r="E20" s="507"/>
      <c r="F20" s="507"/>
      <c r="G20" s="507"/>
      <c r="H20" s="507"/>
      <c r="I20" s="507"/>
      <c r="J20" s="508"/>
    </row>
    <row r="21" spans="1:10" ht="12.75" customHeight="1">
      <c r="A21" s="202"/>
      <c r="B21" s="15"/>
      <c r="C21" s="15"/>
      <c r="D21" s="15"/>
      <c r="E21" s="15"/>
      <c r="F21" s="15"/>
      <c r="G21" s="15"/>
      <c r="H21" s="15"/>
      <c r="I21" s="15"/>
      <c r="J21" s="203"/>
    </row>
    <row r="22" spans="1:10" ht="12.75">
      <c r="A22" s="206" t="s">
        <v>108</v>
      </c>
      <c r="B22" s="204"/>
      <c r="C22" s="204"/>
      <c r="D22" s="204"/>
      <c r="E22" s="204"/>
      <c r="F22" s="204"/>
      <c r="G22" s="204"/>
      <c r="H22" s="204"/>
      <c r="I22" s="204"/>
      <c r="J22" s="205"/>
    </row>
    <row r="23" ht="12.75">
      <c r="A23" s="1"/>
    </row>
    <row r="24" ht="12.75">
      <c r="A24" s="1"/>
    </row>
    <row r="25" ht="12.75">
      <c r="A25" s="1"/>
    </row>
    <row r="26" ht="12.75">
      <c r="A26" s="1"/>
    </row>
    <row r="27" ht="12.75">
      <c r="A27" s="1"/>
    </row>
    <row r="28" ht="12.75">
      <c r="A28" s="1"/>
    </row>
    <row r="29" ht="12.75">
      <c r="A29" s="1"/>
    </row>
    <row r="30" ht="12.75">
      <c r="A30" s="1"/>
    </row>
    <row r="31" ht="12.75">
      <c r="A31" s="1"/>
    </row>
    <row r="32" ht="12.75">
      <c r="A32" s="1"/>
    </row>
    <row r="33" ht="12.75">
      <c r="A33" s="1"/>
    </row>
    <row r="34" ht="12.75">
      <c r="A34" s="1"/>
    </row>
  </sheetData>
  <sheetProtection password="98CB" sheet="1" objects="1" scenarios="1"/>
  <mergeCells count="7">
    <mergeCell ref="A16:J16"/>
    <mergeCell ref="A20:J20"/>
    <mergeCell ref="A12:J12"/>
    <mergeCell ref="A1:J1"/>
    <mergeCell ref="A7:J7"/>
    <mergeCell ref="A8:J8"/>
    <mergeCell ref="A9:J9"/>
  </mergeCells>
  <printOptions horizontalCentered="1"/>
  <pageMargins left="0.5" right="0.5" top="1" bottom="0.5" header="0.5" footer="0.5"/>
  <pageSetup fitToHeight="1" fitToWidth="1" horizontalDpi="600" verticalDpi="600" orientation="portrait" r:id="rId2"/>
  <headerFooter alignWithMargins="0">
    <oddHeader>&amp;C&amp;F</oddHeader>
  </headerFooter>
  <picture r:id="rId1"/>
</worksheet>
</file>

<file path=xl/worksheets/sheet7.xml><?xml version="1.0" encoding="utf-8"?>
<worksheet xmlns="http://schemas.openxmlformats.org/spreadsheetml/2006/main" xmlns:r="http://schemas.openxmlformats.org/officeDocument/2006/relationships">
  <sheetPr codeName="Sheet10">
    <pageSetUpPr fitToPage="1"/>
  </sheetPr>
  <dimension ref="A1:H38"/>
  <sheetViews>
    <sheetView showGridLines="0" zoomScalePageLayoutView="0" workbookViewId="0" topLeftCell="A1">
      <selection activeCell="A1" sqref="A1:D1"/>
    </sheetView>
  </sheetViews>
  <sheetFormatPr defaultColWidth="9.140625" defaultRowHeight="12.75"/>
  <cols>
    <col min="1" max="1" width="15.00390625" style="4" customWidth="1"/>
    <col min="2" max="2" width="55.421875" style="4" customWidth="1"/>
    <col min="3" max="3" width="11.57421875" style="4" customWidth="1"/>
    <col min="4" max="4" width="12.7109375" style="5" customWidth="1"/>
    <col min="5" max="5" width="18.140625" style="5" customWidth="1"/>
    <col min="6" max="6" width="17.421875" style="5" customWidth="1"/>
    <col min="7" max="7" width="18.00390625" style="5" customWidth="1"/>
    <col min="8" max="8" width="19.57421875" style="5" customWidth="1"/>
    <col min="9" max="9" width="18.28125" style="4" customWidth="1"/>
    <col min="10" max="16384" width="9.140625" style="4" customWidth="1"/>
  </cols>
  <sheetData>
    <row r="1" spans="1:7" ht="15.75">
      <c r="A1" s="496" t="s">
        <v>90</v>
      </c>
      <c r="B1" s="497"/>
      <c r="C1" s="498"/>
      <c r="D1" s="515"/>
      <c r="E1" s="83"/>
      <c r="F1" s="83"/>
      <c r="G1" s="83"/>
    </row>
    <row r="2" spans="1:8" ht="12.75">
      <c r="A2" s="3"/>
      <c r="F2" s="447" t="s">
        <v>114</v>
      </c>
      <c r="G2" s="448"/>
      <c r="H2" s="449"/>
    </row>
    <row r="3" spans="1:8" ht="12.75">
      <c r="A3" s="517" t="s">
        <v>113</v>
      </c>
      <c r="B3" s="518"/>
      <c r="C3" s="518"/>
      <c r="D3" s="519"/>
      <c r="F3" s="450"/>
      <c r="G3" s="451"/>
      <c r="H3" s="452"/>
    </row>
    <row r="4" spans="1:8" ht="12.75">
      <c r="A4" s="517" t="s">
        <v>67</v>
      </c>
      <c r="B4" s="519"/>
      <c r="C4" s="187" t="s">
        <v>323</v>
      </c>
      <c r="D4" s="187" t="s">
        <v>112</v>
      </c>
      <c r="F4" s="453"/>
      <c r="G4" s="454"/>
      <c r="H4" s="455"/>
    </row>
    <row r="5" spans="1:4" ht="12.75" customHeight="1">
      <c r="A5" s="516" t="s">
        <v>68</v>
      </c>
      <c r="B5" s="516"/>
      <c r="C5" s="207">
        <f>IF('Cost Calculator'!$B$18="Food Rescue",0,IF('Cost Calculator'!$B$18="Disposal",0,IF('Cost Calculator'!$B$18="Feed Animals",0,IF('Cost Calculator'!$B$18="Disposal and Pulp",0,(Inputs!$B$8*(1-Inputs!$B$9))))))*52</f>
        <v>0</v>
      </c>
      <c r="D5" s="235">
        <f>C5/2000</f>
        <v>0</v>
      </c>
    </row>
    <row r="6" spans="1:4" ht="12.75">
      <c r="A6" s="516" t="s">
        <v>69</v>
      </c>
      <c r="B6" s="516"/>
      <c r="C6" s="207">
        <f>IF('Cost Calculator'!$B$20="Disposal",0,IF('Cost Calculator'!$B$20="Feed Animals",0,IF('Cost Calculator'!$B$20="Disposal and Pulp",0,Inputs!$B$10*(1-Inputs!$B$11))))*52</f>
        <v>0</v>
      </c>
      <c r="D6" s="235">
        <f>C6/2000</f>
        <v>0</v>
      </c>
    </row>
    <row r="7" spans="1:4" ht="12.75">
      <c r="A7" s="516" t="s">
        <v>70</v>
      </c>
      <c r="B7" s="516"/>
      <c r="C7" s="207">
        <f>IF('Cost Calculator'!$B$20="Disposal",0,IF('Cost Calculator'!$B$20="Feed Animals",0,IF('Cost Calculator'!$B$20="Disposal and Pulp",0,Inputs!$B$12*(1-Inputs!$B$13))))*52</f>
        <v>0</v>
      </c>
      <c r="D7" s="235">
        <f>C7/2000</f>
        <v>0</v>
      </c>
    </row>
    <row r="8" spans="1:4" ht="12.75">
      <c r="A8" s="547" t="s">
        <v>565</v>
      </c>
      <c r="B8" s="547"/>
      <c r="C8" s="208">
        <f>SUM(C5:C7)</f>
        <v>0</v>
      </c>
      <c r="D8" s="236">
        <f>C8/2000</f>
        <v>0</v>
      </c>
    </row>
    <row r="9" ht="12.75">
      <c r="E9"/>
    </row>
    <row r="10" spans="1:8" ht="12.75">
      <c r="A10" s="517" t="s">
        <v>111</v>
      </c>
      <c r="B10" s="518"/>
      <c r="C10" s="518"/>
      <c r="D10" s="518"/>
      <c r="E10" s="518"/>
      <c r="F10" s="518"/>
      <c r="G10" s="518"/>
      <c r="H10" s="519"/>
    </row>
    <row r="11" spans="1:8" s="177" customFormat="1" ht="25.5" customHeight="1">
      <c r="A11" s="523" t="s">
        <v>101</v>
      </c>
      <c r="B11" s="524"/>
      <c r="C11" s="524"/>
      <c r="D11" s="524"/>
      <c r="E11" s="524"/>
      <c r="F11" s="524"/>
      <c r="G11" s="524"/>
      <c r="H11" s="525"/>
    </row>
    <row r="12" spans="1:8" ht="12.75">
      <c r="A12" s="526"/>
      <c r="B12" s="527"/>
      <c r="C12" s="527"/>
      <c r="D12" s="527"/>
      <c r="E12" s="527"/>
      <c r="F12" s="527"/>
      <c r="G12" s="527"/>
      <c r="H12" s="528"/>
    </row>
    <row r="13" spans="1:8" ht="18" customHeight="1">
      <c r="A13" s="531" t="s">
        <v>110</v>
      </c>
      <c r="B13" s="532"/>
      <c r="C13" s="532"/>
      <c r="D13" s="529"/>
      <c r="E13" s="529"/>
      <c r="F13" s="529"/>
      <c r="G13" s="529"/>
      <c r="H13" s="530"/>
    </row>
    <row r="14" spans="1:8" ht="12.75" customHeight="1">
      <c r="A14" s="533" t="s">
        <v>340</v>
      </c>
      <c r="B14" s="534"/>
      <c r="C14" s="534"/>
      <c r="D14" s="534"/>
      <c r="E14" s="534"/>
      <c r="F14" s="534"/>
      <c r="G14" s="534"/>
      <c r="H14" s="535"/>
    </row>
    <row r="15" spans="1:8" ht="45" customHeight="1">
      <c r="A15" s="536"/>
      <c r="B15" s="537"/>
      <c r="C15" s="537"/>
      <c r="D15" s="537"/>
      <c r="E15" s="537"/>
      <c r="F15" s="537"/>
      <c r="G15" s="537"/>
      <c r="H15" s="538"/>
    </row>
    <row r="16" ht="15.75" customHeight="1"/>
    <row r="17" spans="1:8" ht="15.75" customHeight="1">
      <c r="A17" s="517" t="s">
        <v>134</v>
      </c>
      <c r="B17" s="518"/>
      <c r="C17" s="518"/>
      <c r="D17" s="518"/>
      <c r="E17" s="518"/>
      <c r="F17" s="518"/>
      <c r="G17" s="518"/>
      <c r="H17" s="519"/>
    </row>
    <row r="18" spans="1:8" ht="52.5" customHeight="1">
      <c r="A18" s="542" t="s">
        <v>130</v>
      </c>
      <c r="B18" s="543"/>
      <c r="C18" s="543"/>
      <c r="D18" s="543"/>
      <c r="E18" s="543"/>
      <c r="F18" s="543"/>
      <c r="G18" s="543"/>
      <c r="H18" s="544"/>
    </row>
    <row r="19" spans="1:8" ht="17.25" customHeight="1">
      <c r="A19" s="545" t="s">
        <v>115</v>
      </c>
      <c r="B19" s="546"/>
      <c r="C19" s="262"/>
      <c r="D19" s="262"/>
      <c r="E19" s="262"/>
      <c r="F19" s="262"/>
      <c r="G19" s="262"/>
      <c r="H19" s="263"/>
    </row>
    <row r="20" ht="15.75" customHeight="1"/>
    <row r="21" spans="1:8" ht="12.75">
      <c r="A21" s="539" t="s">
        <v>51</v>
      </c>
      <c r="B21" s="540"/>
      <c r="C21" s="540"/>
      <c r="D21" s="540"/>
      <c r="E21" s="540"/>
      <c r="F21" s="540"/>
      <c r="G21" s="540"/>
      <c r="H21" s="541"/>
    </row>
    <row r="22" spans="1:8" ht="50.25" customHeight="1">
      <c r="A22" s="187" t="s">
        <v>71</v>
      </c>
      <c r="B22" s="187" t="s">
        <v>159</v>
      </c>
      <c r="C22" s="187" t="s">
        <v>52</v>
      </c>
      <c r="D22" s="187" t="s">
        <v>106</v>
      </c>
      <c r="E22" s="187" t="s">
        <v>53</v>
      </c>
      <c r="F22" s="187" t="s">
        <v>54</v>
      </c>
      <c r="G22" s="187" t="s">
        <v>55</v>
      </c>
      <c r="H22" s="187" t="s">
        <v>56</v>
      </c>
    </row>
    <row r="23" spans="1:8" ht="50.25" customHeight="1">
      <c r="A23" s="209" t="s">
        <v>523</v>
      </c>
      <c r="B23" s="219" t="s">
        <v>72</v>
      </c>
      <c r="C23" s="188">
        <v>1.3</v>
      </c>
      <c r="D23" s="188" t="s">
        <v>179</v>
      </c>
      <c r="E23" s="284">
        <f aca="true" t="shared" si="0" ref="E23:E28">$D$5*C23</f>
        <v>0</v>
      </c>
      <c r="F23" s="284">
        <f aca="true" t="shared" si="1" ref="F23:F28">$D$6*C23</f>
        <v>0</v>
      </c>
      <c r="G23" s="284">
        <f aca="true" t="shared" si="2" ref="G23:G28">$D$7*C23</f>
        <v>0</v>
      </c>
      <c r="H23" s="285">
        <f aca="true" t="shared" si="3" ref="H23:H28">SUM(E23:G23)</f>
        <v>0</v>
      </c>
    </row>
    <row r="24" spans="1:8" ht="40.5" customHeight="1">
      <c r="A24" s="210" t="s">
        <v>524</v>
      </c>
      <c r="B24" s="220" t="s">
        <v>73</v>
      </c>
      <c r="C24" s="188">
        <v>739.1</v>
      </c>
      <c r="D24" s="188" t="s">
        <v>180</v>
      </c>
      <c r="E24" s="284">
        <f t="shared" si="0"/>
        <v>0</v>
      </c>
      <c r="F24" s="284">
        <f t="shared" si="1"/>
        <v>0</v>
      </c>
      <c r="G24" s="284">
        <f t="shared" si="2"/>
        <v>0</v>
      </c>
      <c r="H24" s="286">
        <f t="shared" si="3"/>
        <v>0</v>
      </c>
    </row>
    <row r="25" spans="1:8" ht="47.25" customHeight="1">
      <c r="A25" s="210" t="s">
        <v>92</v>
      </c>
      <c r="B25" s="220" t="s">
        <v>74</v>
      </c>
      <c r="C25" s="189">
        <v>0.3</v>
      </c>
      <c r="D25" s="188" t="s">
        <v>181</v>
      </c>
      <c r="E25" s="284">
        <f t="shared" si="0"/>
        <v>0</v>
      </c>
      <c r="F25" s="284">
        <f t="shared" si="1"/>
        <v>0</v>
      </c>
      <c r="G25" s="284">
        <f t="shared" si="2"/>
        <v>0</v>
      </c>
      <c r="H25" s="286">
        <f t="shared" si="3"/>
        <v>0</v>
      </c>
    </row>
    <row r="26" spans="1:8" ht="67.5" customHeight="1">
      <c r="A26" s="210" t="s">
        <v>525</v>
      </c>
      <c r="B26" s="220" t="s">
        <v>75</v>
      </c>
      <c r="C26" s="189">
        <v>5.2</v>
      </c>
      <c r="D26" s="188" t="s">
        <v>182</v>
      </c>
      <c r="E26" s="284">
        <f t="shared" si="0"/>
        <v>0</v>
      </c>
      <c r="F26" s="284">
        <f t="shared" si="1"/>
        <v>0</v>
      </c>
      <c r="G26" s="284">
        <f t="shared" si="2"/>
        <v>0</v>
      </c>
      <c r="H26" s="286">
        <f t="shared" si="3"/>
        <v>0</v>
      </c>
    </row>
    <row r="27" spans="1:8" ht="48" customHeight="1">
      <c r="A27" s="210" t="s">
        <v>526</v>
      </c>
      <c r="B27" s="237" t="s">
        <v>78</v>
      </c>
      <c r="C27" s="189">
        <v>5.8</v>
      </c>
      <c r="D27" s="188" t="s">
        <v>183</v>
      </c>
      <c r="E27" s="284">
        <f t="shared" si="0"/>
        <v>0</v>
      </c>
      <c r="F27" s="284">
        <f t="shared" si="1"/>
        <v>0</v>
      </c>
      <c r="G27" s="284">
        <f t="shared" si="2"/>
        <v>0</v>
      </c>
      <c r="H27" s="286">
        <f t="shared" si="3"/>
        <v>0</v>
      </c>
    </row>
    <row r="28" spans="1:8" ht="50.25" customHeight="1">
      <c r="A28" s="218" t="s">
        <v>178</v>
      </c>
      <c r="B28" s="220" t="s">
        <v>93</v>
      </c>
      <c r="C28" s="190">
        <v>4.5</v>
      </c>
      <c r="D28" s="188" t="s">
        <v>184</v>
      </c>
      <c r="E28" s="284">
        <f t="shared" si="0"/>
        <v>0</v>
      </c>
      <c r="F28" s="284">
        <f t="shared" si="1"/>
        <v>0</v>
      </c>
      <c r="G28" s="284">
        <f t="shared" si="2"/>
        <v>0</v>
      </c>
      <c r="H28" s="287">
        <f t="shared" si="3"/>
        <v>0</v>
      </c>
    </row>
    <row r="29" spans="1:8" ht="12.75">
      <c r="A29" s="520" t="s">
        <v>121</v>
      </c>
      <c r="B29" s="521"/>
      <c r="C29" s="521"/>
      <c r="D29" s="521"/>
      <c r="E29" s="521"/>
      <c r="F29" s="521"/>
      <c r="G29" s="521"/>
      <c r="H29" s="522"/>
    </row>
    <row r="30" ht="12.75">
      <c r="D30" s="4"/>
    </row>
    <row r="31" ht="12.75">
      <c r="D31" s="4"/>
    </row>
    <row r="32" ht="12.75">
      <c r="D32" s="4"/>
    </row>
    <row r="33" ht="12.75">
      <c r="D33" s="4"/>
    </row>
    <row r="34" spans="2:4" ht="12.75">
      <c r="B34" s="198"/>
      <c r="D34" s="4"/>
    </row>
    <row r="35" ht="12.75">
      <c r="B35" s="198"/>
    </row>
    <row r="38" ht="12.75">
      <c r="B38" s="221"/>
    </row>
  </sheetData>
  <sheetProtection password="98CB" sheet="1" objects="1" scenarios="1"/>
  <mergeCells count="18">
    <mergeCell ref="F2:H4"/>
    <mergeCell ref="A18:H18"/>
    <mergeCell ref="A17:H17"/>
    <mergeCell ref="A19:B19"/>
    <mergeCell ref="A8:B8"/>
    <mergeCell ref="A10:H10"/>
    <mergeCell ref="A29:H29"/>
    <mergeCell ref="A11:H12"/>
    <mergeCell ref="D13:H13"/>
    <mergeCell ref="A13:C13"/>
    <mergeCell ref="A14:H15"/>
    <mergeCell ref="A21:H21"/>
    <mergeCell ref="A1:D1"/>
    <mergeCell ref="A5:B5"/>
    <mergeCell ref="A6:B6"/>
    <mergeCell ref="A7:B7"/>
    <mergeCell ref="A3:D3"/>
    <mergeCell ref="A4:B4"/>
  </mergeCells>
  <hyperlinks>
    <hyperlink ref="A13" r:id="rId1" display="http://www.epa.gov/climatechange/wycd/waste/calculators/Warm_home.html"/>
    <hyperlink ref="F2:H4" location="Summary!A1" display="To view a summary of the alternative scenario, including potential cost savings and environmental benefits, see the Summary tab, or click this cell."/>
    <hyperlink ref="A19:B19" r:id="rId2" display="http://www.epa.gov/nrmrl/lcaccess/index.html"/>
    <hyperlink ref="A19" r:id="rId3" display="http://www.epa.gov/nrmrl/lcaccess/index.html"/>
    <hyperlink ref="B24" r:id="rId4" display="In this analysis, toxics reduction is measured in equivalents of toluene, a highly toxic chemical typically used in gasoline and to make other hydrocarbons.  For information on the toxicity and heath hazards of toluene, see http://www.epa.gov/ttn/atw/hlth"/>
    <hyperlink ref="B25" r:id="rId5" display="Carcinogen refer to agents that directly promote or cause cancer.  In this analysis, reduces in carcinogenic releases from composing (compared to pesticides and fertizer) are measured in equivalents of benzene, a common cancer-causing agent.  For more inf"/>
    <hyperlink ref="B26" r:id="rId6" display="Eutrophication is a process whereby water bodies, such as lakes, estuaries, or slow-moving streams receive excess nutrients that stimulate excessive plant growth (algae, periphyton attached algae, and nuisance plants weeds). This enhanced plant growth, of"/>
    <hyperlink ref="B28" r:id="rId7" display="Ecosystem toxicity is defined as the potential of a chemical released into the environment to cause harm to plants or animals.  In this analysis, reduction in ecosystem toxicity are measured in equivalents of 2,4-Dichlorophenoxyacetic acid (2,4-D), common"/>
    <hyperlink ref="B27" r:id="rId8" display="Acidification results from depositing of acids, which which originate from anthropogenic emissions of the three main pollutants: sulfur dioxide (SO2), nitrogen oxides (NOx), and ammonia (NH3). Acid deposition leads to effects on soil, water bodies, vegeta"/>
    <hyperlink ref="B23" r:id="rId9" display="Particulate matter, also known as particle pollution or PM, is a complex mixture of extremely small particles and liquid droplets. Particle pollution is made up of a number of components, including acids (such as nitrates and sulfates), organic chemicals,"/>
  </hyperlinks>
  <printOptions horizontalCentered="1"/>
  <pageMargins left="0.5" right="0.5" top="1" bottom="0.5" header="0.5" footer="0.5"/>
  <pageSetup fitToHeight="1" fitToWidth="1" horizontalDpi="600" verticalDpi="600" orientation="landscape" scale="70" r:id="rId11"/>
  <headerFooter alignWithMargins="0">
    <oddHeader>&amp;C&amp;F</oddHeader>
  </headerFooter>
  <picture r:id="rId10"/>
</worksheet>
</file>

<file path=xl/worksheets/sheet8.xml><?xml version="1.0" encoding="utf-8"?>
<worksheet xmlns="http://schemas.openxmlformats.org/spreadsheetml/2006/main" xmlns:r="http://schemas.openxmlformats.org/officeDocument/2006/relationships">
  <sheetPr codeName="Sheet11">
    <pageSetUpPr fitToPage="1"/>
  </sheetPr>
  <dimension ref="B2:N42"/>
  <sheetViews>
    <sheetView showGridLines="0" zoomScalePageLayoutView="0" workbookViewId="0" topLeftCell="A1">
      <selection activeCell="C3" sqref="C3:G3"/>
    </sheetView>
  </sheetViews>
  <sheetFormatPr defaultColWidth="9.140625" defaultRowHeight="12.75"/>
  <cols>
    <col min="1" max="1" width="5.00390625" style="4" customWidth="1"/>
    <col min="2" max="2" width="2.140625" style="4" customWidth="1"/>
    <col min="3" max="3" width="24.8515625" style="4" customWidth="1"/>
    <col min="4" max="4" width="39.140625" style="4" customWidth="1"/>
    <col min="5" max="5" width="28.57421875" style="4" customWidth="1"/>
    <col min="6" max="6" width="19.28125" style="5" customWidth="1"/>
    <col min="7" max="7" width="16.00390625" style="5" customWidth="1"/>
    <col min="8" max="8" width="1.1484375" style="5" customWidth="1"/>
    <col min="9" max="9" width="19.28125" style="5" customWidth="1"/>
    <col min="10" max="10" width="18.140625" style="241" hidden="1" customWidth="1"/>
    <col min="11" max="11" width="18.28125" style="271" hidden="1" customWidth="1"/>
    <col min="12" max="12" width="17.7109375" style="271" hidden="1" customWidth="1"/>
    <col min="13" max="13" width="57.00390625" style="4" hidden="1" customWidth="1"/>
    <col min="14" max="14" width="27.140625" style="4" hidden="1" customWidth="1"/>
    <col min="15" max="16384" width="9.140625" style="4" customWidth="1"/>
  </cols>
  <sheetData>
    <row r="2" spans="2:10" ht="5.25" customHeight="1">
      <c r="B2" s="75"/>
      <c r="C2" s="73"/>
      <c r="D2" s="73"/>
      <c r="E2" s="73"/>
      <c r="F2" s="95"/>
      <c r="G2" s="95"/>
      <c r="H2" s="96"/>
      <c r="J2" s="239"/>
    </row>
    <row r="3" spans="2:10" ht="21.75" customHeight="1">
      <c r="B3" s="97"/>
      <c r="C3" s="551" t="s">
        <v>528</v>
      </c>
      <c r="D3" s="552"/>
      <c r="E3" s="552"/>
      <c r="F3" s="553"/>
      <c r="G3" s="554"/>
      <c r="H3" s="98"/>
      <c r="I3" s="223"/>
      <c r="J3" s="239"/>
    </row>
    <row r="4" spans="2:14" ht="30" customHeight="1">
      <c r="B4" s="97"/>
      <c r="C4" s="549" t="s">
        <v>567</v>
      </c>
      <c r="D4" s="550"/>
      <c r="E4" s="550"/>
      <c r="F4" s="550"/>
      <c r="G4" s="550"/>
      <c r="H4" s="99"/>
      <c r="I4" s="225"/>
      <c r="J4" s="548" t="s">
        <v>85</v>
      </c>
      <c r="K4" s="548"/>
      <c r="L4" s="548"/>
      <c r="M4" s="548"/>
      <c r="N4" s="548"/>
    </row>
    <row r="5" spans="2:10" ht="12.75">
      <c r="B5" s="97"/>
      <c r="C5" s="91"/>
      <c r="D5" s="91"/>
      <c r="E5" s="91"/>
      <c r="F5" s="92"/>
      <c r="G5" s="92"/>
      <c r="H5" s="100"/>
      <c r="I5" s="222"/>
      <c r="J5" s="239" t="s">
        <v>185</v>
      </c>
    </row>
    <row r="6" spans="2:10" ht="12.75">
      <c r="B6" s="97"/>
      <c r="C6" s="91"/>
      <c r="D6" s="106" t="s">
        <v>529</v>
      </c>
      <c r="E6" s="106" t="s">
        <v>79</v>
      </c>
      <c r="F6" s="92"/>
      <c r="G6" s="92"/>
      <c r="H6" s="100"/>
      <c r="I6" s="222"/>
      <c r="J6" s="243">
        <f>Inputs!B6*Inputs!B7*52</f>
        <v>0</v>
      </c>
    </row>
    <row r="7" spans="2:10" ht="12.75">
      <c r="B7" s="97"/>
      <c r="C7" s="91"/>
      <c r="D7" s="238" t="s">
        <v>80</v>
      </c>
      <c r="E7" s="211" t="str">
        <f>'Cost Calculator'!B16</f>
        <v>Disposal</v>
      </c>
      <c r="F7" s="92"/>
      <c r="G7" s="92"/>
      <c r="H7" s="100"/>
      <c r="I7" s="222"/>
      <c r="J7" s="243">
        <f>Inputs!B8*Inputs!B9*52</f>
        <v>0</v>
      </c>
    </row>
    <row r="8" spans="2:10" ht="12.75">
      <c r="B8" s="97"/>
      <c r="C8" s="91"/>
      <c r="D8" s="238" t="s">
        <v>522</v>
      </c>
      <c r="E8" s="211" t="str">
        <f>'Cost Calculator'!B18</f>
        <v>Disposal</v>
      </c>
      <c r="F8" s="92"/>
      <c r="G8" s="92"/>
      <c r="H8" s="100"/>
      <c r="I8" s="222"/>
      <c r="J8" s="243">
        <f>Inputs!B10*Inputs!B11*52</f>
        <v>0</v>
      </c>
    </row>
    <row r="9" spans="2:10" ht="12.75">
      <c r="B9" s="97"/>
      <c r="C9" s="91"/>
      <c r="D9" s="238" t="s">
        <v>69</v>
      </c>
      <c r="E9" s="211" t="str">
        <f>'Cost Calculator'!B20</f>
        <v>Disposal</v>
      </c>
      <c r="F9" s="92"/>
      <c r="G9" s="92"/>
      <c r="H9" s="100"/>
      <c r="I9" s="222"/>
      <c r="J9" s="243">
        <f>Inputs!B12*Inputs!B13*52</f>
        <v>0</v>
      </c>
    </row>
    <row r="10" spans="2:10" ht="12.75">
      <c r="B10" s="97"/>
      <c r="C10" s="91"/>
      <c r="D10" s="238" t="s">
        <v>70</v>
      </c>
      <c r="E10" s="211" t="str">
        <f>'Cost Calculator'!B20</f>
        <v>Disposal</v>
      </c>
      <c r="F10" s="92"/>
      <c r="G10" s="92"/>
      <c r="H10" s="100"/>
      <c r="I10" s="222"/>
      <c r="J10" s="244">
        <f>SUM(J6:J9)</f>
        <v>0</v>
      </c>
    </row>
    <row r="11" spans="2:10" ht="12.75">
      <c r="B11" s="97"/>
      <c r="C11" s="91"/>
      <c r="D11" s="238" t="s">
        <v>395</v>
      </c>
      <c r="E11" s="211" t="str">
        <f>'Cost Calculator'!B22</f>
        <v>Disposal</v>
      </c>
      <c r="F11" s="92"/>
      <c r="G11" s="92"/>
      <c r="H11" s="100"/>
      <c r="I11" s="222"/>
      <c r="J11" s="239"/>
    </row>
    <row r="12" spans="2:10" ht="12.75">
      <c r="B12" s="97"/>
      <c r="C12" s="91"/>
      <c r="D12" s="91"/>
      <c r="E12" s="91"/>
      <c r="F12" s="92"/>
      <c r="G12" s="92"/>
      <c r="H12" s="100"/>
      <c r="I12" s="222"/>
      <c r="J12" s="240"/>
    </row>
    <row r="13" spans="2:9" ht="41.25" customHeight="1">
      <c r="B13" s="97"/>
      <c r="C13" s="556" t="str">
        <f>"Congratulations!   Based on your inputs, you would source reduce "&amp;IF(J6=0,0,TEXT(J6,"#,###"))&amp;" pounds of non-perishables, "&amp;IF(J7=0,0,TEXT(J7,"#,###"))&amp;" pounds of pre-consumer prepared/whole foods, "&amp;IF(J8=0,0,TEXT(J8,"#,###"))&amp;" pounds of pre-consumer trim waste, and "&amp;IF(J9=0,0,TEXT(J9,"#,###"))&amp;" pounds of post-consumer plate waste for a total of "&amp;IF(J10=0,0,TEXT(J10,"#,###"))&amp;" pounds annually."</f>
        <v>Congratulations!   Based on your inputs, you would source reduce 0 pounds of non-perishables, 0 pounds of pre-consumer prepared/whole foods, 0 pounds of pre-consumer trim waste, and 0 pounds of post-consumer plate waste for a total of 0 pounds annually.</v>
      </c>
      <c r="D13" s="557"/>
      <c r="E13" s="557"/>
      <c r="F13" s="557"/>
      <c r="G13" s="557"/>
      <c r="H13" s="101"/>
      <c r="I13" s="222"/>
    </row>
    <row r="14" spans="2:10" ht="12.75">
      <c r="B14" s="97"/>
      <c r="C14" s="195"/>
      <c r="D14" s="196"/>
      <c r="E14" s="196"/>
      <c r="F14" s="196"/>
      <c r="G14" s="196"/>
      <c r="H14" s="101"/>
      <c r="I14" s="222"/>
      <c r="J14" s="241" t="s">
        <v>88</v>
      </c>
    </row>
    <row r="15" spans="2:10" ht="12.75">
      <c r="B15" s="97"/>
      <c r="C15" s="556">
        <f>IF(J15=0,"","You would also compost "&amp;IF(J15=0,0,TEXT(J15,"#,###"))&amp;" pounds per year.")</f>
      </c>
      <c r="D15" s="556"/>
      <c r="E15" s="556"/>
      <c r="F15" s="556"/>
      <c r="G15" s="556"/>
      <c r="H15" s="101"/>
      <c r="I15" s="222"/>
      <c r="J15" s="242">
        <f>'Composting Env. Benefits'!C8</f>
        <v>0</v>
      </c>
    </row>
    <row r="16" spans="2:10" ht="12.75">
      <c r="B16" s="97"/>
      <c r="C16" s="91"/>
      <c r="D16" s="91"/>
      <c r="E16" s="91"/>
      <c r="F16" s="92"/>
      <c r="G16" s="92"/>
      <c r="H16" s="100"/>
      <c r="I16" s="222"/>
      <c r="J16" s="241">
        <f>ROUND('Cost Calculator'!F29,-2)</f>
        <v>0</v>
      </c>
    </row>
    <row r="17" spans="2:10" ht="12.75">
      <c r="B17" s="97"/>
      <c r="C17" s="94" t="str">
        <f>"If you employ the management methods listed above, your facility would save roughly "&amp;IF(J17=0,0,TEXT(ROUND(J17,3),"$#,###"))&amp;" after 1 year and "&amp;IF(J16=0,0,TEXT(ROUND(J16,3),"$#,###"))&amp;" after 10 years."</f>
        <v>If you employ the management methods listed above, your facility would save roughly 0 after 1 year and 0 after 10 years.</v>
      </c>
      <c r="D17" s="91"/>
      <c r="E17" s="91"/>
      <c r="F17" s="92"/>
      <c r="G17" s="92"/>
      <c r="H17" s="100"/>
      <c r="I17" s="222"/>
      <c r="J17" s="241">
        <f>ROUND('Cost Calculator'!C29,-2)</f>
        <v>0</v>
      </c>
    </row>
    <row r="18" spans="2:9" ht="12.75">
      <c r="B18" s="97"/>
      <c r="C18" s="91"/>
      <c r="D18" s="91"/>
      <c r="E18" s="91"/>
      <c r="F18" s="92"/>
      <c r="G18" s="92"/>
      <c r="H18" s="100"/>
      <c r="I18" s="222"/>
    </row>
    <row r="19" spans="2:9" ht="12.75" customHeight="1">
      <c r="B19" s="97"/>
      <c r="C19" s="555" t="s">
        <v>57</v>
      </c>
      <c r="D19" s="555"/>
      <c r="E19" s="555"/>
      <c r="F19" s="555"/>
      <c r="G19" s="92"/>
      <c r="H19" s="100"/>
      <c r="I19" s="222"/>
    </row>
    <row r="20" spans="2:14" ht="12.75">
      <c r="B20" s="97"/>
      <c r="C20" s="91"/>
      <c r="D20" s="91"/>
      <c r="E20" s="246"/>
      <c r="F20" s="247"/>
      <c r="G20" s="247"/>
      <c r="H20" s="100"/>
      <c r="I20" s="222"/>
      <c r="J20" s="272" t="s">
        <v>131</v>
      </c>
      <c r="K20" s="273" t="s">
        <v>132</v>
      </c>
      <c r="L20" s="273" t="s">
        <v>462</v>
      </c>
      <c r="M20" s="276" t="s">
        <v>199</v>
      </c>
      <c r="N20" s="276"/>
    </row>
    <row r="21" spans="2:14" ht="12.75">
      <c r="B21" s="97"/>
      <c r="C21" s="549" t="str">
        <f>"-Particulates equivalent to reducing "&amp;IF(J21=0,0,TEXT(J21,"#,###"))&amp;" pounds of PM2.5, which has been linked to respiratory and heart disease.  Reducing this level of PM2.5 emissions is equivalent to removing "&amp;IF(L21=0,0,TEXT(L21,"#,###"))&amp;" cars off the road for one year."</f>
        <v>-Particulates equivalent to reducing 0 pounds of PM2.5, which has been linked to respiratory and heart disease.  Reducing this level of PM2.5 emissions is equivalent to removing 0 cars off the road for one year.</v>
      </c>
      <c r="D21" s="549"/>
      <c r="E21" s="549"/>
      <c r="F21" s="549"/>
      <c r="G21" s="549"/>
      <c r="H21" s="100"/>
      <c r="I21" s="222"/>
      <c r="J21" s="274">
        <f>'Composting Env. Benefits'!$H$23</f>
        <v>0</v>
      </c>
      <c r="K21" s="277">
        <f>12000*0.0011/453.59237</f>
        <v>0.02910101860840384</v>
      </c>
      <c r="L21" s="279">
        <f>J21/K21</f>
        <v>0</v>
      </c>
      <c r="M21" s="280" t="s">
        <v>241</v>
      </c>
      <c r="N21" s="276" t="s">
        <v>242</v>
      </c>
    </row>
    <row r="22" spans="2:14" ht="12.75">
      <c r="B22" s="97"/>
      <c r="C22" s="549"/>
      <c r="D22" s="549"/>
      <c r="E22" s="549"/>
      <c r="F22" s="549"/>
      <c r="G22" s="549"/>
      <c r="H22" s="100"/>
      <c r="I22" s="222"/>
      <c r="J22" s="274"/>
      <c r="K22" s="277"/>
      <c r="L22" s="279"/>
      <c r="M22" s="280"/>
      <c r="N22" s="276"/>
    </row>
    <row r="23" spans="2:14" ht="12.75">
      <c r="B23" s="97"/>
      <c r="C23" s="91"/>
      <c r="D23" s="91"/>
      <c r="E23" s="91"/>
      <c r="F23" s="92"/>
      <c r="G23" s="92"/>
      <c r="H23" s="100"/>
      <c r="I23" s="222"/>
      <c r="J23" s="274"/>
      <c r="K23" s="273"/>
      <c r="L23" s="273"/>
      <c r="M23" s="276"/>
      <c r="N23" s="276"/>
    </row>
    <row r="24" spans="2:14" ht="12.75">
      <c r="B24" s="97"/>
      <c r="C24" s="91" t="str">
        <f>"-Toxics equivalent to "&amp;IF(J24=0,0,TEXT(J24,"#,###"))&amp;" pounds of toluene, a toxic chemical that has been found to have acute, long-term, and developmental effects on human heath."</f>
        <v>-Toxics equivalent to 0 pounds of toluene, a toxic chemical that has been found to have acute, long-term, and developmental effects on human heath.</v>
      </c>
      <c r="D24" s="91"/>
      <c r="E24" s="91"/>
      <c r="F24" s="92"/>
      <c r="G24" s="92"/>
      <c r="H24" s="100"/>
      <c r="I24" s="222"/>
      <c r="J24" s="274">
        <f>'Composting Env. Benefits'!$H$24</f>
        <v>0</v>
      </c>
      <c r="K24" s="273"/>
      <c r="L24" s="273"/>
      <c r="M24" s="276"/>
      <c r="N24" s="276"/>
    </row>
    <row r="25" spans="2:14" ht="12.75">
      <c r="B25" s="97"/>
      <c r="C25" s="91"/>
      <c r="D25" s="91"/>
      <c r="E25" s="91"/>
      <c r="F25" s="92"/>
      <c r="G25" s="92"/>
      <c r="H25" s="100"/>
      <c r="I25" s="222"/>
      <c r="J25" s="274"/>
      <c r="K25" s="273"/>
      <c r="L25" s="273"/>
      <c r="M25" s="276"/>
      <c r="N25" s="276"/>
    </row>
    <row r="26" spans="2:14" ht="12.75">
      <c r="B26" s="97"/>
      <c r="C26" s="91" t="str">
        <f>"-Carcinogens equivalent to "&amp;IF(J26=0,0,TEXT(J26,"#,###"))&amp;" pounds of a benzene, a toxic chemical proven to cause leukemia in humans."</f>
        <v>-Carcinogens equivalent to 0 pounds of a benzene, a toxic chemical proven to cause leukemia in humans.</v>
      </c>
      <c r="D26" s="91"/>
      <c r="E26" s="91"/>
      <c r="F26" s="92"/>
      <c r="G26" s="92"/>
      <c r="H26" s="100"/>
      <c r="I26" s="222"/>
      <c r="J26" s="278">
        <f>'Composting Env. Benefits'!H25</f>
        <v>0</v>
      </c>
      <c r="K26" s="273"/>
      <c r="L26" s="273"/>
      <c r="M26" s="276"/>
      <c r="N26" s="276"/>
    </row>
    <row r="27" spans="2:14" ht="12.75">
      <c r="B27" s="97"/>
      <c r="C27" s="91"/>
      <c r="D27" s="91"/>
      <c r="E27" s="91"/>
      <c r="F27" s="92"/>
      <c r="G27" s="92"/>
      <c r="H27" s="100"/>
      <c r="I27" s="222"/>
      <c r="J27" s="274"/>
      <c r="K27" s="273"/>
      <c r="L27" s="273"/>
      <c r="M27" s="276"/>
      <c r="N27" s="276"/>
    </row>
    <row r="28" spans="2:14" ht="12.75">
      <c r="B28" s="97"/>
      <c r="C28" s="91" t="str">
        <f>"-Eutrophication equivalent to "&amp;IF(J28=0,0,TEXT(J28,"#,###"))&amp;" pounds of nitrogen, commonly used as a nutrient in fertilizers."</f>
        <v>-Eutrophication equivalent to 0 pounds of nitrogen, commonly used as a nutrient in fertilizers.</v>
      </c>
      <c r="D28" s="91"/>
      <c r="E28" s="91"/>
      <c r="F28" s="92"/>
      <c r="G28" s="92"/>
      <c r="H28" s="100"/>
      <c r="I28" s="222"/>
      <c r="J28" s="274">
        <f>'Composting Env. Benefits'!$H$26</f>
        <v>0</v>
      </c>
      <c r="K28" s="273"/>
      <c r="L28" s="273"/>
      <c r="M28" s="276"/>
      <c r="N28" s="276"/>
    </row>
    <row r="29" spans="2:14" ht="12.75">
      <c r="B29" s="97"/>
      <c r="C29" s="91"/>
      <c r="D29" s="91"/>
      <c r="E29" s="91"/>
      <c r="F29" s="92"/>
      <c r="G29" s="92"/>
      <c r="H29" s="100"/>
      <c r="I29" s="222"/>
      <c r="J29" s="274"/>
      <c r="K29" s="273"/>
      <c r="L29" s="273"/>
      <c r="M29" s="276"/>
      <c r="N29" s="276"/>
    </row>
    <row r="30" spans="2:14" ht="12.75">
      <c r="B30" s="97"/>
      <c r="C30" s="549" t="str">
        <f>"-Acidification equivalent to "&amp;IF(J30=0,0,TEXT(J30,"#,###"))&amp;" pounds of sulfur dioxide (SO2) per year.  SO2 has been linked to acid rain, which damages trees, crops, historic buildings, and monuments; and makes soils, lakes, and streams acidic. This level of SO2 emissions is equal to the amount of SO2 generated"</f>
        <v>-Acidification equivalent to 0 pounds of sulfur dioxide (SO2) per year.  SO2 has been linked to acid rain, which damages trees, crops, historic buildings, and monuments; and makes soils, lakes, and streams acidic. This level of SO2 emissions is equal to the amount of SO2 generated</v>
      </c>
      <c r="D30" s="549"/>
      <c r="E30" s="549"/>
      <c r="F30" s="549"/>
      <c r="G30" s="549"/>
      <c r="H30" s="100"/>
      <c r="I30" s="222"/>
      <c r="J30" s="274">
        <f>('Composting Env. Benefits'!$H$27)</f>
        <v>0</v>
      </c>
      <c r="K30" s="275">
        <v>40.3</v>
      </c>
      <c r="L30" s="273">
        <f>J30/K30*1000</f>
        <v>0</v>
      </c>
      <c r="M30" s="4" t="s">
        <v>83</v>
      </c>
      <c r="N30" s="276" t="s">
        <v>133</v>
      </c>
    </row>
    <row r="31" spans="2:14" ht="12.75">
      <c r="B31" s="97"/>
      <c r="C31" s="549"/>
      <c r="D31" s="549"/>
      <c r="E31" s="549"/>
      <c r="F31" s="549"/>
      <c r="G31" s="549"/>
      <c r="H31" s="100"/>
      <c r="I31" s="222"/>
      <c r="J31" s="274"/>
      <c r="K31" s="273"/>
      <c r="L31" s="273"/>
      <c r="M31" s="276"/>
      <c r="N31" s="276"/>
    </row>
    <row r="32" spans="2:14" ht="12.75">
      <c r="B32" s="97"/>
      <c r="C32" s="246" t="str">
        <f>"during the production of "&amp;IF(L30=0,0,TEXT(L30,"#,###"))&amp;" Kilowatt-Hours of electricity at the most polluting power plant (in terms of SO2) in the US."</f>
        <v>during the production of 0 Kilowatt-Hours of electricity at the most polluting power plant (in terms of SO2) in the US.</v>
      </c>
      <c r="D32" s="92"/>
      <c r="E32" s="92"/>
      <c r="F32" s="92"/>
      <c r="G32" s="92"/>
      <c r="H32" s="100"/>
      <c r="I32" s="222"/>
      <c r="J32" s="274"/>
      <c r="K32" s="273"/>
      <c r="L32" s="273"/>
      <c r="M32" s="276"/>
      <c r="N32" s="276"/>
    </row>
    <row r="33" spans="2:14" ht="12.75">
      <c r="B33" s="97"/>
      <c r="C33" s="246"/>
      <c r="D33" s="92"/>
      <c r="E33" s="92"/>
      <c r="F33" s="92"/>
      <c r="G33" s="92"/>
      <c r="H33" s="100"/>
      <c r="I33" s="222"/>
      <c r="J33" s="274"/>
      <c r="K33" s="273"/>
      <c r="L33" s="273"/>
      <c r="M33" s="276"/>
      <c r="N33" s="276"/>
    </row>
    <row r="34" spans="2:14" ht="12.75">
      <c r="B34" s="97"/>
      <c r="C34" s="91" t="str">
        <f>"-Ecosystems toxicity equivalent to "&amp;IF(J34=0,0,TEXT(J34,"#,###"))&amp;" pounds of 2,4-D, a commonly used agricultural and residential pesticide."</f>
        <v>-Ecosystems toxicity equivalent to 0 pounds of 2,4-D, a commonly used agricultural and residential pesticide.</v>
      </c>
      <c r="D34" s="91"/>
      <c r="E34" s="91"/>
      <c r="F34" s="92"/>
      <c r="G34" s="92"/>
      <c r="H34" s="100"/>
      <c r="I34" s="222"/>
      <c r="J34" s="274">
        <f>'Composting Env. Benefits'!$H$28</f>
        <v>0</v>
      </c>
      <c r="K34" s="273"/>
      <c r="L34" s="273"/>
      <c r="M34" s="276"/>
      <c r="N34" s="276"/>
    </row>
    <row r="35" spans="2:14" ht="12.75">
      <c r="B35" s="102"/>
      <c r="C35" s="103"/>
      <c r="D35" s="103"/>
      <c r="E35" s="103"/>
      <c r="F35" s="104"/>
      <c r="G35" s="104"/>
      <c r="H35" s="105"/>
      <c r="I35" s="224"/>
      <c r="J35" s="272"/>
      <c r="K35" s="273"/>
      <c r="L35" s="273"/>
      <c r="M35" s="276"/>
      <c r="N35" s="276"/>
    </row>
    <row r="36" ht="12.75">
      <c r="I36" s="224"/>
    </row>
    <row r="37" ht="12.75">
      <c r="I37" s="222"/>
    </row>
    <row r="42" spans="4:5" ht="12.75">
      <c r="D42" s="93"/>
      <c r="E42" s="93"/>
    </row>
  </sheetData>
  <sheetProtection password="98CB" sheet="1" objects="1" scenarios="1"/>
  <mergeCells count="8">
    <mergeCell ref="J4:N4"/>
    <mergeCell ref="C30:G31"/>
    <mergeCell ref="C4:G4"/>
    <mergeCell ref="C3:G3"/>
    <mergeCell ref="C19:F19"/>
    <mergeCell ref="C15:G15"/>
    <mergeCell ref="C13:G13"/>
    <mergeCell ref="C21:G22"/>
  </mergeCells>
  <printOptions horizontalCentered="1"/>
  <pageMargins left="0.5" right="0.5" top="1" bottom="0.5" header="0.5" footer="0.5"/>
  <pageSetup fitToHeight="0" fitToWidth="1" horizontalDpi="600" verticalDpi="600" orientation="portrait" scale="74" r:id="rId2"/>
  <headerFooter alignWithMargins="0">
    <oddHeader>&amp;C&amp;F</oddHeader>
  </headerFooter>
  <picture r:id="rId1"/>
</worksheet>
</file>

<file path=xl/worksheets/sheet9.xml><?xml version="1.0" encoding="utf-8"?>
<worksheet xmlns="http://schemas.openxmlformats.org/spreadsheetml/2006/main" xmlns:r="http://schemas.openxmlformats.org/officeDocument/2006/relationships">
  <sheetPr codeName="Sheet7"/>
  <dimension ref="A1:AC132"/>
  <sheetViews>
    <sheetView zoomScalePageLayoutView="0" workbookViewId="0" topLeftCell="A64">
      <selection activeCell="C4" sqref="C4:F4"/>
    </sheetView>
  </sheetViews>
  <sheetFormatPr defaultColWidth="9.140625" defaultRowHeight="12.75"/>
  <cols>
    <col min="1" max="1" width="4.7109375" style="0" customWidth="1"/>
    <col min="2" max="2" width="5.7109375" style="0" customWidth="1"/>
    <col min="3" max="3" width="27.8515625" style="0" customWidth="1"/>
    <col min="4" max="4" width="37.7109375" style="0" customWidth="1"/>
    <col min="5" max="5" width="27.28125" style="0" customWidth="1"/>
    <col min="6" max="6" width="27.8515625" style="0" customWidth="1"/>
    <col min="7" max="7" width="7.421875" style="0" customWidth="1"/>
  </cols>
  <sheetData>
    <row r="1" spans="1:29" ht="13.5" thickBot="1">
      <c r="A1" s="37"/>
      <c r="B1" s="38"/>
      <c r="C1" s="38"/>
      <c r="D1" s="37"/>
      <c r="E1" s="37"/>
      <c r="F1" s="37"/>
      <c r="G1" s="37"/>
      <c r="H1" s="37"/>
      <c r="I1" s="37"/>
      <c r="J1" s="37"/>
      <c r="K1" s="37"/>
      <c r="L1" s="37"/>
      <c r="M1" s="37"/>
      <c r="N1" s="37"/>
      <c r="O1" s="37"/>
      <c r="P1" s="37"/>
      <c r="Q1" s="37"/>
      <c r="R1" s="37"/>
      <c r="S1" s="37"/>
      <c r="T1" s="37"/>
      <c r="U1" s="37"/>
      <c r="V1" s="37"/>
      <c r="W1" s="37"/>
      <c r="X1" s="37"/>
      <c r="Y1" s="37"/>
      <c r="Z1" s="37"/>
      <c r="AA1" s="37"/>
      <c r="AB1" s="37"/>
      <c r="AC1" s="37"/>
    </row>
    <row r="2" spans="1:29" ht="12.75">
      <c r="A2" s="37"/>
      <c r="B2" s="564" t="s">
        <v>519</v>
      </c>
      <c r="C2" s="565"/>
      <c r="D2" s="39"/>
      <c r="E2" s="39"/>
      <c r="F2" s="39"/>
      <c r="G2" s="40"/>
      <c r="H2" s="37"/>
      <c r="I2" s="37"/>
      <c r="J2" s="37"/>
      <c r="K2" s="37"/>
      <c r="L2" s="37"/>
      <c r="M2" s="37"/>
      <c r="N2" s="37"/>
      <c r="O2" s="37"/>
      <c r="P2" s="37"/>
      <c r="Q2" s="37"/>
      <c r="R2" s="37"/>
      <c r="S2" s="37"/>
      <c r="T2" s="37"/>
      <c r="U2" s="37"/>
      <c r="V2" s="37"/>
      <c r="W2" s="37"/>
      <c r="X2" s="37"/>
      <c r="Y2" s="37"/>
      <c r="Z2" s="37"/>
      <c r="AA2" s="37"/>
      <c r="AB2" s="37"/>
      <c r="AC2" s="37"/>
    </row>
    <row r="3" spans="1:29" ht="8.25" customHeight="1">
      <c r="A3" s="37"/>
      <c r="B3" s="41"/>
      <c r="C3" s="42"/>
      <c r="D3" s="42"/>
      <c r="E3" s="42"/>
      <c r="F3" s="42"/>
      <c r="G3" s="43"/>
      <c r="H3" s="37"/>
      <c r="I3" s="37"/>
      <c r="J3" s="37"/>
      <c r="K3" s="37"/>
      <c r="L3" s="37"/>
      <c r="M3" s="37"/>
      <c r="N3" s="37"/>
      <c r="O3" s="37"/>
      <c r="P3" s="37"/>
      <c r="Q3" s="37"/>
      <c r="R3" s="37"/>
      <c r="S3" s="37"/>
      <c r="T3" s="37"/>
      <c r="U3" s="37"/>
      <c r="V3" s="37"/>
      <c r="W3" s="37"/>
      <c r="X3" s="37"/>
      <c r="Y3" s="37"/>
      <c r="Z3" s="37"/>
      <c r="AA3" s="37"/>
      <c r="AB3" s="37"/>
      <c r="AC3" s="37"/>
    </row>
    <row r="4" spans="1:29" ht="16.5" customHeight="1">
      <c r="A4" s="37"/>
      <c r="B4" s="41"/>
      <c r="C4" s="566" t="s">
        <v>332</v>
      </c>
      <c r="D4" s="567"/>
      <c r="E4" s="567"/>
      <c r="F4" s="567"/>
      <c r="G4" s="43"/>
      <c r="H4" s="37"/>
      <c r="I4" s="37"/>
      <c r="J4" s="37"/>
      <c r="K4" s="37"/>
      <c r="L4" s="37"/>
      <c r="M4" s="37"/>
      <c r="N4" s="37"/>
      <c r="O4" s="37"/>
      <c r="P4" s="37"/>
      <c r="Q4" s="37"/>
      <c r="R4" s="37"/>
      <c r="S4" s="37"/>
      <c r="T4" s="37"/>
      <c r="U4" s="37"/>
      <c r="V4" s="37"/>
      <c r="W4" s="37"/>
      <c r="X4" s="37"/>
      <c r="Y4" s="37"/>
      <c r="Z4" s="37"/>
      <c r="AA4" s="37"/>
      <c r="AB4" s="37"/>
      <c r="AC4" s="37"/>
    </row>
    <row r="5" spans="1:29" ht="10.5" customHeight="1">
      <c r="A5" s="37"/>
      <c r="B5" s="44"/>
      <c r="C5" s="45"/>
      <c r="D5" s="42"/>
      <c r="E5" s="42"/>
      <c r="F5" s="42"/>
      <c r="G5" s="43"/>
      <c r="H5" s="37"/>
      <c r="I5" s="37"/>
      <c r="J5" s="37"/>
      <c r="K5" s="37"/>
      <c r="L5" s="37"/>
      <c r="M5" s="37"/>
      <c r="N5" s="37"/>
      <c r="O5" s="37"/>
      <c r="P5" s="37"/>
      <c r="Q5" s="37"/>
      <c r="R5" s="37"/>
      <c r="S5" s="37"/>
      <c r="T5" s="37"/>
      <c r="U5" s="37"/>
      <c r="V5" s="37"/>
      <c r="W5" s="37"/>
      <c r="X5" s="37"/>
      <c r="Y5" s="37"/>
      <c r="Z5" s="37"/>
      <c r="AA5" s="37"/>
      <c r="AB5" s="37"/>
      <c r="AC5" s="37"/>
    </row>
    <row r="6" spans="1:29" ht="15">
      <c r="A6" s="37"/>
      <c r="B6" s="44"/>
      <c r="C6" s="46" t="s">
        <v>309</v>
      </c>
      <c r="D6" s="42"/>
      <c r="E6" s="42"/>
      <c r="F6" s="42"/>
      <c r="G6" s="43"/>
      <c r="H6" s="37"/>
      <c r="I6" s="37"/>
      <c r="J6" s="37"/>
      <c r="K6" s="37"/>
      <c r="L6" s="37"/>
      <c r="M6" s="37"/>
      <c r="N6" s="37"/>
      <c r="O6" s="37"/>
      <c r="P6" s="37"/>
      <c r="Q6" s="37"/>
      <c r="R6" s="37"/>
      <c r="S6" s="37"/>
      <c r="T6" s="37"/>
      <c r="U6" s="37"/>
      <c r="V6" s="37"/>
      <c r="W6" s="37"/>
      <c r="X6" s="37"/>
      <c r="Y6" s="37"/>
      <c r="Z6" s="37"/>
      <c r="AA6" s="37"/>
      <c r="AB6" s="37"/>
      <c r="AC6" s="37"/>
    </row>
    <row r="7" spans="1:29" ht="57.75" customHeight="1">
      <c r="A7" s="37"/>
      <c r="B7" s="47"/>
      <c r="C7" s="568" t="s">
        <v>370</v>
      </c>
      <c r="D7" s="568"/>
      <c r="E7" s="568"/>
      <c r="F7" s="568"/>
      <c r="G7" s="49"/>
      <c r="H7" s="50"/>
      <c r="I7" s="37"/>
      <c r="J7" s="37"/>
      <c r="K7" s="37"/>
      <c r="L7" s="37"/>
      <c r="M7" s="37"/>
      <c r="N7" s="37"/>
      <c r="O7" s="37"/>
      <c r="P7" s="37"/>
      <c r="Q7" s="37"/>
      <c r="R7" s="37"/>
      <c r="S7" s="37"/>
      <c r="T7" s="37"/>
      <c r="U7" s="37"/>
      <c r="V7" s="37"/>
      <c r="W7" s="37"/>
      <c r="X7" s="37"/>
      <c r="Y7" s="37"/>
      <c r="Z7" s="37"/>
      <c r="AA7" s="37"/>
      <c r="AB7" s="37"/>
      <c r="AC7" s="37"/>
    </row>
    <row r="8" spans="1:29" ht="12.75" customHeight="1">
      <c r="A8" s="37"/>
      <c r="B8" s="47"/>
      <c r="C8" s="51"/>
      <c r="D8" s="52"/>
      <c r="E8" s="53"/>
      <c r="F8" s="53"/>
      <c r="G8" s="49"/>
      <c r="H8" s="50"/>
      <c r="I8" s="37"/>
      <c r="J8" s="37"/>
      <c r="K8" s="37"/>
      <c r="L8" s="37"/>
      <c r="M8" s="37"/>
      <c r="N8" s="37"/>
      <c r="O8" s="37"/>
      <c r="P8" s="37"/>
      <c r="Q8" s="37"/>
      <c r="R8" s="37"/>
      <c r="S8" s="37"/>
      <c r="T8" s="37"/>
      <c r="U8" s="37"/>
      <c r="V8" s="37"/>
      <c r="W8" s="37"/>
      <c r="X8" s="37"/>
      <c r="Y8" s="37"/>
      <c r="Z8" s="37"/>
      <c r="AA8" s="37"/>
      <c r="AB8" s="37"/>
      <c r="AC8" s="37"/>
    </row>
    <row r="9" spans="1:29" ht="15" customHeight="1">
      <c r="A9" s="37"/>
      <c r="B9" s="41"/>
      <c r="C9" s="46" t="s">
        <v>310</v>
      </c>
      <c r="D9" s="54"/>
      <c r="E9" s="54"/>
      <c r="F9" s="54"/>
      <c r="G9" s="43"/>
      <c r="H9" s="37"/>
      <c r="I9" s="37"/>
      <c r="J9" s="37"/>
      <c r="K9" s="37"/>
      <c r="L9" s="37"/>
      <c r="M9" s="37"/>
      <c r="N9" s="37"/>
      <c r="O9" s="37"/>
      <c r="P9" s="37"/>
      <c r="Q9" s="37"/>
      <c r="R9" s="37"/>
      <c r="S9" s="37"/>
      <c r="T9" s="37"/>
      <c r="U9" s="37"/>
      <c r="V9" s="37"/>
      <c r="W9" s="37"/>
      <c r="X9" s="37"/>
      <c r="Y9" s="37"/>
      <c r="Z9" s="37"/>
      <c r="AA9" s="37"/>
      <c r="AB9" s="37"/>
      <c r="AC9" s="37"/>
    </row>
    <row r="10" spans="1:29" ht="35.25" customHeight="1">
      <c r="A10" s="37"/>
      <c r="B10" s="41"/>
      <c r="C10" s="568" t="s">
        <v>346</v>
      </c>
      <c r="D10" s="568"/>
      <c r="E10" s="568"/>
      <c r="F10" s="568"/>
      <c r="G10" s="43"/>
      <c r="H10" s="37"/>
      <c r="I10" s="37"/>
      <c r="J10" s="37"/>
      <c r="K10" s="37"/>
      <c r="L10" s="37"/>
      <c r="M10" s="37"/>
      <c r="N10" s="37"/>
      <c r="O10" s="37"/>
      <c r="P10" s="37"/>
      <c r="Q10" s="37"/>
      <c r="R10" s="37"/>
      <c r="S10" s="37"/>
      <c r="T10" s="37"/>
      <c r="U10" s="37"/>
      <c r="V10" s="37"/>
      <c r="W10" s="37"/>
      <c r="X10" s="37"/>
      <c r="Y10" s="37"/>
      <c r="Z10" s="37"/>
      <c r="AA10" s="37"/>
      <c r="AB10" s="37"/>
      <c r="AC10" s="37"/>
    </row>
    <row r="11" spans="1:29" ht="10.5" customHeight="1">
      <c r="A11" s="37"/>
      <c r="B11" s="41"/>
      <c r="C11" s="56"/>
      <c r="D11" s="57"/>
      <c r="E11" s="57"/>
      <c r="F11" s="57"/>
      <c r="G11" s="43"/>
      <c r="H11" s="37"/>
      <c r="I11" s="37"/>
      <c r="J11" s="37"/>
      <c r="K11" s="37"/>
      <c r="L11" s="37"/>
      <c r="M11" s="37"/>
      <c r="N11" s="37"/>
      <c r="O11" s="37"/>
      <c r="P11" s="37"/>
      <c r="Q11" s="37"/>
      <c r="R11" s="37"/>
      <c r="S11" s="37"/>
      <c r="T11" s="37"/>
      <c r="U11" s="37"/>
      <c r="V11" s="37"/>
      <c r="W11" s="37"/>
      <c r="X11" s="37"/>
      <c r="Y11" s="37"/>
      <c r="Z11" s="37"/>
      <c r="AA11" s="37"/>
      <c r="AB11" s="37"/>
      <c r="AC11" s="37"/>
    </row>
    <row r="12" spans="1:29" ht="35.25" customHeight="1">
      <c r="A12" s="37"/>
      <c r="B12" s="41"/>
      <c r="C12" s="569" t="s">
        <v>311</v>
      </c>
      <c r="D12" s="569"/>
      <c r="E12" s="58"/>
      <c r="F12" s="58"/>
      <c r="G12" s="43"/>
      <c r="H12" s="37"/>
      <c r="I12" s="37"/>
      <c r="J12" s="37"/>
      <c r="K12" s="37"/>
      <c r="L12" s="37"/>
      <c r="M12" s="37"/>
      <c r="N12" s="37"/>
      <c r="O12" s="37"/>
      <c r="P12" s="37"/>
      <c r="Q12" s="37"/>
      <c r="R12" s="37"/>
      <c r="S12" s="37"/>
      <c r="T12" s="37"/>
      <c r="U12" s="37"/>
      <c r="V12" s="37"/>
      <c r="W12" s="37"/>
      <c r="X12" s="37"/>
      <c r="Y12" s="37"/>
      <c r="Z12" s="37"/>
      <c r="AA12" s="37"/>
      <c r="AB12" s="37"/>
      <c r="AC12" s="37"/>
    </row>
    <row r="13" spans="1:29" ht="40.5" customHeight="1">
      <c r="A13" s="37"/>
      <c r="B13" s="41"/>
      <c r="C13" s="558" t="s">
        <v>312</v>
      </c>
      <c r="D13" s="558"/>
      <c r="E13" s="59"/>
      <c r="F13" s="59"/>
      <c r="G13" s="43"/>
      <c r="H13" s="37"/>
      <c r="I13" s="37"/>
      <c r="J13" s="37"/>
      <c r="K13" s="37"/>
      <c r="L13" s="37"/>
      <c r="M13" s="37"/>
      <c r="N13" s="37"/>
      <c r="O13" s="37"/>
      <c r="P13" s="37"/>
      <c r="Q13" s="37"/>
      <c r="R13" s="37"/>
      <c r="S13" s="37"/>
      <c r="T13" s="37"/>
      <c r="U13" s="37"/>
      <c r="V13" s="37"/>
      <c r="W13" s="37"/>
      <c r="X13" s="37"/>
      <c r="Y13" s="37"/>
      <c r="Z13" s="37"/>
      <c r="AA13" s="37"/>
      <c r="AB13" s="37"/>
      <c r="AC13" s="37"/>
    </row>
    <row r="14" spans="1:29" ht="38.25">
      <c r="A14" s="37"/>
      <c r="B14" s="41"/>
      <c r="C14" s="576" t="s">
        <v>124</v>
      </c>
      <c r="D14" s="576"/>
      <c r="E14" s="59"/>
      <c r="F14" s="59"/>
      <c r="G14" s="43"/>
      <c r="H14" s="37"/>
      <c r="I14" s="37"/>
      <c r="J14" s="37"/>
      <c r="K14" s="37"/>
      <c r="L14" s="37"/>
      <c r="M14" s="37"/>
      <c r="N14" s="37"/>
      <c r="O14" s="37"/>
      <c r="P14" s="37"/>
      <c r="Q14" s="37"/>
      <c r="R14" s="37"/>
      <c r="S14" s="37"/>
      <c r="T14" s="37"/>
      <c r="U14" s="37"/>
      <c r="V14" s="37"/>
      <c r="W14" s="37"/>
      <c r="X14" s="37"/>
      <c r="Y14" s="37"/>
      <c r="Z14" s="37"/>
      <c r="AA14" s="37"/>
      <c r="AB14" s="37"/>
      <c r="AC14" s="37"/>
    </row>
    <row r="15" spans="1:29" ht="22.5" customHeight="1">
      <c r="A15" s="37"/>
      <c r="B15" s="41"/>
      <c r="C15" s="558" t="s">
        <v>329</v>
      </c>
      <c r="D15" s="558"/>
      <c r="E15" s="59"/>
      <c r="F15" s="59"/>
      <c r="G15" s="43"/>
      <c r="H15" s="37"/>
      <c r="I15" s="37"/>
      <c r="J15" s="37"/>
      <c r="K15" s="37"/>
      <c r="L15" s="37"/>
      <c r="M15" s="37"/>
      <c r="N15" s="37"/>
      <c r="O15" s="37"/>
      <c r="P15" s="37"/>
      <c r="Q15" s="37"/>
      <c r="R15" s="37"/>
      <c r="S15" s="37"/>
      <c r="T15" s="37"/>
      <c r="U15" s="37"/>
      <c r="V15" s="37"/>
      <c r="W15" s="37"/>
      <c r="X15" s="37"/>
      <c r="Y15" s="37"/>
      <c r="Z15" s="37"/>
      <c r="AA15" s="37"/>
      <c r="AB15" s="37"/>
      <c r="AC15" s="37"/>
    </row>
    <row r="16" spans="1:29" ht="9" customHeight="1">
      <c r="A16" s="37"/>
      <c r="B16" s="41"/>
      <c r="C16" s="577"/>
      <c r="D16" s="578"/>
      <c r="E16" s="59"/>
      <c r="F16" s="59"/>
      <c r="G16" s="43"/>
      <c r="H16" s="37"/>
      <c r="I16" s="37"/>
      <c r="J16" s="37"/>
      <c r="K16" s="37"/>
      <c r="L16" s="37"/>
      <c r="M16" s="37"/>
      <c r="N16" s="37"/>
      <c r="O16" s="37"/>
      <c r="P16" s="37"/>
      <c r="Q16" s="37"/>
      <c r="R16" s="37"/>
      <c r="S16" s="37"/>
      <c r="T16" s="37"/>
      <c r="U16" s="37"/>
      <c r="V16" s="37"/>
      <c r="W16" s="37"/>
      <c r="X16" s="37"/>
      <c r="Y16" s="37"/>
      <c r="Z16" s="37"/>
      <c r="AA16" s="37"/>
      <c r="AB16" s="37"/>
      <c r="AC16" s="37"/>
    </row>
    <row r="17" spans="1:29" ht="27" customHeight="1">
      <c r="A17" s="37"/>
      <c r="B17" s="41"/>
      <c r="C17" s="558" t="s">
        <v>82</v>
      </c>
      <c r="D17" s="558"/>
      <c r="E17" s="59"/>
      <c r="F17" s="59"/>
      <c r="G17" s="43"/>
      <c r="H17" s="37"/>
      <c r="I17" s="37"/>
      <c r="J17" s="37"/>
      <c r="K17" s="37"/>
      <c r="L17" s="37"/>
      <c r="M17" s="37"/>
      <c r="N17" s="37"/>
      <c r="O17" s="37"/>
      <c r="P17" s="37"/>
      <c r="Q17" s="37"/>
      <c r="R17" s="37"/>
      <c r="S17" s="37"/>
      <c r="T17" s="37"/>
      <c r="U17" s="37"/>
      <c r="V17" s="37"/>
      <c r="W17" s="37"/>
      <c r="X17" s="37"/>
      <c r="Y17" s="37"/>
      <c r="Z17" s="37"/>
      <c r="AA17" s="37"/>
      <c r="AB17" s="37"/>
      <c r="AC17" s="37"/>
    </row>
    <row r="18" spans="1:29" ht="45.75" customHeight="1">
      <c r="A18" s="37"/>
      <c r="B18" s="41"/>
      <c r="C18" s="558" t="s">
        <v>330</v>
      </c>
      <c r="D18" s="558"/>
      <c r="E18" s="59"/>
      <c r="F18" s="59"/>
      <c r="G18" s="43"/>
      <c r="H18" s="37"/>
      <c r="I18" s="37"/>
      <c r="J18" s="37"/>
      <c r="K18" s="37"/>
      <c r="L18" s="37"/>
      <c r="M18" s="37"/>
      <c r="N18" s="37"/>
      <c r="O18" s="37"/>
      <c r="P18" s="37"/>
      <c r="Q18" s="37"/>
      <c r="R18" s="37"/>
      <c r="S18" s="37"/>
      <c r="T18" s="37"/>
      <c r="U18" s="37"/>
      <c r="V18" s="37"/>
      <c r="W18" s="37"/>
      <c r="X18" s="37"/>
      <c r="Y18" s="37"/>
      <c r="Z18" s="37"/>
      <c r="AA18" s="37"/>
      <c r="AB18" s="37"/>
      <c r="AC18" s="37"/>
    </row>
    <row r="19" spans="1:29" ht="38.25">
      <c r="A19" s="37"/>
      <c r="B19" s="41"/>
      <c r="C19" s="559" t="s">
        <v>125</v>
      </c>
      <c r="D19" s="559"/>
      <c r="E19" s="54"/>
      <c r="F19" s="54"/>
      <c r="G19" s="43"/>
      <c r="H19" s="37"/>
      <c r="I19" s="37"/>
      <c r="J19" s="37"/>
      <c r="K19" s="37"/>
      <c r="L19" s="37"/>
      <c r="M19" s="37"/>
      <c r="N19" s="37"/>
      <c r="O19" s="37"/>
      <c r="P19" s="37"/>
      <c r="Q19" s="37"/>
      <c r="R19" s="37"/>
      <c r="S19" s="37"/>
      <c r="T19" s="37"/>
      <c r="U19" s="37"/>
      <c r="V19" s="37"/>
      <c r="W19" s="37"/>
      <c r="X19" s="37"/>
      <c r="Y19" s="37"/>
      <c r="Z19" s="37"/>
      <c r="AA19" s="37"/>
      <c r="AB19" s="37"/>
      <c r="AC19" s="37"/>
    </row>
    <row r="20" spans="1:29" ht="15">
      <c r="A20" s="37"/>
      <c r="B20" s="41"/>
      <c r="C20" s="55"/>
      <c r="D20" s="54"/>
      <c r="E20" s="54"/>
      <c r="F20" s="54"/>
      <c r="G20" s="43"/>
      <c r="H20" s="37"/>
      <c r="I20" s="37"/>
      <c r="J20" s="37"/>
      <c r="K20" s="37"/>
      <c r="L20" s="37"/>
      <c r="M20" s="37"/>
      <c r="N20" s="37"/>
      <c r="O20" s="37"/>
      <c r="P20" s="37"/>
      <c r="Q20" s="37"/>
      <c r="R20" s="37"/>
      <c r="S20" s="37"/>
      <c r="T20" s="37"/>
      <c r="U20" s="37"/>
      <c r="V20" s="37"/>
      <c r="W20" s="37"/>
      <c r="X20" s="37"/>
      <c r="Y20" s="37"/>
      <c r="Z20" s="37"/>
      <c r="AA20" s="37"/>
      <c r="AB20" s="37"/>
      <c r="AC20" s="37"/>
    </row>
    <row r="21" spans="1:29" ht="15">
      <c r="A21" s="37"/>
      <c r="B21" s="41"/>
      <c r="C21" s="46" t="s">
        <v>160</v>
      </c>
      <c r="D21" s="54"/>
      <c r="E21" s="54"/>
      <c r="F21" s="54"/>
      <c r="G21" s="43"/>
      <c r="H21" s="37"/>
      <c r="I21" s="37"/>
      <c r="J21" s="37"/>
      <c r="K21" s="37"/>
      <c r="L21" s="37"/>
      <c r="M21" s="37"/>
      <c r="N21" s="37"/>
      <c r="O21" s="37"/>
      <c r="P21" s="37"/>
      <c r="Q21" s="37"/>
      <c r="R21" s="37"/>
      <c r="S21" s="37"/>
      <c r="T21" s="37"/>
      <c r="U21" s="37"/>
      <c r="V21" s="37"/>
      <c r="W21" s="37"/>
      <c r="X21" s="37"/>
      <c r="Y21" s="37"/>
      <c r="Z21" s="37"/>
      <c r="AA21" s="37"/>
      <c r="AB21" s="37"/>
      <c r="AC21" s="37"/>
    </row>
    <row r="22" spans="1:29" ht="9" customHeight="1">
      <c r="A22" s="37"/>
      <c r="B22" s="41"/>
      <c r="C22" s="46"/>
      <c r="D22" s="54"/>
      <c r="E22" s="54"/>
      <c r="F22" s="54"/>
      <c r="G22" s="43"/>
      <c r="H22" s="37"/>
      <c r="I22" s="37"/>
      <c r="J22" s="37"/>
      <c r="K22" s="37"/>
      <c r="L22" s="37"/>
      <c r="M22" s="37"/>
      <c r="N22" s="37"/>
      <c r="O22" s="37"/>
      <c r="P22" s="37"/>
      <c r="Q22" s="37"/>
      <c r="R22" s="37"/>
      <c r="S22" s="37"/>
      <c r="T22" s="37"/>
      <c r="U22" s="37"/>
      <c r="V22" s="37"/>
      <c r="W22" s="37"/>
      <c r="X22" s="37"/>
      <c r="Y22" s="37"/>
      <c r="Z22" s="37"/>
      <c r="AA22" s="37"/>
      <c r="AB22" s="37"/>
      <c r="AC22" s="37"/>
    </row>
    <row r="23" spans="1:29" ht="87.75" customHeight="1">
      <c r="A23" s="37"/>
      <c r="B23" s="41"/>
      <c r="C23" s="562" t="s">
        <v>87</v>
      </c>
      <c r="D23" s="562"/>
      <c r="E23" s="562"/>
      <c r="F23" s="562"/>
      <c r="G23" s="43"/>
      <c r="H23" s="37"/>
      <c r="I23" s="37"/>
      <c r="J23" s="37"/>
      <c r="K23" s="37"/>
      <c r="L23" s="37"/>
      <c r="M23" s="37"/>
      <c r="N23" s="37"/>
      <c r="O23" s="37"/>
      <c r="P23" s="37"/>
      <c r="Q23" s="37"/>
      <c r="R23" s="37"/>
      <c r="S23" s="37"/>
      <c r="T23" s="37"/>
      <c r="U23" s="37"/>
      <c r="V23" s="37"/>
      <c r="W23" s="37"/>
      <c r="X23" s="37"/>
      <c r="Y23" s="37"/>
      <c r="Z23" s="37"/>
      <c r="AA23" s="37"/>
      <c r="AB23" s="37"/>
      <c r="AC23" s="37"/>
    </row>
    <row r="24" spans="1:29" ht="14.25" customHeight="1">
      <c r="A24" s="37"/>
      <c r="B24" s="41"/>
      <c r="C24" s="582" t="s">
        <v>161</v>
      </c>
      <c r="D24" s="582"/>
      <c r="E24" s="583"/>
      <c r="F24" s="583"/>
      <c r="G24" s="43"/>
      <c r="H24" s="37"/>
      <c r="I24" s="37"/>
      <c r="J24" s="37"/>
      <c r="K24" s="37"/>
      <c r="L24" s="37"/>
      <c r="M24" s="37"/>
      <c r="N24" s="37"/>
      <c r="O24" s="37"/>
      <c r="P24" s="37"/>
      <c r="Q24" s="37"/>
      <c r="R24" s="37"/>
      <c r="S24" s="37"/>
      <c r="T24" s="37"/>
      <c r="U24" s="37"/>
      <c r="V24" s="37"/>
      <c r="W24" s="37"/>
      <c r="X24" s="37"/>
      <c r="Y24" s="37"/>
      <c r="Z24" s="37"/>
      <c r="AA24" s="37"/>
      <c r="AB24" s="37"/>
      <c r="AC24" s="37"/>
    </row>
    <row r="25" spans="1:29" ht="14.25" customHeight="1">
      <c r="A25" s="37"/>
      <c r="B25" s="41"/>
      <c r="C25" s="230" t="s">
        <v>47</v>
      </c>
      <c r="D25" s="67"/>
      <c r="E25" s="72"/>
      <c r="F25" s="72"/>
      <c r="G25" s="43"/>
      <c r="H25" s="37"/>
      <c r="I25" s="37"/>
      <c r="J25" s="37"/>
      <c r="K25" s="37"/>
      <c r="L25" s="37"/>
      <c r="M25" s="37"/>
      <c r="N25" s="37"/>
      <c r="O25" s="37"/>
      <c r="P25" s="37"/>
      <c r="Q25" s="37"/>
      <c r="R25" s="37"/>
      <c r="S25" s="37"/>
      <c r="T25" s="37"/>
      <c r="U25" s="37"/>
      <c r="V25" s="37"/>
      <c r="W25" s="37"/>
      <c r="X25" s="37"/>
      <c r="Y25" s="37"/>
      <c r="Z25" s="37"/>
      <c r="AA25" s="37"/>
      <c r="AB25" s="37"/>
      <c r="AC25" s="37"/>
    </row>
    <row r="26" spans="1:29" ht="14.25" customHeight="1">
      <c r="A26" s="37"/>
      <c r="B26" s="41"/>
      <c r="C26" s="584" t="s">
        <v>84</v>
      </c>
      <c r="D26" s="584"/>
      <c r="E26" s="72"/>
      <c r="F26" s="72"/>
      <c r="G26" s="43"/>
      <c r="H26" s="37"/>
      <c r="I26" s="37"/>
      <c r="J26" s="37"/>
      <c r="K26" s="37"/>
      <c r="L26" s="37"/>
      <c r="M26" s="37"/>
      <c r="N26" s="37"/>
      <c r="O26" s="37"/>
      <c r="P26" s="37"/>
      <c r="Q26" s="37"/>
      <c r="R26" s="37"/>
      <c r="S26" s="37"/>
      <c r="T26" s="37"/>
      <c r="U26" s="37"/>
      <c r="V26" s="37"/>
      <c r="W26" s="37"/>
      <c r="X26" s="37"/>
      <c r="Y26" s="37"/>
      <c r="Z26" s="37"/>
      <c r="AA26" s="37"/>
      <c r="AB26" s="37"/>
      <c r="AC26" s="37"/>
    </row>
    <row r="27" spans="1:29" ht="14.25" customHeight="1">
      <c r="A27" s="37"/>
      <c r="B27" s="41"/>
      <c r="C27" s="560" t="s">
        <v>81</v>
      </c>
      <c r="D27" s="560"/>
      <c r="E27" s="560"/>
      <c r="F27" s="560"/>
      <c r="G27" s="43"/>
      <c r="H27" s="37"/>
      <c r="I27" s="37"/>
      <c r="J27" s="37"/>
      <c r="K27" s="37"/>
      <c r="L27" s="37"/>
      <c r="M27" s="37"/>
      <c r="N27" s="37"/>
      <c r="O27" s="37"/>
      <c r="P27" s="37"/>
      <c r="Q27" s="37"/>
      <c r="R27" s="37"/>
      <c r="S27" s="37"/>
      <c r="T27" s="37"/>
      <c r="U27" s="37"/>
      <c r="V27" s="37"/>
      <c r="W27" s="37"/>
      <c r="X27" s="37"/>
      <c r="Y27" s="37"/>
      <c r="Z27" s="37"/>
      <c r="AA27" s="37"/>
      <c r="AB27" s="37"/>
      <c r="AC27" s="37"/>
    </row>
    <row r="28" spans="1:29" ht="15">
      <c r="A28" s="37"/>
      <c r="B28" s="41"/>
      <c r="C28" s="46"/>
      <c r="D28" s="54"/>
      <c r="E28" s="54"/>
      <c r="F28" s="54"/>
      <c r="G28" s="43"/>
      <c r="H28" s="37"/>
      <c r="I28" s="37"/>
      <c r="J28" s="37"/>
      <c r="K28" s="37"/>
      <c r="L28" s="37"/>
      <c r="M28" s="37"/>
      <c r="N28" s="37"/>
      <c r="O28" s="37"/>
      <c r="P28" s="37"/>
      <c r="Q28" s="37"/>
      <c r="R28" s="37"/>
      <c r="S28" s="37"/>
      <c r="T28" s="37"/>
      <c r="U28" s="37"/>
      <c r="V28" s="37"/>
      <c r="W28" s="37"/>
      <c r="X28" s="37"/>
      <c r="Y28" s="37"/>
      <c r="Z28" s="37"/>
      <c r="AA28" s="37"/>
      <c r="AB28" s="37"/>
      <c r="AC28" s="37"/>
    </row>
    <row r="29" spans="1:29" ht="15">
      <c r="A29" s="37"/>
      <c r="B29" s="41"/>
      <c r="C29" s="46" t="s">
        <v>335</v>
      </c>
      <c r="D29" s="54"/>
      <c r="E29" s="54"/>
      <c r="F29" s="54"/>
      <c r="G29" s="43"/>
      <c r="H29" s="37"/>
      <c r="I29" s="37"/>
      <c r="J29" s="37"/>
      <c r="K29" s="37"/>
      <c r="L29" s="37"/>
      <c r="M29" s="37"/>
      <c r="N29" s="37"/>
      <c r="O29" s="37"/>
      <c r="P29" s="37"/>
      <c r="Q29" s="37"/>
      <c r="R29" s="37"/>
      <c r="S29" s="37"/>
      <c r="T29" s="37"/>
      <c r="U29" s="37"/>
      <c r="V29" s="37"/>
      <c r="W29" s="37"/>
      <c r="X29" s="37"/>
      <c r="Y29" s="37"/>
      <c r="Z29" s="37"/>
      <c r="AA29" s="37"/>
      <c r="AB29" s="37"/>
      <c r="AC29" s="37"/>
    </row>
    <row r="30" spans="1:29" ht="9" customHeight="1">
      <c r="A30" s="37"/>
      <c r="B30" s="41"/>
      <c r="C30" s="46"/>
      <c r="D30" s="54"/>
      <c r="E30" s="54"/>
      <c r="F30" s="54"/>
      <c r="G30" s="43"/>
      <c r="H30" s="37"/>
      <c r="I30" s="37"/>
      <c r="J30" s="37"/>
      <c r="K30" s="37"/>
      <c r="L30" s="37"/>
      <c r="M30" s="37"/>
      <c r="N30" s="37"/>
      <c r="O30" s="37"/>
      <c r="P30" s="37"/>
      <c r="Q30" s="37"/>
      <c r="R30" s="37"/>
      <c r="S30" s="37"/>
      <c r="T30" s="37"/>
      <c r="U30" s="37"/>
      <c r="V30" s="37"/>
      <c r="W30" s="37"/>
      <c r="X30" s="37"/>
      <c r="Y30" s="37"/>
      <c r="Z30" s="37"/>
      <c r="AA30" s="37"/>
      <c r="AB30" s="37"/>
      <c r="AC30" s="37"/>
    </row>
    <row r="31" spans="1:29" ht="15">
      <c r="A31" s="37"/>
      <c r="B31" s="41"/>
      <c r="C31" s="55" t="s">
        <v>229</v>
      </c>
      <c r="D31" s="54"/>
      <c r="E31" s="54"/>
      <c r="F31" s="54"/>
      <c r="G31" s="43"/>
      <c r="H31" s="37"/>
      <c r="I31" s="37"/>
      <c r="J31" s="37"/>
      <c r="K31" s="37"/>
      <c r="L31" s="37"/>
      <c r="M31" s="37"/>
      <c r="N31" s="37"/>
      <c r="O31" s="37"/>
      <c r="P31" s="37"/>
      <c r="Q31" s="37"/>
      <c r="R31" s="37"/>
      <c r="S31" s="37"/>
      <c r="T31" s="37"/>
      <c r="U31" s="37"/>
      <c r="V31" s="37"/>
      <c r="W31" s="37"/>
      <c r="X31" s="37"/>
      <c r="Y31" s="37"/>
      <c r="Z31" s="37"/>
      <c r="AA31" s="37"/>
      <c r="AB31" s="37"/>
      <c r="AC31" s="37"/>
    </row>
    <row r="32" spans="1:29" ht="26.25" customHeight="1">
      <c r="A32" s="37"/>
      <c r="B32" s="41"/>
      <c r="C32" s="562" t="s">
        <v>347</v>
      </c>
      <c r="D32" s="562"/>
      <c r="E32" s="562"/>
      <c r="F32" s="562"/>
      <c r="G32" s="43"/>
      <c r="H32" s="37"/>
      <c r="I32" s="37"/>
      <c r="J32" s="37"/>
      <c r="K32" s="37"/>
      <c r="L32" s="37"/>
      <c r="M32" s="37"/>
      <c r="N32" s="37"/>
      <c r="O32" s="37"/>
      <c r="P32" s="37"/>
      <c r="Q32" s="37"/>
      <c r="R32" s="37"/>
      <c r="S32" s="37"/>
      <c r="T32" s="37"/>
      <c r="U32" s="37"/>
      <c r="V32" s="37"/>
      <c r="W32" s="37"/>
      <c r="X32" s="37"/>
      <c r="Y32" s="37"/>
      <c r="Z32" s="37"/>
      <c r="AA32" s="37"/>
      <c r="AB32" s="37"/>
      <c r="AC32" s="37"/>
    </row>
    <row r="33" spans="1:29" ht="14.25">
      <c r="A33" s="37"/>
      <c r="B33" s="41"/>
      <c r="C33" s="67" t="s">
        <v>169</v>
      </c>
      <c r="D33" s="54"/>
      <c r="E33" s="54"/>
      <c r="F33" s="54"/>
      <c r="G33" s="43"/>
      <c r="H33" s="37"/>
      <c r="I33" s="37"/>
      <c r="J33" s="37"/>
      <c r="K33" s="37"/>
      <c r="L33" s="37"/>
      <c r="M33" s="37"/>
      <c r="N33" s="37"/>
      <c r="O33" s="37"/>
      <c r="P33" s="37"/>
      <c r="Q33" s="37"/>
      <c r="R33" s="37"/>
      <c r="S33" s="37"/>
      <c r="T33" s="37"/>
      <c r="U33" s="37"/>
      <c r="V33" s="37"/>
      <c r="W33" s="37"/>
      <c r="X33" s="37"/>
      <c r="Y33" s="37"/>
      <c r="Z33" s="37"/>
      <c r="AA33" s="37"/>
      <c r="AB33" s="37"/>
      <c r="AC33" s="37"/>
    </row>
    <row r="34" spans="1:29" ht="14.25">
      <c r="A34" s="37"/>
      <c r="B34" s="41"/>
      <c r="C34" s="60"/>
      <c r="D34" s="54"/>
      <c r="E34" s="54"/>
      <c r="F34" s="54"/>
      <c r="G34" s="43"/>
      <c r="H34" s="37"/>
      <c r="I34" s="37"/>
      <c r="J34" s="37"/>
      <c r="K34" s="37"/>
      <c r="L34" s="37"/>
      <c r="M34" s="37"/>
      <c r="N34" s="37"/>
      <c r="O34" s="37"/>
      <c r="P34" s="37"/>
      <c r="Q34" s="37"/>
      <c r="R34" s="37"/>
      <c r="S34" s="37"/>
      <c r="T34" s="37"/>
      <c r="U34" s="37"/>
      <c r="V34" s="37"/>
      <c r="W34" s="37"/>
      <c r="X34" s="37"/>
      <c r="Y34" s="37"/>
      <c r="Z34" s="37"/>
      <c r="AA34" s="37"/>
      <c r="AB34" s="37"/>
      <c r="AC34" s="37"/>
    </row>
    <row r="35" spans="1:29" ht="15">
      <c r="A35" s="37"/>
      <c r="B35" s="41"/>
      <c r="C35" s="55" t="s">
        <v>316</v>
      </c>
      <c r="D35" s="54"/>
      <c r="E35" s="54"/>
      <c r="F35" s="54"/>
      <c r="G35" s="43"/>
      <c r="H35" s="37"/>
      <c r="I35" s="37"/>
      <c r="J35" s="37"/>
      <c r="K35" s="37"/>
      <c r="L35" s="37"/>
      <c r="M35" s="37"/>
      <c r="N35" s="37"/>
      <c r="O35" s="37"/>
      <c r="P35" s="37"/>
      <c r="Q35" s="37"/>
      <c r="R35" s="37"/>
      <c r="S35" s="37"/>
      <c r="T35" s="37"/>
      <c r="U35" s="37"/>
      <c r="V35" s="37"/>
      <c r="W35" s="37"/>
      <c r="X35" s="37"/>
      <c r="Y35" s="37"/>
      <c r="Z35" s="37"/>
      <c r="AA35" s="37"/>
      <c r="AB35" s="37"/>
      <c r="AC35" s="37"/>
    </row>
    <row r="36" spans="1:29" ht="39.75" customHeight="1">
      <c r="A36" s="37"/>
      <c r="B36" s="41"/>
      <c r="C36" s="562" t="s">
        <v>317</v>
      </c>
      <c r="D36" s="562"/>
      <c r="E36" s="562"/>
      <c r="F36" s="562"/>
      <c r="G36" s="43"/>
      <c r="H36" s="37"/>
      <c r="I36" s="37"/>
      <c r="J36" s="37"/>
      <c r="K36" s="37"/>
      <c r="L36" s="37"/>
      <c r="M36" s="37"/>
      <c r="N36" s="37"/>
      <c r="O36" s="37"/>
      <c r="P36" s="37"/>
      <c r="Q36" s="37"/>
      <c r="R36" s="37"/>
      <c r="S36" s="37"/>
      <c r="T36" s="37"/>
      <c r="U36" s="37"/>
      <c r="V36" s="37"/>
      <c r="W36" s="37"/>
      <c r="X36" s="37"/>
      <c r="Y36" s="37"/>
      <c r="Z36" s="37"/>
      <c r="AA36" s="37"/>
      <c r="AB36" s="37"/>
      <c r="AC36" s="37"/>
    </row>
    <row r="37" spans="1:29" ht="14.25">
      <c r="A37" s="37"/>
      <c r="B37" s="41"/>
      <c r="C37" s="570" t="s">
        <v>170</v>
      </c>
      <c r="D37" s="563"/>
      <c r="E37" s="563"/>
      <c r="F37" s="54"/>
      <c r="G37" s="43"/>
      <c r="H37" s="37"/>
      <c r="I37" s="37"/>
      <c r="J37" s="37"/>
      <c r="K37" s="37"/>
      <c r="L37" s="37"/>
      <c r="M37" s="37"/>
      <c r="N37" s="37"/>
      <c r="O37" s="37"/>
      <c r="P37" s="37"/>
      <c r="Q37" s="37"/>
      <c r="R37" s="37"/>
      <c r="S37" s="37"/>
      <c r="T37" s="37"/>
      <c r="U37" s="37"/>
      <c r="V37" s="37"/>
      <c r="W37" s="37"/>
      <c r="X37" s="37"/>
      <c r="Y37" s="37"/>
      <c r="Z37" s="37"/>
      <c r="AA37" s="37"/>
      <c r="AB37" s="37"/>
      <c r="AC37" s="37"/>
    </row>
    <row r="38" spans="1:29" ht="14.25">
      <c r="A38" s="37"/>
      <c r="B38" s="41"/>
      <c r="C38" s="60"/>
      <c r="D38" s="54"/>
      <c r="E38" s="54"/>
      <c r="F38" s="54"/>
      <c r="G38" s="43"/>
      <c r="H38" s="37"/>
      <c r="I38" s="37"/>
      <c r="J38" s="37"/>
      <c r="K38" s="37"/>
      <c r="L38" s="37"/>
      <c r="M38" s="37"/>
      <c r="N38" s="37"/>
      <c r="O38" s="37"/>
      <c r="P38" s="37"/>
      <c r="Q38" s="37"/>
      <c r="R38" s="37"/>
      <c r="S38" s="37"/>
      <c r="T38" s="37"/>
      <c r="U38" s="37"/>
      <c r="V38" s="37"/>
      <c r="W38" s="37"/>
      <c r="X38" s="37"/>
      <c r="Y38" s="37"/>
      <c r="Z38" s="37"/>
      <c r="AA38" s="37"/>
      <c r="AB38" s="37"/>
      <c r="AC38" s="37"/>
    </row>
    <row r="39" spans="1:29" ht="15">
      <c r="A39" s="37"/>
      <c r="B39" s="41"/>
      <c r="C39" s="55" t="s">
        <v>328</v>
      </c>
      <c r="D39" s="54"/>
      <c r="E39" s="54"/>
      <c r="F39" s="54"/>
      <c r="G39" s="43"/>
      <c r="H39" s="37"/>
      <c r="I39" s="37"/>
      <c r="J39" s="37"/>
      <c r="K39" s="37"/>
      <c r="L39" s="37"/>
      <c r="M39" s="37"/>
      <c r="N39" s="37"/>
      <c r="O39" s="37"/>
      <c r="P39" s="37"/>
      <c r="Q39" s="37"/>
      <c r="R39" s="37"/>
      <c r="S39" s="37"/>
      <c r="T39" s="37"/>
      <c r="U39" s="37"/>
      <c r="V39" s="37"/>
      <c r="W39" s="37"/>
      <c r="X39" s="37"/>
      <c r="Y39" s="37"/>
      <c r="Z39" s="37"/>
      <c r="AA39" s="37"/>
      <c r="AB39" s="37"/>
      <c r="AC39" s="37"/>
    </row>
    <row r="40" spans="1:29" ht="52.5" customHeight="1">
      <c r="A40" s="37"/>
      <c r="B40" s="41"/>
      <c r="C40" s="581" t="s">
        <v>348</v>
      </c>
      <c r="D40" s="563"/>
      <c r="E40" s="563"/>
      <c r="F40" s="563"/>
      <c r="G40" s="43"/>
      <c r="H40" s="37"/>
      <c r="I40" s="37"/>
      <c r="J40" s="37"/>
      <c r="K40" s="37"/>
      <c r="L40" s="37"/>
      <c r="M40" s="37"/>
      <c r="N40" s="37"/>
      <c r="O40" s="37"/>
      <c r="P40" s="37"/>
      <c r="Q40" s="37"/>
      <c r="R40" s="37"/>
      <c r="S40" s="37"/>
      <c r="T40" s="37"/>
      <c r="U40" s="37"/>
      <c r="V40" s="37"/>
      <c r="W40" s="37"/>
      <c r="X40" s="37"/>
      <c r="Y40" s="37"/>
      <c r="Z40" s="37"/>
      <c r="AA40" s="37"/>
      <c r="AB40" s="37"/>
      <c r="AC40" s="37"/>
    </row>
    <row r="41" spans="1:29" ht="14.25" customHeight="1">
      <c r="A41" s="37"/>
      <c r="B41" s="41"/>
      <c r="C41" s="570" t="s">
        <v>342</v>
      </c>
      <c r="D41" s="563"/>
      <c r="E41" s="563"/>
      <c r="F41" s="563"/>
      <c r="G41" s="43"/>
      <c r="H41" s="37"/>
      <c r="I41" s="37"/>
      <c r="J41" s="37"/>
      <c r="K41" s="37"/>
      <c r="L41" s="37"/>
      <c r="M41" s="37"/>
      <c r="N41" s="37"/>
      <c r="O41" s="37"/>
      <c r="P41" s="37"/>
      <c r="Q41" s="37"/>
      <c r="R41" s="37"/>
      <c r="S41" s="37"/>
      <c r="T41" s="37"/>
      <c r="U41" s="37"/>
      <c r="V41" s="37"/>
      <c r="W41" s="37"/>
      <c r="X41" s="37"/>
      <c r="Y41" s="37"/>
      <c r="Z41" s="37"/>
      <c r="AA41" s="37"/>
      <c r="AB41" s="37"/>
      <c r="AC41" s="37"/>
    </row>
    <row r="42" spans="1:29" ht="14.25">
      <c r="A42" s="37"/>
      <c r="B42" s="41"/>
      <c r="C42" s="60"/>
      <c r="D42" s="54"/>
      <c r="E42" s="54"/>
      <c r="F42" s="54"/>
      <c r="G42" s="43"/>
      <c r="H42" s="37"/>
      <c r="I42" s="37"/>
      <c r="J42" s="37"/>
      <c r="K42" s="37"/>
      <c r="L42" s="37"/>
      <c r="M42" s="37"/>
      <c r="N42" s="37"/>
      <c r="O42" s="37"/>
      <c r="P42" s="37"/>
      <c r="Q42" s="37"/>
      <c r="R42" s="37"/>
      <c r="S42" s="37"/>
      <c r="T42" s="37"/>
      <c r="U42" s="37"/>
      <c r="V42" s="37"/>
      <c r="W42" s="37"/>
      <c r="X42" s="37"/>
      <c r="Y42" s="37"/>
      <c r="Z42" s="37"/>
      <c r="AA42" s="37"/>
      <c r="AB42" s="37"/>
      <c r="AC42" s="37"/>
    </row>
    <row r="43" spans="1:29" ht="17.25" customHeight="1">
      <c r="A43" s="37"/>
      <c r="B43" s="41"/>
      <c r="C43" s="55" t="s">
        <v>398</v>
      </c>
      <c r="D43" s="54"/>
      <c r="E43" s="54"/>
      <c r="F43" s="54"/>
      <c r="G43" s="43"/>
      <c r="H43" s="37"/>
      <c r="I43" s="37"/>
      <c r="J43" s="37"/>
      <c r="K43" s="37"/>
      <c r="L43" s="37"/>
      <c r="M43" s="37"/>
      <c r="N43" s="37"/>
      <c r="O43" s="37"/>
      <c r="P43" s="37"/>
      <c r="Q43" s="37"/>
      <c r="R43" s="37"/>
      <c r="S43" s="37"/>
      <c r="T43" s="37"/>
      <c r="U43" s="37"/>
      <c r="V43" s="37"/>
      <c r="W43" s="37"/>
      <c r="X43" s="37"/>
      <c r="Y43" s="37"/>
      <c r="Z43" s="37"/>
      <c r="AA43" s="37"/>
      <c r="AB43" s="37"/>
      <c r="AC43" s="37"/>
    </row>
    <row r="44" spans="1:29" ht="63.75" customHeight="1">
      <c r="A44" s="37"/>
      <c r="B44" s="41"/>
      <c r="C44" s="568" t="s">
        <v>3</v>
      </c>
      <c r="D44" s="573"/>
      <c r="E44" s="573"/>
      <c r="F44" s="573"/>
      <c r="G44" s="43"/>
      <c r="H44" s="37"/>
      <c r="I44" s="37"/>
      <c r="J44" s="37"/>
      <c r="K44" s="37"/>
      <c r="L44" s="37"/>
      <c r="M44" s="37"/>
      <c r="N44" s="37"/>
      <c r="O44" s="37"/>
      <c r="P44" s="37"/>
      <c r="Q44" s="37"/>
      <c r="R44" s="37"/>
      <c r="S44" s="37"/>
      <c r="T44" s="37"/>
      <c r="U44" s="37"/>
      <c r="V44" s="37"/>
      <c r="W44" s="37"/>
      <c r="X44" s="37"/>
      <c r="Y44" s="37"/>
      <c r="Z44" s="37"/>
      <c r="AA44" s="37"/>
      <c r="AB44" s="37"/>
      <c r="AC44" s="37"/>
    </row>
    <row r="45" spans="1:29" ht="16.5" customHeight="1">
      <c r="A45" s="37"/>
      <c r="B45" s="41"/>
      <c r="C45" s="570" t="s">
        <v>324</v>
      </c>
      <c r="D45" s="563"/>
      <c r="E45" s="54"/>
      <c r="F45" s="54"/>
      <c r="G45" s="43"/>
      <c r="H45" s="37"/>
      <c r="I45" s="37"/>
      <c r="J45" s="37"/>
      <c r="K45" s="37"/>
      <c r="L45" s="37"/>
      <c r="M45" s="37"/>
      <c r="N45" s="37"/>
      <c r="O45" s="37"/>
      <c r="P45" s="37"/>
      <c r="Q45" s="37"/>
      <c r="R45" s="37"/>
      <c r="S45" s="37"/>
      <c r="T45" s="37"/>
      <c r="U45" s="37"/>
      <c r="V45" s="37"/>
      <c r="W45" s="37"/>
      <c r="X45" s="37"/>
      <c r="Y45" s="37"/>
      <c r="Z45" s="37"/>
      <c r="AA45" s="37"/>
      <c r="AB45" s="37"/>
      <c r="AC45" s="37"/>
    </row>
    <row r="46" spans="1:29" ht="15" customHeight="1">
      <c r="A46" s="37"/>
      <c r="B46" s="41"/>
      <c r="C46" s="570" t="s">
        <v>325</v>
      </c>
      <c r="D46" s="563"/>
      <c r="E46" s="54"/>
      <c r="F46" s="54"/>
      <c r="G46" s="43"/>
      <c r="H46" s="37"/>
      <c r="I46" s="37"/>
      <c r="J46" s="37"/>
      <c r="K46" s="37"/>
      <c r="L46" s="37"/>
      <c r="M46" s="37"/>
      <c r="N46" s="37"/>
      <c r="O46" s="37"/>
      <c r="P46" s="37"/>
      <c r="Q46" s="37"/>
      <c r="R46" s="37"/>
      <c r="S46" s="37"/>
      <c r="T46" s="37"/>
      <c r="U46" s="37"/>
      <c r="V46" s="37"/>
      <c r="W46" s="37"/>
      <c r="X46" s="37"/>
      <c r="Y46" s="37"/>
      <c r="Z46" s="37"/>
      <c r="AA46" s="37"/>
      <c r="AB46" s="37"/>
      <c r="AC46" s="37"/>
    </row>
    <row r="47" spans="1:29" ht="14.25" customHeight="1">
      <c r="A47" s="37"/>
      <c r="B47" s="41"/>
      <c r="C47" s="560" t="s">
        <v>81</v>
      </c>
      <c r="D47" s="560"/>
      <c r="E47" s="560"/>
      <c r="F47" s="560"/>
      <c r="G47" s="43"/>
      <c r="H47" s="37"/>
      <c r="I47" s="37"/>
      <c r="J47" s="37"/>
      <c r="K47" s="37"/>
      <c r="L47" s="37"/>
      <c r="M47" s="37"/>
      <c r="N47" s="37"/>
      <c r="O47" s="37"/>
      <c r="P47" s="37"/>
      <c r="Q47" s="37"/>
      <c r="R47" s="37"/>
      <c r="S47" s="37"/>
      <c r="T47" s="37"/>
      <c r="U47" s="37"/>
      <c r="V47" s="37"/>
      <c r="W47" s="37"/>
      <c r="X47" s="37"/>
      <c r="Y47" s="37"/>
      <c r="Z47" s="37"/>
      <c r="AA47" s="37"/>
      <c r="AB47" s="37"/>
      <c r="AC47" s="37"/>
    </row>
    <row r="48" spans="1:29" ht="27.75" customHeight="1">
      <c r="A48" s="37"/>
      <c r="B48" s="41"/>
      <c r="C48" s="55" t="s">
        <v>102</v>
      </c>
      <c r="D48" s="54"/>
      <c r="E48" s="54"/>
      <c r="F48" s="54"/>
      <c r="G48" s="43"/>
      <c r="H48" s="37"/>
      <c r="I48" s="37"/>
      <c r="J48" s="37"/>
      <c r="K48" s="37"/>
      <c r="L48" s="37"/>
      <c r="M48" s="37"/>
      <c r="N48" s="37"/>
      <c r="O48" s="37"/>
      <c r="P48" s="37"/>
      <c r="Q48" s="37"/>
      <c r="R48" s="37"/>
      <c r="S48" s="37"/>
      <c r="T48" s="37"/>
      <c r="U48" s="37"/>
      <c r="V48" s="37"/>
      <c r="W48" s="37"/>
      <c r="X48" s="37"/>
      <c r="Y48" s="37"/>
      <c r="Z48" s="37"/>
      <c r="AA48" s="37"/>
      <c r="AB48" s="37"/>
      <c r="AC48" s="37"/>
    </row>
    <row r="49" spans="1:29" ht="51" customHeight="1">
      <c r="A49" s="37"/>
      <c r="B49" s="41"/>
      <c r="C49" s="568" t="s">
        <v>338</v>
      </c>
      <c r="D49" s="568"/>
      <c r="E49" s="568"/>
      <c r="F49" s="568"/>
      <c r="G49" s="43"/>
      <c r="H49" s="37"/>
      <c r="I49" s="37"/>
      <c r="J49" s="37"/>
      <c r="K49" s="37"/>
      <c r="L49" s="37"/>
      <c r="M49" s="37"/>
      <c r="N49" s="37"/>
      <c r="O49" s="37"/>
      <c r="P49" s="37"/>
      <c r="Q49" s="37"/>
      <c r="R49" s="37"/>
      <c r="S49" s="37"/>
      <c r="T49" s="37"/>
      <c r="U49" s="37"/>
      <c r="V49" s="37"/>
      <c r="W49" s="37"/>
      <c r="X49" s="37"/>
      <c r="Y49" s="37"/>
      <c r="Z49" s="37"/>
      <c r="AA49" s="37"/>
      <c r="AB49" s="37"/>
      <c r="AC49" s="37"/>
    </row>
    <row r="50" spans="1:29" ht="16.5" customHeight="1">
      <c r="A50" s="37"/>
      <c r="B50" s="41"/>
      <c r="C50" s="571" t="s">
        <v>334</v>
      </c>
      <c r="D50" s="572"/>
      <c r="E50" s="572"/>
      <c r="F50" s="572"/>
      <c r="G50" s="43"/>
      <c r="H50" s="37"/>
      <c r="I50" s="37"/>
      <c r="J50" s="37"/>
      <c r="K50" s="37"/>
      <c r="L50" s="37"/>
      <c r="M50" s="37"/>
      <c r="N50" s="37"/>
      <c r="O50" s="37"/>
      <c r="P50" s="37"/>
      <c r="Q50" s="37"/>
      <c r="R50" s="37"/>
      <c r="S50" s="37"/>
      <c r="T50" s="37"/>
      <c r="U50" s="37"/>
      <c r="V50" s="37"/>
      <c r="W50" s="37"/>
      <c r="X50" s="37"/>
      <c r="Y50" s="37"/>
      <c r="Z50" s="37"/>
      <c r="AA50" s="37"/>
      <c r="AB50" s="37"/>
      <c r="AC50" s="37"/>
    </row>
    <row r="51" spans="1:29" ht="28.5" customHeight="1">
      <c r="A51" s="37"/>
      <c r="B51" s="41"/>
      <c r="C51" s="55" t="s">
        <v>349</v>
      </c>
      <c r="D51" s="48"/>
      <c r="E51" s="48"/>
      <c r="F51" s="48"/>
      <c r="G51" s="43"/>
      <c r="H51" s="37"/>
      <c r="I51" s="37"/>
      <c r="J51" s="37"/>
      <c r="K51" s="37"/>
      <c r="L51" s="37"/>
      <c r="M51" s="37"/>
      <c r="N51" s="37"/>
      <c r="O51" s="37"/>
      <c r="P51" s="37"/>
      <c r="Q51" s="37"/>
      <c r="R51" s="37"/>
      <c r="S51" s="37"/>
      <c r="T51" s="37"/>
      <c r="U51" s="37"/>
      <c r="V51" s="37"/>
      <c r="W51" s="37"/>
      <c r="X51" s="37"/>
      <c r="Y51" s="37"/>
      <c r="Z51" s="37"/>
      <c r="AA51" s="37"/>
      <c r="AB51" s="37"/>
      <c r="AC51" s="37"/>
    </row>
    <row r="52" spans="1:29" ht="27" customHeight="1">
      <c r="A52" s="37"/>
      <c r="B52" s="41"/>
      <c r="C52" s="568" t="s">
        <v>333</v>
      </c>
      <c r="D52" s="568"/>
      <c r="E52" s="568"/>
      <c r="F52" s="568"/>
      <c r="G52" s="43"/>
      <c r="H52" s="37"/>
      <c r="I52" s="37"/>
      <c r="J52" s="37"/>
      <c r="K52" s="37"/>
      <c r="L52" s="37"/>
      <c r="M52" s="37"/>
      <c r="N52" s="37"/>
      <c r="O52" s="37"/>
      <c r="P52" s="37"/>
      <c r="Q52" s="37"/>
      <c r="R52" s="37"/>
      <c r="S52" s="37"/>
      <c r="T52" s="37"/>
      <c r="U52" s="37"/>
      <c r="V52" s="37"/>
      <c r="W52" s="37"/>
      <c r="X52" s="37"/>
      <c r="Y52" s="37"/>
      <c r="Z52" s="37"/>
      <c r="AA52" s="37"/>
      <c r="AB52" s="37"/>
      <c r="AC52" s="37"/>
    </row>
    <row r="53" spans="1:29" ht="14.25" customHeight="1">
      <c r="A53" s="37"/>
      <c r="B53" s="41"/>
      <c r="C53" s="570" t="s">
        <v>313</v>
      </c>
      <c r="D53" s="563"/>
      <c r="E53" s="563"/>
      <c r="F53" s="563"/>
      <c r="G53" s="43"/>
      <c r="H53" s="37"/>
      <c r="I53" s="37"/>
      <c r="J53" s="37"/>
      <c r="K53" s="37"/>
      <c r="L53" s="37"/>
      <c r="M53" s="37"/>
      <c r="N53" s="37"/>
      <c r="O53" s="37"/>
      <c r="P53" s="37"/>
      <c r="Q53" s="37"/>
      <c r="R53" s="37"/>
      <c r="S53" s="37"/>
      <c r="T53" s="37"/>
      <c r="U53" s="37"/>
      <c r="V53" s="37"/>
      <c r="W53" s="37"/>
      <c r="X53" s="37"/>
      <c r="Y53" s="37"/>
      <c r="Z53" s="37"/>
      <c r="AA53" s="37"/>
      <c r="AB53" s="37"/>
      <c r="AC53" s="37"/>
    </row>
    <row r="54" spans="1:29" ht="25.5" customHeight="1">
      <c r="A54" s="37"/>
      <c r="B54" s="41"/>
      <c r="C54" s="574" t="s">
        <v>126</v>
      </c>
      <c r="D54" s="563"/>
      <c r="E54" s="563"/>
      <c r="F54" s="563"/>
      <c r="G54" s="575"/>
      <c r="H54" s="37"/>
      <c r="I54" s="37"/>
      <c r="J54" s="37"/>
      <c r="K54" s="37"/>
      <c r="L54" s="37"/>
      <c r="M54" s="37"/>
      <c r="N54" s="37"/>
      <c r="O54" s="37"/>
      <c r="P54" s="37"/>
      <c r="Q54" s="37"/>
      <c r="R54" s="37"/>
      <c r="S54" s="37"/>
      <c r="T54" s="37"/>
      <c r="U54" s="37"/>
      <c r="V54" s="37"/>
      <c r="W54" s="37"/>
      <c r="X54" s="37"/>
      <c r="Y54" s="37"/>
      <c r="Z54" s="37"/>
      <c r="AA54" s="37"/>
      <c r="AB54" s="37"/>
      <c r="AC54" s="37"/>
    </row>
    <row r="55" spans="1:29" ht="14.25" customHeight="1">
      <c r="A55" s="37"/>
      <c r="B55" s="41"/>
      <c r="C55" s="90" t="s">
        <v>508</v>
      </c>
      <c r="D55" s="561" t="s">
        <v>511</v>
      </c>
      <c r="E55" s="563"/>
      <c r="F55" s="66"/>
      <c r="G55" s="43"/>
      <c r="H55" s="37"/>
      <c r="I55" s="37"/>
      <c r="J55" s="37"/>
      <c r="K55" s="37"/>
      <c r="L55" s="37"/>
      <c r="M55" s="37"/>
      <c r="N55" s="37"/>
      <c r="O55" s="37"/>
      <c r="P55" s="37"/>
      <c r="Q55" s="37"/>
      <c r="R55" s="37"/>
      <c r="S55" s="37"/>
      <c r="T55" s="37"/>
      <c r="U55" s="37"/>
      <c r="V55" s="37"/>
      <c r="W55" s="37"/>
      <c r="X55" s="37"/>
      <c r="Y55" s="37"/>
      <c r="Z55" s="37"/>
      <c r="AA55" s="37"/>
      <c r="AB55" s="37"/>
      <c r="AC55" s="37"/>
    </row>
    <row r="56" spans="1:29" ht="14.25" customHeight="1">
      <c r="A56" s="37"/>
      <c r="B56" s="41"/>
      <c r="C56" s="90" t="s">
        <v>513</v>
      </c>
      <c r="D56" s="561" t="s">
        <v>509</v>
      </c>
      <c r="E56" s="561"/>
      <c r="F56" s="66"/>
      <c r="G56" s="43"/>
      <c r="H56" s="37"/>
      <c r="I56" s="37"/>
      <c r="J56" s="37"/>
      <c r="K56" s="37"/>
      <c r="L56" s="37"/>
      <c r="M56" s="37"/>
      <c r="N56" s="37"/>
      <c r="O56" s="37"/>
      <c r="P56" s="37"/>
      <c r="Q56" s="37"/>
      <c r="R56" s="37"/>
      <c r="S56" s="37"/>
      <c r="T56" s="37"/>
      <c r="U56" s="37"/>
      <c r="V56" s="37"/>
      <c r="W56" s="37"/>
      <c r="X56" s="37"/>
      <c r="Y56" s="37"/>
      <c r="Z56" s="37"/>
      <c r="AA56" s="37"/>
      <c r="AB56" s="37"/>
      <c r="AC56" s="37"/>
    </row>
    <row r="57" spans="1:29" ht="14.25" customHeight="1">
      <c r="A57" s="37"/>
      <c r="B57" s="41"/>
      <c r="C57" s="90" t="s">
        <v>512</v>
      </c>
      <c r="D57" s="561" t="s">
        <v>510</v>
      </c>
      <c r="E57" s="562"/>
      <c r="F57" s="66"/>
      <c r="G57" s="43"/>
      <c r="H57" s="37"/>
      <c r="I57" s="37"/>
      <c r="J57" s="37"/>
      <c r="K57" s="37"/>
      <c r="L57" s="37"/>
      <c r="M57" s="37"/>
      <c r="N57" s="37"/>
      <c r="O57" s="37"/>
      <c r="P57" s="37"/>
      <c r="Q57" s="37"/>
      <c r="R57" s="37"/>
      <c r="S57" s="37"/>
      <c r="T57" s="37"/>
      <c r="U57" s="37"/>
      <c r="V57" s="37"/>
      <c r="W57" s="37"/>
      <c r="X57" s="37"/>
      <c r="Y57" s="37"/>
      <c r="Z57" s="37"/>
      <c r="AA57" s="37"/>
      <c r="AB57" s="37"/>
      <c r="AC57" s="37"/>
    </row>
    <row r="58" spans="1:29" ht="14.25" customHeight="1">
      <c r="A58" s="37"/>
      <c r="B58" s="41"/>
      <c r="C58" s="560" t="s">
        <v>81</v>
      </c>
      <c r="D58" s="560"/>
      <c r="E58" s="560"/>
      <c r="F58" s="560"/>
      <c r="G58" s="43"/>
      <c r="H58" s="37"/>
      <c r="I58" s="37"/>
      <c r="J58" s="37"/>
      <c r="K58" s="37"/>
      <c r="L58" s="37"/>
      <c r="M58" s="37"/>
      <c r="N58" s="37"/>
      <c r="O58" s="37"/>
      <c r="P58" s="37"/>
      <c r="Q58" s="37"/>
      <c r="R58" s="37"/>
      <c r="S58" s="37"/>
      <c r="T58" s="37"/>
      <c r="U58" s="37"/>
      <c r="V58" s="37"/>
      <c r="W58" s="37"/>
      <c r="X58" s="37"/>
      <c r="Y58" s="37"/>
      <c r="Z58" s="37"/>
      <c r="AA58" s="37"/>
      <c r="AB58" s="37"/>
      <c r="AC58" s="37"/>
    </row>
    <row r="59" spans="1:29" s="61" customFormat="1" ht="30" customHeight="1">
      <c r="A59" s="37"/>
      <c r="B59" s="41"/>
      <c r="C59" s="55" t="s">
        <v>314</v>
      </c>
      <c r="D59" s="42"/>
      <c r="E59" s="42"/>
      <c r="F59" s="42"/>
      <c r="G59" s="43"/>
      <c r="H59" s="37"/>
      <c r="I59" s="37"/>
      <c r="J59" s="37"/>
      <c r="K59" s="37"/>
      <c r="L59" s="37"/>
      <c r="M59" s="37"/>
      <c r="N59" s="37"/>
      <c r="O59" s="37"/>
      <c r="P59" s="37"/>
      <c r="Q59" s="37"/>
      <c r="R59" s="37"/>
      <c r="S59" s="37"/>
      <c r="T59" s="37"/>
      <c r="U59" s="37"/>
      <c r="V59" s="37"/>
      <c r="W59" s="37"/>
      <c r="X59" s="37"/>
      <c r="Y59" s="37"/>
      <c r="Z59" s="37"/>
      <c r="AA59" s="37"/>
      <c r="AB59" s="37"/>
      <c r="AC59" s="37"/>
    </row>
    <row r="60" spans="1:29" s="61" customFormat="1" ht="42.75" customHeight="1">
      <c r="A60" s="37"/>
      <c r="B60" s="41"/>
      <c r="C60" s="580" t="s">
        <v>337</v>
      </c>
      <c r="D60" s="580"/>
      <c r="E60" s="580"/>
      <c r="F60" s="580"/>
      <c r="G60" s="43"/>
      <c r="H60" s="37"/>
      <c r="I60" s="37"/>
      <c r="J60" s="37"/>
      <c r="K60" s="37"/>
      <c r="L60" s="37"/>
      <c r="M60" s="37"/>
      <c r="N60" s="37"/>
      <c r="O60" s="37"/>
      <c r="P60" s="37"/>
      <c r="Q60" s="37"/>
      <c r="R60" s="37"/>
      <c r="S60" s="37"/>
      <c r="T60" s="37"/>
      <c r="U60" s="37"/>
      <c r="V60" s="37"/>
      <c r="W60" s="37"/>
      <c r="X60" s="37"/>
      <c r="Y60" s="37"/>
      <c r="Z60" s="37"/>
      <c r="AA60" s="37"/>
      <c r="AB60" s="37"/>
      <c r="AC60" s="37"/>
    </row>
    <row r="61" spans="1:29" s="61" customFormat="1" ht="14.25" customHeight="1">
      <c r="A61" s="37"/>
      <c r="B61" s="41"/>
      <c r="C61" s="74" t="s">
        <v>331</v>
      </c>
      <c r="D61" s="71"/>
      <c r="E61" s="71"/>
      <c r="F61" s="71"/>
      <c r="G61" s="43"/>
      <c r="H61" s="37"/>
      <c r="I61" s="37"/>
      <c r="J61" s="37"/>
      <c r="K61" s="37"/>
      <c r="L61" s="37"/>
      <c r="M61" s="37"/>
      <c r="N61" s="37"/>
      <c r="O61" s="37"/>
      <c r="P61" s="37"/>
      <c r="Q61" s="37"/>
      <c r="R61" s="37"/>
      <c r="S61" s="37"/>
      <c r="T61" s="37"/>
      <c r="U61" s="37"/>
      <c r="V61" s="37"/>
      <c r="W61" s="37"/>
      <c r="X61" s="37"/>
      <c r="Y61" s="37"/>
      <c r="Z61" s="37"/>
      <c r="AA61" s="37"/>
      <c r="AB61" s="37"/>
      <c r="AC61" s="37"/>
    </row>
    <row r="62" spans="1:29" s="61" customFormat="1" ht="14.25" customHeight="1">
      <c r="A62" s="37"/>
      <c r="B62" s="41"/>
      <c r="C62" s="74"/>
      <c r="D62" s="71"/>
      <c r="E62" s="71"/>
      <c r="F62" s="71"/>
      <c r="G62" s="43"/>
      <c r="H62" s="37"/>
      <c r="I62" s="37"/>
      <c r="J62" s="37"/>
      <c r="K62" s="37"/>
      <c r="L62" s="37"/>
      <c r="M62" s="37"/>
      <c r="N62" s="37"/>
      <c r="O62" s="37"/>
      <c r="P62" s="37"/>
      <c r="Q62" s="37"/>
      <c r="R62" s="37"/>
      <c r="S62" s="37"/>
      <c r="T62" s="37"/>
      <c r="U62" s="37"/>
      <c r="V62" s="37"/>
      <c r="W62" s="37"/>
      <c r="X62" s="37"/>
      <c r="Y62" s="37"/>
      <c r="Z62" s="37"/>
      <c r="AA62" s="37"/>
      <c r="AB62" s="37"/>
      <c r="AC62" s="37"/>
    </row>
    <row r="63" spans="1:29" s="61" customFormat="1" ht="14.25" customHeight="1">
      <c r="A63" s="37"/>
      <c r="B63" s="41"/>
      <c r="C63" s="46" t="s">
        <v>336</v>
      </c>
      <c r="D63" s="71"/>
      <c r="E63" s="71"/>
      <c r="F63" s="71"/>
      <c r="G63" s="43"/>
      <c r="H63" s="37"/>
      <c r="I63" s="37"/>
      <c r="J63" s="37"/>
      <c r="K63" s="37"/>
      <c r="L63" s="37"/>
      <c r="M63" s="37"/>
      <c r="N63" s="37"/>
      <c r="O63" s="37"/>
      <c r="P63" s="37"/>
      <c r="Q63" s="37"/>
      <c r="R63" s="37"/>
      <c r="S63" s="37"/>
      <c r="T63" s="37"/>
      <c r="U63" s="37"/>
      <c r="V63" s="37"/>
      <c r="W63" s="37"/>
      <c r="X63" s="37"/>
      <c r="Y63" s="37"/>
      <c r="Z63" s="37"/>
      <c r="AA63" s="37"/>
      <c r="AB63" s="37"/>
      <c r="AC63" s="37"/>
    </row>
    <row r="64" spans="1:29" s="61" customFormat="1" ht="25.5" customHeight="1">
      <c r="A64" s="37"/>
      <c r="B64" s="41"/>
      <c r="C64" s="55" t="s">
        <v>326</v>
      </c>
      <c r="D64" s="71"/>
      <c r="E64" s="71"/>
      <c r="F64" s="71"/>
      <c r="G64" s="43"/>
      <c r="H64" s="37"/>
      <c r="I64" s="37"/>
      <c r="J64" s="37"/>
      <c r="K64" s="37"/>
      <c r="L64" s="37"/>
      <c r="M64" s="37"/>
      <c r="N64" s="37"/>
      <c r="O64" s="37"/>
      <c r="P64" s="37"/>
      <c r="Q64" s="37"/>
      <c r="R64" s="37"/>
      <c r="S64" s="37"/>
      <c r="T64" s="37"/>
      <c r="U64" s="37"/>
      <c r="V64" s="37"/>
      <c r="W64" s="37"/>
      <c r="X64" s="37"/>
      <c r="Y64" s="37"/>
      <c r="Z64" s="37"/>
      <c r="AA64" s="37"/>
      <c r="AB64" s="37"/>
      <c r="AC64" s="37"/>
    </row>
    <row r="65" spans="1:29" s="61" customFormat="1" ht="42.75" customHeight="1">
      <c r="A65" s="37"/>
      <c r="B65" s="41"/>
      <c r="C65" s="580" t="s">
        <v>168</v>
      </c>
      <c r="D65" s="580"/>
      <c r="E65" s="580"/>
      <c r="F65" s="580"/>
      <c r="G65" s="43"/>
      <c r="H65" s="37"/>
      <c r="I65" s="37"/>
      <c r="J65" s="37"/>
      <c r="K65" s="37"/>
      <c r="L65" s="37"/>
      <c r="M65" s="37"/>
      <c r="N65" s="37"/>
      <c r="O65" s="37"/>
      <c r="P65" s="37"/>
      <c r="Q65" s="37"/>
      <c r="R65" s="37"/>
      <c r="S65" s="37"/>
      <c r="T65" s="37"/>
      <c r="U65" s="37"/>
      <c r="V65" s="37"/>
      <c r="W65" s="37"/>
      <c r="X65" s="37"/>
      <c r="Y65" s="37"/>
      <c r="Z65" s="37"/>
      <c r="AA65" s="37"/>
      <c r="AB65" s="37"/>
      <c r="AC65" s="37"/>
    </row>
    <row r="66" spans="1:29" s="61" customFormat="1" ht="15.75" customHeight="1">
      <c r="A66" s="37"/>
      <c r="B66" s="41"/>
      <c r="C66" s="561" t="s">
        <v>167</v>
      </c>
      <c r="D66" s="563"/>
      <c r="E66" s="563"/>
      <c r="F66" s="72"/>
      <c r="G66" s="43"/>
      <c r="H66" s="37"/>
      <c r="I66" s="37"/>
      <c r="J66" s="37"/>
      <c r="K66" s="37"/>
      <c r="L66" s="37"/>
      <c r="M66" s="37"/>
      <c r="N66" s="37"/>
      <c r="O66" s="37"/>
      <c r="P66" s="37"/>
      <c r="Q66" s="37"/>
      <c r="R66" s="37"/>
      <c r="S66" s="37"/>
      <c r="T66" s="37"/>
      <c r="U66" s="37"/>
      <c r="V66" s="37"/>
      <c r="W66" s="37"/>
      <c r="X66" s="37"/>
      <c r="Y66" s="37"/>
      <c r="Z66" s="37"/>
      <c r="AA66" s="37"/>
      <c r="AB66" s="37"/>
      <c r="AC66" s="37"/>
    </row>
    <row r="67" spans="1:29" s="61" customFormat="1" ht="26.25" customHeight="1">
      <c r="A67" s="37"/>
      <c r="B67" s="41"/>
      <c r="C67" s="55" t="s">
        <v>315</v>
      </c>
      <c r="D67" s="62"/>
      <c r="E67" s="42"/>
      <c r="F67" s="42"/>
      <c r="G67" s="43"/>
      <c r="H67" s="37"/>
      <c r="I67" s="37"/>
      <c r="J67" s="37"/>
      <c r="K67" s="37"/>
      <c r="L67" s="37"/>
      <c r="M67" s="37"/>
      <c r="N67" s="37"/>
      <c r="O67" s="37"/>
      <c r="P67" s="37"/>
      <c r="Q67" s="37"/>
      <c r="R67" s="37"/>
      <c r="S67" s="37"/>
      <c r="T67" s="37"/>
      <c r="U67" s="37"/>
      <c r="V67" s="37"/>
      <c r="W67" s="37"/>
      <c r="X67" s="37"/>
      <c r="Y67" s="37"/>
      <c r="Z67" s="37"/>
      <c r="AA67" s="37"/>
      <c r="AB67" s="37"/>
      <c r="AC67" s="37"/>
    </row>
    <row r="68" spans="1:29" s="61" customFormat="1" ht="55.5" customHeight="1">
      <c r="A68" s="37"/>
      <c r="B68" s="41"/>
      <c r="C68" s="585" t="s">
        <v>341</v>
      </c>
      <c r="D68" s="585"/>
      <c r="E68" s="585"/>
      <c r="F68" s="585"/>
      <c r="G68" s="43"/>
      <c r="H68" s="37"/>
      <c r="I68" s="37"/>
      <c r="J68" s="37"/>
      <c r="K68" s="37"/>
      <c r="L68" s="37"/>
      <c r="M68" s="37"/>
      <c r="N68" s="37"/>
      <c r="O68" s="37"/>
      <c r="P68" s="37"/>
      <c r="Q68" s="37"/>
      <c r="R68" s="37"/>
      <c r="S68" s="37"/>
      <c r="T68" s="37"/>
      <c r="U68" s="37"/>
      <c r="V68" s="37"/>
      <c r="W68" s="37"/>
      <c r="X68" s="37"/>
      <c r="Y68" s="37"/>
      <c r="Z68" s="37"/>
      <c r="AA68" s="37"/>
      <c r="AB68" s="37"/>
      <c r="AC68" s="37"/>
    </row>
    <row r="69" spans="1:29" s="61" customFormat="1" ht="15" customHeight="1">
      <c r="A69" s="37"/>
      <c r="B69" s="41"/>
      <c r="C69" s="579" t="s">
        <v>164</v>
      </c>
      <c r="D69" s="563"/>
      <c r="E69" s="563"/>
      <c r="F69" s="563"/>
      <c r="G69" s="43"/>
      <c r="H69" s="37"/>
      <c r="I69" s="37"/>
      <c r="J69" s="37"/>
      <c r="K69" s="37"/>
      <c r="L69" s="37"/>
      <c r="M69" s="37"/>
      <c r="N69" s="37"/>
      <c r="O69" s="37"/>
      <c r="P69" s="37"/>
      <c r="Q69" s="37"/>
      <c r="R69" s="37"/>
      <c r="S69" s="37"/>
      <c r="T69" s="37"/>
      <c r="U69" s="37"/>
      <c r="V69" s="37"/>
      <c r="W69" s="37"/>
      <c r="X69" s="37"/>
      <c r="Y69" s="37"/>
      <c r="Z69" s="37"/>
      <c r="AA69" s="37"/>
      <c r="AB69" s="37"/>
      <c r="AC69" s="37"/>
    </row>
    <row r="70" spans="1:29" s="61" customFormat="1" ht="12" customHeight="1">
      <c r="A70" s="37"/>
      <c r="B70" s="41"/>
      <c r="C70" s="570" t="s">
        <v>166</v>
      </c>
      <c r="D70" s="563"/>
      <c r="E70" s="66"/>
      <c r="F70" s="66"/>
      <c r="G70" s="43"/>
      <c r="H70" s="37"/>
      <c r="I70" s="37"/>
      <c r="J70" s="37"/>
      <c r="K70" s="37"/>
      <c r="L70" s="37"/>
      <c r="M70" s="37"/>
      <c r="N70" s="37"/>
      <c r="O70" s="37"/>
      <c r="P70" s="37"/>
      <c r="Q70" s="37"/>
      <c r="R70" s="37"/>
      <c r="S70" s="37"/>
      <c r="T70" s="37"/>
      <c r="U70" s="37"/>
      <c r="V70" s="37"/>
      <c r="W70" s="37"/>
      <c r="X70" s="37"/>
      <c r="Y70" s="37"/>
      <c r="Z70" s="37"/>
      <c r="AA70" s="37"/>
      <c r="AB70" s="37"/>
      <c r="AC70" s="37"/>
    </row>
    <row r="71" spans="1:29" s="61" customFormat="1" ht="17.25" customHeight="1" thickBot="1">
      <c r="A71" s="37"/>
      <c r="B71" s="63"/>
      <c r="C71" s="64"/>
      <c r="D71" s="64"/>
      <c r="E71" s="64"/>
      <c r="F71" s="64"/>
      <c r="G71" s="65"/>
      <c r="H71" s="37"/>
      <c r="I71" s="37"/>
      <c r="J71" s="37"/>
      <c r="K71" s="37"/>
      <c r="L71" s="37"/>
      <c r="M71" s="37"/>
      <c r="N71" s="37"/>
      <c r="O71" s="37"/>
      <c r="P71" s="37"/>
      <c r="Q71" s="37"/>
      <c r="R71" s="37"/>
      <c r="S71" s="37"/>
      <c r="T71" s="37"/>
      <c r="U71" s="37"/>
      <c r="V71" s="37"/>
      <c r="W71" s="37"/>
      <c r="X71" s="37"/>
      <c r="Y71" s="37"/>
      <c r="Z71" s="37"/>
      <c r="AA71" s="37"/>
      <c r="AB71" s="37"/>
      <c r="AC71" s="37"/>
    </row>
    <row r="72" spans="1:29" s="61" customFormat="1" ht="12.75">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row>
    <row r="73" spans="1:29" s="61" customFormat="1" ht="12.75">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row>
    <row r="74" spans="1:29" s="61" customFormat="1" ht="12.75">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row>
    <row r="75" spans="1:29" s="61" customFormat="1" ht="12.75">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row>
    <row r="76" spans="1:29" s="61" customFormat="1" ht="12.75">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row>
    <row r="77" spans="1:29" s="61" customFormat="1" ht="12.75">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row>
    <row r="78" spans="1:29" s="61" customFormat="1" ht="12.75">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row>
    <row r="79" spans="1:29" s="61" customFormat="1" ht="12.75">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row>
    <row r="80" spans="1:29" s="61" customFormat="1" ht="12.75">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row>
    <row r="81" spans="1:29" s="61" customFormat="1" ht="12.75">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row>
    <row r="82" spans="1:29" s="61" customFormat="1" ht="12.75">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row>
    <row r="83" spans="1:29" s="61" customFormat="1" ht="12.75">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row>
    <row r="84" spans="1:29" s="61" customFormat="1" ht="12.75">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row>
    <row r="85" spans="1:29" s="61" customFormat="1" ht="12.75">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row>
    <row r="86" spans="1:29" s="61" customFormat="1" ht="12.75">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row>
    <row r="87" spans="1:29" s="61" customFormat="1" ht="12.75">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row>
    <row r="88" spans="1:29" s="61" customFormat="1" ht="12.75">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row>
    <row r="89" spans="1:29" s="61" customFormat="1" ht="12.75">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row>
    <row r="90" spans="1:29" s="61" customFormat="1" ht="12.75">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row>
    <row r="91" spans="1:29" s="61" customFormat="1" ht="12.75">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row>
    <row r="92" spans="1:29" s="61" customFormat="1" ht="12.75">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row>
    <row r="93" spans="1:29" s="61" customFormat="1" ht="12.75">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row>
    <row r="94" spans="1:29" s="61" customFormat="1" ht="12.75">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row>
    <row r="95" spans="1:29" s="61" customFormat="1" ht="12.75">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row>
    <row r="96" spans="1:29" s="61" customFormat="1" ht="12.75">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row>
    <row r="97" spans="1:29" s="61" customFormat="1" ht="12.75">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row>
    <row r="98" spans="1:29" s="61" customFormat="1" ht="12.75">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row>
    <row r="99" spans="1:29" s="61" customFormat="1" ht="12.75">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row>
    <row r="100" spans="1:29" s="61" customFormat="1" ht="12.75">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row>
    <row r="101" spans="1:29" s="61" customFormat="1" ht="12.75">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row>
    <row r="102" spans="1:29" s="61" customFormat="1" ht="12.7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row>
    <row r="103" spans="1:29" s="61" customFormat="1" ht="12.7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row>
    <row r="104" spans="1:29" s="61" customFormat="1" ht="12.7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row>
    <row r="105" spans="1:29" s="61" customFormat="1" ht="12.7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row>
    <row r="106" spans="1:29" s="61" customFormat="1" ht="12.7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row>
    <row r="107" spans="1:29" s="61" customFormat="1" ht="12.7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row>
    <row r="108" spans="1:29" s="61" customFormat="1" ht="12.7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row>
    <row r="109" spans="1:29" s="61" customFormat="1" ht="12.7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row>
    <row r="110" spans="1:29" s="61" customFormat="1" ht="12.7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row>
    <row r="111" spans="1:29" s="61" customFormat="1" ht="12.7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row>
    <row r="112" spans="1:29" s="61" customFormat="1" ht="12.7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row>
    <row r="113" spans="1:29" s="61" customFormat="1" ht="12.7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row>
    <row r="114" spans="1:29" s="61" customFormat="1" ht="12.7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row>
    <row r="115" spans="1:29" s="61" customFormat="1" ht="12.7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row>
    <row r="116" spans="1:29" s="61" customFormat="1" ht="12.7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row>
    <row r="117" spans="1:29" s="61" customFormat="1" ht="12.7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row>
    <row r="118" spans="1:29" s="61" customFormat="1" ht="12.7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row>
    <row r="119" spans="1:29" s="61" customFormat="1" ht="12.7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row>
    <row r="120" spans="1:29" s="61" customFormat="1" ht="12.7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row>
    <row r="121" spans="1:29" s="61" customFormat="1" ht="12.7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row>
    <row r="122" spans="1:29" s="61" customFormat="1" ht="12.7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row>
    <row r="123" spans="1:29" s="61" customFormat="1" ht="12.75">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row>
    <row r="124" spans="1:29" s="61" customFormat="1" ht="12.7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row>
    <row r="125" spans="1:29" s="61" customFormat="1" ht="12.7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row>
    <row r="126" spans="1:29" s="61" customFormat="1" ht="12.7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row>
    <row r="127" spans="1:29" s="61" customFormat="1" ht="12.7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row>
    <row r="128" spans="1:29" s="61" customFormat="1" ht="12.75">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row>
    <row r="129" spans="1:29" s="61" customFormat="1" ht="12.7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row>
    <row r="130" spans="1:29" s="61" customFormat="1" ht="12.75">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row>
    <row r="131" spans="1:29" s="61" customFormat="1" ht="12.75">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row>
    <row r="132" spans="1:29" s="61" customFormat="1" ht="12.7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row>
  </sheetData>
  <sheetProtection password="98CB" sheet="1" objects="1" scenarios="1"/>
  <mergeCells count="41">
    <mergeCell ref="C70:D70"/>
    <mergeCell ref="C37:E37"/>
    <mergeCell ref="C45:D45"/>
    <mergeCell ref="C46:D46"/>
    <mergeCell ref="C68:F68"/>
    <mergeCell ref="C40:F40"/>
    <mergeCell ref="C23:F23"/>
    <mergeCell ref="C27:F27"/>
    <mergeCell ref="C24:D24"/>
    <mergeCell ref="E24:F24"/>
    <mergeCell ref="C26:D26"/>
    <mergeCell ref="C18:D18"/>
    <mergeCell ref="C69:F69"/>
    <mergeCell ref="C53:F53"/>
    <mergeCell ref="C66:E66"/>
    <mergeCell ref="C65:F65"/>
    <mergeCell ref="D56:E56"/>
    <mergeCell ref="C32:F32"/>
    <mergeCell ref="C36:F36"/>
    <mergeCell ref="C49:F49"/>
    <mergeCell ref="C60:F60"/>
    <mergeCell ref="B2:C2"/>
    <mergeCell ref="C4:F4"/>
    <mergeCell ref="C7:F7"/>
    <mergeCell ref="C10:F10"/>
    <mergeCell ref="C12:D12"/>
    <mergeCell ref="C41:F41"/>
    <mergeCell ref="C14:D14"/>
    <mergeCell ref="C15:D15"/>
    <mergeCell ref="C17:D17"/>
    <mergeCell ref="C16:D16"/>
    <mergeCell ref="C13:D13"/>
    <mergeCell ref="C19:D19"/>
    <mergeCell ref="C58:F58"/>
    <mergeCell ref="C47:F47"/>
    <mergeCell ref="D57:E57"/>
    <mergeCell ref="D55:E55"/>
    <mergeCell ref="C50:F50"/>
    <mergeCell ref="C52:F52"/>
    <mergeCell ref="C44:F44"/>
    <mergeCell ref="C54:G54"/>
  </mergeCells>
  <hyperlinks>
    <hyperlink ref="B2" location="Inputs!A1" display="Back to Inputs"/>
    <hyperlink ref="C53" r:id="rId1" display="http://www.epa.gov/epaoswer/non-hw/composting/vessel.htm "/>
    <hyperlink ref="C14" r:id="rId2" display="http://www.epa.gov/epawaste/conserve/materials/organics/pubs/wast_not.pdf"/>
    <hyperlink ref="C19" r:id="rId3" display="http://www.epa.gov/epawaste/conserve/materials/organics/food/fd-guide.htm"/>
    <hyperlink ref="B2:C2" location="Inputs!A1" display="Back to Inputs"/>
    <hyperlink ref="C70" r:id="rId4" display="http://feedingamerica.org/partners/product-partners/tax-benefits.aspx"/>
    <hyperlink ref="C33" r:id="rId5" display="http://feedingamerica.org/partners/product-partners/perishable-food.aspx"/>
    <hyperlink ref="C66" r:id="rId6" display="http://feedingamerica.org/partners/product-partners/protecting-our-partners.aspx"/>
    <hyperlink ref="C61" r:id="rId7" display="http://www.findacomposter.com/"/>
    <hyperlink ref="C50" r:id="rId8" display="http://www.epa.gov/epaoswer/non-hw/composting/by_compost.htm"/>
    <hyperlink ref="C41" r:id="rId9" display="http://www.ciwmb.ca.gov/FoodWaste/AnimalFeed/"/>
    <hyperlink ref="C37" r:id="rId10" display="http://feedingamerica.org/partners/product-partners/distressed-unsaleable-product.aspx"/>
    <hyperlink ref="C45" r:id="rId11" display="http://nyc.tristatebiodiesel.com/collect.htm"/>
    <hyperlink ref="C46" r:id="rId12" display="http://www.newleafbiofuel.com/oilCollection/commitment.html"/>
    <hyperlink ref="D57" r:id="rId13" display="http://www.bworganics.com/"/>
    <hyperlink ref="D55" r:id="rId14" display="http://www.gmt-organic.com/"/>
    <hyperlink ref="D56:E56" r:id="rId15" display="http://www.composter.com/composting/naturtech/"/>
    <hyperlink ref="C24:D24" r:id="rId16" display="http://www.leanpath.com/lpweb/index2.htm"/>
    <hyperlink ref="C26" r:id="rId17" display="http://blog.leanpath.com/?page_id=618"/>
  </hyperlinks>
  <printOptions/>
  <pageMargins left="0.5" right="0.5" top="1" bottom="0.5" header="0.5" footer="0.5"/>
  <pageSetup fitToHeight="3" horizontalDpi="600" verticalDpi="600" orientation="portrait" scale="74" r:id="rId19"/>
  <headerFooter alignWithMargins="0">
    <oddHeader>&amp;C&amp;F</oddHeader>
    <oddFooter>&amp;CPage &amp;P of &amp;N</oddFooter>
  </headerFooter>
  <rowBreaks count="1" manualBreakCount="1">
    <brk id="42" min="1" max="6" man="1"/>
  </rowBreaks>
  <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Industrial Economics,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iec2</dc:creator>
  <cp:keywords/>
  <dc:description/>
  <cp:lastModifiedBy>Arcari, Christine</cp:lastModifiedBy>
  <cp:lastPrinted>2009-09-16T01:07:03Z</cp:lastPrinted>
  <dcterms:created xsi:type="dcterms:W3CDTF">2006-05-08T15:38:51Z</dcterms:created>
  <dcterms:modified xsi:type="dcterms:W3CDTF">2017-01-04T00:17:10Z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