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8195" windowHeight="7965"/>
  </bookViews>
  <sheets>
    <sheet name="Inputs" sheetId="9" r:id="rId1"/>
    <sheet name="On-Bill Utility Credit" sheetId="2" r:id="rId2"/>
    <sheet name="Gap Program - Financial" sheetId="3" state="hidden" r:id="rId3"/>
    <sheet name="Replacement Grant Program" sheetId="8" r:id="rId4"/>
    <sheet name="Replacement Loan Program" sheetId="6" r:id="rId5"/>
    <sheet name="Calculations" sheetId="4" r:id="rId6"/>
    <sheet name="Graphics" sheetId="10" state="hidden" r:id="rId7"/>
    <sheet name="Sheet1" sheetId="11" r:id="rId8"/>
  </sheets>
  <calcPr calcId="145621"/>
</workbook>
</file>

<file path=xl/calcChain.xml><?xml version="1.0" encoding="utf-8"?>
<calcChain xmlns="http://schemas.openxmlformats.org/spreadsheetml/2006/main">
  <c r="C10" i="2" l="1"/>
  <c r="A10" i="2"/>
  <c r="A22" i="6" l="1"/>
  <c r="A17" i="8"/>
  <c r="A14" i="2"/>
  <c r="F11" i="2" l="1"/>
  <c r="C14" i="10" l="1"/>
  <c r="H8" i="2" l="1"/>
  <c r="I8" i="2"/>
  <c r="G8" i="2"/>
  <c r="B22" i="4"/>
  <c r="C22" i="4" s="1"/>
  <c r="D22" i="4" s="1"/>
  <c r="E22" i="4" s="1"/>
  <c r="F22" i="4" s="1"/>
  <c r="G22" i="4" s="1"/>
  <c r="H22" i="4" s="1"/>
  <c r="I22" i="4" s="1"/>
  <c r="J22" i="4" s="1"/>
  <c r="K22" i="4" s="1"/>
  <c r="L22" i="4" s="1"/>
  <c r="M22" i="4" s="1"/>
  <c r="B14" i="4"/>
  <c r="C12" i="4"/>
  <c r="C11" i="4"/>
  <c r="C10" i="4"/>
  <c r="L2" i="4"/>
  <c r="I2" i="4"/>
  <c r="F2" i="4"/>
  <c r="C2" i="4"/>
  <c r="C5" i="4"/>
  <c r="F5" i="4" s="1"/>
  <c r="I5" i="4" s="1"/>
  <c r="L5" i="4" s="1"/>
  <c r="C4" i="4"/>
  <c r="L4" i="4" s="1"/>
  <c r="E19" i="4" l="1"/>
  <c r="D19" i="4"/>
  <c r="G19" i="4"/>
  <c r="J19" i="4"/>
  <c r="M19" i="4"/>
  <c r="H19" i="4"/>
  <c r="K19" i="4"/>
  <c r="F11" i="4"/>
  <c r="C19" i="4"/>
  <c r="F10" i="4"/>
  <c r="C18" i="4"/>
  <c r="F12" i="4"/>
  <c r="C20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B19" i="4"/>
  <c r="I4" i="4"/>
  <c r="F4" i="4"/>
  <c r="I12" i="4" l="1"/>
  <c r="F20" i="4"/>
  <c r="I10" i="4"/>
  <c r="F18" i="4"/>
  <c r="I11" i="4"/>
  <c r="F19" i="4"/>
  <c r="B18" i="8"/>
  <c r="B16" i="8"/>
  <c r="F20" i="8"/>
  <c r="E20" i="8"/>
  <c r="D20" i="8"/>
  <c r="C20" i="8"/>
  <c r="E15" i="8"/>
  <c r="E14" i="8"/>
  <c r="C15" i="8"/>
  <c r="F19" i="8"/>
  <c r="E19" i="8"/>
  <c r="D19" i="8"/>
  <c r="C19" i="8"/>
  <c r="L10" i="4" l="1"/>
  <c r="L18" i="4" s="1"/>
  <c r="I18" i="4"/>
  <c r="L11" i="4"/>
  <c r="L19" i="4" s="1"/>
  <c r="I19" i="4"/>
  <c r="L12" i="4"/>
  <c r="L20" i="4" s="1"/>
  <c r="I20" i="4"/>
  <c r="C31" i="8"/>
  <c r="C32" i="8"/>
  <c r="E31" i="8"/>
  <c r="E32" i="8"/>
  <c r="D31" i="8"/>
  <c r="D32" i="8"/>
  <c r="F31" i="8"/>
  <c r="F32" i="8"/>
  <c r="H31" i="8"/>
  <c r="J14" i="8" s="1"/>
  <c r="D23" i="8"/>
  <c r="F23" i="8"/>
  <c r="C23" i="8"/>
  <c r="E23" i="8"/>
  <c r="C22" i="8"/>
  <c r="E22" i="8"/>
  <c r="F22" i="8"/>
  <c r="D22" i="8"/>
  <c r="H20" i="8"/>
  <c r="P68" i="6"/>
  <c r="Q68" i="6"/>
  <c r="R68" i="6"/>
  <c r="S68" i="6"/>
  <c r="T68" i="6"/>
  <c r="U68" i="6"/>
  <c r="V68" i="6"/>
  <c r="O67" i="6"/>
  <c r="P67" i="6"/>
  <c r="Q67" i="6"/>
  <c r="R67" i="6"/>
  <c r="S67" i="6"/>
  <c r="T67" i="6"/>
  <c r="U67" i="6"/>
  <c r="V67" i="6"/>
  <c r="C69" i="6"/>
  <c r="C44" i="6" s="1"/>
  <c r="N66" i="6"/>
  <c r="O66" i="6"/>
  <c r="P66" i="6"/>
  <c r="P69" i="6" s="1"/>
  <c r="P44" i="6" s="1"/>
  <c r="Q66" i="6"/>
  <c r="R66" i="6"/>
  <c r="R69" i="6" s="1"/>
  <c r="R44" i="6" s="1"/>
  <c r="S66" i="6"/>
  <c r="S69" i="6" s="1"/>
  <c r="S44" i="6" s="1"/>
  <c r="T66" i="6"/>
  <c r="T69" i="6" s="1"/>
  <c r="T44" i="6" s="1"/>
  <c r="U66" i="6"/>
  <c r="U69" i="6" s="1"/>
  <c r="U44" i="6" s="1"/>
  <c r="V66" i="6"/>
  <c r="P62" i="6"/>
  <c r="Q62" i="6"/>
  <c r="R62" i="6"/>
  <c r="S62" i="6"/>
  <c r="T62" i="6"/>
  <c r="U62" i="6"/>
  <c r="V62" i="6"/>
  <c r="O61" i="6"/>
  <c r="P61" i="6"/>
  <c r="Q61" i="6"/>
  <c r="R61" i="6"/>
  <c r="S61" i="6"/>
  <c r="T61" i="6"/>
  <c r="U61" i="6"/>
  <c r="V61" i="6"/>
  <c r="N60" i="6"/>
  <c r="O60" i="6"/>
  <c r="P60" i="6"/>
  <c r="Q60" i="6"/>
  <c r="R60" i="6"/>
  <c r="S60" i="6"/>
  <c r="T60" i="6"/>
  <c r="U60" i="6"/>
  <c r="V60" i="6"/>
  <c r="V69" i="6" l="1"/>
  <c r="V44" i="6" s="1"/>
  <c r="Q69" i="6"/>
  <c r="Q44" i="6" s="1"/>
  <c r="H21" i="8"/>
  <c r="J9" i="8" s="1"/>
  <c r="E26" i="8"/>
  <c r="E27" i="8" s="1"/>
  <c r="V63" i="6"/>
  <c r="V43" i="6" s="1"/>
  <c r="T63" i="6"/>
  <c r="T43" i="6" s="1"/>
  <c r="R63" i="6"/>
  <c r="R43" i="6" s="1"/>
  <c r="P63" i="6"/>
  <c r="H32" i="8"/>
  <c r="J15" i="8" s="1"/>
  <c r="U63" i="6"/>
  <c r="U43" i="6" s="1"/>
  <c r="S63" i="6"/>
  <c r="S43" i="6" s="1"/>
  <c r="Q63" i="6"/>
  <c r="Q43" i="6" s="1"/>
  <c r="D26" i="8"/>
  <c r="D27" i="8" s="1"/>
  <c r="F26" i="8"/>
  <c r="H23" i="8"/>
  <c r="H22" i="8"/>
  <c r="C26" i="8"/>
  <c r="P43" i="6"/>
  <c r="C63" i="6"/>
  <c r="C43" i="6" s="1"/>
  <c r="A51" i="6"/>
  <c r="A50" i="6"/>
  <c r="A49" i="6"/>
  <c r="C42" i="6"/>
  <c r="C46" i="6" s="1"/>
  <c r="A42" i="6"/>
  <c r="D33" i="6"/>
  <c r="E33" i="6"/>
  <c r="C33" i="6"/>
  <c r="E39" i="6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V57" i="6" s="1"/>
  <c r="D39" i="6"/>
  <c r="D57" i="6" s="1"/>
  <c r="C39" i="6"/>
  <c r="C57" i="6" s="1"/>
  <c r="V52" i="6"/>
  <c r="U52" i="6"/>
  <c r="T52" i="6"/>
  <c r="S52" i="6"/>
  <c r="R52" i="6"/>
  <c r="Q52" i="6"/>
  <c r="P52" i="6"/>
  <c r="O52" i="6"/>
  <c r="N52" i="6"/>
  <c r="M52" i="6"/>
  <c r="L52" i="6"/>
  <c r="K52" i="6"/>
  <c r="H5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F42" i="6"/>
  <c r="E42" i="6"/>
  <c r="D42" i="6"/>
  <c r="F27" i="8" l="1"/>
  <c r="F28" i="8" s="1"/>
  <c r="H26" i="8"/>
  <c r="C27" i="8"/>
  <c r="S57" i="6"/>
  <c r="O57" i="6"/>
  <c r="K57" i="6"/>
  <c r="G57" i="6"/>
  <c r="U57" i="6"/>
  <c r="Q57" i="6"/>
  <c r="M57" i="6"/>
  <c r="I57" i="6"/>
  <c r="E57" i="6"/>
  <c r="T57" i="6"/>
  <c r="R57" i="6"/>
  <c r="P57" i="6"/>
  <c r="N57" i="6"/>
  <c r="L57" i="6"/>
  <c r="J57" i="6"/>
  <c r="H57" i="6"/>
  <c r="F57" i="6"/>
  <c r="F52" i="6"/>
  <c r="J52" i="6"/>
  <c r="G52" i="6"/>
  <c r="I52" i="6"/>
  <c r="E28" i="8" l="1"/>
  <c r="J8" i="8"/>
  <c r="D28" i="8" l="1"/>
  <c r="H27" i="8" l="1"/>
  <c r="H28" i="8" s="1"/>
  <c r="C28" i="8" l="1"/>
  <c r="J10" i="8" s="1"/>
  <c r="J11" i="8" s="1"/>
  <c r="B17" i="6"/>
  <c r="F22" i="3"/>
  <c r="F24" i="3" s="1"/>
  <c r="M44" i="4" l="1"/>
  <c r="L44" i="4"/>
  <c r="K44" i="4"/>
  <c r="J44" i="4"/>
  <c r="I44" i="4"/>
  <c r="H44" i="4"/>
  <c r="G44" i="4"/>
  <c r="F44" i="4"/>
  <c r="E44" i="4"/>
  <c r="D44" i="4"/>
  <c r="C44" i="4"/>
  <c r="B44" i="4"/>
  <c r="M39" i="4"/>
  <c r="L39" i="4"/>
  <c r="K39" i="4"/>
  <c r="J39" i="4"/>
  <c r="I39" i="4"/>
  <c r="H39" i="4"/>
  <c r="G39" i="4"/>
  <c r="F39" i="4"/>
  <c r="E39" i="4"/>
  <c r="D39" i="4"/>
  <c r="C39" i="4"/>
  <c r="B39" i="4"/>
  <c r="M34" i="4"/>
  <c r="L34" i="4"/>
  <c r="K34" i="4"/>
  <c r="J34" i="4"/>
  <c r="I34" i="4"/>
  <c r="H34" i="4"/>
  <c r="G34" i="4"/>
  <c r="F34" i="4"/>
  <c r="E34" i="4"/>
  <c r="D34" i="4"/>
  <c r="C34" i="4"/>
  <c r="B34" i="4"/>
  <c r="M23" i="4"/>
  <c r="L23" i="4"/>
  <c r="K23" i="4"/>
  <c r="J23" i="4"/>
  <c r="I23" i="4"/>
  <c r="H23" i="4"/>
  <c r="G23" i="4"/>
  <c r="F23" i="4"/>
  <c r="E23" i="4"/>
  <c r="D23" i="4"/>
  <c r="C23" i="4"/>
  <c r="B23" i="4"/>
  <c r="M27" i="4"/>
  <c r="L27" i="4"/>
  <c r="K27" i="4"/>
  <c r="J27" i="4"/>
  <c r="I27" i="4"/>
  <c r="H27" i="4"/>
  <c r="G27" i="4"/>
  <c r="E27" i="4"/>
  <c r="D27" i="4"/>
  <c r="C27" i="4"/>
  <c r="M12" i="4"/>
  <c r="K12" i="4"/>
  <c r="K20" i="4" s="1"/>
  <c r="J12" i="4"/>
  <c r="J20" i="4" s="1"/>
  <c r="H12" i="4"/>
  <c r="G12" i="4"/>
  <c r="E12" i="4"/>
  <c r="E20" i="4" s="1"/>
  <c r="D12" i="4"/>
  <c r="D20" i="4" s="1"/>
  <c r="B12" i="4"/>
  <c r="B20" i="4" s="1"/>
  <c r="M10" i="4"/>
  <c r="K10" i="4"/>
  <c r="K18" i="4" s="1"/>
  <c r="J10" i="4"/>
  <c r="J18" i="4" s="1"/>
  <c r="H10" i="4"/>
  <c r="G10" i="4"/>
  <c r="E10" i="4"/>
  <c r="E18" i="4" s="1"/>
  <c r="D10" i="4"/>
  <c r="D18" i="4" s="1"/>
  <c r="B10" i="4"/>
  <c r="B18" i="4" s="1"/>
  <c r="L6" i="4"/>
  <c r="I6" i="4"/>
  <c r="C7" i="2" s="1"/>
  <c r="F6" i="4"/>
  <c r="C6" i="4"/>
  <c r="G26" i="4" l="1"/>
  <c r="G18" i="4"/>
  <c r="M28" i="4"/>
  <c r="M20" i="4"/>
  <c r="H26" i="4"/>
  <c r="H18" i="4"/>
  <c r="H28" i="4"/>
  <c r="H20" i="4"/>
  <c r="M26" i="4"/>
  <c r="M18" i="4"/>
  <c r="G28" i="4"/>
  <c r="G20" i="4"/>
  <c r="G26" i="2"/>
  <c r="F26" i="2"/>
  <c r="D26" i="2"/>
  <c r="H26" i="2"/>
  <c r="C26" i="2"/>
  <c r="B26" i="2"/>
  <c r="F27" i="4"/>
  <c r="C13" i="3"/>
  <c r="D26" i="4"/>
  <c r="J26" i="4"/>
  <c r="D28" i="4"/>
  <c r="J28" i="4"/>
  <c r="F26" i="4"/>
  <c r="L26" i="4"/>
  <c r="F28" i="4"/>
  <c r="L28" i="4"/>
  <c r="C25" i="6"/>
  <c r="D25" i="6"/>
  <c r="E25" i="6"/>
  <c r="K13" i="3"/>
  <c r="G13" i="3"/>
  <c r="E13" i="3"/>
  <c r="B26" i="4"/>
  <c r="E26" i="4"/>
  <c r="K26" i="4"/>
  <c r="B28" i="4"/>
  <c r="E28" i="4"/>
  <c r="K28" i="4"/>
  <c r="C26" i="4"/>
  <c r="I26" i="4"/>
  <c r="B27" i="4"/>
  <c r="C28" i="4"/>
  <c r="I28" i="4"/>
  <c r="C48" i="4"/>
  <c r="C49" i="4" s="1"/>
  <c r="C54" i="4" s="1"/>
  <c r="E48" i="4"/>
  <c r="E49" i="4" s="1"/>
  <c r="E54" i="4" s="1"/>
  <c r="G48" i="4"/>
  <c r="G50" i="4" s="1"/>
  <c r="G55" i="4" s="1"/>
  <c r="G60" i="4" s="1"/>
  <c r="I48" i="4"/>
  <c r="I49" i="4" s="1"/>
  <c r="I54" i="4" s="1"/>
  <c r="K48" i="4"/>
  <c r="K49" i="4" s="1"/>
  <c r="K54" i="4" s="1"/>
  <c r="M48" i="4"/>
  <c r="M49" i="4" s="1"/>
  <c r="M54" i="4" s="1"/>
  <c r="M59" i="4" s="1"/>
  <c r="B48" i="4"/>
  <c r="B49" i="4" s="1"/>
  <c r="B54" i="4" s="1"/>
  <c r="D48" i="4"/>
  <c r="D49" i="4" s="1"/>
  <c r="D54" i="4" s="1"/>
  <c r="F48" i="4"/>
  <c r="F49" i="4" s="1"/>
  <c r="F54" i="4" s="1"/>
  <c r="H48" i="4"/>
  <c r="H49" i="4" s="1"/>
  <c r="H54" i="4" s="1"/>
  <c r="J48" i="4"/>
  <c r="J49" i="4" s="1"/>
  <c r="J54" i="4" s="1"/>
  <c r="L48" i="4"/>
  <c r="L49" i="4" s="1"/>
  <c r="L54" i="4" s="1"/>
  <c r="L59" i="4" l="1"/>
  <c r="F59" i="4"/>
  <c r="B59" i="4"/>
  <c r="C59" i="4"/>
  <c r="M13" i="3"/>
  <c r="M16" i="3" s="1"/>
  <c r="M19" i="3" s="1"/>
  <c r="L13" i="3"/>
  <c r="L16" i="3" s="1"/>
  <c r="L19" i="3" s="1"/>
  <c r="J59" i="4"/>
  <c r="H13" i="3"/>
  <c r="H16" i="3" s="1"/>
  <c r="H19" i="3" s="1"/>
  <c r="D13" i="3"/>
  <c r="D15" i="3" s="1"/>
  <c r="I13" i="3"/>
  <c r="I16" i="3" s="1"/>
  <c r="I19" i="3" s="1"/>
  <c r="D59" i="4"/>
  <c r="E59" i="4"/>
  <c r="E27" i="6"/>
  <c r="C27" i="6"/>
  <c r="C30" i="6" s="1"/>
  <c r="D27" i="6"/>
  <c r="F25" i="6"/>
  <c r="K59" i="4"/>
  <c r="G51" i="4"/>
  <c r="G56" i="4" s="1"/>
  <c r="G61" i="4" s="1"/>
  <c r="K50" i="4"/>
  <c r="K55" i="4" s="1"/>
  <c r="C50" i="4"/>
  <c r="C55" i="4" s="1"/>
  <c r="C60" i="4" s="1"/>
  <c r="G49" i="4"/>
  <c r="G54" i="4" s="1"/>
  <c r="G59" i="4" s="1"/>
  <c r="E15" i="3"/>
  <c r="E16" i="3"/>
  <c r="G15" i="3"/>
  <c r="G18" i="3" s="1"/>
  <c r="G16" i="3"/>
  <c r="G19" i="3" s="1"/>
  <c r="K15" i="3"/>
  <c r="K18" i="3" s="1"/>
  <c r="K16" i="3"/>
  <c r="K19" i="3" s="1"/>
  <c r="H59" i="4"/>
  <c r="I59" i="4"/>
  <c r="K51" i="4"/>
  <c r="K56" i="4" s="1"/>
  <c r="C51" i="4"/>
  <c r="C56" i="4" s="1"/>
  <c r="C61" i="4" s="1"/>
  <c r="H15" i="3"/>
  <c r="H18" i="3" s="1"/>
  <c r="C15" i="3"/>
  <c r="O13" i="3"/>
  <c r="O14" i="3" s="1"/>
  <c r="C16" i="3"/>
  <c r="L51" i="4"/>
  <c r="L56" i="4" s="1"/>
  <c r="L61" i="4" s="1"/>
  <c r="H51" i="4"/>
  <c r="H56" i="4" s="1"/>
  <c r="D51" i="4"/>
  <c r="D56" i="4" s="1"/>
  <c r="D61" i="4" s="1"/>
  <c r="L50" i="4"/>
  <c r="L55" i="4" s="1"/>
  <c r="L60" i="4" s="1"/>
  <c r="H50" i="4"/>
  <c r="H55" i="4" s="1"/>
  <c r="D50" i="4"/>
  <c r="D55" i="4" s="1"/>
  <c r="D60" i="4" s="1"/>
  <c r="M51" i="4"/>
  <c r="M56" i="4" s="1"/>
  <c r="M61" i="4" s="1"/>
  <c r="I51" i="4"/>
  <c r="I56" i="4" s="1"/>
  <c r="I61" i="4" s="1"/>
  <c r="E51" i="4"/>
  <c r="E56" i="4" s="1"/>
  <c r="E61" i="4" s="1"/>
  <c r="M50" i="4"/>
  <c r="M55" i="4" s="1"/>
  <c r="M60" i="4" s="1"/>
  <c r="I50" i="4"/>
  <c r="I55" i="4" s="1"/>
  <c r="I60" i="4" s="1"/>
  <c r="E50" i="4"/>
  <c r="E55" i="4" s="1"/>
  <c r="E60" i="4" s="1"/>
  <c r="J51" i="4"/>
  <c r="J56" i="4" s="1"/>
  <c r="J61" i="4" s="1"/>
  <c r="F51" i="4"/>
  <c r="F56" i="4" s="1"/>
  <c r="F61" i="4" s="1"/>
  <c r="B51" i="4"/>
  <c r="B56" i="4" s="1"/>
  <c r="B61" i="4" s="1"/>
  <c r="J50" i="4"/>
  <c r="J55" i="4" s="1"/>
  <c r="J60" i="4" s="1"/>
  <c r="F50" i="4"/>
  <c r="F55" i="4" s="1"/>
  <c r="F60" i="4" s="1"/>
  <c r="B50" i="4"/>
  <c r="B55" i="4" s="1"/>
  <c r="B60" i="4" s="1"/>
  <c r="F26" i="6" l="1"/>
  <c r="H8" i="6" s="1"/>
  <c r="E30" i="6"/>
  <c r="E49" i="6" s="1"/>
  <c r="D30" i="6"/>
  <c r="D49" i="6" s="1"/>
  <c r="I15" i="3"/>
  <c r="I18" i="3" s="1"/>
  <c r="I22" i="3" s="1"/>
  <c r="I23" i="3" s="1"/>
  <c r="I24" i="3" s="1"/>
  <c r="L15" i="3"/>
  <c r="L18" i="3" s="1"/>
  <c r="L22" i="3" s="1"/>
  <c r="P13" i="3"/>
  <c r="P14" i="3" s="1"/>
  <c r="Q13" i="3"/>
  <c r="Q14" i="3" s="1"/>
  <c r="D16" i="3"/>
  <c r="D19" i="3" s="1"/>
  <c r="M15" i="3"/>
  <c r="M18" i="3" s="1"/>
  <c r="M22" i="3" s="1"/>
  <c r="M23" i="3" s="1"/>
  <c r="C62" i="4"/>
  <c r="G62" i="4"/>
  <c r="H7" i="6"/>
  <c r="F27" i="6"/>
  <c r="C49" i="6"/>
  <c r="H22" i="3"/>
  <c r="K22" i="3"/>
  <c r="K23" i="3" s="1"/>
  <c r="K24" i="3" s="1"/>
  <c r="G22" i="3"/>
  <c r="G23" i="3" s="1"/>
  <c r="G24" i="3" s="1"/>
  <c r="D28" i="6"/>
  <c r="D31" i="6" s="1"/>
  <c r="C28" i="6"/>
  <c r="C31" i="6" s="1"/>
  <c r="E28" i="6"/>
  <c r="E31" i="6" s="1"/>
  <c r="I62" i="4"/>
  <c r="H60" i="4"/>
  <c r="C19" i="3"/>
  <c r="O16" i="3"/>
  <c r="C18" i="3"/>
  <c r="C22" i="3" s="1"/>
  <c r="O15" i="3"/>
  <c r="K60" i="4"/>
  <c r="B62" i="4"/>
  <c r="J62" i="4"/>
  <c r="F62" i="4"/>
  <c r="E62" i="4"/>
  <c r="M62" i="4"/>
  <c r="D62" i="4"/>
  <c r="L62" i="4"/>
  <c r="H61" i="4"/>
  <c r="D18" i="3"/>
  <c r="K61" i="4"/>
  <c r="E19" i="3"/>
  <c r="Q16" i="3"/>
  <c r="E18" i="3"/>
  <c r="E22" i="3" s="1"/>
  <c r="H62" i="4" l="1"/>
  <c r="H66" i="4" s="1"/>
  <c r="L66" i="4"/>
  <c r="L65" i="4"/>
  <c r="L67" i="4"/>
  <c r="M65" i="4"/>
  <c r="M67" i="4"/>
  <c r="M66" i="4"/>
  <c r="F66" i="4"/>
  <c r="F65" i="4"/>
  <c r="F67" i="4"/>
  <c r="B66" i="4"/>
  <c r="B67" i="4"/>
  <c r="B65" i="4"/>
  <c r="I65" i="4"/>
  <c r="I67" i="4"/>
  <c r="I66" i="4"/>
  <c r="G65" i="4"/>
  <c r="G67" i="4"/>
  <c r="G66" i="4"/>
  <c r="D66" i="4"/>
  <c r="D65" i="4"/>
  <c r="D67" i="4"/>
  <c r="E65" i="4"/>
  <c r="E67" i="4"/>
  <c r="E66" i="4"/>
  <c r="J66" i="4"/>
  <c r="J65" i="4"/>
  <c r="J67" i="4"/>
  <c r="C65" i="4"/>
  <c r="C67" i="4"/>
  <c r="C66" i="4"/>
  <c r="C8" i="2"/>
  <c r="Q15" i="3"/>
  <c r="P15" i="3"/>
  <c r="P16" i="3"/>
  <c r="D22" i="3"/>
  <c r="D23" i="3" s="1"/>
  <c r="B19" i="2"/>
  <c r="H23" i="3"/>
  <c r="H24" i="3" s="1"/>
  <c r="H27" i="2"/>
  <c r="F27" i="2"/>
  <c r="G27" i="2"/>
  <c r="C27" i="2"/>
  <c r="B27" i="2"/>
  <c r="E34" i="6"/>
  <c r="E35" i="6" s="1"/>
  <c r="E50" i="6"/>
  <c r="D34" i="6"/>
  <c r="D35" i="6" s="1"/>
  <c r="D50" i="6"/>
  <c r="M24" i="3"/>
  <c r="F28" i="6"/>
  <c r="L23" i="3"/>
  <c r="L24" i="3" s="1"/>
  <c r="E23" i="3"/>
  <c r="Q23" i="3" s="1"/>
  <c r="Q22" i="3"/>
  <c r="K62" i="4"/>
  <c r="C23" i="3"/>
  <c r="O23" i="3" s="1"/>
  <c r="O22" i="3"/>
  <c r="F19" i="2" l="1"/>
  <c r="H65" i="4"/>
  <c r="H67" i="4"/>
  <c r="K65" i="4"/>
  <c r="K67" i="4"/>
  <c r="K66" i="4"/>
  <c r="G21" i="2"/>
  <c r="G22" i="2" s="1"/>
  <c r="G23" i="2" s="1"/>
  <c r="F21" i="2"/>
  <c r="B21" i="2"/>
  <c r="G10" i="2" s="1"/>
  <c r="C21" i="2"/>
  <c r="H21" i="2"/>
  <c r="H22" i="2" s="1"/>
  <c r="H23" i="2" s="1"/>
  <c r="D21" i="2"/>
  <c r="P22" i="3"/>
  <c r="P23" i="3"/>
  <c r="D27" i="2"/>
  <c r="G11" i="2"/>
  <c r="E67" i="6"/>
  <c r="G61" i="6"/>
  <c r="H67" i="6" s="1"/>
  <c r="I61" i="6"/>
  <c r="K61" i="6"/>
  <c r="L67" i="6" s="1"/>
  <c r="M61" i="6"/>
  <c r="N67" i="6" s="1"/>
  <c r="E61" i="6"/>
  <c r="F67" i="6" s="1"/>
  <c r="J67" i="6"/>
  <c r="F61" i="6"/>
  <c r="G67" i="6" s="1"/>
  <c r="H61" i="6"/>
  <c r="I67" i="6" s="1"/>
  <c r="J61" i="6"/>
  <c r="K67" i="6" s="1"/>
  <c r="L61" i="6"/>
  <c r="M67" i="6" s="1"/>
  <c r="N61" i="6"/>
  <c r="G62" i="6"/>
  <c r="H68" i="6" s="1"/>
  <c r="I62" i="6"/>
  <c r="J68" i="6" s="1"/>
  <c r="K62" i="6"/>
  <c r="L68" i="6" s="1"/>
  <c r="M62" i="6"/>
  <c r="N68" i="6" s="1"/>
  <c r="O62" i="6"/>
  <c r="O63" i="6" s="1"/>
  <c r="O43" i="6" s="1"/>
  <c r="F62" i="6"/>
  <c r="G68" i="6" s="1"/>
  <c r="F68" i="6"/>
  <c r="H62" i="6"/>
  <c r="I68" i="6" s="1"/>
  <c r="J62" i="6"/>
  <c r="K68" i="6" s="1"/>
  <c r="L62" i="6"/>
  <c r="M68" i="6" s="1"/>
  <c r="N62" i="6"/>
  <c r="O68" i="6" s="1"/>
  <c r="O69" i="6" s="1"/>
  <c r="O44" i="6" s="1"/>
  <c r="D51" i="6"/>
  <c r="D52" i="6" s="1"/>
  <c r="E36" i="6"/>
  <c r="C34" i="6"/>
  <c r="C35" i="6" s="1"/>
  <c r="C50" i="6"/>
  <c r="C24" i="3"/>
  <c r="O24" i="3" s="1"/>
  <c r="E24" i="3"/>
  <c r="Q24" i="3" s="1"/>
  <c r="D24" i="3"/>
  <c r="P24" i="3" s="1"/>
  <c r="I10" i="2" l="1"/>
  <c r="H10" i="2"/>
  <c r="D36" i="6"/>
  <c r="D66" i="6"/>
  <c r="D69" i="6" s="1"/>
  <c r="D44" i="6" s="1"/>
  <c r="G60" i="6"/>
  <c r="G63" i="6" s="1"/>
  <c r="G43" i="6" s="1"/>
  <c r="I60" i="6"/>
  <c r="I63" i="6" s="1"/>
  <c r="I43" i="6" s="1"/>
  <c r="K60" i="6"/>
  <c r="K63" i="6" s="1"/>
  <c r="K43" i="6" s="1"/>
  <c r="M60" i="6"/>
  <c r="M63" i="6" s="1"/>
  <c r="M43" i="6" s="1"/>
  <c r="E60" i="6"/>
  <c r="F66" i="6" s="1"/>
  <c r="F69" i="6" s="1"/>
  <c r="F44" i="6" s="1"/>
  <c r="F60" i="6"/>
  <c r="G66" i="6" s="1"/>
  <c r="G69" i="6" s="1"/>
  <c r="G44" i="6" s="1"/>
  <c r="H60" i="6"/>
  <c r="H63" i="6" s="1"/>
  <c r="H43" i="6" s="1"/>
  <c r="J60" i="6"/>
  <c r="J63" i="6" s="1"/>
  <c r="J43" i="6" s="1"/>
  <c r="L60" i="6"/>
  <c r="L63" i="6" s="1"/>
  <c r="L43" i="6" s="1"/>
  <c r="D60" i="6"/>
  <c r="E66" i="6" s="1"/>
  <c r="E69" i="6" s="1"/>
  <c r="E44" i="6" s="1"/>
  <c r="N63" i="6"/>
  <c r="N43" i="6" s="1"/>
  <c r="N69" i="6"/>
  <c r="N44" i="6" s="1"/>
  <c r="C51" i="6"/>
  <c r="C52" i="6" s="1"/>
  <c r="E51" i="6"/>
  <c r="E52" i="6" s="1"/>
  <c r="F34" i="6"/>
  <c r="C22" i="2"/>
  <c r="C23" i="2" s="1"/>
  <c r="B22" i="2"/>
  <c r="B23" i="2" s="1"/>
  <c r="D22" i="2"/>
  <c r="D23" i="2" s="1"/>
  <c r="F22" i="2"/>
  <c r="F23" i="2" s="1"/>
  <c r="I9" i="2" l="1"/>
  <c r="E8" i="10"/>
  <c r="C8" i="10"/>
  <c r="H9" i="2"/>
  <c r="D8" i="10"/>
  <c r="C36" i="6"/>
  <c r="K66" i="6"/>
  <c r="K69" i="6" s="1"/>
  <c r="K44" i="6" s="1"/>
  <c r="L66" i="6"/>
  <c r="L69" i="6" s="1"/>
  <c r="L44" i="6" s="1"/>
  <c r="H66" i="6"/>
  <c r="H69" i="6" s="1"/>
  <c r="H44" i="6" s="1"/>
  <c r="M66" i="6"/>
  <c r="M69" i="6" s="1"/>
  <c r="M44" i="6" s="1"/>
  <c r="I66" i="6"/>
  <c r="I69" i="6" s="1"/>
  <c r="I44" i="6" s="1"/>
  <c r="J66" i="6"/>
  <c r="J69" i="6" s="1"/>
  <c r="J44" i="6" s="1"/>
  <c r="F35" i="6"/>
  <c r="F36" i="6" s="1"/>
  <c r="D63" i="6"/>
  <c r="C54" i="6"/>
  <c r="D45" i="6" s="1"/>
  <c r="G9" i="2"/>
  <c r="H9" i="6" l="1"/>
  <c r="H10" i="6" s="1"/>
  <c r="E63" i="6"/>
  <c r="E43" i="6" s="1"/>
  <c r="F63" i="6"/>
  <c r="F43" i="6" s="1"/>
  <c r="D43" i="6"/>
  <c r="D46" i="6" s="1"/>
  <c r="D54" i="6" s="1"/>
  <c r="E45" i="6" s="1"/>
  <c r="E46" i="6" s="1"/>
  <c r="E54" i="6" s="1"/>
  <c r="D12" i="6" s="1"/>
  <c r="F45" i="6" l="1"/>
  <c r="F46" i="6" s="1"/>
  <c r="F54" i="6" s="1"/>
  <c r="G45" i="6" s="1"/>
  <c r="G46" i="6" s="1"/>
  <c r="G54" i="6" s="1"/>
  <c r="H45" i="6" l="1"/>
  <c r="H46" i="6" s="1"/>
  <c r="H54" i="6" s="1"/>
  <c r="I45" i="6" l="1"/>
  <c r="I46" i="6" s="1"/>
  <c r="I54" i="6" s="1"/>
  <c r="J45" i="6" l="1"/>
  <c r="J46" i="6" s="1"/>
  <c r="J54" i="6" s="1"/>
  <c r="K45" i="6" l="1"/>
  <c r="K46" i="6" s="1"/>
  <c r="K54" i="6" s="1"/>
  <c r="L45" i="6" l="1"/>
  <c r="L46" i="6" s="1"/>
  <c r="L54" i="6" s="1"/>
  <c r="M45" i="6" l="1"/>
  <c r="M46" i="6" s="1"/>
  <c r="M54" i="6" s="1"/>
  <c r="N45" i="6" l="1"/>
  <c r="N46" i="6" s="1"/>
  <c r="N54" i="6" s="1"/>
  <c r="O45" i="6" l="1"/>
  <c r="O46" i="6" s="1"/>
  <c r="O54" i="6" s="1"/>
  <c r="P45" i="6" l="1"/>
  <c r="P46" i="6" s="1"/>
  <c r="P54" i="6" s="1"/>
  <c r="Q45" i="6" l="1"/>
  <c r="Q46" i="6" s="1"/>
  <c r="Q54" i="6" s="1"/>
  <c r="R45" i="6" s="1"/>
  <c r="R46" i="6" s="1"/>
  <c r="R54" i="6" s="1"/>
  <c r="S45" i="6" s="1"/>
  <c r="S46" i="6" s="1"/>
  <c r="S54" i="6" s="1"/>
  <c r="T45" i="6" s="1"/>
  <c r="T46" i="6" s="1"/>
  <c r="T54" i="6" s="1"/>
  <c r="U45" i="6" s="1"/>
  <c r="U46" i="6" s="1"/>
  <c r="U54" i="6" s="1"/>
  <c r="V45" i="6" s="1"/>
  <c r="V46" i="6" s="1"/>
  <c r="V54" i="6" s="1"/>
</calcChain>
</file>

<file path=xl/sharedStrings.xml><?xml version="1.0" encoding="utf-8"?>
<sst xmlns="http://schemas.openxmlformats.org/spreadsheetml/2006/main" count="300" uniqueCount="215">
  <si>
    <t>Household Estimates:</t>
  </si>
  <si>
    <t>100% of the FPL</t>
  </si>
  <si>
    <t>115% of the FPL</t>
  </si>
  <si>
    <t>150% of the FPL</t>
  </si>
  <si>
    <t>200% of the FPL</t>
  </si>
  <si>
    <t>Fraction of population below the Federal Poverty Level</t>
  </si>
  <si>
    <t>Uncertainty (1 sigma)</t>
  </si>
  <si>
    <t>Total households in NAA</t>
  </si>
  <si>
    <t>Number of burners out of total</t>
  </si>
  <si>
    <t>Total number of burners available for subsidy</t>
  </si>
  <si>
    <t>Heating Costs Range</t>
  </si>
  <si>
    <t>Low Estimate</t>
  </si>
  <si>
    <t>Average</t>
  </si>
  <si>
    <t>High Estimate</t>
  </si>
  <si>
    <t>Electric Baseboard/Furnace</t>
  </si>
  <si>
    <t>Natural Gas Furnace (PSE is only supplier)</t>
  </si>
  <si>
    <t>Oil Furnace</t>
  </si>
  <si>
    <t>Annual heating degree days (from 65 degrees):</t>
  </si>
  <si>
    <t>Reference temperature</t>
  </si>
  <si>
    <t>Cost per degree day:</t>
  </si>
  <si>
    <t>Electric</t>
  </si>
  <si>
    <t>Natural Gas</t>
  </si>
  <si>
    <t>Oil</t>
  </si>
  <si>
    <t xml:space="preserve">Average burn ban temperature </t>
  </si>
  <si>
    <t>Average heating degree days on burn ban days</t>
  </si>
  <si>
    <t>Daily cost per burn day per house:</t>
  </si>
  <si>
    <t>Low Income Utility Ratios:</t>
  </si>
  <si>
    <t>Electricity households vs income</t>
  </si>
  <si>
    <t>Slope</t>
  </si>
  <si>
    <t>Intercept</t>
  </si>
  <si>
    <t>Representative Census Block Group Households at $25,000</t>
  </si>
  <si>
    <t>Gas households vs income</t>
  </si>
  <si>
    <t>Oil households vs income</t>
  </si>
  <si>
    <t>Income example for low income utility ratio estimate</t>
  </si>
  <si>
    <t>Representative Census Block Group Total</t>
  </si>
  <si>
    <t>Percent use electric</t>
  </si>
  <si>
    <t>Percent use gas</t>
  </si>
  <si>
    <t>Percent use oil</t>
  </si>
  <si>
    <t>Number of households subsidized by heat type:</t>
  </si>
  <si>
    <t>Natural gas</t>
  </si>
  <si>
    <t>Cost per burn ban day for all, per type</t>
  </si>
  <si>
    <t>Total</t>
  </si>
  <si>
    <t>Burn Ban Days per Year:</t>
  </si>
  <si>
    <t>6 days per year (low estimate)</t>
  </si>
  <si>
    <t>14 days per year (historical average)</t>
  </si>
  <si>
    <t>23 days per year (high estimate)</t>
  </si>
  <si>
    <t>households</t>
  </si>
  <si>
    <t>high</t>
  </si>
  <si>
    <t>per day</t>
  </si>
  <si>
    <t>Annual Subsidy Costs:</t>
  </si>
  <si>
    <t>Administration:</t>
  </si>
  <si>
    <t>Year 1</t>
  </si>
  <si>
    <t>Year 2*</t>
  </si>
  <si>
    <t>Woodstove low interest loan program Annual Cost Estimates</t>
  </si>
  <si>
    <t>Full data inputs and assumptions on separate page.</t>
  </si>
  <si>
    <t>Based on Tacoma heating costs for 2013; US Census income data; device cost estimates</t>
  </si>
  <si>
    <t>program ends in September 2015</t>
  </si>
  <si>
    <t>low</t>
  </si>
  <si>
    <t xml:space="preserve">low participation </t>
  </si>
  <si>
    <t xml:space="preserve">medium participation </t>
  </si>
  <si>
    <t xml:space="preserve">high participation </t>
  </si>
  <si>
    <t>Participation rates</t>
  </si>
  <si>
    <t>medium</t>
  </si>
  <si>
    <t>Coverage after 3 years</t>
  </si>
  <si>
    <t>of qualified households</t>
  </si>
  <si>
    <t>questions: does device cost or particiaption depend on heating type?</t>
  </si>
  <si>
    <t>Number of households per year</t>
  </si>
  <si>
    <t>will program end in 2015?</t>
  </si>
  <si>
    <t>Total $3000 devices(75%)</t>
  </si>
  <si>
    <t>Total $5000 devices (25%)</t>
  </si>
  <si>
    <t>Amount of $3,000 devices</t>
  </si>
  <si>
    <t>Amount of $5,000 devices</t>
  </si>
  <si>
    <t>Uptake scenarios</t>
  </si>
  <si>
    <t>Capital requirements</t>
  </si>
  <si>
    <t>Amount needed to meet annual target</t>
  </si>
  <si>
    <t>Admin Costs (5% of total)</t>
  </si>
  <si>
    <t>Total for 3 Year Program</t>
  </si>
  <si>
    <t>percent of total households</t>
  </si>
  <si>
    <t>$3,000 devices</t>
  </si>
  <si>
    <t>$5,000 devices</t>
  </si>
  <si>
    <t>Total cost to cover devices, per uptake scenario</t>
  </si>
  <si>
    <t>Admin costs, per uptake scenario</t>
  </si>
  <si>
    <t>Total program costs, per uptake scenario</t>
  </si>
  <si>
    <t>Should we include some HHDs that fall below 150%?</t>
  </si>
  <si>
    <t>Participation Rates</t>
  </si>
  <si>
    <t>Total Number of HHDs</t>
  </si>
  <si>
    <t>Year 1 - 2013</t>
  </si>
  <si>
    <t>Year 2 - 2014</t>
  </si>
  <si>
    <t>Year 3 - 2015</t>
  </si>
  <si>
    <t>PROGRAM SUMMARY</t>
  </si>
  <si>
    <t>Average cost per household:</t>
  </si>
  <si>
    <t>PROGRAM DETAIL</t>
  </si>
  <si>
    <t>INPUTS</t>
  </si>
  <si>
    <t>Total cost to cover devices</t>
  </si>
  <si>
    <t>Admin costs</t>
  </si>
  <si>
    <t>Total program costs</t>
  </si>
  <si>
    <t>Total households:</t>
  </si>
  <si>
    <t>Percentage of qualified households:</t>
  </si>
  <si>
    <t>Administrative Costs (% of total costs)</t>
  </si>
  <si>
    <t>3 YEAR TOTAL</t>
  </si>
  <si>
    <t>Input Value</t>
  </si>
  <si>
    <t xml:space="preserve">Administrative costs </t>
  </si>
  <si>
    <t>Average annual cost</t>
  </si>
  <si>
    <t>Annual subsidy per household</t>
  </si>
  <si>
    <t>Interest rate on loans</t>
  </si>
  <si>
    <t>Total Cash Outflow</t>
  </si>
  <si>
    <t>Carryover</t>
  </si>
  <si>
    <t>Total Cash Inflow</t>
  </si>
  <si>
    <t>Length of loan term (years)</t>
  </si>
  <si>
    <t>Average cost to repair existing appliance</t>
  </si>
  <si>
    <t>Percentage of households repairing</t>
  </si>
  <si>
    <t>Average cost to replace appliance</t>
  </si>
  <si>
    <t>Percentage of households replacing</t>
  </si>
  <si>
    <t>Total households REPAIRING existing appliance</t>
  </si>
  <si>
    <t>Total households REPLACING existing appliance</t>
  </si>
  <si>
    <t>Total amount - repaired devices</t>
  </si>
  <si>
    <t>Total amount - replaced devices</t>
  </si>
  <si>
    <t>repaired appliances</t>
  </si>
  <si>
    <t>replaced appliances</t>
  </si>
  <si>
    <t>CAPITAL REQUIREMENTS</t>
  </si>
  <si>
    <t>CASH FLOW ANALYSIS</t>
  </si>
  <si>
    <t>Administrative costs</t>
  </si>
  <si>
    <t>Loan Program Inputs</t>
  </si>
  <si>
    <t>Source of Funds</t>
  </si>
  <si>
    <t>Cash Inflow</t>
  </si>
  <si>
    <t>Principal Repayment</t>
  </si>
  <si>
    <t>Interest payment</t>
  </si>
  <si>
    <t>Principal repayment</t>
  </si>
  <si>
    <t>Cash Outflow</t>
  </si>
  <si>
    <t>percent of total hhlds</t>
  </si>
  <si>
    <t>Total households</t>
  </si>
  <si>
    <t>Percentage of qualified households</t>
  </si>
  <si>
    <t>3 Year cost of program</t>
  </si>
  <si>
    <t>Average cost per household</t>
  </si>
  <si>
    <t>Total repair/replace cost</t>
  </si>
  <si>
    <t>Total excess to be carried over</t>
  </si>
  <si>
    <t>DEBT REPAYMENT ANALYSIS</t>
  </si>
  <si>
    <t>2013 Loans</t>
  </si>
  <si>
    <t>2014 Loans</t>
  </si>
  <si>
    <t>Total Principal Repayment</t>
  </si>
  <si>
    <t>Interest Payments</t>
  </si>
  <si>
    <t>2015 Loans</t>
  </si>
  <si>
    <t>Total households participating in program</t>
  </si>
  <si>
    <t>Total Interest Payments</t>
  </si>
  <si>
    <t>(*) Assume that interest payment and principal payment is once per year.</t>
  </si>
  <si>
    <t>Average Cost</t>
  </si>
  <si>
    <t>Percentage of Hhlds</t>
  </si>
  <si>
    <t>Woodstove Replacement Costs</t>
  </si>
  <si>
    <t>Percentage paid by grant</t>
  </si>
  <si>
    <t>Number of Households</t>
  </si>
  <si>
    <t>TOTAL</t>
  </si>
  <si>
    <t>Particulate reduction</t>
  </si>
  <si>
    <t>ug/m3 reduction in 24 hour concentration</t>
  </si>
  <si>
    <t>Replacement devices</t>
  </si>
  <si>
    <t>Repaired devices</t>
  </si>
  <si>
    <t>Total cost of replacement devices</t>
  </si>
  <si>
    <t>Total cost of repaired devices</t>
  </si>
  <si>
    <t>spent on replacement</t>
  </si>
  <si>
    <t>spent on repairs</t>
  </si>
  <si>
    <t>tons of fine particulate</t>
  </si>
  <si>
    <t>PARTICULATE REDUCTION SUMMARY</t>
  </si>
  <si>
    <t>ug/m3 reduction to 24-hour standard</t>
  </si>
  <si>
    <t>ug/m3 reduction</t>
  </si>
  <si>
    <t>Total cost of program</t>
  </si>
  <si>
    <t>Amount of grant</t>
  </si>
  <si>
    <t>Program coverage (share of qualified homes)</t>
  </si>
  <si>
    <t>Total Cost per Year:</t>
  </si>
  <si>
    <t>Cost per burn ban day times the number of households per heat source, at 100% coverage</t>
  </si>
  <si>
    <t>**Exact reduction would depend upon which heating type the customers had. This is an estimate.</t>
  </si>
  <si>
    <r>
      <t>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 day</t>
    </r>
  </si>
  <si>
    <r>
      <t>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 year</t>
    </r>
  </si>
  <si>
    <t>PARTICIPATING HOUSEHOLDS</t>
  </si>
  <si>
    <t>Wood Stove Replacement and Repair Program - Annual Cost Estimates</t>
  </si>
  <si>
    <t>Burn Ban Day On-Bill Utility Credit Program: Annual Costs &amp; Particulate Reduction</t>
  </si>
  <si>
    <t>Number of Households &lt;150% of the federal poverty line in the Nonattainment Area:</t>
  </si>
  <si>
    <t>Program reduction as HHs get new devices in Year 2:</t>
  </si>
  <si>
    <t>Wood Stove Replacement low interest loan program - Annual Cost Estimates</t>
  </si>
  <si>
    <t>(Enter source of funds)</t>
  </si>
  <si>
    <t>Annual Heating Costs:</t>
  </si>
  <si>
    <t>Number of burn ban days per year</t>
  </si>
  <si>
    <t>Low</t>
  </si>
  <si>
    <t>Historic Average</t>
  </si>
  <si>
    <t>High</t>
  </si>
  <si>
    <t xml:space="preserve">Historic Average </t>
  </si>
  <si>
    <t>PARTICULATE REDUCTION*</t>
  </si>
  <si>
    <t>Low estimate</t>
  </si>
  <si>
    <t>Historical average</t>
  </si>
  <si>
    <t>High estimate</t>
  </si>
  <si>
    <t>days per year</t>
  </si>
  <si>
    <t>Total number of households in nonattainment area</t>
  </si>
  <si>
    <t>Total number of households using a wood-burning device (in last year)</t>
  </si>
  <si>
    <t>Data Inputs for Wood Stove Program Evaluation Model</t>
  </si>
  <si>
    <t>Population Estimates</t>
  </si>
  <si>
    <t>Average Annual Heating Costs</t>
  </si>
  <si>
    <t>Annual heating degree days (from 65 degrees)</t>
  </si>
  <si>
    <t>Burn Ban Day Inputs</t>
  </si>
  <si>
    <t>Average burn ban temperature (degrees F)</t>
  </si>
  <si>
    <t>Burn ban days per year:</t>
  </si>
  <si>
    <t>Maximum possible average daily particulate reduction at 10% participation rate (μg/m3 )</t>
  </si>
  <si>
    <t>PROGRAM SUMMARY - UTILITY ON-BILL CREDIT</t>
  </si>
  <si>
    <t>PROGRAM SUMMARY - WOOD STOVE REPLACEMENT GRANT</t>
  </si>
  <si>
    <t>Total households participating</t>
  </si>
  <si>
    <t>Historic</t>
  </si>
  <si>
    <t>Average subsidy per household</t>
  </si>
  <si>
    <t>Total cost of program (3 years)</t>
  </si>
  <si>
    <t>Total cost of program (2 years)</t>
  </si>
  <si>
    <t>100% of the Federal Poverty Level</t>
  </si>
  <si>
    <t>115% of the Federal Poverty Level</t>
  </si>
  <si>
    <t>150% of the Federal Poverty Level</t>
  </si>
  <si>
    <t>200% of the Federal Poverty Level</t>
  </si>
  <si>
    <t>Average daily particulate reduction per 100 stoves (ug/m3 )</t>
  </si>
  <si>
    <t>Tons of fine particulate reduction per 100 stoves (tons/year)</t>
  </si>
  <si>
    <t>Tons of fine particulate reduced annually</t>
  </si>
  <si>
    <t>Particulate reduction estimates for every 100 uncertified wood stoves replaced</t>
  </si>
  <si>
    <t>NOTE:  The input values are area-specific and should be entered by the user for his or her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</si>
</sst>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_);_(* \(#,##0.0\);_(* &quot;-&quot;??_);_(@_)"/>
    <numFmt numFmtId="170" formatCode="0.0"/>
    <numFmt numFmtId="171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/>
    <xf numFmtId="9" fontId="0" fillId="2" borderId="0" xfId="3" applyFont="1" applyFill="1" applyAlignment="1">
      <alignment horizontal="center"/>
    </xf>
    <xf numFmtId="9" fontId="0" fillId="2" borderId="1" xfId="3" applyFont="1" applyFill="1" applyBorder="1" applyAlignment="1">
      <alignment horizontal="center"/>
    </xf>
    <xf numFmtId="9" fontId="0" fillId="3" borderId="2" xfId="3" applyFont="1" applyFill="1" applyBorder="1" applyAlignment="1">
      <alignment horizontal="center"/>
    </xf>
    <xf numFmtId="9" fontId="0" fillId="3" borderId="0" xfId="3" applyFont="1" applyFill="1" applyAlignment="1">
      <alignment horizontal="center"/>
    </xf>
    <xf numFmtId="9" fontId="0" fillId="3" borderId="1" xfId="3" applyFont="1" applyFill="1" applyBorder="1" applyAlignment="1">
      <alignment horizontal="center"/>
    </xf>
    <xf numFmtId="9" fontId="0" fillId="4" borderId="2" xfId="3" applyFont="1" applyFill="1" applyBorder="1" applyAlignment="1">
      <alignment horizontal="center"/>
    </xf>
    <xf numFmtId="9" fontId="0" fillId="4" borderId="0" xfId="3" applyFont="1" applyFill="1" applyAlignment="1">
      <alignment horizontal="center"/>
    </xf>
    <xf numFmtId="9" fontId="0" fillId="4" borderId="1" xfId="3" applyFont="1" applyFill="1" applyBorder="1" applyAlignment="1">
      <alignment horizontal="center"/>
    </xf>
    <xf numFmtId="9" fontId="0" fillId="5" borderId="2" xfId="3" applyFont="1" applyFill="1" applyBorder="1" applyAlignment="1">
      <alignment horizontal="center"/>
    </xf>
    <xf numFmtId="9" fontId="0" fillId="5" borderId="0" xfId="3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9" fontId="3" fillId="2" borderId="0" xfId="3" applyFont="1" applyFill="1" applyAlignment="1">
      <alignment horizontal="center"/>
    </xf>
    <xf numFmtId="9" fontId="3" fillId="2" borderId="1" xfId="3" applyFont="1" applyFill="1" applyBorder="1" applyAlignment="1">
      <alignment horizontal="center"/>
    </xf>
    <xf numFmtId="9" fontId="3" fillId="3" borderId="2" xfId="3" applyFont="1" applyFill="1" applyBorder="1" applyAlignment="1">
      <alignment horizontal="center"/>
    </xf>
    <xf numFmtId="9" fontId="3" fillId="3" borderId="0" xfId="3" applyFont="1" applyFill="1" applyAlignment="1">
      <alignment horizontal="center"/>
    </xf>
    <xf numFmtId="9" fontId="3" fillId="3" borderId="1" xfId="3" applyFont="1" applyFill="1" applyBorder="1" applyAlignment="1">
      <alignment horizontal="center"/>
    </xf>
    <xf numFmtId="9" fontId="3" fillId="4" borderId="2" xfId="3" applyFont="1" applyFill="1" applyBorder="1" applyAlignment="1">
      <alignment horizontal="center"/>
    </xf>
    <xf numFmtId="9" fontId="3" fillId="4" borderId="0" xfId="3" applyFont="1" applyFill="1" applyAlignment="1">
      <alignment horizontal="center"/>
    </xf>
    <xf numFmtId="9" fontId="3" fillId="4" borderId="1" xfId="3" applyFont="1" applyFill="1" applyBorder="1" applyAlignment="1">
      <alignment horizontal="center"/>
    </xf>
    <xf numFmtId="9" fontId="3" fillId="5" borderId="2" xfId="3" applyFont="1" applyFill="1" applyBorder="1" applyAlignment="1">
      <alignment horizontal="center"/>
    </xf>
    <xf numFmtId="9" fontId="3" fillId="5" borderId="0" xfId="3" applyFont="1" applyFill="1" applyAlignment="1">
      <alignment horizontal="center"/>
    </xf>
    <xf numFmtId="0" fontId="3" fillId="0" borderId="0" xfId="0" applyFont="1"/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0" fontId="0" fillId="0" borderId="0" xfId="0" applyFill="1" applyBorder="1"/>
    <xf numFmtId="3" fontId="0" fillId="2" borderId="0" xfId="1" applyNumberFormat="1" applyFont="1" applyFill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3" fontId="0" fillId="3" borderId="2" xfId="1" applyNumberFormat="1" applyFont="1" applyFill="1" applyBorder="1" applyAlignment="1">
      <alignment horizontal="center"/>
    </xf>
    <xf numFmtId="3" fontId="0" fillId="3" borderId="0" xfId="1" applyNumberFormat="1" applyFont="1" applyFill="1" applyAlignment="1">
      <alignment horizontal="center"/>
    </xf>
    <xf numFmtId="3" fontId="0" fillId="3" borderId="1" xfId="1" applyNumberFormat="1" applyFont="1" applyFill="1" applyBorder="1" applyAlignment="1">
      <alignment horizontal="center"/>
    </xf>
    <xf numFmtId="3" fontId="0" fillId="4" borderId="2" xfId="1" applyNumberFormat="1" applyFont="1" applyFill="1" applyBorder="1" applyAlignment="1">
      <alignment horizontal="center"/>
    </xf>
    <xf numFmtId="3" fontId="0" fillId="4" borderId="0" xfId="1" applyNumberFormat="1" applyFont="1" applyFill="1" applyAlignment="1">
      <alignment horizontal="center"/>
    </xf>
    <xf numFmtId="3" fontId="0" fillId="4" borderId="1" xfId="1" applyNumberFormat="1" applyFont="1" applyFill="1" applyBorder="1" applyAlignment="1">
      <alignment horizontal="center"/>
    </xf>
    <xf numFmtId="3" fontId="0" fillId="5" borderId="2" xfId="1" applyNumberFormat="1" applyFont="1" applyFill="1" applyBorder="1" applyAlignment="1">
      <alignment horizontal="center"/>
    </xf>
    <xf numFmtId="3" fontId="0" fillId="5" borderId="0" xfId="1" applyNumberFormat="1" applyFont="1" applyFill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164" fontId="0" fillId="18" borderId="0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0" fillId="12" borderId="2" xfId="0" applyNumberFormat="1" applyFill="1" applyBorder="1" applyAlignment="1">
      <alignment horizontal="center"/>
    </xf>
    <xf numFmtId="164" fontId="0" fillId="13" borderId="0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4" fontId="0" fillId="15" borderId="2" xfId="0" applyNumberFormat="1" applyFill="1" applyBorder="1" applyAlignment="1">
      <alignment horizontal="center"/>
    </xf>
    <xf numFmtId="164" fontId="0" fillId="16" borderId="0" xfId="0" applyNumberFormat="1" applyFill="1" applyBorder="1" applyAlignment="1">
      <alignment horizontal="center"/>
    </xf>
    <xf numFmtId="164" fontId="0" fillId="17" borderId="0" xfId="0" applyNumberForma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0" fontId="0" fillId="0" borderId="0" xfId="0" applyFill="1"/>
    <xf numFmtId="0" fontId="0" fillId="6" borderId="0" xfId="0" applyFill="1"/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2" fillId="0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Border="1"/>
    <xf numFmtId="0" fontId="0" fillId="7" borderId="0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0" borderId="0" xfId="0" applyFont="1" applyFill="1" applyBorder="1"/>
    <xf numFmtId="7" fontId="0" fillId="6" borderId="0" xfId="2" applyNumberFormat="1" applyFont="1" applyFill="1" applyBorder="1" applyAlignment="1">
      <alignment horizontal="center"/>
    </xf>
    <xf numFmtId="7" fontId="0" fillId="7" borderId="0" xfId="2" applyNumberFormat="1" applyFont="1" applyFill="1" applyBorder="1" applyAlignment="1">
      <alignment horizontal="center"/>
    </xf>
    <xf numFmtId="7" fontId="0" fillId="8" borderId="1" xfId="2" applyNumberFormat="1" applyFont="1" applyFill="1" applyBorder="1" applyAlignment="1">
      <alignment horizontal="center"/>
    </xf>
    <xf numFmtId="7" fontId="0" fillId="18" borderId="0" xfId="2" applyNumberFormat="1" applyFont="1" applyFill="1" applyBorder="1" applyAlignment="1">
      <alignment horizontal="center"/>
    </xf>
    <xf numFmtId="7" fontId="0" fillId="11" borderId="1" xfId="2" applyNumberFormat="1" applyFont="1" applyFill="1" applyBorder="1" applyAlignment="1">
      <alignment horizontal="center"/>
    </xf>
    <xf numFmtId="7" fontId="0" fillId="13" borderId="0" xfId="2" applyNumberFormat="1" applyFont="1" applyFill="1" applyBorder="1" applyAlignment="1">
      <alignment horizontal="center"/>
    </xf>
    <xf numFmtId="7" fontId="0" fillId="14" borderId="1" xfId="2" applyNumberFormat="1" applyFont="1" applyFill="1" applyBorder="1" applyAlignment="1">
      <alignment horizontal="center"/>
    </xf>
    <xf numFmtId="7" fontId="0" fillId="16" borderId="0" xfId="2" applyNumberFormat="1" applyFont="1" applyFill="1" applyBorder="1" applyAlignment="1">
      <alignment horizontal="center"/>
    </xf>
    <xf numFmtId="7" fontId="0" fillId="17" borderId="0" xfId="2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7" fontId="0" fillId="6" borderId="0" xfId="0" applyNumberFormat="1" applyFill="1" applyBorder="1" applyAlignment="1">
      <alignment horizontal="center"/>
    </xf>
    <xf numFmtId="7" fontId="0" fillId="7" borderId="0" xfId="0" applyNumberFormat="1" applyFill="1" applyBorder="1" applyAlignment="1">
      <alignment horizontal="center"/>
    </xf>
    <xf numFmtId="7" fontId="0" fillId="8" borderId="1" xfId="0" applyNumberFormat="1" applyFill="1" applyBorder="1" applyAlignment="1">
      <alignment horizontal="center"/>
    </xf>
    <xf numFmtId="7" fontId="0" fillId="9" borderId="2" xfId="0" applyNumberFormat="1" applyFill="1" applyBorder="1" applyAlignment="1">
      <alignment horizontal="center"/>
    </xf>
    <xf numFmtId="7" fontId="0" fillId="18" borderId="0" xfId="0" applyNumberFormat="1" applyFill="1" applyBorder="1" applyAlignment="1">
      <alignment horizontal="center"/>
    </xf>
    <xf numFmtId="7" fontId="0" fillId="11" borderId="1" xfId="0" applyNumberFormat="1" applyFill="1" applyBorder="1" applyAlignment="1">
      <alignment horizontal="center"/>
    </xf>
    <xf numFmtId="7" fontId="0" fillId="12" borderId="2" xfId="0" applyNumberFormat="1" applyFill="1" applyBorder="1" applyAlignment="1">
      <alignment horizontal="center"/>
    </xf>
    <xf numFmtId="7" fontId="0" fillId="13" borderId="0" xfId="0" applyNumberFormat="1" applyFill="1" applyBorder="1" applyAlignment="1">
      <alignment horizontal="center"/>
    </xf>
    <xf numFmtId="7" fontId="0" fillId="14" borderId="1" xfId="0" applyNumberFormat="1" applyFill="1" applyBorder="1" applyAlignment="1">
      <alignment horizontal="center"/>
    </xf>
    <xf numFmtId="7" fontId="0" fillId="15" borderId="2" xfId="0" applyNumberFormat="1" applyFill="1" applyBorder="1" applyAlignment="1">
      <alignment horizontal="center"/>
    </xf>
    <xf numFmtId="7" fontId="0" fillId="16" borderId="0" xfId="0" applyNumberFormat="1" applyFill="1" applyBorder="1" applyAlignment="1">
      <alignment horizontal="center"/>
    </xf>
    <xf numFmtId="7" fontId="0" fillId="17" borderId="0" xfId="0" applyNumberFormat="1" applyFill="1" applyBorder="1" applyAlignment="1">
      <alignment horizontal="center"/>
    </xf>
    <xf numFmtId="39" fontId="0" fillId="0" borderId="0" xfId="0" applyNumberFormat="1" applyFill="1"/>
    <xf numFmtId="1" fontId="0" fillId="0" borderId="0" xfId="0" applyNumberFormat="1" applyFill="1"/>
    <xf numFmtId="44" fontId="0" fillId="7" borderId="0" xfId="0" applyNumberFormat="1" applyFill="1" applyBorder="1" applyAlignment="1">
      <alignment horizontal="center"/>
    </xf>
    <xf numFmtId="44" fontId="0" fillId="8" borderId="1" xfId="0" applyNumberFormat="1" applyFill="1" applyBorder="1" applyAlignment="1">
      <alignment horizontal="center"/>
    </xf>
    <xf numFmtId="44" fontId="0" fillId="9" borderId="2" xfId="0" applyNumberFormat="1" applyFill="1" applyBorder="1" applyAlignment="1">
      <alignment horizontal="center"/>
    </xf>
    <xf numFmtId="44" fontId="0" fillId="18" borderId="0" xfId="0" applyNumberFormat="1" applyFill="1" applyBorder="1" applyAlignment="1">
      <alignment horizontal="center"/>
    </xf>
    <xf numFmtId="44" fontId="0" fillId="11" borderId="1" xfId="0" applyNumberFormat="1" applyFill="1" applyBorder="1" applyAlignment="1">
      <alignment horizontal="center"/>
    </xf>
    <xf numFmtId="44" fontId="0" fillId="12" borderId="2" xfId="0" applyNumberFormat="1" applyFill="1" applyBorder="1" applyAlignment="1">
      <alignment horizontal="center"/>
    </xf>
    <xf numFmtId="44" fontId="0" fillId="13" borderId="0" xfId="0" applyNumberFormat="1" applyFill="1" applyBorder="1" applyAlignment="1">
      <alignment horizontal="center"/>
    </xf>
    <xf numFmtId="44" fontId="0" fillId="14" borderId="1" xfId="0" applyNumberFormat="1" applyFill="1" applyBorder="1" applyAlignment="1">
      <alignment horizontal="center"/>
    </xf>
    <xf numFmtId="44" fontId="0" fillId="15" borderId="2" xfId="0" applyNumberFormat="1" applyFill="1" applyBorder="1" applyAlignment="1">
      <alignment horizontal="center"/>
    </xf>
    <xf numFmtId="44" fontId="0" fillId="16" borderId="0" xfId="0" applyNumberFormat="1" applyFill="1" applyBorder="1" applyAlignment="1">
      <alignment horizontal="center"/>
    </xf>
    <xf numFmtId="44" fontId="0" fillId="17" borderId="0" xfId="0" applyNumberFormat="1" applyFill="1" applyBorder="1" applyAlignment="1">
      <alignment horizontal="center"/>
    </xf>
    <xf numFmtId="3" fontId="0" fillId="6" borderId="0" xfId="0" applyNumberFormat="1" applyFill="1" applyBorder="1"/>
    <xf numFmtId="3" fontId="0" fillId="7" borderId="0" xfId="2" applyNumberFormat="1" applyFont="1" applyFill="1" applyBorder="1" applyAlignment="1">
      <alignment horizontal="center"/>
    </xf>
    <xf numFmtId="3" fontId="0" fillId="8" borderId="1" xfId="2" applyNumberFormat="1" applyFont="1" applyFill="1" applyBorder="1" applyAlignment="1">
      <alignment horizontal="center"/>
    </xf>
    <xf numFmtId="3" fontId="0" fillId="9" borderId="2" xfId="2" applyNumberFormat="1" applyFont="1" applyFill="1" applyBorder="1" applyAlignment="1">
      <alignment horizontal="center"/>
    </xf>
    <xf numFmtId="3" fontId="0" fillId="18" borderId="0" xfId="2" applyNumberFormat="1" applyFont="1" applyFill="1" applyBorder="1" applyAlignment="1">
      <alignment horizontal="center"/>
    </xf>
    <xf numFmtId="3" fontId="0" fillId="11" borderId="1" xfId="2" applyNumberFormat="1" applyFont="1" applyFill="1" applyBorder="1" applyAlignment="1">
      <alignment horizontal="center"/>
    </xf>
    <xf numFmtId="3" fontId="0" fillId="12" borderId="2" xfId="2" applyNumberFormat="1" applyFont="1" applyFill="1" applyBorder="1" applyAlignment="1">
      <alignment horizontal="center"/>
    </xf>
    <xf numFmtId="3" fontId="0" fillId="13" borderId="0" xfId="2" applyNumberFormat="1" applyFont="1" applyFill="1" applyBorder="1" applyAlignment="1">
      <alignment horizontal="center"/>
    </xf>
    <xf numFmtId="3" fontId="0" fillId="14" borderId="1" xfId="2" applyNumberFormat="1" applyFont="1" applyFill="1" applyBorder="1" applyAlignment="1">
      <alignment horizontal="center"/>
    </xf>
    <xf numFmtId="3" fontId="0" fillId="15" borderId="2" xfId="2" applyNumberFormat="1" applyFont="1" applyFill="1" applyBorder="1" applyAlignment="1">
      <alignment horizontal="center"/>
    </xf>
    <xf numFmtId="3" fontId="0" fillId="16" borderId="0" xfId="2" applyNumberFormat="1" applyFont="1" applyFill="1" applyBorder="1" applyAlignment="1">
      <alignment horizontal="center"/>
    </xf>
    <xf numFmtId="3" fontId="0" fillId="17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37" fontId="0" fillId="6" borderId="0" xfId="0" applyNumberFormat="1" applyFill="1" applyBorder="1" applyAlignment="1">
      <alignment horizontal="center"/>
    </xf>
    <xf numFmtId="37" fontId="0" fillId="7" borderId="0" xfId="0" applyNumberFormat="1" applyFill="1" applyBorder="1" applyAlignment="1">
      <alignment horizontal="center"/>
    </xf>
    <xf numFmtId="37" fontId="0" fillId="8" borderId="1" xfId="0" applyNumberFormat="1" applyFill="1" applyBorder="1" applyAlignment="1">
      <alignment horizontal="center"/>
    </xf>
    <xf numFmtId="37" fontId="0" fillId="9" borderId="2" xfId="0" applyNumberFormat="1" applyFill="1" applyBorder="1" applyAlignment="1">
      <alignment horizontal="center"/>
    </xf>
    <xf numFmtId="37" fontId="0" fillId="18" borderId="0" xfId="0" applyNumberFormat="1" applyFill="1" applyBorder="1" applyAlignment="1">
      <alignment horizontal="center"/>
    </xf>
    <xf numFmtId="37" fontId="0" fillId="11" borderId="1" xfId="0" applyNumberFormat="1" applyFill="1" applyBorder="1" applyAlignment="1">
      <alignment horizontal="center"/>
    </xf>
    <xf numFmtId="37" fontId="0" fillId="12" borderId="2" xfId="0" applyNumberFormat="1" applyFill="1" applyBorder="1" applyAlignment="1">
      <alignment horizontal="center"/>
    </xf>
    <xf numFmtId="37" fontId="0" fillId="13" borderId="0" xfId="0" applyNumberFormat="1" applyFill="1" applyBorder="1" applyAlignment="1">
      <alignment horizontal="center"/>
    </xf>
    <xf numFmtId="37" fontId="0" fillId="14" borderId="1" xfId="0" applyNumberFormat="1" applyFill="1" applyBorder="1" applyAlignment="1">
      <alignment horizontal="center"/>
    </xf>
    <xf numFmtId="37" fontId="0" fillId="15" borderId="2" xfId="0" applyNumberFormat="1" applyFill="1" applyBorder="1" applyAlignment="1">
      <alignment horizontal="center"/>
    </xf>
    <xf numFmtId="37" fontId="0" fillId="16" borderId="0" xfId="0" applyNumberFormat="1" applyFill="1" applyBorder="1" applyAlignment="1">
      <alignment horizontal="center"/>
    </xf>
    <xf numFmtId="37" fontId="0" fillId="17" borderId="0" xfId="0" applyNumberFormat="1" applyFill="1" applyBorder="1" applyAlignment="1">
      <alignment horizontal="center"/>
    </xf>
    <xf numFmtId="164" fontId="0" fillId="6" borderId="0" xfId="2" applyNumberFormat="1" applyFont="1" applyFill="1" applyBorder="1" applyAlignment="1">
      <alignment horizontal="center"/>
    </xf>
    <xf numFmtId="164" fontId="0" fillId="7" borderId="0" xfId="2" applyNumberFormat="1" applyFont="1" applyFill="1" applyBorder="1" applyAlignment="1">
      <alignment horizontal="center"/>
    </xf>
    <xf numFmtId="164" fontId="0" fillId="8" borderId="1" xfId="2" applyNumberFormat="1" applyFont="1" applyFill="1" applyBorder="1" applyAlignment="1">
      <alignment horizontal="center"/>
    </xf>
    <xf numFmtId="164" fontId="0" fillId="9" borderId="2" xfId="2" applyNumberFormat="1" applyFont="1" applyFill="1" applyBorder="1" applyAlignment="1">
      <alignment horizontal="center"/>
    </xf>
    <xf numFmtId="164" fontId="0" fillId="18" borderId="0" xfId="2" applyNumberFormat="1" applyFont="1" applyFill="1" applyBorder="1" applyAlignment="1">
      <alignment horizontal="center"/>
    </xf>
    <xf numFmtId="164" fontId="0" fillId="11" borderId="1" xfId="2" applyNumberFormat="1" applyFont="1" applyFill="1" applyBorder="1" applyAlignment="1">
      <alignment horizontal="center"/>
    </xf>
    <xf numFmtId="164" fontId="0" fillId="12" borderId="2" xfId="2" applyNumberFormat="1" applyFont="1" applyFill="1" applyBorder="1" applyAlignment="1">
      <alignment horizontal="center"/>
    </xf>
    <xf numFmtId="164" fontId="0" fillId="13" borderId="0" xfId="2" applyNumberFormat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/>
    </xf>
    <xf numFmtId="164" fontId="0" fillId="15" borderId="2" xfId="2" applyNumberFormat="1" applyFont="1" applyFill="1" applyBorder="1" applyAlignment="1">
      <alignment horizontal="center"/>
    </xf>
    <xf numFmtId="164" fontId="0" fillId="16" borderId="0" xfId="2" applyNumberFormat="1" applyFont="1" applyFill="1" applyBorder="1" applyAlignment="1">
      <alignment horizontal="center"/>
    </xf>
    <xf numFmtId="164" fontId="0" fillId="17" borderId="0" xfId="2" applyNumberFormat="1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9" fontId="0" fillId="7" borderId="0" xfId="3" applyFont="1" applyFill="1" applyBorder="1" applyAlignment="1">
      <alignment horizontal="center"/>
    </xf>
    <xf numFmtId="9" fontId="0" fillId="8" borderId="1" xfId="3" applyFont="1" applyFill="1" applyBorder="1" applyAlignment="1">
      <alignment horizontal="center"/>
    </xf>
    <xf numFmtId="9" fontId="0" fillId="9" borderId="2" xfId="3" applyFont="1" applyFill="1" applyBorder="1" applyAlignment="1">
      <alignment horizontal="center"/>
    </xf>
    <xf numFmtId="9" fontId="0" fillId="18" borderId="0" xfId="3" applyFont="1" applyFill="1" applyBorder="1" applyAlignment="1">
      <alignment horizontal="center"/>
    </xf>
    <xf numFmtId="9" fontId="0" fillId="11" borderId="1" xfId="3" applyFont="1" applyFill="1" applyBorder="1" applyAlignment="1">
      <alignment horizontal="center"/>
    </xf>
    <xf numFmtId="9" fontId="0" fillId="12" borderId="2" xfId="3" applyFont="1" applyFill="1" applyBorder="1" applyAlignment="1">
      <alignment horizontal="center"/>
    </xf>
    <xf numFmtId="9" fontId="0" fillId="13" borderId="0" xfId="3" applyFont="1" applyFill="1" applyBorder="1" applyAlignment="1">
      <alignment horizontal="center"/>
    </xf>
    <xf numFmtId="9" fontId="0" fillId="14" borderId="1" xfId="3" applyFont="1" applyFill="1" applyBorder="1" applyAlignment="1">
      <alignment horizontal="center"/>
    </xf>
    <xf numFmtId="9" fontId="0" fillId="15" borderId="2" xfId="3" applyFont="1" applyFill="1" applyBorder="1" applyAlignment="1">
      <alignment horizontal="center"/>
    </xf>
    <xf numFmtId="9" fontId="0" fillId="16" borderId="0" xfId="3" applyFont="1" applyFill="1" applyBorder="1" applyAlignment="1">
      <alignment horizontal="center"/>
    </xf>
    <xf numFmtId="9" fontId="0" fillId="17" borderId="0" xfId="3" applyFont="1" applyFill="1" applyBorder="1" applyAlignment="1">
      <alignment horizontal="center"/>
    </xf>
    <xf numFmtId="166" fontId="0" fillId="6" borderId="0" xfId="3" applyNumberFormat="1" applyFont="1" applyFill="1" applyBorder="1" applyAlignment="1">
      <alignment horizontal="center"/>
    </xf>
    <xf numFmtId="166" fontId="0" fillId="7" borderId="0" xfId="3" applyNumberFormat="1" applyFont="1" applyFill="1" applyBorder="1" applyAlignment="1">
      <alignment horizontal="center"/>
    </xf>
    <xf numFmtId="166" fontId="0" fillId="8" borderId="1" xfId="3" applyNumberFormat="1" applyFont="1" applyFill="1" applyBorder="1" applyAlignment="1">
      <alignment horizontal="center"/>
    </xf>
    <xf numFmtId="166" fontId="0" fillId="9" borderId="2" xfId="3" applyNumberFormat="1" applyFont="1" applyFill="1" applyBorder="1" applyAlignment="1">
      <alignment horizontal="center"/>
    </xf>
    <xf numFmtId="166" fontId="0" fillId="18" borderId="0" xfId="3" applyNumberFormat="1" applyFont="1" applyFill="1" applyBorder="1" applyAlignment="1">
      <alignment horizontal="center"/>
    </xf>
    <xf numFmtId="166" fontId="0" fillId="11" borderId="1" xfId="3" applyNumberFormat="1" applyFont="1" applyFill="1" applyBorder="1" applyAlignment="1">
      <alignment horizontal="center"/>
    </xf>
    <xf numFmtId="166" fontId="0" fillId="12" borderId="2" xfId="3" applyNumberFormat="1" applyFont="1" applyFill="1" applyBorder="1" applyAlignment="1">
      <alignment horizontal="center"/>
    </xf>
    <xf numFmtId="166" fontId="0" fillId="13" borderId="0" xfId="3" applyNumberFormat="1" applyFont="1" applyFill="1" applyBorder="1" applyAlignment="1">
      <alignment horizontal="center"/>
    </xf>
    <xf numFmtId="166" fontId="0" fillId="14" borderId="1" xfId="3" applyNumberFormat="1" applyFont="1" applyFill="1" applyBorder="1" applyAlignment="1">
      <alignment horizontal="center"/>
    </xf>
    <xf numFmtId="166" fontId="0" fillId="15" borderId="2" xfId="3" applyNumberFormat="1" applyFont="1" applyFill="1" applyBorder="1" applyAlignment="1">
      <alignment horizontal="center"/>
    </xf>
    <xf numFmtId="166" fontId="0" fillId="16" borderId="0" xfId="3" applyNumberFormat="1" applyFont="1" applyFill="1" applyBorder="1" applyAlignment="1">
      <alignment horizontal="center"/>
    </xf>
    <xf numFmtId="166" fontId="0" fillId="17" borderId="0" xfId="3" applyNumberFormat="1" applyFon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1" fontId="0" fillId="18" borderId="0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2" borderId="2" xfId="0" applyNumberFormat="1" applyFill="1" applyBorder="1" applyAlignment="1">
      <alignment horizontal="center"/>
    </xf>
    <xf numFmtId="1" fontId="0" fillId="13" borderId="0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15" borderId="2" xfId="0" applyNumberFormat="1" applyFill="1" applyBorder="1" applyAlignment="1">
      <alignment horizontal="center"/>
    </xf>
    <xf numFmtId="1" fontId="0" fillId="16" borderId="0" xfId="0" applyNumberFormat="1" applyFill="1" applyBorder="1" applyAlignment="1">
      <alignment horizontal="center"/>
    </xf>
    <xf numFmtId="1" fontId="0" fillId="17" borderId="0" xfId="0" applyNumberFormat="1" applyFill="1" applyBorder="1" applyAlignment="1">
      <alignment horizontal="center"/>
    </xf>
    <xf numFmtId="164" fontId="0" fillId="6" borderId="0" xfId="0" applyNumberFormat="1" applyFill="1" applyBorder="1"/>
    <xf numFmtId="164" fontId="2" fillId="6" borderId="0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18" borderId="0" xfId="0" applyNumberFormat="1" applyFont="1" applyFill="1" applyBorder="1" applyAlignment="1">
      <alignment horizontal="center"/>
    </xf>
    <xf numFmtId="164" fontId="2" fillId="11" borderId="1" xfId="0" applyNumberFormat="1" applyFont="1" applyFill="1" applyBorder="1" applyAlignment="1">
      <alignment horizontal="center"/>
    </xf>
    <xf numFmtId="164" fontId="2" fillId="13" borderId="0" xfId="0" applyNumberFormat="1" applyFont="1" applyFill="1" applyBorder="1" applyAlignment="1">
      <alignment horizontal="center"/>
    </xf>
    <xf numFmtId="164" fontId="2" fillId="14" borderId="1" xfId="0" applyNumberFormat="1" applyFont="1" applyFill="1" applyBorder="1" applyAlignment="1">
      <alignment horizontal="center"/>
    </xf>
    <xf numFmtId="164" fontId="2" fillId="16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wrapText="1"/>
    </xf>
    <xf numFmtId="3" fontId="0" fillId="0" borderId="0" xfId="0" applyNumberFormat="1"/>
    <xf numFmtId="7" fontId="0" fillId="0" borderId="0" xfId="0" applyNumberFormat="1"/>
    <xf numFmtId="0" fontId="0" fillId="0" borderId="0" xfId="0" applyBorder="1"/>
    <xf numFmtId="0" fontId="0" fillId="0" borderId="0" xfId="0" applyFont="1" applyBorder="1"/>
    <xf numFmtId="167" fontId="0" fillId="0" borderId="0" xfId="2" applyNumberFormat="1" applyFont="1"/>
    <xf numFmtId="167" fontId="0" fillId="0" borderId="0" xfId="0" applyNumberFormat="1"/>
    <xf numFmtId="0" fontId="6" fillId="0" borderId="0" xfId="0" applyFont="1"/>
    <xf numFmtId="0" fontId="2" fillId="0" borderId="8" xfId="0" applyFont="1" applyBorder="1"/>
    <xf numFmtId="0" fontId="0" fillId="0" borderId="5" xfId="0" applyBorder="1"/>
    <xf numFmtId="0" fontId="0" fillId="0" borderId="2" xfId="0" applyBorder="1"/>
    <xf numFmtId="167" fontId="0" fillId="0" borderId="0" xfId="2" applyNumberFormat="1" applyFont="1" applyBorder="1"/>
    <xf numFmtId="0" fontId="0" fillId="0" borderId="3" xfId="0" applyBorder="1"/>
    <xf numFmtId="9" fontId="0" fillId="0" borderId="3" xfId="3" applyFont="1" applyBorder="1"/>
    <xf numFmtId="0" fontId="0" fillId="0" borderId="3" xfId="0" applyBorder="1" applyAlignment="1">
      <alignment horizontal="center" vertical="center" wrapText="1"/>
    </xf>
    <xf numFmtId="9" fontId="0" fillId="0" borderId="0" xfId="3" applyFont="1" applyBorder="1"/>
    <xf numFmtId="0" fontId="0" fillId="0" borderId="0" xfId="0" applyBorder="1" applyAlignment="1">
      <alignment horizontal="center" vertical="center" wrapText="1"/>
    </xf>
    <xf numFmtId="0" fontId="5" fillId="12" borderId="0" xfId="0" applyFont="1" applyFill="1"/>
    <xf numFmtId="0" fontId="0" fillId="0" borderId="0" xfId="0" applyAlignment="1">
      <alignment horizontal="left" vertical="center"/>
    </xf>
    <xf numFmtId="168" fontId="0" fillId="0" borderId="0" xfId="1" applyNumberFormat="1" applyFont="1"/>
    <xf numFmtId="168" fontId="0" fillId="0" borderId="0" xfId="1" applyNumberFormat="1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68" fontId="0" fillId="0" borderId="0" xfId="0" applyNumberFormat="1" applyAlignment="1">
      <alignment horizontal="left" vertical="center"/>
    </xf>
    <xf numFmtId="167" fontId="0" fillId="0" borderId="3" xfId="2" applyNumberFormat="1" applyFont="1" applyBorder="1" applyAlignment="1">
      <alignment horizontal="left" vertical="center"/>
    </xf>
    <xf numFmtId="168" fontId="0" fillId="0" borderId="3" xfId="0" applyNumberFormat="1" applyBorder="1" applyAlignment="1">
      <alignment horizontal="left" vertical="center"/>
    </xf>
    <xf numFmtId="167" fontId="0" fillId="0" borderId="11" xfId="2" applyNumberFormat="1" applyFont="1" applyBorder="1" applyAlignment="1">
      <alignment horizontal="left" vertical="center"/>
    </xf>
    <xf numFmtId="167" fontId="2" fillId="0" borderId="3" xfId="2" applyNumberFormat="1" applyFont="1" applyBorder="1" applyAlignment="1">
      <alignment horizontal="left" vertical="center"/>
    </xf>
    <xf numFmtId="167" fontId="2" fillId="0" borderId="8" xfId="0" applyNumberFormat="1" applyFont="1" applyBorder="1"/>
    <xf numFmtId="0" fontId="0" fillId="9" borderId="0" xfId="0" applyFill="1"/>
    <xf numFmtId="1" fontId="0" fillId="0" borderId="0" xfId="0" applyNumberFormat="1" applyBorder="1"/>
    <xf numFmtId="0" fontId="0" fillId="0" borderId="0" xfId="0" applyBorder="1" applyAlignment="1">
      <alignment horizontal="right"/>
    </xf>
    <xf numFmtId="168" fontId="0" fillId="0" borderId="0" xfId="1" applyNumberFormat="1" applyFont="1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2" fillId="0" borderId="0" xfId="0" applyNumberFormat="1" applyFont="1" applyBorder="1"/>
    <xf numFmtId="0" fontId="2" fillId="0" borderId="0" xfId="0" applyFont="1" applyBorder="1"/>
    <xf numFmtId="0" fontId="0" fillId="0" borderId="12" xfId="0" applyBorder="1"/>
    <xf numFmtId="169" fontId="0" fillId="0" borderId="0" xfId="1" applyNumberFormat="1" applyFont="1" applyBorder="1"/>
    <xf numFmtId="43" fontId="0" fillId="0" borderId="0" xfId="1" applyNumberFormat="1" applyFont="1" applyBorder="1"/>
    <xf numFmtId="0" fontId="2" fillId="0" borderId="17" xfId="0" applyFont="1" applyBorder="1" applyAlignment="1"/>
    <xf numFmtId="168" fontId="2" fillId="0" borderId="18" xfId="1" applyNumberFormat="1" applyFont="1" applyBorder="1"/>
    <xf numFmtId="0" fontId="2" fillId="0" borderId="17" xfId="0" applyFont="1" applyBorder="1"/>
    <xf numFmtId="9" fontId="2" fillId="0" borderId="18" xfId="3" applyFont="1" applyBorder="1"/>
    <xf numFmtId="167" fontId="2" fillId="0" borderId="18" xfId="0" applyNumberFormat="1" applyFont="1" applyBorder="1"/>
    <xf numFmtId="0" fontId="2" fillId="0" borderId="21" xfId="0" applyFont="1" applyBorder="1"/>
    <xf numFmtId="167" fontId="2" fillId="0" borderId="22" xfId="2" applyNumberFormat="1" applyFont="1" applyBorder="1"/>
    <xf numFmtId="0" fontId="2" fillId="0" borderId="27" xfId="0" applyFont="1" applyBorder="1" applyAlignment="1">
      <alignment horizontal="center" vertical="center" wrapText="1"/>
    </xf>
    <xf numFmtId="168" fontId="0" fillId="0" borderId="0" xfId="1" applyNumberFormat="1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wrapText="1"/>
    </xf>
    <xf numFmtId="167" fontId="0" fillId="0" borderId="0" xfId="0" applyNumberFormat="1" applyBorder="1"/>
    <xf numFmtId="0" fontId="0" fillId="0" borderId="0" xfId="0" applyBorder="1" applyAlignment="1">
      <alignment horizontal="left"/>
    </xf>
    <xf numFmtId="0" fontId="2" fillId="0" borderId="28" xfId="0" applyFont="1" applyBorder="1"/>
    <xf numFmtId="0" fontId="0" fillId="0" borderId="25" xfId="0" applyBorder="1"/>
    <xf numFmtId="0" fontId="0" fillId="0" borderId="30" xfId="0" applyBorder="1"/>
    <xf numFmtId="0" fontId="0" fillId="0" borderId="26" xfId="0" applyBorder="1"/>
    <xf numFmtId="0" fontId="0" fillId="19" borderId="3" xfId="0" applyFill="1" applyBorder="1"/>
    <xf numFmtId="0" fontId="0" fillId="0" borderId="31" xfId="0" applyBorder="1"/>
    <xf numFmtId="0" fontId="0" fillId="0" borderId="32" xfId="0" applyBorder="1"/>
    <xf numFmtId="1" fontId="0" fillId="0" borderId="0" xfId="0" applyNumberFormat="1" applyBorder="1" applyAlignment="1">
      <alignment horizontal="center"/>
    </xf>
    <xf numFmtId="9" fontId="0" fillId="0" borderId="0" xfId="3" applyFont="1" applyBorder="1" applyAlignment="1">
      <alignment horizontal="right"/>
    </xf>
    <xf numFmtId="167" fontId="0" fillId="0" borderId="3" xfId="2" applyNumberFormat="1" applyFont="1" applyBorder="1"/>
    <xf numFmtId="167" fontId="0" fillId="0" borderId="3" xfId="0" applyNumberFormat="1" applyBorder="1"/>
    <xf numFmtId="0" fontId="0" fillId="0" borderId="11" xfId="0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0" fontId="0" fillId="0" borderId="17" xfId="0" applyFill="1" applyBorder="1"/>
    <xf numFmtId="167" fontId="0" fillId="0" borderId="0" xfId="2" applyNumberFormat="1" applyFont="1" applyFill="1" applyAlignment="1">
      <alignment horizontal="left" indent="1"/>
    </xf>
    <xf numFmtId="167" fontId="0" fillId="0" borderId="0" xfId="2" applyNumberFormat="1" applyFont="1" applyFill="1" applyBorder="1" applyAlignment="1">
      <alignment horizontal="left" indent="1"/>
    </xf>
    <xf numFmtId="37" fontId="0" fillId="0" borderId="0" xfId="2" applyNumberFormat="1" applyFont="1" applyFill="1" applyAlignment="1">
      <alignment horizontal="right"/>
    </xf>
    <xf numFmtId="37" fontId="0" fillId="0" borderId="0" xfId="2" applyNumberFormat="1" applyFont="1" applyFill="1" applyBorder="1" applyAlignment="1">
      <alignment horizontal="right"/>
    </xf>
    <xf numFmtId="37" fontId="0" fillId="0" borderId="5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 indent="1"/>
    </xf>
    <xf numFmtId="37" fontId="0" fillId="0" borderId="0" xfId="0" applyNumberFormat="1" applyFont="1" applyFill="1" applyAlignment="1">
      <alignment horizontal="right"/>
    </xf>
    <xf numFmtId="37" fontId="0" fillId="0" borderId="0" xfId="0" applyNumberFormat="1" applyFont="1" applyFill="1"/>
    <xf numFmtId="0" fontId="7" fillId="0" borderId="0" xfId="0" applyFont="1" applyFill="1" applyAlignment="1">
      <alignment horizontal="right"/>
    </xf>
    <xf numFmtId="37" fontId="7" fillId="0" borderId="0" xfId="2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2" fillId="0" borderId="8" xfId="0" applyFont="1" applyBorder="1" applyAlignment="1">
      <alignment horizontal="center" vertical="center"/>
    </xf>
    <xf numFmtId="168" fontId="0" fillId="0" borderId="2" xfId="0" applyNumberFormat="1" applyBorder="1" applyAlignment="1">
      <alignment horizontal="left" vertical="center"/>
    </xf>
    <xf numFmtId="9" fontId="0" fillId="0" borderId="2" xfId="3" applyFont="1" applyBorder="1"/>
    <xf numFmtId="0" fontId="0" fillId="0" borderId="6" xfId="0" applyBorder="1"/>
    <xf numFmtId="167" fontId="0" fillId="0" borderId="4" xfId="2" applyNumberFormat="1" applyFont="1" applyBorder="1" applyAlignment="1">
      <alignment horizontal="left"/>
    </xf>
    <xf numFmtId="167" fontId="0" fillId="0" borderId="6" xfId="2" applyNumberFormat="1" applyFont="1" applyBorder="1" applyAlignment="1">
      <alignment horizontal="left"/>
    </xf>
    <xf numFmtId="0" fontId="2" fillId="0" borderId="35" xfId="0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left" vertical="center"/>
    </xf>
    <xf numFmtId="0" fontId="0" fillId="0" borderId="1" xfId="0" applyBorder="1"/>
    <xf numFmtId="168" fontId="0" fillId="0" borderId="1" xfId="1" applyNumberFormat="1" applyFont="1" applyBorder="1"/>
    <xf numFmtId="0" fontId="2" fillId="0" borderId="10" xfId="0" applyFont="1" applyBorder="1" applyAlignment="1">
      <alignment horizontal="center" vertical="center"/>
    </xf>
    <xf numFmtId="167" fontId="0" fillId="0" borderId="1" xfId="0" applyNumberFormat="1" applyBorder="1"/>
    <xf numFmtId="167" fontId="2" fillId="0" borderId="10" xfId="0" applyNumberFormat="1" applyFont="1" applyBorder="1"/>
    <xf numFmtId="0" fontId="2" fillId="0" borderId="34" xfId="0" applyFont="1" applyBorder="1" applyAlignment="1">
      <alignment horizontal="center" vertical="center" wrapText="1"/>
    </xf>
    <xf numFmtId="168" fontId="0" fillId="0" borderId="2" xfId="1" applyNumberFormat="1" applyFont="1" applyBorder="1" applyAlignment="1">
      <alignment horizontal="left" vertical="center"/>
    </xf>
    <xf numFmtId="168" fontId="0" fillId="0" borderId="2" xfId="1" applyNumberFormat="1" applyFont="1" applyBorder="1"/>
    <xf numFmtId="167" fontId="0" fillId="0" borderId="2" xfId="2" applyNumberFormat="1" applyFont="1" applyBorder="1"/>
    <xf numFmtId="0" fontId="2" fillId="0" borderId="9" xfId="0" applyFont="1" applyBorder="1" applyAlignment="1">
      <alignment horizontal="center" vertical="center"/>
    </xf>
    <xf numFmtId="167" fontId="0" fillId="0" borderId="2" xfId="0" applyNumberFormat="1" applyBorder="1"/>
    <xf numFmtId="167" fontId="2" fillId="0" borderId="9" xfId="0" applyNumberFormat="1" applyFont="1" applyBorder="1"/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20" borderId="36" xfId="0" applyFont="1" applyFill="1" applyBorder="1" applyAlignment="1">
      <alignment vertical="center"/>
    </xf>
    <xf numFmtId="0" fontId="0" fillId="20" borderId="0" xfId="0" applyFill="1" applyBorder="1"/>
    <xf numFmtId="0" fontId="2" fillId="20" borderId="17" xfId="0" applyFont="1" applyFill="1" applyBorder="1" applyAlignment="1"/>
    <xf numFmtId="0" fontId="0" fillId="20" borderId="11" xfId="0" applyFill="1" applyBorder="1"/>
    <xf numFmtId="0" fontId="2" fillId="20" borderId="17" xfId="0" applyFont="1" applyFill="1" applyBorder="1"/>
    <xf numFmtId="0" fontId="0" fillId="20" borderId="3" xfId="0" applyFill="1" applyBorder="1"/>
    <xf numFmtId="0" fontId="2" fillId="20" borderId="21" xfId="0" applyFont="1" applyFill="1" applyBorder="1"/>
    <xf numFmtId="0" fontId="0" fillId="20" borderId="30" xfId="0" applyFill="1" applyBorder="1"/>
    <xf numFmtId="0" fontId="0" fillId="0" borderId="28" xfId="0" applyBorder="1"/>
    <xf numFmtId="167" fontId="2" fillId="0" borderId="0" xfId="2" applyNumberFormat="1" applyFont="1" applyBorder="1"/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right"/>
    </xf>
    <xf numFmtId="37" fontId="11" fillId="0" borderId="5" xfId="2" applyNumberFormat="1" applyFont="1" applyFill="1" applyBorder="1" applyAlignment="1">
      <alignment horizontal="right"/>
    </xf>
    <xf numFmtId="37" fontId="11" fillId="0" borderId="0" xfId="2" applyNumberFormat="1" applyFont="1" applyFill="1" applyBorder="1" applyAlignment="1">
      <alignment horizontal="right"/>
    </xf>
    <xf numFmtId="37" fontId="11" fillId="0" borderId="0" xfId="2" applyNumberFormat="1" applyFont="1" applyFill="1" applyAlignment="1">
      <alignment horizontal="right"/>
    </xf>
    <xf numFmtId="0" fontId="11" fillId="0" borderId="0" xfId="0" applyFont="1" applyFill="1" applyAlignment="1">
      <alignment horizontal="left" indent="1"/>
    </xf>
    <xf numFmtId="0" fontId="10" fillId="0" borderId="0" xfId="0" applyFont="1" applyFill="1"/>
    <xf numFmtId="37" fontId="11" fillId="0" borderId="7" xfId="2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indent="1"/>
    </xf>
    <xf numFmtId="37" fontId="0" fillId="0" borderId="7" xfId="0" applyNumberFormat="1" applyFont="1" applyFill="1" applyBorder="1" applyAlignment="1">
      <alignment horizontal="right"/>
    </xf>
    <xf numFmtId="3" fontId="0" fillId="0" borderId="7" xfId="0" applyNumberFormat="1" applyFont="1" applyBorder="1"/>
    <xf numFmtId="3" fontId="0" fillId="0" borderId="7" xfId="0" applyNumberFormat="1" applyBorder="1"/>
    <xf numFmtId="0" fontId="12" fillId="0" borderId="0" xfId="0" applyFont="1" applyFill="1" applyAlignment="1"/>
    <xf numFmtId="0" fontId="13" fillId="0" borderId="0" xfId="0" applyFont="1" applyBorder="1"/>
    <xf numFmtId="0" fontId="0" fillId="0" borderId="0" xfId="0"/>
    <xf numFmtId="0" fontId="0" fillId="0" borderId="8" xfId="0" applyBorder="1"/>
    <xf numFmtId="0" fontId="0" fillId="0" borderId="0" xfId="0" applyBorder="1"/>
    <xf numFmtId="0" fontId="2" fillId="0" borderId="8" xfId="0" applyFont="1" applyBorder="1"/>
    <xf numFmtId="0" fontId="0" fillId="0" borderId="5" xfId="0" applyBorder="1"/>
    <xf numFmtId="0" fontId="0" fillId="0" borderId="7" xfId="0" applyBorder="1"/>
    <xf numFmtId="9" fontId="0" fillId="0" borderId="0" xfId="3" applyFont="1" applyBorder="1"/>
    <xf numFmtId="167" fontId="2" fillId="0" borderId="8" xfId="0" applyNumberFormat="1" applyFont="1" applyBorder="1"/>
    <xf numFmtId="0" fontId="0" fillId="0" borderId="0" xfId="0" applyBorder="1" applyAlignment="1">
      <alignment horizontal="right"/>
    </xf>
    <xf numFmtId="168" fontId="0" fillId="0" borderId="0" xfId="1" applyNumberFormat="1" applyFont="1" applyBorder="1"/>
    <xf numFmtId="0" fontId="0" fillId="0" borderId="19" xfId="0" applyBorder="1"/>
    <xf numFmtId="0" fontId="0" fillId="0" borderId="20" xfId="0" applyBorder="1"/>
    <xf numFmtId="0" fontId="2" fillId="0" borderId="0" xfId="0" applyFont="1" applyBorder="1"/>
    <xf numFmtId="168" fontId="0" fillId="0" borderId="0" xfId="0" applyNumberForma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168" fontId="0" fillId="0" borderId="0" xfId="1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wrapText="1"/>
    </xf>
    <xf numFmtId="167" fontId="0" fillId="0" borderId="0" xfId="0" applyNumberFormat="1" applyBorder="1"/>
    <xf numFmtId="0" fontId="2" fillId="0" borderId="28" xfId="0" applyFont="1" applyBorder="1"/>
    <xf numFmtId="0" fontId="0" fillId="0" borderId="25" xfId="0" applyBorder="1"/>
    <xf numFmtId="0" fontId="0" fillId="0" borderId="30" xfId="0" applyBorder="1"/>
    <xf numFmtId="0" fontId="0" fillId="0" borderId="26" xfId="0" applyBorder="1"/>
    <xf numFmtId="0" fontId="0" fillId="0" borderId="27" xfId="0" applyBorder="1"/>
    <xf numFmtId="0" fontId="0" fillId="0" borderId="31" xfId="0" applyBorder="1"/>
    <xf numFmtId="0" fontId="0" fillId="0" borderId="32" xfId="0" applyBorder="1"/>
    <xf numFmtId="167" fontId="0" fillId="0" borderId="5" xfId="2" applyNumberFormat="1" applyFont="1" applyBorder="1" applyAlignment="1">
      <alignment horizontal="left"/>
    </xf>
    <xf numFmtId="167" fontId="0" fillId="0" borderId="7" xfId="2" applyNumberFormat="1" applyFont="1" applyBorder="1" applyAlignment="1">
      <alignment horizontal="left"/>
    </xf>
    <xf numFmtId="167" fontId="2" fillId="0" borderId="7" xfId="2" applyNumberFormat="1" applyFont="1" applyBorder="1" applyAlignment="1">
      <alignment horizontal="left"/>
    </xf>
    <xf numFmtId="0" fontId="0" fillId="20" borderId="0" xfId="0" applyFill="1" applyBorder="1"/>
    <xf numFmtId="0" fontId="2" fillId="0" borderId="0" xfId="0" applyFont="1" applyBorder="1" applyAlignment="1">
      <alignment horizontal="center"/>
    </xf>
    <xf numFmtId="9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9" fontId="2" fillId="0" borderId="0" xfId="3" applyFont="1" applyFill="1" applyBorder="1"/>
    <xf numFmtId="167" fontId="0" fillId="0" borderId="0" xfId="2" applyNumberFormat="1" applyFont="1" applyBorder="1" applyAlignment="1">
      <alignment horizontal="left" vertical="center"/>
    </xf>
    <xf numFmtId="0" fontId="2" fillId="0" borderId="19" xfId="0" applyFont="1" applyBorder="1"/>
    <xf numFmtId="167" fontId="2" fillId="0" borderId="0" xfId="0" applyNumberFormat="1" applyFont="1" applyBorder="1"/>
    <xf numFmtId="167" fontId="2" fillId="0" borderId="0" xfId="2" applyNumberFormat="1" applyFont="1" applyBorder="1" applyAlignment="1">
      <alignment horizontal="left"/>
    </xf>
    <xf numFmtId="0" fontId="0" fillId="0" borderId="19" xfId="0" applyFont="1" applyBorder="1"/>
    <xf numFmtId="2" fontId="0" fillId="0" borderId="0" xfId="0" applyNumberFormat="1" applyFont="1" applyBorder="1"/>
    <xf numFmtId="2" fontId="2" fillId="0" borderId="0" xfId="2" applyNumberFormat="1" applyFont="1" applyBorder="1" applyAlignment="1">
      <alignment horizontal="right"/>
    </xf>
    <xf numFmtId="0" fontId="2" fillId="0" borderId="17" xfId="0" applyFont="1" applyFill="1" applyBorder="1"/>
    <xf numFmtId="0" fontId="2" fillId="0" borderId="21" xfId="0" applyFont="1" applyFill="1" applyBorder="1"/>
    <xf numFmtId="2" fontId="0" fillId="0" borderId="30" xfId="0" applyNumberFormat="1" applyBorder="1"/>
    <xf numFmtId="2" fontId="2" fillId="0" borderId="18" xfId="0" applyNumberFormat="1" applyFont="1" applyFill="1" applyBorder="1"/>
    <xf numFmtId="2" fontId="2" fillId="0" borderId="22" xfId="0" applyNumberFormat="1" applyFont="1" applyFill="1" applyBorder="1"/>
    <xf numFmtId="2" fontId="2" fillId="0" borderId="30" xfId="2" applyNumberFormat="1" applyFont="1" applyBorder="1" applyAlignment="1">
      <alignment horizontal="right"/>
    </xf>
    <xf numFmtId="2" fontId="0" fillId="0" borderId="0" xfId="0" applyNumberFormat="1" applyBorder="1"/>
    <xf numFmtId="0" fontId="0" fillId="20" borderId="20" xfId="0" applyFill="1" applyBorder="1"/>
    <xf numFmtId="0" fontId="2" fillId="20" borderId="28" xfId="0" applyFont="1" applyFill="1" applyBorder="1"/>
    <xf numFmtId="0" fontId="2" fillId="20" borderId="8" xfId="0" applyFont="1" applyFill="1" applyBorder="1"/>
    <xf numFmtId="167" fontId="2" fillId="20" borderId="8" xfId="0" applyNumberFormat="1" applyFont="1" applyFill="1" applyBorder="1"/>
    <xf numFmtId="0" fontId="0" fillId="20" borderId="8" xfId="0" applyFill="1" applyBorder="1"/>
    <xf numFmtId="167" fontId="2" fillId="20" borderId="8" xfId="2" applyNumberFormat="1" applyFont="1" applyFill="1" applyBorder="1" applyAlignment="1">
      <alignment horizontal="left"/>
    </xf>
    <xf numFmtId="0" fontId="0" fillId="20" borderId="33" xfId="0" applyFill="1" applyBorder="1"/>
    <xf numFmtId="0" fontId="0" fillId="20" borderId="16" xfId="0" applyFill="1" applyBorder="1"/>
    <xf numFmtId="0" fontId="0" fillId="0" borderId="29" xfId="0" applyBorder="1"/>
    <xf numFmtId="0" fontId="0" fillId="0" borderId="32" xfId="0" applyBorder="1" applyAlignment="1">
      <alignment horizontal="center" vertical="center" wrapText="1"/>
    </xf>
    <xf numFmtId="167" fontId="0" fillId="0" borderId="33" xfId="2" applyNumberFormat="1" applyFont="1" applyBorder="1"/>
    <xf numFmtId="167" fontId="0" fillId="0" borderId="33" xfId="0" applyNumberFormat="1" applyBorder="1"/>
    <xf numFmtId="0" fontId="0" fillId="0" borderId="28" xfId="0" applyBorder="1" applyAlignment="1">
      <alignment horizontal="left"/>
    </xf>
    <xf numFmtId="0" fontId="0" fillId="0" borderId="28" xfId="0" applyBorder="1" applyAlignment="1">
      <alignment wrapText="1"/>
    </xf>
    <xf numFmtId="0" fontId="2" fillId="0" borderId="3" xfId="0" applyFont="1" applyBorder="1" applyAlignment="1">
      <alignment horizontal="left"/>
    </xf>
    <xf numFmtId="170" fontId="0" fillId="0" borderId="3" xfId="0" applyNumberFormat="1" applyFont="1" applyBorder="1" applyAlignment="1">
      <alignment horizontal="right"/>
    </xf>
    <xf numFmtId="169" fontId="0" fillId="0" borderId="3" xfId="0" applyNumberFormat="1" applyBorder="1" applyAlignment="1">
      <alignment horizontal="left" indent="1"/>
    </xf>
    <xf numFmtId="168" fontId="0" fillId="0" borderId="3" xfId="0" applyNumberFormat="1" applyBorder="1" applyAlignment="1">
      <alignment horizontal="left" inden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168" fontId="2" fillId="0" borderId="18" xfId="1" applyNumberFormat="1" applyFont="1" applyBorder="1" applyAlignment="1">
      <alignment horizontal="right"/>
    </xf>
    <xf numFmtId="0" fontId="2" fillId="0" borderId="1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0" fillId="0" borderId="18" xfId="0" applyBorder="1"/>
    <xf numFmtId="0" fontId="0" fillId="0" borderId="22" xfId="0" applyBorder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2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9" xfId="0" applyFont="1" applyBorder="1"/>
    <xf numFmtId="9" fontId="2" fillId="20" borderId="39" xfId="0" applyNumberFormat="1" applyFont="1" applyFill="1" applyBorder="1"/>
    <xf numFmtId="9" fontId="2" fillId="20" borderId="18" xfId="3" applyFont="1" applyFill="1" applyBorder="1"/>
    <xf numFmtId="9" fontId="2" fillId="20" borderId="22" xfId="3" applyFont="1" applyFill="1" applyBorder="1"/>
    <xf numFmtId="0" fontId="2" fillId="0" borderId="21" xfId="0" applyFont="1" applyFill="1" applyBorder="1" applyAlignment="1">
      <alignment vertical="center" wrapText="1"/>
    </xf>
    <xf numFmtId="169" fontId="1" fillId="0" borderId="42" xfId="1" applyNumberFormat="1" applyFont="1" applyFill="1" applyBorder="1" applyAlignment="1">
      <alignment vertical="center"/>
    </xf>
    <xf numFmtId="169" fontId="1" fillId="0" borderId="43" xfId="1" applyNumberFormat="1" applyFont="1" applyFill="1" applyBorder="1" applyAlignment="1">
      <alignment vertical="center"/>
    </xf>
    <xf numFmtId="171" fontId="0" fillId="0" borderId="0" xfId="0" applyNumberFormat="1"/>
    <xf numFmtId="167" fontId="0" fillId="0" borderId="0" xfId="2" applyNumberFormat="1" applyFont="1" applyFill="1"/>
    <xf numFmtId="0" fontId="2" fillId="20" borderId="8" xfId="0" applyFont="1" applyFill="1" applyBorder="1" applyAlignment="1">
      <alignment horizontal="left"/>
    </xf>
    <xf numFmtId="0" fontId="0" fillId="0" borderId="19" xfId="0" applyBorder="1" applyAlignment="1"/>
    <xf numFmtId="0" fontId="16" fillId="6" borderId="0" xfId="0" applyFont="1" applyFill="1" applyBorder="1" applyAlignment="1"/>
    <xf numFmtId="0" fontId="17" fillId="6" borderId="0" xfId="0" applyFont="1" applyFill="1" applyBorder="1"/>
    <xf numFmtId="0" fontId="17" fillId="6" borderId="0" xfId="0" applyFont="1" applyFill="1"/>
    <xf numFmtId="0" fontId="18" fillId="6" borderId="0" xfId="0" applyFont="1" applyFill="1"/>
    <xf numFmtId="0" fontId="0" fillId="0" borderId="38" xfId="0" applyBorder="1"/>
    <xf numFmtId="43" fontId="0" fillId="0" borderId="0" xfId="1" applyFont="1"/>
    <xf numFmtId="0" fontId="16" fillId="0" borderId="0" xfId="0" applyFont="1" applyFill="1" applyBorder="1" applyAlignment="1"/>
    <xf numFmtId="0" fontId="0" fillId="0" borderId="0" xfId="0" applyAlignment="1"/>
    <xf numFmtId="0" fontId="2" fillId="0" borderId="30" xfId="0" applyFont="1" applyBorder="1"/>
    <xf numFmtId="0" fontId="0" fillId="0" borderId="0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Alignment="1">
      <alignment horizontal="right"/>
    </xf>
    <xf numFmtId="164" fontId="2" fillId="15" borderId="0" xfId="0" applyNumberFormat="1" applyFont="1" applyFill="1" applyBorder="1" applyAlignment="1">
      <alignment horizontal="center"/>
    </xf>
    <xf numFmtId="164" fontId="2" fillId="9" borderId="0" xfId="0" applyNumberFormat="1" applyFont="1" applyFill="1" applyBorder="1" applyAlignment="1">
      <alignment horizontal="center"/>
    </xf>
    <xf numFmtId="164" fontId="2" fillId="12" borderId="0" xfId="0" applyNumberFormat="1" applyFont="1" applyFill="1" applyBorder="1" applyAlignment="1">
      <alignment horizontal="center"/>
    </xf>
    <xf numFmtId="164" fontId="2" fillId="17" borderId="1" xfId="0" applyNumberFormat="1" applyFont="1" applyFill="1" applyBorder="1" applyAlignment="1">
      <alignment horizontal="center"/>
    </xf>
    <xf numFmtId="168" fontId="2" fillId="0" borderId="3" xfId="1" applyNumberFormat="1" applyFont="1" applyFill="1" applyBorder="1"/>
    <xf numFmtId="167" fontId="2" fillId="0" borderId="3" xfId="2" applyNumberFormat="1" applyFont="1" applyFill="1" applyBorder="1"/>
    <xf numFmtId="0" fontId="19" fillId="6" borderId="0" xfId="0" applyFont="1" applyFill="1" applyBorder="1" applyAlignment="1"/>
    <xf numFmtId="0" fontId="0" fillId="0" borderId="3" xfId="0" applyFill="1" applyBorder="1" applyAlignment="1">
      <alignment horizontal="center" vertical="center"/>
    </xf>
    <xf numFmtId="165" fontId="0" fillId="0" borderId="11" xfId="2" applyNumberFormat="1" applyFont="1" applyBorder="1" applyAlignment="1">
      <alignment horizontal="center" vertical="center"/>
    </xf>
    <xf numFmtId="164" fontId="0" fillId="0" borderId="3" xfId="2" applyNumberFormat="1" applyFont="1" applyBorder="1" applyAlignment="1">
      <alignment horizontal="center" vertical="center"/>
    </xf>
    <xf numFmtId="164" fontId="0" fillId="0" borderId="18" xfId="2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2" fontId="1" fillId="0" borderId="41" xfId="1" applyNumberFormat="1" applyFont="1" applyFill="1" applyBorder="1" applyAlignment="1">
      <alignment horizontal="center" vertical="center"/>
    </xf>
    <xf numFmtId="0" fontId="19" fillId="22" borderId="0" xfId="0" applyFont="1" applyFill="1" applyBorder="1" applyAlignment="1"/>
    <xf numFmtId="0" fontId="19" fillId="6" borderId="0" xfId="0" applyFont="1" applyFill="1"/>
    <xf numFmtId="168" fontId="0" fillId="0" borderId="0" xfId="0" applyNumberFormat="1"/>
    <xf numFmtId="0" fontId="0" fillId="20" borderId="19" xfId="0" applyFill="1" applyBorder="1"/>
    <xf numFmtId="0" fontId="0" fillId="20" borderId="45" xfId="0" applyFill="1" applyBorder="1" applyAlignment="1">
      <alignment horizontal="center" wrapText="1"/>
    </xf>
    <xf numFmtId="0" fontId="0" fillId="20" borderId="47" xfId="0" applyFill="1" applyBorder="1" applyAlignment="1">
      <alignment horizontal="center" wrapText="1"/>
    </xf>
    <xf numFmtId="1" fontId="0" fillId="20" borderId="3" xfId="0" applyNumberFormat="1" applyFill="1" applyBorder="1" applyAlignment="1">
      <alignment horizontal="center"/>
    </xf>
    <xf numFmtId="1" fontId="0" fillId="20" borderId="18" xfId="0" applyNumberFormat="1" applyFill="1" applyBorder="1" applyAlignment="1">
      <alignment horizontal="center"/>
    </xf>
    <xf numFmtId="168" fontId="0" fillId="20" borderId="3" xfId="1" applyNumberFormat="1" applyFont="1" applyFill="1" applyBorder="1" applyAlignment="1">
      <alignment horizontal="center"/>
    </xf>
    <xf numFmtId="168" fontId="0" fillId="20" borderId="18" xfId="1" applyNumberFormat="1" applyFont="1" applyFill="1" applyBorder="1" applyAlignment="1">
      <alignment horizontal="center"/>
    </xf>
    <xf numFmtId="167" fontId="0" fillId="20" borderId="3" xfId="2" applyNumberFormat="1" applyFont="1" applyFill="1" applyBorder="1"/>
    <xf numFmtId="167" fontId="0" fillId="20" borderId="18" xfId="2" applyNumberFormat="1" applyFont="1" applyFill="1" applyBorder="1"/>
    <xf numFmtId="167" fontId="0" fillId="20" borderId="11" xfId="2" applyNumberFormat="1" applyFont="1" applyFill="1" applyBorder="1"/>
    <xf numFmtId="167" fontId="0" fillId="20" borderId="40" xfId="2" applyNumberFormat="1" applyFont="1" applyFill="1" applyBorder="1"/>
    <xf numFmtId="0" fontId="2" fillId="20" borderId="46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0" xfId="0" applyFont="1" applyFill="1" applyBorder="1" applyAlignment="1"/>
    <xf numFmtId="168" fontId="2" fillId="21" borderId="45" xfId="1" applyNumberFormat="1" applyFont="1" applyFill="1" applyBorder="1" applyProtection="1">
      <protection locked="0"/>
    </xf>
    <xf numFmtId="168" fontId="2" fillId="21" borderId="3" xfId="1" applyNumberFormat="1" applyFont="1" applyFill="1" applyBorder="1" applyAlignment="1" applyProtection="1">
      <alignment vertical="center"/>
      <protection locked="0"/>
    </xf>
    <xf numFmtId="9" fontId="2" fillId="21" borderId="45" xfId="0" applyNumberFormat="1" applyFont="1" applyFill="1" applyBorder="1" applyProtection="1">
      <protection locked="0"/>
    </xf>
    <xf numFmtId="9" fontId="2" fillId="21" borderId="3" xfId="0" applyNumberFormat="1" applyFont="1" applyFill="1" applyBorder="1" applyProtection="1">
      <protection locked="0"/>
    </xf>
    <xf numFmtId="0" fontId="2" fillId="21" borderId="3" xfId="0" applyFont="1" applyFill="1" applyBorder="1" applyProtection="1">
      <protection locked="0"/>
    </xf>
    <xf numFmtId="167" fontId="2" fillId="21" borderId="45" xfId="2" applyNumberFormat="1" applyFont="1" applyFill="1" applyBorder="1" applyProtection="1">
      <protection locked="0"/>
    </xf>
    <xf numFmtId="167" fontId="2" fillId="21" borderId="3" xfId="2" applyNumberFormat="1" applyFont="1" applyFill="1" applyBorder="1" applyProtection="1">
      <protection locked="0"/>
    </xf>
    <xf numFmtId="169" fontId="2" fillId="21" borderId="3" xfId="1" applyNumberFormat="1" applyFont="1" applyFill="1" applyBorder="1" applyProtection="1">
      <protection locked="0"/>
    </xf>
    <xf numFmtId="168" fontId="2" fillId="21" borderId="3" xfId="1" applyNumberFormat="1" applyFont="1" applyFill="1" applyBorder="1" applyProtection="1">
      <protection locked="0"/>
    </xf>
    <xf numFmtId="9" fontId="2" fillId="19" borderId="3" xfId="0" applyNumberFormat="1" applyFont="1" applyFill="1" applyBorder="1" applyAlignment="1" applyProtection="1">
      <alignment horizontal="right" vertical="center"/>
      <protection locked="0"/>
    </xf>
    <xf numFmtId="9" fontId="2" fillId="19" borderId="3" xfId="3" applyFont="1" applyFill="1" applyBorder="1" applyAlignment="1" applyProtection="1">
      <alignment horizontal="right" vertical="center" wrapText="1"/>
      <protection locked="0"/>
    </xf>
    <xf numFmtId="9" fontId="2" fillId="19" borderId="39" xfId="3" applyFont="1" applyFill="1" applyBorder="1" applyAlignment="1" applyProtection="1">
      <alignment horizontal="right" vertical="center"/>
      <protection locked="0"/>
    </xf>
    <xf numFmtId="3" fontId="2" fillId="19" borderId="3" xfId="0" applyNumberFormat="1" applyFont="1" applyFill="1" applyBorder="1" applyProtection="1">
      <protection locked="0"/>
    </xf>
    <xf numFmtId="9" fontId="2" fillId="19" borderId="3" xfId="0" applyNumberFormat="1" applyFont="1" applyFill="1" applyBorder="1" applyProtection="1">
      <protection locked="0"/>
    </xf>
    <xf numFmtId="9" fontId="2" fillId="19" borderId="18" xfId="0" applyNumberFormat="1" applyFont="1" applyFill="1" applyBorder="1" applyProtection="1">
      <protection locked="0"/>
    </xf>
    <xf numFmtId="9" fontId="2" fillId="19" borderId="3" xfId="3" applyFont="1" applyFill="1" applyBorder="1" applyProtection="1">
      <protection locked="0"/>
    </xf>
    <xf numFmtId="9" fontId="2" fillId="19" borderId="18" xfId="3" applyFont="1" applyFill="1" applyBorder="1" applyProtection="1">
      <protection locked="0"/>
    </xf>
    <xf numFmtId="167" fontId="2" fillId="19" borderId="3" xfId="2" applyNumberFormat="1" applyFont="1" applyFill="1" applyBorder="1" applyProtection="1">
      <protection locked="0"/>
    </xf>
    <xf numFmtId="167" fontId="2" fillId="19" borderId="39" xfId="2" applyNumberFormat="1" applyFont="1" applyFill="1" applyBorder="1" applyProtection="1">
      <protection locked="0"/>
    </xf>
    <xf numFmtId="3" fontId="2" fillId="19" borderId="44" xfId="0" applyNumberFormat="1" applyFont="1" applyFill="1" applyBorder="1" applyProtection="1">
      <protection locked="0"/>
    </xf>
    <xf numFmtId="167" fontId="2" fillId="19" borderId="18" xfId="2" applyNumberFormat="1" applyFont="1" applyFill="1" applyBorder="1" applyProtection="1">
      <protection locked="0"/>
    </xf>
    <xf numFmtId="6" fontId="2" fillId="19" borderId="18" xfId="0" applyNumberFormat="1" applyFont="1" applyFill="1" applyBorder="1" applyProtection="1">
      <protection locked="0"/>
    </xf>
    <xf numFmtId="0" fontId="2" fillId="19" borderId="18" xfId="0" applyNumberFormat="1" applyFont="1" applyFill="1" applyBorder="1" applyProtection="1">
      <protection locked="0"/>
    </xf>
    <xf numFmtId="9" fontId="2" fillId="19" borderId="22" xfId="0" applyNumberFormat="1" applyFont="1" applyFill="1" applyBorder="1" applyProtection="1">
      <protection locked="0"/>
    </xf>
    <xf numFmtId="0" fontId="20" fillId="0" borderId="0" xfId="0" applyFont="1"/>
    <xf numFmtId="0" fontId="13" fillId="0" borderId="0" xfId="0" applyFont="1"/>
    <xf numFmtId="7" fontId="0" fillId="9" borderId="0" xfId="2" applyNumberFormat="1" applyFont="1" applyFill="1" applyBorder="1" applyAlignment="1">
      <alignment horizontal="center"/>
    </xf>
    <xf numFmtId="7" fontId="0" fillId="12" borderId="0" xfId="2" applyNumberFormat="1" applyFont="1" applyFill="1" applyBorder="1" applyAlignment="1">
      <alignment horizontal="center"/>
    </xf>
    <xf numFmtId="7" fontId="0" fillId="15" borderId="0" xfId="2" applyNumberFormat="1" applyFont="1" applyFill="1" applyBorder="1" applyAlignment="1">
      <alignment horizontal="center"/>
    </xf>
    <xf numFmtId="9" fontId="2" fillId="20" borderId="18" xfId="0" applyNumberFormat="1" applyFont="1" applyFill="1" applyBorder="1" applyProtection="1"/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6" fillId="6" borderId="15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68" fontId="0" fillId="0" borderId="9" xfId="0" applyNumberFormat="1" applyBorder="1" applyAlignment="1">
      <alignment wrapText="1"/>
    </xf>
    <xf numFmtId="168" fontId="0" fillId="0" borderId="8" xfId="0" applyNumberFormat="1" applyBorder="1" applyAlignment="1">
      <alignment wrapText="1"/>
    </xf>
    <xf numFmtId="168" fontId="0" fillId="0" borderId="10" xfId="0" applyNumberFormat="1" applyBorder="1" applyAlignment="1">
      <alignment wrapText="1"/>
    </xf>
    <xf numFmtId="168" fontId="0" fillId="0" borderId="9" xfId="0" applyNumberFormat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6" fillId="6" borderId="1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20" borderId="28" xfId="0" applyFont="1" applyFill="1" applyBorder="1" applyAlignment="1">
      <alignment horizontal="left"/>
    </xf>
    <xf numFmtId="0" fontId="2" fillId="20" borderId="8" xfId="0" applyFont="1" applyFill="1" applyBorder="1" applyAlignment="1">
      <alignment horizontal="left"/>
    </xf>
    <xf numFmtId="0" fontId="0" fillId="0" borderId="29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0" fillId="20" borderId="3" xfId="2" applyNumberFormat="1" applyFont="1" applyFill="1" applyBorder="1" applyAlignment="1">
      <alignment horizontal="center"/>
    </xf>
    <xf numFmtId="164" fontId="0" fillId="20" borderId="18" xfId="2" applyNumberFormat="1" applyFont="1" applyFill="1" applyBorder="1" applyAlignment="1">
      <alignment horizontal="center"/>
    </xf>
    <xf numFmtId="2" fontId="0" fillId="20" borderId="39" xfId="0" applyNumberFormat="1" applyFill="1" applyBorder="1" applyAlignment="1">
      <alignment horizontal="center" vertical="center"/>
    </xf>
    <xf numFmtId="2" fontId="0" fillId="20" borderId="22" xfId="0" applyNumberFormat="1" applyFill="1" applyBorder="1" applyAlignment="1">
      <alignment horizontal="center" vertical="center"/>
    </xf>
    <xf numFmtId="0" fontId="6" fillId="22" borderId="15" xfId="0" applyFont="1" applyFill="1" applyBorder="1" applyAlignment="1">
      <alignment horizontal="center"/>
    </xf>
    <xf numFmtId="0" fontId="6" fillId="22" borderId="27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2" fontId="0" fillId="20" borderId="41" xfId="0" applyNumberFormat="1" applyFill="1" applyBorder="1" applyAlignment="1">
      <alignment horizontal="center" vertical="center"/>
    </xf>
    <xf numFmtId="2" fontId="0" fillId="20" borderId="42" xfId="0" applyNumberFormat="1" applyFill="1" applyBorder="1" applyAlignment="1">
      <alignment horizontal="center" vertical="center"/>
    </xf>
    <xf numFmtId="2" fontId="0" fillId="20" borderId="43" xfId="0" applyNumberFormat="1" applyFill="1" applyBorder="1" applyAlignment="1">
      <alignment horizontal="center" vertical="center"/>
    </xf>
    <xf numFmtId="0" fontId="0" fillId="20" borderId="3" xfId="0" applyFill="1" applyBorder="1" applyAlignment="1">
      <alignment horizontal="center"/>
    </xf>
    <xf numFmtId="0" fontId="0" fillId="20" borderId="18" xfId="0" applyFill="1" applyBorder="1" applyAlignment="1">
      <alignment horizontal="center"/>
    </xf>
    <xf numFmtId="0" fontId="0" fillId="0" borderId="3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11" fillId="20" borderId="9" xfId="0" applyFont="1" applyFill="1" applyBorder="1" applyAlignment="1">
      <alignment horizontal="left" vertical="center"/>
    </xf>
    <xf numFmtId="167" fontId="2" fillId="20" borderId="10" xfId="2" applyNumberFormat="1" applyFont="1" applyFill="1" applyBorder="1" applyAlignment="1" applyProtection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2714625</xdr:colOff>
      <xdr:row>1</xdr:row>
      <xdr:rowOff>104775</xdr:rowOff>
    </xdr:from>
    <xdr:to>
      <xdr:col>3</xdr:col>
      <xdr:colOff>1362075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714625" y="400050"/>
          <a:ext cx="4238625" cy="3429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Input Values into Green Boxes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0"/>
  <sheetViews>
    <sheetView tabSelected="1" workbookViewId="0"/>
  </sheetViews>
  <sheetFormatPr defaultRowHeight="15" x14ac:dyDescent="0.25"/>
  <cols>
    <col min="1" max="1" width="63.28515625" customWidth="1"/>
    <col min="2" max="2" width="11.42578125" customWidth="1"/>
    <col min="4" max="4" width="41.28515625" customWidth="1"/>
    <col min="5" max="5" width="13.42578125" customWidth="1"/>
  </cols>
  <sheetData>
    <row r="1" spans="1:14" ht="23.25" x14ac:dyDescent="0.35">
      <c r="A1" s="494" t="s">
        <v>191</v>
      </c>
      <c r="B1" s="494"/>
      <c r="C1" s="494"/>
      <c r="D1" s="494"/>
      <c r="E1" s="494"/>
      <c r="F1" s="473"/>
      <c r="G1" s="473"/>
      <c r="H1" s="473"/>
      <c r="I1" s="473"/>
      <c r="J1" s="473"/>
      <c r="K1" s="473"/>
      <c r="L1" s="473"/>
      <c r="M1" s="473"/>
      <c r="N1" s="473"/>
    </row>
    <row r="2" spans="1:14" s="445" customFormat="1" ht="23.25" x14ac:dyDescent="0.35">
      <c r="A2" s="511"/>
      <c r="B2" s="511"/>
      <c r="C2" s="511"/>
      <c r="D2" s="511"/>
      <c r="E2" s="511"/>
      <c r="F2" s="473"/>
      <c r="G2" s="473"/>
      <c r="H2" s="473"/>
      <c r="I2" s="473"/>
      <c r="J2" s="473"/>
      <c r="K2" s="473"/>
      <c r="L2" s="473"/>
      <c r="M2" s="473"/>
      <c r="N2" s="473"/>
    </row>
    <row r="3" spans="1:14" s="445" customFormat="1" ht="21" x14ac:dyDescent="0.35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</row>
    <row r="4" spans="1:14" ht="15.75" thickBot="1" x14ac:dyDescent="0.3">
      <c r="A4" s="475" t="s">
        <v>192</v>
      </c>
      <c r="B4" s="391"/>
      <c r="D4" s="477" t="s">
        <v>193</v>
      </c>
      <c r="E4" s="391"/>
    </row>
    <row r="5" spans="1:14" x14ac:dyDescent="0.25">
      <c r="A5" s="234" t="s">
        <v>189</v>
      </c>
      <c r="B5" s="512">
        <v>205000</v>
      </c>
      <c r="D5" s="476" t="s">
        <v>20</v>
      </c>
      <c r="E5" s="517">
        <v>1540</v>
      </c>
    </row>
    <row r="6" spans="1:14" x14ac:dyDescent="0.25">
      <c r="A6" s="474" t="s">
        <v>190</v>
      </c>
      <c r="B6" s="513">
        <v>62690</v>
      </c>
      <c r="D6" s="476" t="s">
        <v>21</v>
      </c>
      <c r="E6" s="518">
        <v>710</v>
      </c>
    </row>
    <row r="7" spans="1:14" x14ac:dyDescent="0.25">
      <c r="D7" s="476" t="s">
        <v>22</v>
      </c>
      <c r="E7" s="518">
        <v>1630</v>
      </c>
    </row>
    <row r="9" spans="1:14" ht="15.75" thickBot="1" x14ac:dyDescent="0.3">
      <c r="A9" s="475" t="s">
        <v>5</v>
      </c>
      <c r="B9" s="391"/>
      <c r="D9" s="477" t="s">
        <v>195</v>
      </c>
      <c r="E9" s="391"/>
      <c r="F9" s="445"/>
    </row>
    <row r="10" spans="1:14" x14ac:dyDescent="0.25">
      <c r="A10" s="311" t="s">
        <v>206</v>
      </c>
      <c r="B10" s="514">
        <v>0.15</v>
      </c>
      <c r="D10" s="308" t="s">
        <v>194</v>
      </c>
      <c r="E10" s="512">
        <v>5265</v>
      </c>
    </row>
    <row r="11" spans="1:14" x14ac:dyDescent="0.25">
      <c r="A11" s="311" t="s">
        <v>207</v>
      </c>
      <c r="B11" s="515">
        <v>0.17</v>
      </c>
      <c r="D11" s="48" t="s">
        <v>196</v>
      </c>
      <c r="E11" s="519">
        <v>37.700000000000003</v>
      </c>
      <c r="G11" s="472"/>
    </row>
    <row r="12" spans="1:14" x14ac:dyDescent="0.25">
      <c r="A12" s="311" t="s">
        <v>208</v>
      </c>
      <c r="B12" s="515">
        <v>0.22</v>
      </c>
      <c r="D12" s="478" t="s">
        <v>197</v>
      </c>
      <c r="E12" s="236"/>
      <c r="F12" s="445"/>
    </row>
    <row r="13" spans="1:14" x14ac:dyDescent="0.25">
      <c r="A13" s="311" t="s">
        <v>209</v>
      </c>
      <c r="B13" s="515">
        <v>0.31</v>
      </c>
      <c r="D13" s="479" t="s">
        <v>185</v>
      </c>
      <c r="E13" s="520">
        <v>6</v>
      </c>
      <c r="F13" s="445" t="s">
        <v>188</v>
      </c>
    </row>
    <row r="14" spans="1:14" x14ac:dyDescent="0.25">
      <c r="D14" s="479" t="s">
        <v>186</v>
      </c>
      <c r="E14" s="520">
        <v>14</v>
      </c>
      <c r="F14" s="445" t="s">
        <v>188</v>
      </c>
    </row>
    <row r="15" spans="1:14" ht="15.75" thickBot="1" x14ac:dyDescent="0.3">
      <c r="A15" s="477" t="s">
        <v>213</v>
      </c>
      <c r="B15" s="446"/>
      <c r="D15" s="479" t="s">
        <v>187</v>
      </c>
      <c r="E15" s="520">
        <v>23</v>
      </c>
      <c r="F15" s="445" t="s">
        <v>188</v>
      </c>
    </row>
    <row r="16" spans="1:14" x14ac:dyDescent="0.25">
      <c r="A16" t="s">
        <v>210</v>
      </c>
      <c r="B16" s="516">
        <v>5.6000000000000001E-2</v>
      </c>
    </row>
    <row r="17" spans="1:7" x14ac:dyDescent="0.25">
      <c r="A17" t="s">
        <v>211</v>
      </c>
      <c r="B17" s="516">
        <v>2.34</v>
      </c>
      <c r="E17" s="48"/>
      <c r="F17" s="89"/>
      <c r="G17" s="89"/>
    </row>
    <row r="18" spans="1:7" s="445" customFormat="1" x14ac:dyDescent="0.25">
      <c r="A18"/>
    </row>
    <row r="20" spans="1:7" ht="15.75" x14ac:dyDescent="0.25">
      <c r="A20" s="542" t="s">
        <v>214</v>
      </c>
      <c r="B20" s="542"/>
      <c r="C20" s="542"/>
      <c r="D20" s="542"/>
      <c r="E20" s="542"/>
    </row>
  </sheetData>
  <sheetProtection password="C597" sheet="1" objects="1" scenarios="1"/>
  <mergeCells count="1">
    <mergeCell ref="A20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9"/>
  <sheetViews>
    <sheetView zoomScaleNormal="100" workbookViewId="0">
      <selection activeCell="F13" sqref="F13"/>
    </sheetView>
  </sheetViews>
  <sheetFormatPr defaultRowHeight="15" x14ac:dyDescent="0.25"/>
  <cols>
    <col min="1" max="1" width="37.85546875" customWidth="1"/>
    <col min="2" max="2" width="12.5703125" bestFit="1" customWidth="1"/>
    <col min="3" max="3" width="14.28515625" bestFit="1" customWidth="1"/>
    <col min="4" max="4" width="18.28515625" customWidth="1"/>
    <col min="5" max="5" width="3.5703125" customWidth="1"/>
    <col min="6" max="6" width="34" customWidth="1"/>
    <col min="7" max="7" width="16.7109375" bestFit="1" customWidth="1"/>
    <col min="8" max="8" width="18" bestFit="1" customWidth="1"/>
    <col min="9" max="9" width="18.42578125" customWidth="1"/>
    <col min="10" max="10" width="14.28515625" bestFit="1" customWidth="1"/>
    <col min="11" max="11" width="12.28515625" customWidth="1"/>
  </cols>
  <sheetData>
    <row r="1" spans="1:11" ht="23.25" x14ac:dyDescent="0.35">
      <c r="A1" s="486" t="s">
        <v>173</v>
      </c>
      <c r="B1" s="467"/>
      <c r="C1" s="467"/>
      <c r="D1" s="467"/>
      <c r="E1" s="468"/>
      <c r="F1" s="468"/>
      <c r="G1" s="468"/>
      <c r="H1" s="468"/>
      <c r="I1" s="469"/>
    </row>
    <row r="2" spans="1:11" x14ac:dyDescent="0.25">
      <c r="A2" s="237" t="s">
        <v>54</v>
      </c>
      <c r="B2" s="237"/>
      <c r="C2" s="237"/>
      <c r="D2" s="237"/>
      <c r="E2" s="237"/>
      <c r="F2" s="237"/>
      <c r="G2" s="237"/>
      <c r="H2" s="237"/>
    </row>
    <row r="3" spans="1:11" s="369" customFormat="1" x14ac:dyDescent="0.25">
      <c r="A3" s="371"/>
      <c r="B3" s="371"/>
      <c r="C3" s="292"/>
      <c r="D3" t="s">
        <v>100</v>
      </c>
      <c r="E3" s="371"/>
      <c r="F3" s="371"/>
      <c r="G3" s="371"/>
      <c r="H3" s="371"/>
    </row>
    <row r="4" spans="1:11" ht="15.75" thickBot="1" x14ac:dyDescent="0.3">
      <c r="A4" s="237"/>
      <c r="B4" s="237"/>
      <c r="C4" s="237"/>
      <c r="D4" s="237"/>
      <c r="E4" s="237"/>
      <c r="F4" s="237"/>
      <c r="G4" s="237"/>
      <c r="H4" s="371"/>
    </row>
    <row r="5" spans="1:11" s="369" customFormat="1" x14ac:dyDescent="0.25">
      <c r="A5" s="561" t="s">
        <v>92</v>
      </c>
      <c r="B5" s="562"/>
      <c r="C5" s="562"/>
      <c r="D5" s="563"/>
      <c r="E5" s="371"/>
      <c r="F5" s="561" t="s">
        <v>89</v>
      </c>
      <c r="G5" s="562"/>
      <c r="H5" s="562"/>
      <c r="I5" s="563"/>
    </row>
    <row r="6" spans="1:11" x14ac:dyDescent="0.25">
      <c r="A6" s="569"/>
      <c r="B6" s="570"/>
      <c r="C6" s="570"/>
      <c r="D6" s="571"/>
      <c r="F6" s="564"/>
      <c r="G6" s="565"/>
      <c r="H6" s="565"/>
      <c r="I6" s="566"/>
    </row>
    <row r="7" spans="1:11" s="369" customFormat="1" ht="30" customHeight="1" x14ac:dyDescent="0.25">
      <c r="A7" s="567" t="s">
        <v>174</v>
      </c>
      <c r="B7" s="568"/>
      <c r="C7" s="484">
        <f>Calculations!$I$6</f>
        <v>13791.8</v>
      </c>
      <c r="D7" s="443" t="s">
        <v>46</v>
      </c>
      <c r="F7" s="471"/>
      <c r="G7" s="299" t="s">
        <v>180</v>
      </c>
      <c r="H7" s="299" t="s">
        <v>181</v>
      </c>
      <c r="I7" s="438" t="s">
        <v>182</v>
      </c>
    </row>
    <row r="8" spans="1:11" s="369" customFormat="1" ht="33.75" customHeight="1" x14ac:dyDescent="0.25">
      <c r="A8" s="567" t="s">
        <v>167</v>
      </c>
      <c r="B8" s="568"/>
      <c r="C8" s="485">
        <f>Calculations!I62</f>
        <v>96869.27587373706</v>
      </c>
      <c r="D8" s="443" t="s">
        <v>48</v>
      </c>
      <c r="F8" s="491" t="s">
        <v>179</v>
      </c>
      <c r="G8" s="487">
        <f>Inputs!E13</f>
        <v>6</v>
      </c>
      <c r="H8" s="487">
        <f>Inputs!E14</f>
        <v>14</v>
      </c>
      <c r="I8" s="492">
        <f>Inputs!E15</f>
        <v>23</v>
      </c>
    </row>
    <row r="9" spans="1:11" ht="23.25" customHeight="1" x14ac:dyDescent="0.25">
      <c r="A9" s="629" t="s">
        <v>165</v>
      </c>
      <c r="B9" s="630"/>
      <c r="C9" s="521">
        <v>0.1</v>
      </c>
      <c r="D9" s="443"/>
      <c r="E9" s="237"/>
      <c r="F9" s="441" t="s">
        <v>102</v>
      </c>
      <c r="G9" s="489">
        <f>(B23+F23)/2</f>
        <v>71780.133422439161</v>
      </c>
      <c r="H9" s="489">
        <f>(C23+G23)/2</f>
        <v>167486.97798569137</v>
      </c>
      <c r="I9" s="490">
        <f>(D23+H23)/2</f>
        <v>275157.17811935011</v>
      </c>
      <c r="K9" s="463"/>
    </row>
    <row r="10" spans="1:11" s="445" customFormat="1" ht="23.25" customHeight="1" x14ac:dyDescent="0.25">
      <c r="A10" s="634" t="str">
        <f>"Cost per burn ban day at "&amp;C9*100&amp;"% program coverage"</f>
        <v>Cost per burn ban day at 10% program coverage</v>
      </c>
      <c r="B10" s="633"/>
      <c r="C10" s="635">
        <f>C8*C9</f>
        <v>9686.927587373706</v>
      </c>
      <c r="D10" s="443" t="s">
        <v>48</v>
      </c>
      <c r="E10" s="446"/>
      <c r="F10" s="442" t="s">
        <v>103</v>
      </c>
      <c r="G10" s="488">
        <f>IF($B$19&lt;&gt;0,((B21/$B$19)+(F21/$F$19))/2,0)</f>
        <v>42.142117435173247</v>
      </c>
      <c r="H10" s="488">
        <f>IF($B$19&lt;&gt;0,((C21/$B$19)+(G21/$F$19))/2,0)</f>
        <v>98.331607348737549</v>
      </c>
      <c r="I10" s="488">
        <f>IF($B$19&lt;&gt;0,((D21/$B$19)+(H21/$F$19))/2,0)</f>
        <v>161.54478350149742</v>
      </c>
      <c r="K10" s="463"/>
    </row>
    <row r="11" spans="1:11" ht="48.75" customHeight="1" thickBot="1" x14ac:dyDescent="0.3">
      <c r="A11" s="631" t="s">
        <v>175</v>
      </c>
      <c r="B11" s="632"/>
      <c r="C11" s="522">
        <v>0.1</v>
      </c>
      <c r="D11" s="443"/>
      <c r="E11" s="237"/>
      <c r="F11" s="460" t="str">
        <f>"Maximum possible average daily particulate reduction at "&amp;C9*100 &amp;"% participation rate (μg/m3)"</f>
        <v>Maximum possible average daily particulate reduction at 10% participation rate (μg/m3)</v>
      </c>
      <c r="G11" s="493">
        <f>(D26+F26)/2</f>
        <v>0.73372376000000006</v>
      </c>
      <c r="H11" s="461"/>
      <c r="I11" s="462"/>
    </row>
    <row r="12" spans="1:11" s="369" customFormat="1" ht="45" customHeight="1" thickBot="1" x14ac:dyDescent="0.3">
      <c r="A12" s="553" t="s">
        <v>101</v>
      </c>
      <c r="B12" s="554"/>
      <c r="C12" s="523">
        <v>0.3</v>
      </c>
      <c r="D12" s="444"/>
      <c r="E12" s="371"/>
    </row>
    <row r="13" spans="1:11" s="369" customFormat="1" ht="18" customHeight="1" x14ac:dyDescent="0.25">
      <c r="E13" s="371"/>
    </row>
    <row r="14" spans="1:11" s="445" customFormat="1" ht="18" customHeight="1" x14ac:dyDescent="0.25">
      <c r="A14" s="542" t="str">
        <f>Inputs!A20</f>
        <v>NOTE:  The input values are area-specific and should be entered by the user for his or her area.</v>
      </c>
      <c r="B14" s="542"/>
      <c r="C14" s="542"/>
      <c r="D14" s="542"/>
      <c r="E14" s="542"/>
      <c r="F14" s="542"/>
      <c r="G14" s="542"/>
      <c r="H14" s="542"/>
      <c r="I14" s="542"/>
    </row>
    <row r="15" spans="1:11" ht="17.25" customHeight="1" thickBot="1" x14ac:dyDescent="0.3">
      <c r="A15" s="287"/>
      <c r="B15" s="402"/>
      <c r="C15" s="296"/>
      <c r="D15" s="237"/>
      <c r="E15" s="237"/>
      <c r="F15" s="237"/>
      <c r="G15" s="237"/>
      <c r="H15" s="237"/>
    </row>
    <row r="16" spans="1:11" ht="21" x14ac:dyDescent="0.35">
      <c r="A16" s="546" t="s">
        <v>91</v>
      </c>
      <c r="B16" s="547"/>
      <c r="C16" s="547"/>
      <c r="D16" s="547"/>
      <c r="E16" s="547"/>
      <c r="F16" s="547"/>
      <c r="G16" s="547"/>
      <c r="H16" s="548"/>
    </row>
    <row r="17" spans="1:9" x14ac:dyDescent="0.25">
      <c r="A17" s="428"/>
      <c r="B17" s="549" t="s">
        <v>51</v>
      </c>
      <c r="C17" s="550"/>
      <c r="D17" s="551"/>
      <c r="E17" s="372"/>
      <c r="F17" s="549" t="s">
        <v>52</v>
      </c>
      <c r="G17" s="550"/>
      <c r="H17" s="552"/>
    </row>
    <row r="18" spans="1:9" ht="30" x14ac:dyDescent="0.25">
      <c r="A18" s="379"/>
      <c r="B18" s="299" t="s">
        <v>180</v>
      </c>
      <c r="C18" s="299" t="s">
        <v>183</v>
      </c>
      <c r="D18" s="299" t="s">
        <v>182</v>
      </c>
      <c r="E18" s="373"/>
      <c r="F18" s="299" t="s">
        <v>180</v>
      </c>
      <c r="G18" s="299" t="s">
        <v>183</v>
      </c>
      <c r="H18" s="429" t="s">
        <v>182</v>
      </c>
    </row>
    <row r="19" spans="1:9" s="445" customFormat="1" x14ac:dyDescent="0.25">
      <c r="A19" s="456" t="s">
        <v>171</v>
      </c>
      <c r="B19" s="555">
        <f>C9*C7</f>
        <v>1379.18</v>
      </c>
      <c r="C19" s="556"/>
      <c r="D19" s="557"/>
      <c r="E19" s="370"/>
      <c r="F19" s="558">
        <f>B19-(B19*C11)</f>
        <v>1241.2620000000002</v>
      </c>
      <c r="G19" s="559"/>
      <c r="H19" s="560"/>
      <c r="I19" s="496"/>
    </row>
    <row r="20" spans="1:9" s="369" customFormat="1" x14ac:dyDescent="0.25">
      <c r="A20" s="543" t="s">
        <v>119</v>
      </c>
      <c r="B20" s="544"/>
      <c r="C20" s="544"/>
      <c r="D20" s="544"/>
      <c r="E20" s="544"/>
      <c r="F20" s="544"/>
      <c r="G20" s="544"/>
      <c r="H20" s="545"/>
    </row>
    <row r="21" spans="1:9" ht="16.5" customHeight="1" x14ac:dyDescent="0.25">
      <c r="A21" s="433" t="s">
        <v>49</v>
      </c>
      <c r="B21" s="298">
        <f>C8*C9*G8</f>
        <v>58121.565524242236</v>
      </c>
      <c r="C21" s="298">
        <f>$C$8*$C$9*H8</f>
        <v>135616.98622323188</v>
      </c>
      <c r="D21" s="298">
        <f>$C$8*$C$9*I8</f>
        <v>222799.33450959524</v>
      </c>
      <c r="E21" s="370"/>
      <c r="F21" s="300">
        <f>G8*(1-$C$11)*C8*C9</f>
        <v>52309.408971818018</v>
      </c>
      <c r="G21" s="298">
        <f>H8*(1-$C$11)*C8*C9</f>
        <v>122055.28760090869</v>
      </c>
      <c r="H21" s="430">
        <f>I8*(1-$C$11)*C8*C9</f>
        <v>200519.4010586357</v>
      </c>
    </row>
    <row r="22" spans="1:9" x14ac:dyDescent="0.25">
      <c r="A22" s="432" t="s">
        <v>50</v>
      </c>
      <c r="B22" s="297">
        <f>B21*$C$12</f>
        <v>17436.469657272672</v>
      </c>
      <c r="C22" s="297">
        <f>C21*$C$12</f>
        <v>40685.095866969561</v>
      </c>
      <c r="D22" s="297">
        <f>D21*$C$12</f>
        <v>66839.800352878563</v>
      </c>
      <c r="E22" s="370"/>
      <c r="F22" s="298">
        <f>F21*C12</f>
        <v>15692.822691545405</v>
      </c>
      <c r="G22" s="301">
        <f>G21*C12</f>
        <v>36616.586280272604</v>
      </c>
      <c r="H22" s="431">
        <f>H21*C12</f>
        <v>60155.820317590711</v>
      </c>
    </row>
    <row r="23" spans="1:9" x14ac:dyDescent="0.25">
      <c r="A23" s="432" t="s">
        <v>166</v>
      </c>
      <c r="B23" s="298">
        <f>SUM(B21:B22)</f>
        <v>75558.035181514904</v>
      </c>
      <c r="C23" s="298">
        <f>SUM(C21:C22)</f>
        <v>176302.08209020144</v>
      </c>
      <c r="D23" s="298">
        <f>SUM(D21:D22)</f>
        <v>289639.13486247382</v>
      </c>
      <c r="E23" s="370"/>
      <c r="F23" s="298">
        <f>SUM(F21:F22)</f>
        <v>68002.231663363418</v>
      </c>
      <c r="G23" s="298">
        <f>SUM(G21:G22)</f>
        <v>158671.87388118129</v>
      </c>
      <c r="H23" s="431">
        <f>SUM(H21:H22)</f>
        <v>260675.2213762264</v>
      </c>
    </row>
    <row r="24" spans="1:9" x14ac:dyDescent="0.25">
      <c r="A24" s="379"/>
      <c r="B24" s="371"/>
      <c r="C24" s="371"/>
      <c r="D24" s="371"/>
      <c r="E24" s="371"/>
      <c r="F24" s="371"/>
      <c r="G24" s="371"/>
      <c r="H24" s="380"/>
    </row>
    <row r="25" spans="1:9" s="369" customFormat="1" x14ac:dyDescent="0.25">
      <c r="A25" s="543" t="s">
        <v>184</v>
      </c>
      <c r="B25" s="544"/>
      <c r="C25" s="544"/>
      <c r="D25" s="544"/>
      <c r="E25" s="544"/>
      <c r="F25" s="544"/>
      <c r="G25" s="544"/>
      <c r="H25" s="545"/>
    </row>
    <row r="26" spans="1:9" s="369" customFormat="1" ht="17.25" x14ac:dyDescent="0.25">
      <c r="A26" s="439" t="s">
        <v>169</v>
      </c>
      <c r="B26" s="435">
        <f>(($C$7*$C$9)/100)*Inputs!$B$16</f>
        <v>0.77234080000000005</v>
      </c>
      <c r="C26" s="435">
        <f>(($C$7*$C$9)/100)*Inputs!$B$16</f>
        <v>0.77234080000000005</v>
      </c>
      <c r="D26" s="435">
        <f>(($C$7*$C$9)/100)*Inputs!$B$16</f>
        <v>0.77234080000000005</v>
      </c>
      <c r="E26" s="434"/>
      <c r="F26" s="435">
        <f>(($C$7*$C$9)/100)*Inputs!$B$16*0.9</f>
        <v>0.69510672000000007</v>
      </c>
      <c r="G26" s="435">
        <f>(($C$7*$C$9)/100)*Inputs!$B$16*0.9</f>
        <v>0.69510672000000007</v>
      </c>
      <c r="H26" s="435">
        <f>(($C$7*$C$9)/100)*Inputs!$B$16*0.9</f>
        <v>0.69510672000000007</v>
      </c>
    </row>
    <row r="27" spans="1:9" s="369" customFormat="1" ht="17.25" x14ac:dyDescent="0.25">
      <c r="A27" s="246" t="s">
        <v>170</v>
      </c>
      <c r="B27" s="436">
        <f>B26*6</f>
        <v>4.6340447999999999</v>
      </c>
      <c r="C27" s="436">
        <f>C26*14</f>
        <v>10.8127712</v>
      </c>
      <c r="D27" s="437">
        <f>D26*23</f>
        <v>17.763838400000001</v>
      </c>
      <c r="E27" s="436"/>
      <c r="F27" s="436">
        <f>F26*6</f>
        <v>4.1706403200000004</v>
      </c>
      <c r="G27" s="436">
        <f>G26*14</f>
        <v>9.7314940800000009</v>
      </c>
      <c r="H27" s="436">
        <f>H26*23</f>
        <v>15.987454560000002</v>
      </c>
    </row>
    <row r="28" spans="1:9" s="369" customFormat="1" x14ac:dyDescent="0.25">
      <c r="A28" s="371"/>
    </row>
    <row r="29" spans="1:9" x14ac:dyDescent="0.25">
      <c r="A29" s="369" t="s">
        <v>168</v>
      </c>
    </row>
  </sheetData>
  <sheetProtection sheet="1" objects="1" scenarios="1"/>
  <mergeCells count="15">
    <mergeCell ref="F5:I6"/>
    <mergeCell ref="A8:B8"/>
    <mergeCell ref="A11:B11"/>
    <mergeCell ref="A7:B7"/>
    <mergeCell ref="A5:D6"/>
    <mergeCell ref="A25:H25"/>
    <mergeCell ref="A16:H16"/>
    <mergeCell ref="B17:D17"/>
    <mergeCell ref="F17:H17"/>
    <mergeCell ref="A9:B9"/>
    <mergeCell ref="A12:B12"/>
    <mergeCell ref="A20:H20"/>
    <mergeCell ref="B19:D19"/>
    <mergeCell ref="F19:H19"/>
    <mergeCell ref="A14:I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4"/>
  <sheetViews>
    <sheetView workbookViewId="0">
      <selection activeCell="B5" sqref="B5"/>
    </sheetView>
  </sheetViews>
  <sheetFormatPr defaultRowHeight="15" x14ac:dyDescent="0.25"/>
  <cols>
    <col min="1" max="1" width="12" customWidth="1"/>
    <col min="2" max="2" width="11.7109375" customWidth="1"/>
    <col min="3" max="3" width="13.28515625" customWidth="1"/>
    <col min="4" max="5" width="12.7109375" customWidth="1"/>
    <col min="6" max="6" width="2.5703125" customWidth="1"/>
    <col min="7" max="9" width="12.42578125" customWidth="1"/>
    <col min="10" max="10" width="2.85546875" customWidth="1"/>
    <col min="11" max="13" width="12.7109375" customWidth="1"/>
    <col min="14" max="14" width="3.140625" customWidth="1"/>
    <col min="15" max="15" width="13" customWidth="1"/>
    <col min="16" max="17" width="12.7109375" customWidth="1"/>
  </cols>
  <sheetData>
    <row r="1" spans="1:18" ht="18.75" x14ac:dyDescent="0.3">
      <c r="A1" s="241" t="s">
        <v>53</v>
      </c>
    </row>
    <row r="2" spans="1:18" x14ac:dyDescent="0.25">
      <c r="A2" t="s">
        <v>55</v>
      </c>
    </row>
    <row r="3" spans="1:18" x14ac:dyDescent="0.25">
      <c r="A3" t="s">
        <v>56</v>
      </c>
    </row>
    <row r="4" spans="1:18" ht="30" x14ac:dyDescent="0.25">
      <c r="A4" s="575" t="s">
        <v>61</v>
      </c>
      <c r="B4" s="576"/>
      <c r="C4" s="248" t="s">
        <v>63</v>
      </c>
      <c r="D4" s="246"/>
      <c r="H4" s="251" t="s">
        <v>65</v>
      </c>
      <c r="I4" s="251"/>
      <c r="J4" s="251"/>
      <c r="K4" s="251"/>
      <c r="L4" s="251"/>
    </row>
    <row r="5" spans="1:18" ht="30" customHeight="1" x14ac:dyDescent="0.25">
      <c r="A5" s="246" t="s">
        <v>57</v>
      </c>
      <c r="B5" s="247">
        <v>0.1</v>
      </c>
      <c r="C5" s="247">
        <v>0.3</v>
      </c>
      <c r="D5" s="577" t="s">
        <v>64</v>
      </c>
      <c r="H5" s="251" t="s">
        <v>67</v>
      </c>
      <c r="I5" s="251"/>
      <c r="J5" s="251"/>
      <c r="K5" s="251"/>
      <c r="L5" s="251"/>
    </row>
    <row r="6" spans="1:18" x14ac:dyDescent="0.25">
      <c r="A6" s="246" t="s">
        <v>62</v>
      </c>
      <c r="B6" s="247">
        <v>0.2</v>
      </c>
      <c r="C6" s="247">
        <v>0.6</v>
      </c>
      <c r="D6" s="577"/>
      <c r="H6" s="262" t="s">
        <v>83</v>
      </c>
      <c r="I6" s="262"/>
      <c r="J6" s="262"/>
      <c r="K6" s="262"/>
      <c r="L6" s="262"/>
    </row>
    <row r="7" spans="1:18" x14ac:dyDescent="0.25">
      <c r="A7" s="246" t="s">
        <v>47</v>
      </c>
      <c r="B7" s="247">
        <v>0.3</v>
      </c>
      <c r="C7" s="247">
        <v>0.9</v>
      </c>
      <c r="D7" s="577"/>
    </row>
    <row r="8" spans="1:18" x14ac:dyDescent="0.25">
      <c r="A8" s="237"/>
      <c r="B8" s="249"/>
      <c r="C8" s="249"/>
      <c r="D8" s="250"/>
    </row>
    <row r="9" spans="1:18" x14ac:dyDescent="0.25">
      <c r="A9" s="237"/>
      <c r="B9" s="249"/>
      <c r="C9" s="249"/>
      <c r="D9" s="250"/>
    </row>
    <row r="10" spans="1:18" x14ac:dyDescent="0.25">
      <c r="C10" s="550">
        <v>2013</v>
      </c>
      <c r="D10" s="550"/>
      <c r="E10" s="550"/>
      <c r="F10" s="242"/>
      <c r="G10" s="550">
        <v>2014</v>
      </c>
      <c r="H10" s="550"/>
      <c r="I10" s="550"/>
      <c r="J10" s="242"/>
      <c r="K10" s="550">
        <v>2015</v>
      </c>
      <c r="L10" s="550"/>
      <c r="M10" s="550"/>
      <c r="O10" s="574" t="s">
        <v>76</v>
      </c>
      <c r="P10" s="574"/>
      <c r="Q10" s="574"/>
    </row>
    <row r="11" spans="1:18" ht="34.5" customHeight="1" x14ac:dyDescent="0.25">
      <c r="C11" s="255" t="s">
        <v>58</v>
      </c>
      <c r="D11" s="255" t="s">
        <v>59</v>
      </c>
      <c r="E11" s="255" t="s">
        <v>60</v>
      </c>
      <c r="F11" s="243"/>
      <c r="G11" s="255" t="s">
        <v>58</v>
      </c>
      <c r="H11" s="255" t="s">
        <v>59</v>
      </c>
      <c r="I11" s="255" t="s">
        <v>60</v>
      </c>
      <c r="J11" s="243"/>
      <c r="K11" s="255" t="s">
        <v>58</v>
      </c>
      <c r="L11" s="255" t="s">
        <v>59</v>
      </c>
      <c r="M11" s="255" t="s">
        <v>60</v>
      </c>
      <c r="O11" s="255" t="s">
        <v>58</v>
      </c>
      <c r="P11" s="255" t="s">
        <v>59</v>
      </c>
      <c r="Q11" s="255" t="s">
        <v>60</v>
      </c>
    </row>
    <row r="12" spans="1:18" ht="18" customHeight="1" x14ac:dyDescent="0.25">
      <c r="A12" s="544" t="s">
        <v>72</v>
      </c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</row>
    <row r="13" spans="1:18" s="252" customFormat="1" ht="34.5" customHeight="1" x14ac:dyDescent="0.25">
      <c r="A13" s="578" t="s">
        <v>66</v>
      </c>
      <c r="B13" s="578"/>
      <c r="C13" s="254" t="e">
        <f>#REF!*'Gap Program - Financial'!$B$5</f>
        <v>#REF!</v>
      </c>
      <c r="D13" s="254" t="e">
        <f>#REF!*'Gap Program - Financial'!$B$6</f>
        <v>#REF!</v>
      </c>
      <c r="E13" s="254" t="e">
        <f>#REF!*'Gap Program - Financial'!$B$7</f>
        <v>#REF!</v>
      </c>
      <c r="F13" s="254"/>
      <c r="G13" s="254" t="e">
        <f>#REF!*'Gap Program - Financial'!$B$5</f>
        <v>#REF!</v>
      </c>
      <c r="H13" s="254" t="e">
        <f>#REF!*'Gap Program - Financial'!$B$6</f>
        <v>#REF!</v>
      </c>
      <c r="I13" s="254" t="e">
        <f>#REF!*'Gap Program - Financial'!$B$7</f>
        <v>#REF!</v>
      </c>
      <c r="J13" s="254"/>
      <c r="K13" s="254" t="e">
        <f>#REF!*'Gap Program - Financial'!$B$5</f>
        <v>#REF!</v>
      </c>
      <c r="L13" s="254" t="e">
        <f>#REF!*'Gap Program - Financial'!$B$6</f>
        <v>#REF!</v>
      </c>
      <c r="M13" s="254" t="e">
        <f>#REF!*'Gap Program - Financial'!$B$7</f>
        <v>#REF!</v>
      </c>
      <c r="O13" s="258" t="e">
        <f>C13+G13+K13</f>
        <v>#REF!</v>
      </c>
      <c r="P13" s="258" t="e">
        <f>D13+H13+L13</f>
        <v>#REF!</v>
      </c>
      <c r="Q13" s="258" t="e">
        <f>E13+I13+M13</f>
        <v>#REF!</v>
      </c>
      <c r="R13" s="252" t="s">
        <v>46</v>
      </c>
    </row>
    <row r="14" spans="1:18" x14ac:dyDescent="0.25">
      <c r="A14" s="234"/>
      <c r="O14" s="247" t="e">
        <f>O13/#REF!</f>
        <v>#REF!</v>
      </c>
      <c r="P14" s="247" t="e">
        <f>P13/#REF!</f>
        <v>#REF!</v>
      </c>
      <c r="Q14" s="247" t="e">
        <f>Q13/#REF!</f>
        <v>#REF!</v>
      </c>
      <c r="R14" t="s">
        <v>77</v>
      </c>
    </row>
    <row r="15" spans="1:18" x14ac:dyDescent="0.25">
      <c r="A15" t="s">
        <v>68</v>
      </c>
      <c r="C15" s="253" t="e">
        <f>C13*0.75</f>
        <v>#REF!</v>
      </c>
      <c r="D15" s="253" t="e">
        <f>D13*0.75</f>
        <v>#REF!</v>
      </c>
      <c r="E15" s="253" t="e">
        <f>E13*0.75</f>
        <v>#REF!</v>
      </c>
      <c r="F15" s="253"/>
      <c r="G15" s="253" t="e">
        <f>G13*0.75</f>
        <v>#REF!</v>
      </c>
      <c r="H15" s="253" t="e">
        <f>H13*0.75</f>
        <v>#REF!</v>
      </c>
      <c r="I15" s="253" t="e">
        <f>I13*0.75</f>
        <v>#REF!</v>
      </c>
      <c r="J15" s="253"/>
      <c r="K15" s="253" t="e">
        <f>K13*0.75</f>
        <v>#REF!</v>
      </c>
      <c r="L15" s="253" t="e">
        <f>L13*0.75</f>
        <v>#REF!</v>
      </c>
      <c r="M15" s="253" t="e">
        <f>M13*0.75</f>
        <v>#REF!</v>
      </c>
      <c r="O15" s="258" t="e">
        <f t="shared" ref="O15:Q16" si="0">C15+G15+K15</f>
        <v>#REF!</v>
      </c>
      <c r="P15" s="258" t="e">
        <f t="shared" si="0"/>
        <v>#REF!</v>
      </c>
      <c r="Q15" s="258" t="e">
        <f t="shared" si="0"/>
        <v>#REF!</v>
      </c>
      <c r="R15" t="s">
        <v>78</v>
      </c>
    </row>
    <row r="16" spans="1:18" x14ac:dyDescent="0.25">
      <c r="A16" t="s">
        <v>69</v>
      </c>
      <c r="C16" s="253" t="e">
        <f>C13*0.25</f>
        <v>#REF!</v>
      </c>
      <c r="D16" s="253" t="e">
        <f>D13*0.25</f>
        <v>#REF!</v>
      </c>
      <c r="E16" s="253" t="e">
        <f>E13*0.25</f>
        <v>#REF!</v>
      </c>
      <c r="F16" s="253"/>
      <c r="G16" s="253" t="e">
        <f>G13*0.25</f>
        <v>#REF!</v>
      </c>
      <c r="H16" s="253" t="e">
        <f>H13*0.25</f>
        <v>#REF!</v>
      </c>
      <c r="I16" s="253" t="e">
        <f>I13*0.25</f>
        <v>#REF!</v>
      </c>
      <c r="J16" s="253"/>
      <c r="K16" s="253" t="e">
        <f>K13*0.25</f>
        <v>#REF!</v>
      </c>
      <c r="L16" s="253" t="e">
        <f>L13*0.25</f>
        <v>#REF!</v>
      </c>
      <c r="M16" s="253" t="e">
        <f>M13*0.25</f>
        <v>#REF!</v>
      </c>
      <c r="O16" s="258" t="e">
        <f t="shared" si="0"/>
        <v>#REF!</v>
      </c>
      <c r="P16" s="258" t="e">
        <f t="shared" si="0"/>
        <v>#REF!</v>
      </c>
      <c r="Q16" s="258" t="e">
        <f t="shared" si="0"/>
        <v>#REF!</v>
      </c>
      <c r="R16" t="s">
        <v>79</v>
      </c>
    </row>
    <row r="18" spans="1:18" x14ac:dyDescent="0.25">
      <c r="A18" t="s">
        <v>70</v>
      </c>
      <c r="C18" s="239" t="e">
        <f>C15*#REF!</f>
        <v>#REF!</v>
      </c>
      <c r="D18" s="239" t="e">
        <f>D15*#REF!</f>
        <v>#REF!</v>
      </c>
      <c r="E18" s="239" t="e">
        <f>E15*#REF!</f>
        <v>#REF!</v>
      </c>
      <c r="G18" s="239" t="e">
        <f>G15*#REF!</f>
        <v>#REF!</v>
      </c>
      <c r="H18" s="239" t="e">
        <f>H15*#REF!</f>
        <v>#REF!</v>
      </c>
      <c r="I18" s="239" t="e">
        <f>I15*#REF!</f>
        <v>#REF!</v>
      </c>
      <c r="K18" s="239" t="e">
        <f>K15*#REF!</f>
        <v>#REF!</v>
      </c>
      <c r="L18" s="239" t="e">
        <f>L15*#REF!</f>
        <v>#REF!</v>
      </c>
      <c r="M18" s="239" t="e">
        <f>M15*#REF!</f>
        <v>#REF!</v>
      </c>
      <c r="O18" s="256"/>
      <c r="P18" s="256"/>
      <c r="Q18" s="256"/>
    </row>
    <row r="19" spans="1:18" x14ac:dyDescent="0.25">
      <c r="A19" t="s">
        <v>71</v>
      </c>
      <c r="C19" s="239" t="e">
        <f>C16*#REF!</f>
        <v>#REF!</v>
      </c>
      <c r="D19" s="239" t="e">
        <f>D16*#REF!</f>
        <v>#REF!</v>
      </c>
      <c r="E19" s="239" t="e">
        <f>E16*#REF!</f>
        <v>#REF!</v>
      </c>
      <c r="G19" s="239" t="e">
        <f>G16*#REF!</f>
        <v>#REF!</v>
      </c>
      <c r="H19" s="239" t="e">
        <f>H16*#REF!</f>
        <v>#REF!</v>
      </c>
      <c r="I19" s="239" t="e">
        <f>I16*#REF!</f>
        <v>#REF!</v>
      </c>
      <c r="K19" s="239" t="e">
        <f>K16*#REF!</f>
        <v>#REF!</v>
      </c>
      <c r="L19" s="239" t="e">
        <f>L16*#REF!</f>
        <v>#REF!</v>
      </c>
      <c r="M19" s="239" t="e">
        <f>M16*#REF!</f>
        <v>#REF!</v>
      </c>
      <c r="O19" s="256"/>
      <c r="P19" s="256"/>
      <c r="Q19" s="256"/>
    </row>
    <row r="21" spans="1:18" x14ac:dyDescent="0.25">
      <c r="A21" s="544" t="s">
        <v>73</v>
      </c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</row>
    <row r="22" spans="1:18" ht="31.5" customHeight="1" x14ac:dyDescent="0.25">
      <c r="A22" s="572" t="s">
        <v>74</v>
      </c>
      <c r="B22" s="572"/>
      <c r="C22" s="240" t="e">
        <f>SUM(C18:C19)</f>
        <v>#REF!</v>
      </c>
      <c r="D22" s="240" t="e">
        <f t="shared" ref="D22:M22" si="1">SUM(D18:D19)</f>
        <v>#REF!</v>
      </c>
      <c r="E22" s="240" t="e">
        <f t="shared" si="1"/>
        <v>#REF!</v>
      </c>
      <c r="F22" s="240">
        <f t="shared" si="1"/>
        <v>0</v>
      </c>
      <c r="G22" s="240" t="e">
        <f t="shared" si="1"/>
        <v>#REF!</v>
      </c>
      <c r="H22" s="240" t="e">
        <f t="shared" si="1"/>
        <v>#REF!</v>
      </c>
      <c r="I22" s="240" t="e">
        <f t="shared" si="1"/>
        <v>#REF!</v>
      </c>
      <c r="J22" s="240"/>
      <c r="K22" s="240" t="e">
        <f t="shared" si="1"/>
        <v>#REF!</v>
      </c>
      <c r="L22" s="240" t="e">
        <f t="shared" si="1"/>
        <v>#REF!</v>
      </c>
      <c r="M22" s="240" t="e">
        <f t="shared" si="1"/>
        <v>#REF!</v>
      </c>
      <c r="O22" s="257" t="e">
        <f t="shared" ref="O22:Q24" si="2">C22+G22+K22</f>
        <v>#REF!</v>
      </c>
      <c r="P22" s="257" t="e">
        <f t="shared" si="2"/>
        <v>#REF!</v>
      </c>
      <c r="Q22" s="257" t="e">
        <f t="shared" si="2"/>
        <v>#REF!</v>
      </c>
      <c r="R22" t="s">
        <v>80</v>
      </c>
    </row>
    <row r="23" spans="1:18" x14ac:dyDescent="0.25">
      <c r="A23" s="573" t="s">
        <v>75</v>
      </c>
      <c r="B23" s="573"/>
      <c r="C23" s="240" t="e">
        <f>C22*#REF!</f>
        <v>#REF!</v>
      </c>
      <c r="D23" s="240" t="e">
        <f>D22*#REF!</f>
        <v>#REF!</v>
      </c>
      <c r="E23" s="240" t="e">
        <f>E22*#REF!</f>
        <v>#REF!</v>
      </c>
      <c r="G23" s="240" t="e">
        <f>G22*#REF!</f>
        <v>#REF!</v>
      </c>
      <c r="H23" s="240" t="e">
        <f>H22*#REF!</f>
        <v>#REF!</v>
      </c>
      <c r="I23" s="240" t="e">
        <f>I22*#REF!</f>
        <v>#REF!</v>
      </c>
      <c r="K23" s="240" t="e">
        <f>K22*#REF!</f>
        <v>#REF!</v>
      </c>
      <c r="L23" s="240" t="e">
        <f>L22*#REF!</f>
        <v>#REF!</v>
      </c>
      <c r="M23" s="240" t="e">
        <f>M22*#REF!</f>
        <v>#REF!</v>
      </c>
      <c r="O23" s="259" t="e">
        <f t="shared" si="2"/>
        <v>#REF!</v>
      </c>
      <c r="P23" s="259" t="e">
        <f t="shared" si="2"/>
        <v>#REF!</v>
      </c>
      <c r="Q23" s="259" t="e">
        <f t="shared" si="2"/>
        <v>#REF!</v>
      </c>
      <c r="R23" t="s">
        <v>81</v>
      </c>
    </row>
    <row r="24" spans="1:18" x14ac:dyDescent="0.25">
      <c r="A24" s="242" t="s">
        <v>41</v>
      </c>
      <c r="B24" s="242"/>
      <c r="C24" s="261" t="e">
        <f>SUM(C22:C23)</f>
        <v>#REF!</v>
      </c>
      <c r="D24" s="261" t="e">
        <f t="shared" ref="D24:M24" si="3">SUM(D22:D23)</f>
        <v>#REF!</v>
      </c>
      <c r="E24" s="261" t="e">
        <f t="shared" si="3"/>
        <v>#REF!</v>
      </c>
      <c r="F24" s="261">
        <f t="shared" si="3"/>
        <v>0</v>
      </c>
      <c r="G24" s="261" t="e">
        <f t="shared" si="3"/>
        <v>#REF!</v>
      </c>
      <c r="H24" s="261" t="e">
        <f t="shared" si="3"/>
        <v>#REF!</v>
      </c>
      <c r="I24" s="261" t="e">
        <f t="shared" si="3"/>
        <v>#REF!</v>
      </c>
      <c r="J24" s="261"/>
      <c r="K24" s="261" t="e">
        <f t="shared" si="3"/>
        <v>#REF!</v>
      </c>
      <c r="L24" s="261" t="e">
        <f t="shared" si="3"/>
        <v>#REF!</v>
      </c>
      <c r="M24" s="261" t="e">
        <f t="shared" si="3"/>
        <v>#REF!</v>
      </c>
      <c r="N24" s="233"/>
      <c r="O24" s="260" t="e">
        <f t="shared" si="2"/>
        <v>#REF!</v>
      </c>
      <c r="P24" s="260" t="e">
        <f t="shared" si="2"/>
        <v>#REF!</v>
      </c>
      <c r="Q24" s="260" t="e">
        <f t="shared" si="2"/>
        <v>#REF!</v>
      </c>
      <c r="R24" t="s">
        <v>82</v>
      </c>
    </row>
  </sheetData>
  <mergeCells count="11">
    <mergeCell ref="A4:B4"/>
    <mergeCell ref="D5:D7"/>
    <mergeCell ref="A13:B13"/>
    <mergeCell ref="A12:M12"/>
    <mergeCell ref="A21:M21"/>
    <mergeCell ref="A22:B22"/>
    <mergeCell ref="A23:B23"/>
    <mergeCell ref="O10:Q10"/>
    <mergeCell ref="C10:E10"/>
    <mergeCell ref="G10:I10"/>
    <mergeCell ref="K10:M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2"/>
  <sheetViews>
    <sheetView workbookViewId="0"/>
  </sheetViews>
  <sheetFormatPr defaultRowHeight="15" x14ac:dyDescent="0.25"/>
  <cols>
    <col min="1" max="1" width="37.28515625" customWidth="1"/>
    <col min="2" max="2" width="11.7109375" customWidth="1"/>
    <col min="3" max="3" width="13.28515625" customWidth="1"/>
    <col min="4" max="5" width="12.7109375" customWidth="1"/>
    <col min="6" max="6" width="12.7109375" style="369" customWidth="1"/>
    <col min="7" max="7" width="3.140625" customWidth="1"/>
    <col min="8" max="8" width="13" customWidth="1"/>
    <col min="9" max="9" width="37.85546875" customWidth="1"/>
    <col min="10" max="10" width="14.28515625" customWidth="1"/>
    <col min="11" max="11" width="9.140625" customWidth="1"/>
    <col min="12" max="12" width="12.5703125" bestFit="1" customWidth="1"/>
  </cols>
  <sheetData>
    <row r="1" spans="1:16" ht="23.25" x14ac:dyDescent="0.35">
      <c r="A1" s="495" t="s">
        <v>172</v>
      </c>
      <c r="B1" s="470"/>
      <c r="C1" s="470"/>
      <c r="D1" s="470"/>
      <c r="E1" s="470"/>
      <c r="F1" s="470"/>
      <c r="G1" s="470"/>
      <c r="H1" s="470"/>
      <c r="I1" s="470"/>
      <c r="J1" s="470"/>
    </row>
    <row r="3" spans="1:16" x14ac:dyDescent="0.25">
      <c r="E3" s="292"/>
      <c r="F3" t="s">
        <v>100</v>
      </c>
    </row>
    <row r="4" spans="1:16" ht="15.75" thickBot="1" x14ac:dyDescent="0.3">
      <c r="A4" s="237"/>
      <c r="B4" s="270"/>
      <c r="C4" s="264"/>
      <c r="D4" s="264"/>
      <c r="E4" s="264"/>
      <c r="F4" s="377"/>
    </row>
    <row r="5" spans="1:16" ht="19.5" thickBot="1" x14ac:dyDescent="0.3">
      <c r="A5" s="561" t="s">
        <v>92</v>
      </c>
      <c r="B5" s="562"/>
      <c r="C5" s="562"/>
      <c r="D5" s="562"/>
      <c r="E5" s="563"/>
      <c r="F5" s="403"/>
    </row>
    <row r="6" spans="1:16" ht="18" customHeight="1" x14ac:dyDescent="0.25">
      <c r="A6" s="569"/>
      <c r="B6" s="570"/>
      <c r="C6" s="570"/>
      <c r="D6" s="570"/>
      <c r="E6" s="571"/>
      <c r="F6" s="403"/>
      <c r="I6" s="561" t="s">
        <v>89</v>
      </c>
      <c r="J6" s="563"/>
      <c r="M6" s="237"/>
      <c r="P6" s="237"/>
    </row>
    <row r="7" spans="1:16" x14ac:dyDescent="0.25">
      <c r="A7" s="448" t="s">
        <v>85</v>
      </c>
      <c r="B7" s="524">
        <v>1907</v>
      </c>
      <c r="C7" s="583"/>
      <c r="D7" s="584"/>
      <c r="E7" s="585"/>
      <c r="F7" s="377"/>
      <c r="I7" s="569"/>
      <c r="J7" s="571"/>
    </row>
    <row r="8" spans="1:16" x14ac:dyDescent="0.25">
      <c r="A8" s="586"/>
      <c r="B8" s="587"/>
      <c r="C8" s="447"/>
      <c r="D8" s="446"/>
      <c r="E8" s="449"/>
      <c r="I8" s="275" t="s">
        <v>96</v>
      </c>
      <c r="J8" s="440">
        <f>H20</f>
        <v>764</v>
      </c>
      <c r="L8" s="271"/>
    </row>
    <row r="9" spans="1:16" s="369" customFormat="1" x14ac:dyDescent="0.25">
      <c r="A9" s="452"/>
      <c r="B9" s="451">
        <v>2013</v>
      </c>
      <c r="C9" s="451">
        <v>2014</v>
      </c>
      <c r="D9" s="451">
        <v>2015</v>
      </c>
      <c r="E9" s="453">
        <v>2016</v>
      </c>
      <c r="F9" s="404"/>
      <c r="I9" s="277" t="s">
        <v>97</v>
      </c>
      <c r="J9" s="278">
        <f>H21</f>
        <v>0.40062926061877296</v>
      </c>
      <c r="L9" s="381"/>
    </row>
    <row r="10" spans="1:16" ht="15.75" customHeight="1" x14ac:dyDescent="0.25">
      <c r="A10" s="448" t="s">
        <v>84</v>
      </c>
      <c r="B10" s="525">
        <v>0.05</v>
      </c>
      <c r="C10" s="525">
        <v>0.1</v>
      </c>
      <c r="D10" s="525">
        <v>0.25</v>
      </c>
      <c r="E10" s="526">
        <v>0</v>
      </c>
      <c r="F10" s="401"/>
      <c r="H10" s="369"/>
      <c r="I10" s="277" t="s">
        <v>163</v>
      </c>
      <c r="J10" s="279">
        <f>H28</f>
        <v>3850560</v>
      </c>
    </row>
    <row r="11" spans="1:16" ht="15" customHeight="1" thickBot="1" x14ac:dyDescent="0.3">
      <c r="A11" s="448" t="s">
        <v>98</v>
      </c>
      <c r="B11" s="527">
        <v>0.2</v>
      </c>
      <c r="C11" s="527">
        <v>0.2</v>
      </c>
      <c r="D11" s="527">
        <v>0.2</v>
      </c>
      <c r="E11" s="528">
        <v>0.2</v>
      </c>
      <c r="F11" s="405"/>
      <c r="G11" s="369"/>
      <c r="H11" s="369"/>
      <c r="I11" s="280" t="s">
        <v>90</v>
      </c>
      <c r="J11" s="281">
        <f>IF($H$20&lt;&gt;0,J10/J8,0)</f>
        <v>5040</v>
      </c>
    </row>
    <row r="12" spans="1:16" ht="15.75" thickBot="1" x14ac:dyDescent="0.3">
      <c r="A12" s="580" t="s">
        <v>147</v>
      </c>
      <c r="B12" s="581"/>
      <c r="C12" s="581"/>
      <c r="D12" s="581"/>
      <c r="E12" s="582"/>
      <c r="F12" s="400"/>
      <c r="I12" s="271"/>
      <c r="J12" s="352"/>
    </row>
    <row r="13" spans="1:16" ht="30" x14ac:dyDescent="0.25">
      <c r="A13" s="448"/>
      <c r="B13" s="454" t="s">
        <v>145</v>
      </c>
      <c r="C13" s="454" t="s">
        <v>146</v>
      </c>
      <c r="D13" s="454" t="s">
        <v>164</v>
      </c>
      <c r="E13" s="455" t="s">
        <v>148</v>
      </c>
      <c r="I13" s="561" t="s">
        <v>160</v>
      </c>
      <c r="J13" s="563"/>
    </row>
    <row r="14" spans="1:16" x14ac:dyDescent="0.25">
      <c r="A14" s="448" t="s">
        <v>153</v>
      </c>
      <c r="B14" s="529">
        <v>5000</v>
      </c>
      <c r="C14" s="525">
        <v>0.6</v>
      </c>
      <c r="D14" s="529">
        <v>5000</v>
      </c>
      <c r="E14" s="458">
        <f>D14/B14</f>
        <v>1</v>
      </c>
      <c r="F14"/>
      <c r="I14" s="413" t="s">
        <v>212</v>
      </c>
      <c r="J14" s="416">
        <f>H31</f>
        <v>17.877599999999997</v>
      </c>
      <c r="K14" s="89"/>
      <c r="L14" s="464"/>
    </row>
    <row r="15" spans="1:16" ht="15.75" thickBot="1" x14ac:dyDescent="0.3">
      <c r="A15" s="450" t="s">
        <v>154</v>
      </c>
      <c r="B15" s="530">
        <v>3000</v>
      </c>
      <c r="C15" s="457">
        <f>1-C14</f>
        <v>0.4</v>
      </c>
      <c r="D15" s="530">
        <v>3000</v>
      </c>
      <c r="E15" s="459">
        <f>D15/B15</f>
        <v>1</v>
      </c>
      <c r="F15"/>
      <c r="I15" s="414" t="s">
        <v>161</v>
      </c>
      <c r="J15" s="417">
        <f>H32</f>
        <v>0.42784</v>
      </c>
      <c r="K15" s="89"/>
      <c r="L15" s="89"/>
    </row>
    <row r="16" spans="1:16" ht="15.75" x14ac:dyDescent="0.25">
      <c r="B16" s="579" t="str">
        <f>IF(D14&gt;B14,"Amount of rebate must be less than average cost","")</f>
        <v/>
      </c>
      <c r="C16" s="579"/>
      <c r="D16" s="579"/>
      <c r="E16" s="579"/>
      <c r="F16" s="400"/>
    </row>
    <row r="17" spans="1:9" s="445" customFormat="1" ht="15.75" x14ac:dyDescent="0.25">
      <c r="A17" s="537" t="str">
        <f>Inputs!A20</f>
        <v>NOTE:  The input values are area-specific and should be entered by the user for his or her area.</v>
      </c>
      <c r="B17" s="509"/>
      <c r="C17" s="509"/>
      <c r="D17" s="509"/>
      <c r="E17" s="509"/>
      <c r="F17" s="510"/>
    </row>
    <row r="18" spans="1:9" ht="16.5" thickBot="1" x14ac:dyDescent="0.3">
      <c r="B18" s="579" t="str">
        <f>IF(D15&gt;B15,"Amount of rebate must be less than average cost","")</f>
        <v/>
      </c>
      <c r="C18" s="579"/>
      <c r="D18" s="579"/>
      <c r="E18" s="579"/>
    </row>
    <row r="19" spans="1:9" x14ac:dyDescent="0.25">
      <c r="A19" s="588" t="s">
        <v>91</v>
      </c>
      <c r="B19" s="589"/>
      <c r="C19" s="383">
        <f>B9</f>
        <v>2013</v>
      </c>
      <c r="D19" s="383">
        <f>C9</f>
        <v>2014</v>
      </c>
      <c r="E19" s="383">
        <f>D9</f>
        <v>2015</v>
      </c>
      <c r="F19" s="383">
        <f>E9</f>
        <v>2016</v>
      </c>
      <c r="G19" s="393"/>
      <c r="H19" s="383" t="s">
        <v>150</v>
      </c>
      <c r="I19" s="427"/>
    </row>
    <row r="20" spans="1:9" s="252" customFormat="1" x14ac:dyDescent="0.25">
      <c r="A20" s="590" t="s">
        <v>149</v>
      </c>
      <c r="B20" s="591"/>
      <c r="C20" s="384">
        <f>ROUNDUP($B$7*B10,0)</f>
        <v>96</v>
      </c>
      <c r="D20" s="384">
        <f>ROUNDUP($B$7*C10,0)</f>
        <v>191</v>
      </c>
      <c r="E20" s="384">
        <f>ROUNDUP($B$7*D10,0)</f>
        <v>477</v>
      </c>
      <c r="F20" s="384">
        <f>ROUNDUP($B$7*E10,0)</f>
        <v>0</v>
      </c>
      <c r="G20" s="385"/>
      <c r="H20" s="382">
        <f>SUM(C20:F20)</f>
        <v>764</v>
      </c>
      <c r="I20" s="386" t="s">
        <v>46</v>
      </c>
    </row>
    <row r="21" spans="1:9" x14ac:dyDescent="0.25">
      <c r="A21" s="387"/>
      <c r="B21" s="446"/>
      <c r="C21" s="446"/>
      <c r="D21" s="446"/>
      <c r="E21" s="446"/>
      <c r="F21" s="446"/>
      <c r="G21" s="446"/>
      <c r="H21" s="375">
        <f>IF($B$7&lt;&gt;0,H20/B7,0)</f>
        <v>0.40062926061877296</v>
      </c>
      <c r="I21" s="449" t="s">
        <v>77</v>
      </c>
    </row>
    <row r="22" spans="1:9" x14ac:dyDescent="0.25">
      <c r="A22" s="379" t="s">
        <v>155</v>
      </c>
      <c r="B22" s="446"/>
      <c r="C22" s="378">
        <f>C$20*$C$14*$D$14</f>
        <v>288000</v>
      </c>
      <c r="D22" s="378">
        <f>D$20*$C$14*$D$14</f>
        <v>573000</v>
      </c>
      <c r="E22" s="378">
        <f>E$20*$C$14*$D$14</f>
        <v>1431000</v>
      </c>
      <c r="F22" s="378">
        <f>F$20*$C$14*$D$14</f>
        <v>0</v>
      </c>
      <c r="G22" s="446"/>
      <c r="H22" s="406">
        <f>SUM(C22:F22)</f>
        <v>2292000</v>
      </c>
      <c r="I22" s="449" t="s">
        <v>157</v>
      </c>
    </row>
    <row r="23" spans="1:9" x14ac:dyDescent="0.25">
      <c r="A23" s="379" t="s">
        <v>156</v>
      </c>
      <c r="B23" s="446"/>
      <c r="C23" s="378">
        <f>C$20*$C$15*$D$15</f>
        <v>115200.00000000001</v>
      </c>
      <c r="D23" s="378">
        <f>D$20*$C$15*$D$15</f>
        <v>229200.00000000003</v>
      </c>
      <c r="E23" s="378">
        <f>E$20*$C$15*$D$15</f>
        <v>572400</v>
      </c>
      <c r="F23" s="378">
        <f>F$20*$C$15*$D$15</f>
        <v>0</v>
      </c>
      <c r="G23" s="446"/>
      <c r="H23" s="406">
        <f>SUM(C23:F23)</f>
        <v>916800</v>
      </c>
      <c r="I23" s="449" t="s">
        <v>158</v>
      </c>
    </row>
    <row r="24" spans="1:9" x14ac:dyDescent="0.25">
      <c r="A24" s="379"/>
      <c r="B24" s="446"/>
      <c r="C24" s="446"/>
      <c r="D24" s="446"/>
      <c r="E24" s="446"/>
      <c r="F24" s="446"/>
      <c r="G24" s="374"/>
      <c r="H24" s="374"/>
      <c r="I24" s="394"/>
    </row>
    <row r="25" spans="1:9" x14ac:dyDescent="0.25">
      <c r="A25" s="592" t="s">
        <v>73</v>
      </c>
      <c r="B25" s="593"/>
      <c r="C25" s="593"/>
      <c r="D25" s="593"/>
      <c r="E25" s="593"/>
      <c r="F25" s="465"/>
      <c r="G25" s="399"/>
      <c r="H25" s="399"/>
      <c r="I25" s="420"/>
    </row>
    <row r="26" spans="1:9" x14ac:dyDescent="0.25">
      <c r="A26" s="594" t="s">
        <v>74</v>
      </c>
      <c r="B26" s="572"/>
      <c r="C26" s="388">
        <f>C22+C23</f>
        <v>403200</v>
      </c>
      <c r="D26" s="388">
        <f>D22+D23</f>
        <v>802200</v>
      </c>
      <c r="E26" s="388">
        <f>E22+E23</f>
        <v>2003400</v>
      </c>
      <c r="F26" s="388">
        <f>F22+F23</f>
        <v>0</v>
      </c>
      <c r="G26" s="373"/>
      <c r="H26" s="396">
        <f>SUM(C26:F26)</f>
        <v>3208800</v>
      </c>
      <c r="I26" s="395" t="s">
        <v>93</v>
      </c>
    </row>
    <row r="27" spans="1:9" x14ac:dyDescent="0.25">
      <c r="A27" s="595" t="s">
        <v>121</v>
      </c>
      <c r="B27" s="596"/>
      <c r="C27" s="388">
        <f>C26*B11</f>
        <v>80640</v>
      </c>
      <c r="D27" s="388">
        <f>D26*C11</f>
        <v>160440</v>
      </c>
      <c r="E27" s="388">
        <f>E26*D11</f>
        <v>400680</v>
      </c>
      <c r="F27" s="388">
        <f>F26*E11</f>
        <v>0</v>
      </c>
      <c r="G27" s="446"/>
      <c r="H27" s="397">
        <f>SUM(C27:E27)</f>
        <v>641760</v>
      </c>
      <c r="I27" s="394" t="s">
        <v>121</v>
      </c>
    </row>
    <row r="28" spans="1:9" x14ac:dyDescent="0.25">
      <c r="A28" s="389" t="s">
        <v>41</v>
      </c>
      <c r="B28" s="372"/>
      <c r="C28" s="376">
        <f>SUM(C26:C27)</f>
        <v>483840</v>
      </c>
      <c r="D28" s="376">
        <f>SUM(D26:D27)</f>
        <v>962640</v>
      </c>
      <c r="E28" s="376">
        <f>SUM(E26:E27)</f>
        <v>2404080</v>
      </c>
      <c r="F28" s="376">
        <f>SUM(F26:F27)</f>
        <v>0</v>
      </c>
      <c r="G28" s="370"/>
      <c r="H28" s="398">
        <f>SUM(H26:H27)</f>
        <v>3850560</v>
      </c>
      <c r="I28" s="394" t="s">
        <v>95</v>
      </c>
    </row>
    <row r="29" spans="1:9" s="369" customFormat="1" x14ac:dyDescent="0.25">
      <c r="A29" s="407"/>
      <c r="B29" s="381"/>
      <c r="C29" s="408"/>
      <c r="D29" s="408"/>
      <c r="E29" s="408"/>
      <c r="F29" s="408"/>
      <c r="G29" s="446"/>
      <c r="H29" s="409"/>
      <c r="I29" s="449"/>
    </row>
    <row r="30" spans="1:9" s="369" customFormat="1" x14ac:dyDescent="0.25">
      <c r="A30" s="421" t="s">
        <v>151</v>
      </c>
      <c r="B30" s="422"/>
      <c r="C30" s="423"/>
      <c r="D30" s="423"/>
      <c r="E30" s="423"/>
      <c r="F30" s="423"/>
      <c r="G30" s="424"/>
      <c r="H30" s="425"/>
      <c r="I30" s="426"/>
    </row>
    <row r="31" spans="1:9" s="369" customFormat="1" x14ac:dyDescent="0.25">
      <c r="A31" s="410" t="s">
        <v>212</v>
      </c>
      <c r="B31" s="381"/>
      <c r="C31" s="411">
        <f>C20/100*Inputs!$B$17</f>
        <v>2.2464</v>
      </c>
      <c r="D31" s="411">
        <f>D20/100*Inputs!$B$17</f>
        <v>4.4693999999999994</v>
      </c>
      <c r="E31" s="411">
        <f>E20/100*Inputs!$B$17</f>
        <v>11.161799999999998</v>
      </c>
      <c r="F31" s="411">
        <f>F20/100*Inputs!$B$17</f>
        <v>0</v>
      </c>
      <c r="G31" s="419"/>
      <c r="H31" s="412">
        <f>SUM(C31:F31)</f>
        <v>17.877599999999997</v>
      </c>
      <c r="I31" s="449" t="s">
        <v>159</v>
      </c>
    </row>
    <row r="32" spans="1:9" ht="15.75" thickBot="1" x14ac:dyDescent="0.3">
      <c r="A32" s="390" t="s">
        <v>152</v>
      </c>
      <c r="B32" s="391"/>
      <c r="C32" s="415">
        <f>C20/100*Inputs!$B$16</f>
        <v>5.3760000000000002E-2</v>
      </c>
      <c r="D32" s="415">
        <f>D20/100*Inputs!$B$16</f>
        <v>0.10696</v>
      </c>
      <c r="E32" s="415">
        <f>E20/100*Inputs!$B$16</f>
        <v>0.26711999999999997</v>
      </c>
      <c r="F32" s="415">
        <f>F20/100*Inputs!$B$16</f>
        <v>0</v>
      </c>
      <c r="G32" s="415"/>
      <c r="H32" s="418">
        <f>SUM(C32:F32)</f>
        <v>0.42784</v>
      </c>
      <c r="I32" s="392" t="s">
        <v>162</v>
      </c>
    </row>
  </sheetData>
  <sheetProtection password="C597" sheet="1" objects="1" scenarios="1"/>
  <mergeCells count="13">
    <mergeCell ref="A19:B19"/>
    <mergeCell ref="A20:B20"/>
    <mergeCell ref="A25:E25"/>
    <mergeCell ref="A26:B26"/>
    <mergeCell ref="A27:B27"/>
    <mergeCell ref="I13:J13"/>
    <mergeCell ref="B16:E16"/>
    <mergeCell ref="B18:E18"/>
    <mergeCell ref="A5:E6"/>
    <mergeCell ref="A12:E12"/>
    <mergeCell ref="C7:E7"/>
    <mergeCell ref="I6:J7"/>
    <mergeCell ref="A8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72"/>
  <sheetViews>
    <sheetView workbookViewId="0">
      <selection activeCell="B3" sqref="B3"/>
    </sheetView>
  </sheetViews>
  <sheetFormatPr defaultRowHeight="15" x14ac:dyDescent="0.25"/>
  <cols>
    <col min="1" max="1" width="42.7109375" customWidth="1"/>
    <col min="2" max="2" width="12.85546875" customWidth="1"/>
    <col min="3" max="3" width="13.28515625" customWidth="1"/>
    <col min="4" max="5" width="12.7109375" customWidth="1"/>
    <col min="6" max="6" width="13" customWidth="1"/>
    <col min="7" max="7" width="22.140625" customWidth="1"/>
    <col min="8" max="8" width="14.28515625" customWidth="1"/>
    <col min="9" max="22" width="11.42578125" customWidth="1"/>
    <col min="23" max="23" width="11" customWidth="1"/>
  </cols>
  <sheetData>
    <row r="1" spans="1:14" ht="23.25" x14ac:dyDescent="0.35">
      <c r="A1" s="495" t="s">
        <v>176</v>
      </c>
      <c r="B1" s="469"/>
      <c r="C1" s="469"/>
      <c r="D1" s="469"/>
      <c r="E1" s="469"/>
      <c r="F1" s="469"/>
      <c r="G1" s="469"/>
      <c r="H1" s="469"/>
    </row>
    <row r="2" spans="1:14" ht="15.75" thickBot="1" x14ac:dyDescent="0.3"/>
    <row r="3" spans="1:14" ht="15.75" thickBot="1" x14ac:dyDescent="0.3">
      <c r="A3" s="272" t="s">
        <v>85</v>
      </c>
      <c r="B3" s="531">
        <v>5000</v>
      </c>
      <c r="C3" s="466"/>
      <c r="D3" s="292"/>
      <c r="E3" t="s">
        <v>100</v>
      </c>
    </row>
    <row r="4" spans="1:14" ht="15.75" thickBot="1" x14ac:dyDescent="0.3">
      <c r="A4" s="237"/>
      <c r="B4" s="270"/>
      <c r="C4" s="264"/>
      <c r="D4" s="264"/>
      <c r="E4" s="264"/>
    </row>
    <row r="5" spans="1:14" ht="18" customHeight="1" thickBot="1" x14ac:dyDescent="0.3">
      <c r="A5" s="561" t="s">
        <v>92</v>
      </c>
      <c r="B5" s="563"/>
      <c r="C5" s="264"/>
      <c r="D5" s="264"/>
      <c r="E5" s="264"/>
      <c r="F5" s="600" t="s">
        <v>89</v>
      </c>
      <c r="G5" s="601"/>
      <c r="H5" s="602"/>
      <c r="K5" s="237"/>
      <c r="N5" s="237"/>
    </row>
    <row r="6" spans="1:14" ht="15.75" thickBot="1" x14ac:dyDescent="0.3">
      <c r="A6" s="607"/>
      <c r="B6" s="608"/>
      <c r="F6" s="343"/>
      <c r="G6" s="344"/>
      <c r="H6" s="342"/>
    </row>
    <row r="7" spans="1:14" x14ac:dyDescent="0.25">
      <c r="A7" s="611" t="s">
        <v>84</v>
      </c>
      <c r="B7" s="612"/>
      <c r="C7" s="264"/>
      <c r="D7" s="237"/>
      <c r="F7" s="345" t="s">
        <v>130</v>
      </c>
      <c r="G7" s="346"/>
      <c r="H7" s="276">
        <f>F25</f>
        <v>2000</v>
      </c>
      <c r="J7" s="271"/>
    </row>
    <row r="8" spans="1:14" x14ac:dyDescent="0.25">
      <c r="A8" s="266" t="s">
        <v>86</v>
      </c>
      <c r="B8" s="526">
        <v>0.05</v>
      </c>
      <c r="C8" s="265"/>
      <c r="F8" s="347" t="s">
        <v>131</v>
      </c>
      <c r="G8" s="348"/>
      <c r="H8" s="278">
        <f>F26</f>
        <v>0.4</v>
      </c>
    </row>
    <row r="9" spans="1:14" x14ac:dyDescent="0.25">
      <c r="A9" s="266" t="s">
        <v>87</v>
      </c>
      <c r="B9" s="526">
        <v>0.1</v>
      </c>
      <c r="C9" s="274"/>
      <c r="D9" s="237"/>
      <c r="F9" s="347" t="s">
        <v>132</v>
      </c>
      <c r="G9" s="348"/>
      <c r="H9" s="279">
        <f>F36</f>
        <v>9120000</v>
      </c>
    </row>
    <row r="10" spans="1:14" ht="15.75" thickBot="1" x14ac:dyDescent="0.3">
      <c r="A10" s="266" t="s">
        <v>88</v>
      </c>
      <c r="B10" s="526">
        <v>0.25</v>
      </c>
      <c r="C10" s="273"/>
      <c r="D10" s="237"/>
      <c r="F10" s="349" t="s">
        <v>133</v>
      </c>
      <c r="G10" s="350"/>
      <c r="H10" s="281">
        <f>IF($F$25&lt;&gt;0,H9/H7,0)</f>
        <v>4560</v>
      </c>
    </row>
    <row r="11" spans="1:14" x14ac:dyDescent="0.25">
      <c r="A11" s="603" t="s">
        <v>123</v>
      </c>
      <c r="B11" s="552"/>
      <c r="C11" s="273"/>
      <c r="D11" s="237"/>
      <c r="F11" s="110"/>
      <c r="G11" s="48"/>
      <c r="H11" s="352"/>
    </row>
    <row r="12" spans="1:14" ht="15.75" x14ac:dyDescent="0.25">
      <c r="A12" s="351" t="s">
        <v>177</v>
      </c>
      <c r="B12" s="532">
        <v>10000000</v>
      </c>
      <c r="C12" s="273"/>
      <c r="D12" s="368" t="str">
        <f>IF(E54&gt;0,"Amount of funding is sufficient","Not enough funding:  Reduce participation or increase capital amount.")</f>
        <v>Amount of funding is sufficient</v>
      </c>
      <c r="F12" s="110"/>
      <c r="G12" s="48"/>
      <c r="H12" s="352"/>
    </row>
    <row r="13" spans="1:14" x14ac:dyDescent="0.25">
      <c r="A13" s="603" t="s">
        <v>122</v>
      </c>
      <c r="B13" s="552"/>
      <c r="G13" s="1"/>
    </row>
    <row r="14" spans="1:14" x14ac:dyDescent="0.25">
      <c r="A14" s="266" t="s">
        <v>109</v>
      </c>
      <c r="B14" s="533">
        <v>3000</v>
      </c>
      <c r="G14" s="1"/>
    </row>
    <row r="15" spans="1:14" x14ac:dyDescent="0.25">
      <c r="A15" s="266" t="s">
        <v>110</v>
      </c>
      <c r="B15" s="526">
        <v>0.6</v>
      </c>
      <c r="C15" s="263"/>
      <c r="D15" s="237"/>
      <c r="G15" s="308"/>
      <c r="H15" s="89"/>
      <c r="I15" s="89"/>
      <c r="J15" s="89"/>
    </row>
    <row r="16" spans="1:14" x14ac:dyDescent="0.25">
      <c r="A16" s="266" t="s">
        <v>111</v>
      </c>
      <c r="B16" s="533">
        <v>5000</v>
      </c>
      <c r="C16" s="263"/>
      <c r="D16" s="237"/>
      <c r="G16" s="308"/>
      <c r="H16" s="89"/>
      <c r="I16" s="89"/>
      <c r="J16" s="89"/>
    </row>
    <row r="17" spans="1:7" x14ac:dyDescent="0.25">
      <c r="A17" s="266" t="s">
        <v>112</v>
      </c>
      <c r="B17" s="541">
        <f>1-B15</f>
        <v>0.4</v>
      </c>
      <c r="C17" s="263"/>
      <c r="D17" s="237"/>
    </row>
    <row r="18" spans="1:7" x14ac:dyDescent="0.25">
      <c r="A18" s="302" t="s">
        <v>104</v>
      </c>
      <c r="B18" s="526">
        <v>0.04</v>
      </c>
      <c r="C18" s="295"/>
      <c r="D18" s="295"/>
    </row>
    <row r="19" spans="1:7" x14ac:dyDescent="0.25">
      <c r="A19" s="302" t="s">
        <v>108</v>
      </c>
      <c r="B19" s="534">
        <v>10</v>
      </c>
      <c r="C19" s="295"/>
      <c r="D19" s="295"/>
    </row>
    <row r="20" spans="1:7" ht="15.75" thickBot="1" x14ac:dyDescent="0.3">
      <c r="A20" s="269" t="s">
        <v>98</v>
      </c>
      <c r="B20" s="535">
        <v>0.2</v>
      </c>
      <c r="C20" s="606"/>
      <c r="D20" s="606"/>
    </row>
    <row r="21" spans="1:7" x14ac:dyDescent="0.25">
      <c r="C21" s="581"/>
      <c r="D21" s="581"/>
      <c r="E21" s="581"/>
    </row>
    <row r="22" spans="1:7" s="445" customFormat="1" x14ac:dyDescent="0.25">
      <c r="A22" s="536" t="str">
        <f>Inputs!A20</f>
        <v>NOTE:  The input values are area-specific and should be entered by the user for his or her area.</v>
      </c>
      <c r="C22" s="510"/>
      <c r="D22" s="510"/>
      <c r="E22" s="510"/>
    </row>
    <row r="23" spans="1:7" ht="15.75" thickBot="1" x14ac:dyDescent="0.3"/>
    <row r="24" spans="1:7" ht="34.5" customHeight="1" x14ac:dyDescent="0.25">
      <c r="A24" s="588" t="s">
        <v>91</v>
      </c>
      <c r="B24" s="589"/>
      <c r="C24" s="332">
        <v>2013</v>
      </c>
      <c r="D24" s="282">
        <v>2014</v>
      </c>
      <c r="E24" s="325">
        <v>2015</v>
      </c>
      <c r="F24" s="609" t="s">
        <v>99</v>
      </c>
      <c r="G24" s="610"/>
    </row>
    <row r="25" spans="1:7" s="252" customFormat="1" ht="18.75" customHeight="1" x14ac:dyDescent="0.25">
      <c r="A25" s="590" t="s">
        <v>142</v>
      </c>
      <c r="B25" s="591"/>
      <c r="C25" s="333">
        <f>ROUNDUP($B$3*B8,1)</f>
        <v>250</v>
      </c>
      <c r="D25" s="283">
        <f>ROUNDUP($B$3*B9,1)</f>
        <v>500</v>
      </c>
      <c r="E25" s="326">
        <f>ROUNDUP($B$3*B10,1)</f>
        <v>1250</v>
      </c>
      <c r="F25" s="320">
        <f>SUM(C25:E25)</f>
        <v>2000</v>
      </c>
      <c r="G25" s="284" t="s">
        <v>46</v>
      </c>
    </row>
    <row r="26" spans="1:7" x14ac:dyDescent="0.25">
      <c r="A26" s="285"/>
      <c r="B26" s="237"/>
      <c r="C26" s="244"/>
      <c r="D26" s="237"/>
      <c r="E26" s="327"/>
      <c r="F26" s="321">
        <f>IF($B$3&lt;&gt;0,F25/B3,0)</f>
        <v>0.4</v>
      </c>
      <c r="G26" s="268" t="s">
        <v>129</v>
      </c>
    </row>
    <row r="27" spans="1:7" x14ac:dyDescent="0.25">
      <c r="A27" s="267" t="s">
        <v>113</v>
      </c>
      <c r="B27" s="237"/>
      <c r="C27" s="334">
        <f>ROUNDUP($B$15*C25,1)</f>
        <v>150</v>
      </c>
      <c r="D27" s="265">
        <f>ROUNDUP($B$15*D25,1)</f>
        <v>300</v>
      </c>
      <c r="E27" s="328">
        <f>ROUNDUP($B$15*E25,1)</f>
        <v>750</v>
      </c>
      <c r="F27" s="320">
        <f>SUM(C27:E27)</f>
        <v>1200</v>
      </c>
      <c r="G27" s="268" t="s">
        <v>117</v>
      </c>
    </row>
    <row r="28" spans="1:7" x14ac:dyDescent="0.25">
      <c r="A28" s="267" t="s">
        <v>114</v>
      </c>
      <c r="B28" s="237"/>
      <c r="C28" s="334">
        <f>C25-C27</f>
        <v>100</v>
      </c>
      <c r="D28" s="265">
        <f>D25-D27</f>
        <v>200</v>
      </c>
      <c r="E28" s="328">
        <f>E25-E27</f>
        <v>500</v>
      </c>
      <c r="F28" s="320">
        <f>SUM(C28:E28)</f>
        <v>800</v>
      </c>
      <c r="G28" s="268" t="s">
        <v>118</v>
      </c>
    </row>
    <row r="29" spans="1:7" x14ac:dyDescent="0.25">
      <c r="A29" s="267"/>
      <c r="B29" s="237"/>
      <c r="C29" s="244"/>
      <c r="D29" s="237"/>
      <c r="E29" s="327"/>
      <c r="F29" s="244"/>
      <c r="G29" s="268"/>
    </row>
    <row r="30" spans="1:7" x14ac:dyDescent="0.25">
      <c r="A30" s="267" t="s">
        <v>115</v>
      </c>
      <c r="B30" s="237"/>
      <c r="C30" s="335">
        <f>C27*$B$14</f>
        <v>450000</v>
      </c>
      <c r="D30" s="245">
        <f>D27*$B$14</f>
        <v>900000</v>
      </c>
      <c r="E30" s="245">
        <f>E27*$B$14</f>
        <v>2250000</v>
      </c>
      <c r="F30" s="320"/>
      <c r="G30" s="268"/>
    </row>
    <row r="31" spans="1:7" x14ac:dyDescent="0.25">
      <c r="A31" s="267" t="s">
        <v>116</v>
      </c>
      <c r="B31" s="237"/>
      <c r="C31" s="335">
        <f>C28*$B$16</f>
        <v>500000</v>
      </c>
      <c r="D31" s="245">
        <f>D28*$B$16</f>
        <v>1000000</v>
      </c>
      <c r="E31" s="245">
        <f>E28*$B$16</f>
        <v>2500000</v>
      </c>
      <c r="F31" s="320"/>
      <c r="G31" s="268"/>
    </row>
    <row r="32" spans="1:7" x14ac:dyDescent="0.25">
      <c r="A32" s="267"/>
      <c r="B32" s="237"/>
      <c r="C32" s="244"/>
      <c r="D32" s="237"/>
      <c r="E32" s="327"/>
      <c r="F32" s="322"/>
      <c r="G32" s="293"/>
    </row>
    <row r="33" spans="1:22" ht="32.25" customHeight="1" x14ac:dyDescent="0.25">
      <c r="A33" s="604" t="s">
        <v>119</v>
      </c>
      <c r="B33" s="605"/>
      <c r="C33" s="336">
        <f>C24</f>
        <v>2013</v>
      </c>
      <c r="D33" s="319">
        <f>D24</f>
        <v>2014</v>
      </c>
      <c r="E33" s="329">
        <f>E24</f>
        <v>2015</v>
      </c>
      <c r="F33" s="598" t="s">
        <v>99</v>
      </c>
      <c r="G33" s="599"/>
    </row>
    <row r="34" spans="1:22" ht="31.5" customHeight="1" x14ac:dyDescent="0.25">
      <c r="A34" s="594" t="s">
        <v>74</v>
      </c>
      <c r="B34" s="572"/>
      <c r="C34" s="337">
        <f>SUM(C30:C31)</f>
        <v>950000</v>
      </c>
      <c r="D34" s="286">
        <f>SUM(D30:D31)</f>
        <v>1900000</v>
      </c>
      <c r="E34" s="330">
        <f>SUM(E30:E31)</f>
        <v>4750000</v>
      </c>
      <c r="F34" s="323">
        <f>SUM(C34:E34)</f>
        <v>7600000</v>
      </c>
      <c r="G34" s="294" t="s">
        <v>134</v>
      </c>
    </row>
    <row r="35" spans="1:22" x14ac:dyDescent="0.25">
      <c r="A35" s="595" t="s">
        <v>121</v>
      </c>
      <c r="B35" s="596"/>
      <c r="C35" s="337">
        <f>C34*$B$20</f>
        <v>190000</v>
      </c>
      <c r="D35" s="286">
        <f>D34*$B$20</f>
        <v>380000</v>
      </c>
      <c r="E35" s="330">
        <f>E34*$B$20</f>
        <v>950000</v>
      </c>
      <c r="F35" s="324">
        <f>SUM(C35:E35)</f>
        <v>1520000</v>
      </c>
      <c r="G35" s="293" t="s">
        <v>94</v>
      </c>
    </row>
    <row r="36" spans="1:22" x14ac:dyDescent="0.25">
      <c r="A36" s="288" t="s">
        <v>41</v>
      </c>
      <c r="B36" s="242"/>
      <c r="C36" s="338">
        <f>SUM(C34:C35)</f>
        <v>1140000</v>
      </c>
      <c r="D36" s="261">
        <f>SUM(D34:D35)</f>
        <v>2280000</v>
      </c>
      <c r="E36" s="331">
        <f>SUM(E34:E35)</f>
        <v>5700000</v>
      </c>
      <c r="F36" s="331">
        <f>SUM(F34:F35)</f>
        <v>9120000</v>
      </c>
      <c r="G36" s="293" t="s">
        <v>95</v>
      </c>
    </row>
    <row r="37" spans="1:22" ht="15.75" thickBot="1" x14ac:dyDescent="0.3">
      <c r="A37" s="289"/>
      <c r="B37" s="290"/>
      <c r="C37" s="290"/>
      <c r="D37" s="290"/>
      <c r="E37" s="290"/>
      <c r="F37" s="290"/>
      <c r="G37" s="291"/>
    </row>
    <row r="39" spans="1:22" s="340" customFormat="1" ht="36" customHeight="1" x14ac:dyDescent="0.25">
      <c r="A39" s="597" t="s">
        <v>120</v>
      </c>
      <c r="B39" s="597"/>
      <c r="C39" s="341">
        <f>C24</f>
        <v>2013</v>
      </c>
      <c r="D39" s="341">
        <f>D24</f>
        <v>2014</v>
      </c>
      <c r="E39" s="341">
        <f>E24</f>
        <v>2015</v>
      </c>
      <c r="F39" s="341">
        <f>E39+1</f>
        <v>2016</v>
      </c>
      <c r="G39" s="341">
        <f>F39+1</f>
        <v>2017</v>
      </c>
      <c r="H39" s="341">
        <f t="shared" ref="H39:V39" si="0">G39+1</f>
        <v>2018</v>
      </c>
      <c r="I39" s="341">
        <f t="shared" si="0"/>
        <v>2019</v>
      </c>
      <c r="J39" s="341">
        <f t="shared" si="0"/>
        <v>2020</v>
      </c>
      <c r="K39" s="341">
        <f t="shared" si="0"/>
        <v>2021</v>
      </c>
      <c r="L39" s="341">
        <f t="shared" si="0"/>
        <v>2022</v>
      </c>
      <c r="M39" s="341">
        <f t="shared" si="0"/>
        <v>2023</v>
      </c>
      <c r="N39" s="341">
        <f t="shared" si="0"/>
        <v>2024</v>
      </c>
      <c r="O39" s="341">
        <f t="shared" si="0"/>
        <v>2025</v>
      </c>
      <c r="P39" s="341">
        <f t="shared" si="0"/>
        <v>2026</v>
      </c>
      <c r="Q39" s="341">
        <f t="shared" si="0"/>
        <v>2027</v>
      </c>
      <c r="R39" s="341">
        <f t="shared" si="0"/>
        <v>2028</v>
      </c>
      <c r="S39" s="341">
        <f t="shared" si="0"/>
        <v>2029</v>
      </c>
      <c r="T39" s="341">
        <f t="shared" si="0"/>
        <v>2030</v>
      </c>
      <c r="U39" s="341">
        <f t="shared" si="0"/>
        <v>2031</v>
      </c>
      <c r="V39" s="341">
        <f t="shared" si="0"/>
        <v>2032</v>
      </c>
    </row>
    <row r="40" spans="1:22" s="309" customFormat="1" ht="12" customHeight="1" x14ac:dyDescent="0.25">
      <c r="G40" s="238"/>
    </row>
    <row r="41" spans="1:22" s="308" customFormat="1" x14ac:dyDescent="0.25">
      <c r="A41" s="353" t="s">
        <v>124</v>
      </c>
      <c r="C41" s="303"/>
      <c r="D41" s="303"/>
      <c r="E41" s="303"/>
      <c r="F41" s="303"/>
      <c r="G41" s="304"/>
      <c r="H41" s="303"/>
      <c r="I41" s="303"/>
      <c r="J41" s="303"/>
      <c r="K41" s="303"/>
      <c r="L41" s="303"/>
      <c r="M41" s="303"/>
      <c r="N41" s="303"/>
      <c r="O41" s="303"/>
      <c r="P41" s="303"/>
    </row>
    <row r="42" spans="1:22" s="308" customFormat="1" x14ac:dyDescent="0.25">
      <c r="A42" s="310" t="str">
        <f>A12</f>
        <v>(Enter source of funds)</v>
      </c>
      <c r="C42" s="305">
        <f>B12</f>
        <v>10000000</v>
      </c>
      <c r="D42" s="305">
        <f>C13</f>
        <v>0</v>
      </c>
      <c r="E42" s="305">
        <f>D13</f>
        <v>0</v>
      </c>
      <c r="F42" s="305">
        <f>E13</f>
        <v>0</v>
      </c>
      <c r="G42" s="306">
        <v>0</v>
      </c>
      <c r="H42" s="305">
        <f t="shared" ref="H42:V42" si="1">F13</f>
        <v>0</v>
      </c>
      <c r="I42" s="305">
        <f t="shared" si="1"/>
        <v>0</v>
      </c>
      <c r="J42" s="305">
        <f t="shared" si="1"/>
        <v>0</v>
      </c>
      <c r="K42" s="305">
        <f t="shared" si="1"/>
        <v>0</v>
      </c>
      <c r="L42" s="305">
        <f t="shared" si="1"/>
        <v>0</v>
      </c>
      <c r="M42" s="305">
        <f t="shared" si="1"/>
        <v>0</v>
      </c>
      <c r="N42" s="305">
        <f t="shared" si="1"/>
        <v>0</v>
      </c>
      <c r="O42" s="305">
        <f t="shared" si="1"/>
        <v>0</v>
      </c>
      <c r="P42" s="305">
        <f t="shared" si="1"/>
        <v>0</v>
      </c>
      <c r="Q42" s="305">
        <f t="shared" si="1"/>
        <v>0</v>
      </c>
      <c r="R42" s="305">
        <f t="shared" si="1"/>
        <v>0</v>
      </c>
      <c r="S42" s="305">
        <f t="shared" si="1"/>
        <v>0</v>
      </c>
      <c r="T42" s="305">
        <f t="shared" si="1"/>
        <v>0</v>
      </c>
      <c r="U42" s="305">
        <f t="shared" si="1"/>
        <v>0</v>
      </c>
      <c r="V42" s="305">
        <f t="shared" si="1"/>
        <v>0</v>
      </c>
    </row>
    <row r="43" spans="1:22" s="308" customFormat="1" x14ac:dyDescent="0.25">
      <c r="A43" s="310" t="s">
        <v>127</v>
      </c>
      <c r="C43" s="305">
        <f>C63</f>
        <v>0</v>
      </c>
      <c r="D43" s="305">
        <f t="shared" ref="D43:V43" si="2">D63</f>
        <v>95000</v>
      </c>
      <c r="E43" s="305">
        <f t="shared" si="2"/>
        <v>285000</v>
      </c>
      <c r="F43" s="305">
        <f t="shared" si="2"/>
        <v>760000</v>
      </c>
      <c r="G43" s="305">
        <f t="shared" si="2"/>
        <v>760000</v>
      </c>
      <c r="H43" s="305">
        <f t="shared" si="2"/>
        <v>760000</v>
      </c>
      <c r="I43" s="305">
        <f t="shared" si="2"/>
        <v>760000</v>
      </c>
      <c r="J43" s="305">
        <f t="shared" si="2"/>
        <v>760000</v>
      </c>
      <c r="K43" s="305">
        <f t="shared" si="2"/>
        <v>760000</v>
      </c>
      <c r="L43" s="305">
        <f t="shared" si="2"/>
        <v>760000</v>
      </c>
      <c r="M43" s="305">
        <f t="shared" si="2"/>
        <v>760000</v>
      </c>
      <c r="N43" s="305">
        <f t="shared" si="2"/>
        <v>665000</v>
      </c>
      <c r="O43" s="305">
        <f t="shared" si="2"/>
        <v>475000</v>
      </c>
      <c r="P43" s="305">
        <f t="shared" si="2"/>
        <v>0</v>
      </c>
      <c r="Q43" s="305">
        <f t="shared" si="2"/>
        <v>0</v>
      </c>
      <c r="R43" s="305">
        <f t="shared" si="2"/>
        <v>0</v>
      </c>
      <c r="S43" s="305">
        <f t="shared" si="2"/>
        <v>0</v>
      </c>
      <c r="T43" s="305">
        <f t="shared" si="2"/>
        <v>0</v>
      </c>
      <c r="U43" s="305">
        <f t="shared" si="2"/>
        <v>0</v>
      </c>
      <c r="V43" s="305">
        <f t="shared" si="2"/>
        <v>0</v>
      </c>
    </row>
    <row r="44" spans="1:22" s="308" customFormat="1" x14ac:dyDescent="0.25">
      <c r="A44" s="310" t="s">
        <v>126</v>
      </c>
      <c r="C44" s="305">
        <f>C69</f>
        <v>0</v>
      </c>
      <c r="D44" s="305">
        <f t="shared" ref="D44:V44" si="3">D69</f>
        <v>38000</v>
      </c>
      <c r="E44" s="305">
        <f t="shared" si="3"/>
        <v>110200</v>
      </c>
      <c r="F44" s="305">
        <f t="shared" si="3"/>
        <v>288800</v>
      </c>
      <c r="G44" s="305">
        <f t="shared" si="3"/>
        <v>258400</v>
      </c>
      <c r="H44" s="305">
        <f t="shared" si="3"/>
        <v>228000</v>
      </c>
      <c r="I44" s="305">
        <f t="shared" si="3"/>
        <v>197600</v>
      </c>
      <c r="J44" s="305">
        <f t="shared" si="3"/>
        <v>167200</v>
      </c>
      <c r="K44" s="305">
        <f t="shared" si="3"/>
        <v>136800</v>
      </c>
      <c r="L44" s="305">
        <f t="shared" si="3"/>
        <v>106400</v>
      </c>
      <c r="M44" s="305">
        <f t="shared" si="3"/>
        <v>76000</v>
      </c>
      <c r="N44" s="305">
        <f t="shared" si="3"/>
        <v>45600</v>
      </c>
      <c r="O44" s="305">
        <f t="shared" si="3"/>
        <v>19000</v>
      </c>
      <c r="P44" s="305">
        <f t="shared" si="3"/>
        <v>0</v>
      </c>
      <c r="Q44" s="305">
        <f t="shared" si="3"/>
        <v>0</v>
      </c>
      <c r="R44" s="305">
        <f t="shared" si="3"/>
        <v>0</v>
      </c>
      <c r="S44" s="305">
        <f t="shared" si="3"/>
        <v>0</v>
      </c>
      <c r="T44" s="305">
        <f t="shared" si="3"/>
        <v>0</v>
      </c>
      <c r="U44" s="305">
        <f t="shared" si="3"/>
        <v>0</v>
      </c>
      <c r="V44" s="305">
        <f t="shared" si="3"/>
        <v>0</v>
      </c>
    </row>
    <row r="45" spans="1:22" s="308" customFormat="1" ht="12.75" customHeight="1" x14ac:dyDescent="0.25">
      <c r="A45" s="310" t="s">
        <v>106</v>
      </c>
      <c r="C45" s="305">
        <v>0</v>
      </c>
      <c r="D45" s="305">
        <f>C54</f>
        <v>8860000</v>
      </c>
      <c r="E45" s="305">
        <f t="shared" ref="E45:V45" si="4">D54</f>
        <v>6713000</v>
      </c>
      <c r="F45" s="305">
        <f t="shared" si="4"/>
        <v>1408200</v>
      </c>
      <c r="G45" s="305">
        <f t="shared" si="4"/>
        <v>2457000</v>
      </c>
      <c r="H45" s="305">
        <f t="shared" si="4"/>
        <v>3475400</v>
      </c>
      <c r="I45" s="305">
        <f t="shared" si="4"/>
        <v>4463400</v>
      </c>
      <c r="J45" s="305">
        <f t="shared" si="4"/>
        <v>5421000</v>
      </c>
      <c r="K45" s="305">
        <f t="shared" si="4"/>
        <v>6348200</v>
      </c>
      <c r="L45" s="305">
        <f t="shared" si="4"/>
        <v>7245000</v>
      </c>
      <c r="M45" s="305">
        <f t="shared" si="4"/>
        <v>8111400</v>
      </c>
      <c r="N45" s="305">
        <f t="shared" si="4"/>
        <v>8947400</v>
      </c>
      <c r="O45" s="305">
        <f t="shared" si="4"/>
        <v>9658000</v>
      </c>
      <c r="P45" s="305">
        <f t="shared" si="4"/>
        <v>10152000</v>
      </c>
      <c r="Q45" s="305">
        <f t="shared" si="4"/>
        <v>10152000</v>
      </c>
      <c r="R45" s="305">
        <f t="shared" si="4"/>
        <v>10152000</v>
      </c>
      <c r="S45" s="305">
        <f t="shared" si="4"/>
        <v>10152000</v>
      </c>
      <c r="T45" s="305">
        <f t="shared" si="4"/>
        <v>10152000</v>
      </c>
      <c r="U45" s="305">
        <f t="shared" si="4"/>
        <v>10152000</v>
      </c>
      <c r="V45" s="305">
        <f t="shared" si="4"/>
        <v>10152000</v>
      </c>
    </row>
    <row r="46" spans="1:22" s="308" customFormat="1" ht="12.75" customHeight="1" x14ac:dyDescent="0.25">
      <c r="A46" s="311" t="s">
        <v>107</v>
      </c>
      <c r="C46" s="307">
        <f t="shared" ref="C46:V46" si="5">SUM(C42:C45)</f>
        <v>10000000</v>
      </c>
      <c r="D46" s="307">
        <f t="shared" si="5"/>
        <v>8993000</v>
      </c>
      <c r="E46" s="307">
        <f t="shared" si="5"/>
        <v>7108200</v>
      </c>
      <c r="F46" s="307">
        <f t="shared" si="5"/>
        <v>2457000</v>
      </c>
      <c r="G46" s="307">
        <f t="shared" si="5"/>
        <v>3475400</v>
      </c>
      <c r="H46" s="307">
        <f t="shared" si="5"/>
        <v>4463400</v>
      </c>
      <c r="I46" s="307">
        <f t="shared" si="5"/>
        <v>5421000</v>
      </c>
      <c r="J46" s="307">
        <f t="shared" si="5"/>
        <v>6348200</v>
      </c>
      <c r="K46" s="307">
        <f t="shared" si="5"/>
        <v>7245000</v>
      </c>
      <c r="L46" s="307">
        <f t="shared" si="5"/>
        <v>8111400</v>
      </c>
      <c r="M46" s="307">
        <f t="shared" si="5"/>
        <v>8947400</v>
      </c>
      <c r="N46" s="307">
        <f t="shared" si="5"/>
        <v>9658000</v>
      </c>
      <c r="O46" s="307">
        <f t="shared" si="5"/>
        <v>10152000</v>
      </c>
      <c r="P46" s="307">
        <f t="shared" si="5"/>
        <v>10152000</v>
      </c>
      <c r="Q46" s="307">
        <f t="shared" si="5"/>
        <v>10152000</v>
      </c>
      <c r="R46" s="307">
        <f t="shared" si="5"/>
        <v>10152000</v>
      </c>
      <c r="S46" s="307">
        <f t="shared" si="5"/>
        <v>10152000</v>
      </c>
      <c r="T46" s="307">
        <f t="shared" si="5"/>
        <v>10152000</v>
      </c>
      <c r="U46" s="307">
        <f t="shared" si="5"/>
        <v>10152000</v>
      </c>
      <c r="V46" s="307">
        <f t="shared" si="5"/>
        <v>10152000</v>
      </c>
    </row>
    <row r="47" spans="1:22" s="308" customFormat="1" ht="12.75" customHeight="1" x14ac:dyDescent="0.25">
      <c r="A47" s="312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</row>
    <row r="48" spans="1:22" s="308" customFormat="1" ht="12.75" customHeight="1" x14ac:dyDescent="0.25">
      <c r="A48" s="353" t="s">
        <v>128</v>
      </c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</row>
    <row r="49" spans="1:23" s="308" customFormat="1" ht="12.75" customHeight="1" x14ac:dyDescent="0.25">
      <c r="A49" s="310" t="str">
        <f>A30</f>
        <v>Total amount - repaired devices</v>
      </c>
      <c r="C49" s="357">
        <f t="shared" ref="C49:E50" si="6">C30</f>
        <v>450000</v>
      </c>
      <c r="D49" s="357">
        <f t="shared" si="6"/>
        <v>900000</v>
      </c>
      <c r="E49" s="357">
        <f t="shared" si="6"/>
        <v>2250000</v>
      </c>
      <c r="F49" s="357">
        <v>0</v>
      </c>
      <c r="G49" s="357">
        <v>0</v>
      </c>
      <c r="H49" s="357">
        <v>0</v>
      </c>
      <c r="I49" s="357">
        <v>0</v>
      </c>
      <c r="J49" s="357">
        <v>0</v>
      </c>
      <c r="K49" s="357">
        <v>0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</row>
    <row r="50" spans="1:23" s="308" customFormat="1" ht="12.75" customHeight="1" x14ac:dyDescent="0.25">
      <c r="A50" s="310" t="str">
        <f>A31</f>
        <v>Total amount - replaced devices</v>
      </c>
      <c r="C50" s="305">
        <f t="shared" si="6"/>
        <v>500000</v>
      </c>
      <c r="D50" s="305">
        <f t="shared" si="6"/>
        <v>1000000</v>
      </c>
      <c r="E50" s="305">
        <f t="shared" si="6"/>
        <v>2500000</v>
      </c>
      <c r="F50" s="306">
        <v>0</v>
      </c>
      <c r="G50" s="306">
        <v>0</v>
      </c>
      <c r="H50" s="306">
        <v>0</v>
      </c>
      <c r="I50" s="306">
        <v>0</v>
      </c>
      <c r="J50" s="306">
        <v>0</v>
      </c>
      <c r="K50" s="306">
        <v>0</v>
      </c>
      <c r="L50" s="306">
        <v>0</v>
      </c>
      <c r="M50" s="306">
        <v>0</v>
      </c>
      <c r="N50" s="306">
        <v>0</v>
      </c>
      <c r="O50" s="306">
        <v>0</v>
      </c>
      <c r="P50" s="306">
        <v>0</v>
      </c>
      <c r="Q50" s="306">
        <v>0</v>
      </c>
      <c r="R50" s="306">
        <v>0</v>
      </c>
      <c r="S50" s="306">
        <v>0</v>
      </c>
      <c r="T50" s="306">
        <v>0</v>
      </c>
      <c r="U50" s="306">
        <v>0</v>
      </c>
      <c r="V50" s="306">
        <v>0</v>
      </c>
    </row>
    <row r="51" spans="1:23" s="308" customFormat="1" x14ac:dyDescent="0.25">
      <c r="A51" s="310" t="str">
        <f>A35</f>
        <v>Administrative costs</v>
      </c>
      <c r="C51" s="305">
        <f>C35</f>
        <v>190000</v>
      </c>
      <c r="D51" s="305">
        <f>D35</f>
        <v>380000</v>
      </c>
      <c r="E51" s="305">
        <f>E35</f>
        <v>950000</v>
      </c>
      <c r="F51" s="306">
        <v>0</v>
      </c>
      <c r="G51" s="306">
        <v>0</v>
      </c>
      <c r="H51" s="306">
        <v>0</v>
      </c>
      <c r="I51" s="306">
        <v>0</v>
      </c>
      <c r="J51" s="306">
        <v>0</v>
      </c>
      <c r="K51" s="306">
        <v>0</v>
      </c>
      <c r="L51" s="306">
        <v>0</v>
      </c>
      <c r="M51" s="306">
        <v>0</v>
      </c>
      <c r="N51" s="306">
        <v>0</v>
      </c>
      <c r="O51" s="306">
        <v>0</v>
      </c>
      <c r="P51" s="306">
        <v>0</v>
      </c>
      <c r="Q51" s="306">
        <v>0</v>
      </c>
      <c r="R51" s="306">
        <v>0</v>
      </c>
      <c r="S51" s="306">
        <v>0</v>
      </c>
      <c r="T51" s="306">
        <v>0</v>
      </c>
      <c r="U51" s="306">
        <v>0</v>
      </c>
      <c r="V51" s="306">
        <v>0</v>
      </c>
    </row>
    <row r="52" spans="1:23" s="308" customFormat="1" x14ac:dyDescent="0.25">
      <c r="A52" s="354" t="s">
        <v>105</v>
      </c>
      <c r="C52" s="355">
        <f>SUM(C49:C51)</f>
        <v>1140000</v>
      </c>
      <c r="D52" s="355">
        <f t="shared" ref="D52:V52" si="7">SUM(D49:D51)</f>
        <v>2280000</v>
      </c>
      <c r="E52" s="355">
        <f t="shared" si="7"/>
        <v>5700000</v>
      </c>
      <c r="F52" s="355">
        <f t="shared" si="7"/>
        <v>0</v>
      </c>
      <c r="G52" s="355">
        <f t="shared" si="7"/>
        <v>0</v>
      </c>
      <c r="H52" s="355">
        <f t="shared" si="7"/>
        <v>0</v>
      </c>
      <c r="I52" s="355">
        <f t="shared" si="7"/>
        <v>0</v>
      </c>
      <c r="J52" s="355">
        <f t="shared" si="7"/>
        <v>0</v>
      </c>
      <c r="K52" s="355">
        <f t="shared" si="7"/>
        <v>0</v>
      </c>
      <c r="L52" s="355">
        <f t="shared" si="7"/>
        <v>0</v>
      </c>
      <c r="M52" s="355">
        <f t="shared" si="7"/>
        <v>0</v>
      </c>
      <c r="N52" s="355">
        <f t="shared" si="7"/>
        <v>0</v>
      </c>
      <c r="O52" s="355">
        <f t="shared" si="7"/>
        <v>0</v>
      </c>
      <c r="P52" s="355">
        <f t="shared" si="7"/>
        <v>0</v>
      </c>
      <c r="Q52" s="355">
        <f t="shared" si="7"/>
        <v>0</v>
      </c>
      <c r="R52" s="355">
        <f t="shared" si="7"/>
        <v>0</v>
      </c>
      <c r="S52" s="355">
        <f t="shared" si="7"/>
        <v>0</v>
      </c>
      <c r="T52" s="355">
        <f t="shared" si="7"/>
        <v>0</v>
      </c>
      <c r="U52" s="355">
        <f t="shared" si="7"/>
        <v>0</v>
      </c>
      <c r="V52" s="355">
        <f t="shared" si="7"/>
        <v>0</v>
      </c>
    </row>
    <row r="53" spans="1:23" s="308" customFormat="1" x14ac:dyDescent="0.25">
      <c r="A53" s="354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</row>
    <row r="54" spans="1:23" s="308" customFormat="1" x14ac:dyDescent="0.25">
      <c r="A54" s="354" t="s">
        <v>135</v>
      </c>
      <c r="C54" s="356">
        <f>C46-C52</f>
        <v>8860000</v>
      </c>
      <c r="D54" s="356">
        <f t="shared" ref="D54:V54" si="8">D46-D52</f>
        <v>6713000</v>
      </c>
      <c r="E54" s="356">
        <f t="shared" si="8"/>
        <v>1408200</v>
      </c>
      <c r="F54" s="356">
        <f t="shared" si="8"/>
        <v>2457000</v>
      </c>
      <c r="G54" s="356">
        <f t="shared" si="8"/>
        <v>3475400</v>
      </c>
      <c r="H54" s="356">
        <f t="shared" si="8"/>
        <v>4463400</v>
      </c>
      <c r="I54" s="356">
        <f t="shared" si="8"/>
        <v>5421000</v>
      </c>
      <c r="J54" s="356">
        <f t="shared" si="8"/>
        <v>6348200</v>
      </c>
      <c r="K54" s="356">
        <f t="shared" si="8"/>
        <v>7245000</v>
      </c>
      <c r="L54" s="356">
        <f t="shared" si="8"/>
        <v>8111400</v>
      </c>
      <c r="M54" s="356">
        <f t="shared" si="8"/>
        <v>8947400</v>
      </c>
      <c r="N54" s="356">
        <f t="shared" si="8"/>
        <v>9658000</v>
      </c>
      <c r="O54" s="356">
        <f t="shared" si="8"/>
        <v>10152000</v>
      </c>
      <c r="P54" s="356">
        <f t="shared" si="8"/>
        <v>10152000</v>
      </c>
      <c r="Q54" s="356">
        <f t="shared" si="8"/>
        <v>10152000</v>
      </c>
      <c r="R54" s="356">
        <f t="shared" si="8"/>
        <v>10152000</v>
      </c>
      <c r="S54" s="356">
        <f t="shared" si="8"/>
        <v>10152000</v>
      </c>
      <c r="T54" s="356">
        <f t="shared" si="8"/>
        <v>10152000</v>
      </c>
      <c r="U54" s="356">
        <f t="shared" si="8"/>
        <v>10152000</v>
      </c>
      <c r="V54" s="356">
        <f t="shared" si="8"/>
        <v>10152000</v>
      </c>
    </row>
    <row r="55" spans="1:23" s="308" customFormat="1" x14ac:dyDescent="0.25">
      <c r="A55" s="315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</row>
    <row r="56" spans="1:23" s="308" customFormat="1" ht="17.25" customHeight="1" x14ac:dyDescent="0.25">
      <c r="A56" s="315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</row>
    <row r="57" spans="1:23" s="340" customFormat="1" ht="36" customHeight="1" x14ac:dyDescent="0.25">
      <c r="A57" s="597" t="s">
        <v>136</v>
      </c>
      <c r="B57" s="597"/>
      <c r="C57" s="341">
        <f>C39</f>
        <v>2013</v>
      </c>
      <c r="D57" s="341">
        <f t="shared" ref="D57:V57" si="9">D39</f>
        <v>2014</v>
      </c>
      <c r="E57" s="341">
        <f t="shared" si="9"/>
        <v>2015</v>
      </c>
      <c r="F57" s="341">
        <f t="shared" si="9"/>
        <v>2016</v>
      </c>
      <c r="G57" s="341">
        <f t="shared" si="9"/>
        <v>2017</v>
      </c>
      <c r="H57" s="341">
        <f t="shared" si="9"/>
        <v>2018</v>
      </c>
      <c r="I57" s="341">
        <f t="shared" si="9"/>
        <v>2019</v>
      </c>
      <c r="J57" s="341">
        <f t="shared" si="9"/>
        <v>2020</v>
      </c>
      <c r="K57" s="341">
        <f t="shared" si="9"/>
        <v>2021</v>
      </c>
      <c r="L57" s="341">
        <f t="shared" si="9"/>
        <v>2022</v>
      </c>
      <c r="M57" s="341">
        <f t="shared" si="9"/>
        <v>2023</v>
      </c>
      <c r="N57" s="341">
        <f t="shared" si="9"/>
        <v>2024</v>
      </c>
      <c r="O57" s="341">
        <f t="shared" si="9"/>
        <v>2025</v>
      </c>
      <c r="P57" s="341">
        <f t="shared" si="9"/>
        <v>2026</v>
      </c>
      <c r="Q57" s="341">
        <f t="shared" si="9"/>
        <v>2027</v>
      </c>
      <c r="R57" s="341">
        <f t="shared" si="9"/>
        <v>2028</v>
      </c>
      <c r="S57" s="341">
        <f t="shared" si="9"/>
        <v>2029</v>
      </c>
      <c r="T57" s="341">
        <f t="shared" si="9"/>
        <v>2030</v>
      </c>
      <c r="U57" s="341">
        <f t="shared" si="9"/>
        <v>2031</v>
      </c>
      <c r="V57" s="341">
        <f t="shared" si="9"/>
        <v>2032</v>
      </c>
    </row>
    <row r="58" spans="1:23" s="362" customFormat="1" ht="12" customHeight="1" x14ac:dyDescent="0.25">
      <c r="A58" s="361"/>
      <c r="B58" s="361"/>
      <c r="C58" s="361">
        <v>0</v>
      </c>
      <c r="D58" s="361">
        <v>1</v>
      </c>
      <c r="E58" s="361">
        <v>2</v>
      </c>
      <c r="F58" s="361">
        <v>3</v>
      </c>
      <c r="G58" s="361">
        <v>4</v>
      </c>
      <c r="H58" s="361">
        <v>5</v>
      </c>
      <c r="I58" s="361">
        <v>6</v>
      </c>
      <c r="J58" s="361">
        <v>7</v>
      </c>
      <c r="K58" s="361">
        <v>8</v>
      </c>
      <c r="L58" s="361">
        <v>9</v>
      </c>
      <c r="M58" s="361">
        <v>10</v>
      </c>
      <c r="N58" s="361">
        <v>11</v>
      </c>
      <c r="O58" s="361">
        <v>12</v>
      </c>
      <c r="P58" s="361">
        <v>13</v>
      </c>
      <c r="Q58" s="361">
        <v>14</v>
      </c>
      <c r="R58" s="361">
        <v>15</v>
      </c>
      <c r="S58" s="361">
        <v>16</v>
      </c>
      <c r="T58" s="361">
        <v>17</v>
      </c>
      <c r="U58" s="361">
        <v>18</v>
      </c>
      <c r="V58" s="361">
        <v>19</v>
      </c>
    </row>
    <row r="59" spans="1:23" s="308" customFormat="1" x14ac:dyDescent="0.25">
      <c r="A59" s="339" t="s">
        <v>125</v>
      </c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</row>
    <row r="60" spans="1:23" s="308" customFormat="1" x14ac:dyDescent="0.25">
      <c r="A60" s="358" t="s">
        <v>137</v>
      </c>
      <c r="B60" s="316"/>
      <c r="C60" s="356">
        <v>0</v>
      </c>
      <c r="D60" s="356">
        <f>IF($B$19&gt;=D58,$C$34/$B$19,0)</f>
        <v>95000</v>
      </c>
      <c r="E60" s="356">
        <f>IF($B$19&gt;=E$58,$C$34/$B$19,0)</f>
        <v>95000</v>
      </c>
      <c r="F60" s="356">
        <f t="shared" ref="F60:V60" si="10">IF($B$19&gt;=F58,$C$34/$B$19,0)</f>
        <v>95000</v>
      </c>
      <c r="G60" s="356">
        <f t="shared" si="10"/>
        <v>95000</v>
      </c>
      <c r="H60" s="356">
        <f t="shared" si="10"/>
        <v>95000</v>
      </c>
      <c r="I60" s="356">
        <f t="shared" si="10"/>
        <v>95000</v>
      </c>
      <c r="J60" s="356">
        <f t="shared" si="10"/>
        <v>95000</v>
      </c>
      <c r="K60" s="356">
        <f t="shared" si="10"/>
        <v>95000</v>
      </c>
      <c r="L60" s="356">
        <f t="shared" si="10"/>
        <v>95000</v>
      </c>
      <c r="M60" s="356">
        <f t="shared" si="10"/>
        <v>95000</v>
      </c>
      <c r="N60" s="356">
        <f t="shared" si="10"/>
        <v>0</v>
      </c>
      <c r="O60" s="356">
        <f t="shared" si="10"/>
        <v>0</v>
      </c>
      <c r="P60" s="356">
        <f t="shared" si="10"/>
        <v>0</v>
      </c>
      <c r="Q60" s="356">
        <f t="shared" si="10"/>
        <v>0</v>
      </c>
      <c r="R60" s="356">
        <f t="shared" si="10"/>
        <v>0</v>
      </c>
      <c r="S60" s="356">
        <f t="shared" si="10"/>
        <v>0</v>
      </c>
      <c r="T60" s="356">
        <f t="shared" si="10"/>
        <v>0</v>
      </c>
      <c r="U60" s="356">
        <f t="shared" si="10"/>
        <v>0</v>
      </c>
      <c r="V60" s="356">
        <f t="shared" si="10"/>
        <v>0</v>
      </c>
      <c r="W60" s="314"/>
    </row>
    <row r="61" spans="1:23" s="308" customFormat="1" x14ac:dyDescent="0.25">
      <c r="A61" s="358" t="s">
        <v>138</v>
      </c>
      <c r="B61" s="316"/>
      <c r="C61" s="356">
        <v>0</v>
      </c>
      <c r="D61" s="356">
        <v>0</v>
      </c>
      <c r="E61" s="356">
        <f>IF($B$19&gt;=E$58-1,$D$34/$B$19,0)</f>
        <v>190000</v>
      </c>
      <c r="F61" s="356">
        <f t="shared" ref="F61:V61" si="11">IF($B$19&gt;=F$58-1,$D$34/$B$19,0)</f>
        <v>190000</v>
      </c>
      <c r="G61" s="356">
        <f t="shared" si="11"/>
        <v>190000</v>
      </c>
      <c r="H61" s="356">
        <f t="shared" si="11"/>
        <v>190000</v>
      </c>
      <c r="I61" s="356">
        <f t="shared" si="11"/>
        <v>190000</v>
      </c>
      <c r="J61" s="356">
        <f t="shared" si="11"/>
        <v>190000</v>
      </c>
      <c r="K61" s="356">
        <f t="shared" si="11"/>
        <v>190000</v>
      </c>
      <c r="L61" s="356">
        <f t="shared" si="11"/>
        <v>190000</v>
      </c>
      <c r="M61" s="356">
        <f t="shared" si="11"/>
        <v>190000</v>
      </c>
      <c r="N61" s="356">
        <f t="shared" si="11"/>
        <v>190000</v>
      </c>
      <c r="O61" s="356">
        <f t="shared" si="11"/>
        <v>0</v>
      </c>
      <c r="P61" s="356">
        <f t="shared" si="11"/>
        <v>0</v>
      </c>
      <c r="Q61" s="356">
        <f t="shared" si="11"/>
        <v>0</v>
      </c>
      <c r="R61" s="356">
        <f t="shared" si="11"/>
        <v>0</v>
      </c>
      <c r="S61" s="356">
        <f t="shared" si="11"/>
        <v>0</v>
      </c>
      <c r="T61" s="356">
        <f t="shared" si="11"/>
        <v>0</v>
      </c>
      <c r="U61" s="356">
        <f t="shared" si="11"/>
        <v>0</v>
      </c>
      <c r="V61" s="356">
        <f t="shared" si="11"/>
        <v>0</v>
      </c>
      <c r="W61" s="314"/>
    </row>
    <row r="62" spans="1:23" s="308" customFormat="1" x14ac:dyDescent="0.25">
      <c r="A62" s="358" t="s">
        <v>141</v>
      </c>
      <c r="B62" s="356"/>
      <c r="C62" s="360">
        <v>0</v>
      </c>
      <c r="D62" s="360">
        <v>0</v>
      </c>
      <c r="E62" s="360">
        <v>0</v>
      </c>
      <c r="F62" s="360">
        <f>IF($B$19&gt;=F$58-2,$E$34/$B$19,0)</f>
        <v>475000</v>
      </c>
      <c r="G62" s="360">
        <f t="shared" ref="G62:V62" si="12">IF($B$19&gt;=G$58-2,$E$34/$B$19,0)</f>
        <v>475000</v>
      </c>
      <c r="H62" s="360">
        <f t="shared" si="12"/>
        <v>475000</v>
      </c>
      <c r="I62" s="360">
        <f t="shared" si="12"/>
        <v>475000</v>
      </c>
      <c r="J62" s="360">
        <f t="shared" si="12"/>
        <v>475000</v>
      </c>
      <c r="K62" s="360">
        <f t="shared" si="12"/>
        <v>475000</v>
      </c>
      <c r="L62" s="360">
        <f t="shared" si="12"/>
        <v>475000</v>
      </c>
      <c r="M62" s="360">
        <f t="shared" si="12"/>
        <v>475000</v>
      </c>
      <c r="N62" s="360">
        <f t="shared" si="12"/>
        <v>475000</v>
      </c>
      <c r="O62" s="360">
        <f t="shared" si="12"/>
        <v>475000</v>
      </c>
      <c r="P62" s="360">
        <f t="shared" si="12"/>
        <v>0</v>
      </c>
      <c r="Q62" s="360">
        <f t="shared" si="12"/>
        <v>0</v>
      </c>
      <c r="R62" s="360">
        <f t="shared" si="12"/>
        <v>0</v>
      </c>
      <c r="S62" s="360">
        <f t="shared" si="12"/>
        <v>0</v>
      </c>
      <c r="T62" s="360">
        <f t="shared" si="12"/>
        <v>0</v>
      </c>
      <c r="U62" s="360">
        <f t="shared" si="12"/>
        <v>0</v>
      </c>
      <c r="V62" s="360">
        <f t="shared" si="12"/>
        <v>0</v>
      </c>
      <c r="W62" s="314"/>
    </row>
    <row r="63" spans="1:23" s="308" customFormat="1" x14ac:dyDescent="0.25">
      <c r="A63" s="354" t="s">
        <v>139</v>
      </c>
      <c r="B63" s="316"/>
      <c r="C63" s="356">
        <f t="shared" ref="C63:V63" si="13">SUM(C60:C62)</f>
        <v>0</v>
      </c>
      <c r="D63" s="356">
        <f t="shared" si="13"/>
        <v>95000</v>
      </c>
      <c r="E63" s="356">
        <f t="shared" si="13"/>
        <v>285000</v>
      </c>
      <c r="F63" s="356">
        <f t="shared" si="13"/>
        <v>760000</v>
      </c>
      <c r="G63" s="356">
        <f t="shared" si="13"/>
        <v>760000</v>
      </c>
      <c r="H63" s="356">
        <f t="shared" si="13"/>
        <v>760000</v>
      </c>
      <c r="I63" s="356">
        <f t="shared" si="13"/>
        <v>760000</v>
      </c>
      <c r="J63" s="356">
        <f t="shared" si="13"/>
        <v>760000</v>
      </c>
      <c r="K63" s="356">
        <f t="shared" si="13"/>
        <v>760000</v>
      </c>
      <c r="L63" s="356">
        <f t="shared" si="13"/>
        <v>760000</v>
      </c>
      <c r="M63" s="356">
        <f t="shared" si="13"/>
        <v>760000</v>
      </c>
      <c r="N63" s="356">
        <f t="shared" si="13"/>
        <v>665000</v>
      </c>
      <c r="O63" s="356">
        <f t="shared" si="13"/>
        <v>475000</v>
      </c>
      <c r="P63" s="356">
        <f t="shared" si="13"/>
        <v>0</v>
      </c>
      <c r="Q63" s="356">
        <f t="shared" si="13"/>
        <v>0</v>
      </c>
      <c r="R63" s="356">
        <f t="shared" si="13"/>
        <v>0</v>
      </c>
      <c r="S63" s="356">
        <f t="shared" si="13"/>
        <v>0</v>
      </c>
      <c r="T63" s="356">
        <f t="shared" si="13"/>
        <v>0</v>
      </c>
      <c r="U63" s="356">
        <f t="shared" si="13"/>
        <v>0</v>
      </c>
      <c r="V63" s="356">
        <f t="shared" si="13"/>
        <v>0</v>
      </c>
      <c r="W63" s="314"/>
    </row>
    <row r="64" spans="1:23" s="308" customFormat="1" x14ac:dyDescent="0.25">
      <c r="A64" s="315"/>
      <c r="B64" s="316"/>
      <c r="C64" s="356"/>
      <c r="D64" s="356"/>
      <c r="E64" s="356"/>
      <c r="F64" s="35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</row>
    <row r="65" spans="1:22" s="308" customFormat="1" x14ac:dyDescent="0.25">
      <c r="A65" s="359" t="s">
        <v>140</v>
      </c>
      <c r="B65" s="313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</row>
    <row r="66" spans="1:22" s="308" customFormat="1" x14ac:dyDescent="0.25">
      <c r="A66" s="358" t="s">
        <v>137</v>
      </c>
      <c r="B66" s="313"/>
      <c r="C66" s="313">
        <v>0</v>
      </c>
      <c r="D66" s="235">
        <f>$C$34*$B$18</f>
        <v>38000</v>
      </c>
      <c r="E66" s="235">
        <f>IF($B$19&gt;=E$58,($C$34-(D60*D58))*$B$18,0)</f>
        <v>34200</v>
      </c>
      <c r="F66" s="235">
        <f t="shared" ref="F66:V66" si="14">IF($B$19&gt;=F$58,($C$34-(E60*E58))*$B$18,0)</f>
        <v>30400</v>
      </c>
      <c r="G66" s="235">
        <f t="shared" si="14"/>
        <v>26600</v>
      </c>
      <c r="H66" s="235">
        <f t="shared" si="14"/>
        <v>22800</v>
      </c>
      <c r="I66" s="235">
        <f t="shared" si="14"/>
        <v>19000</v>
      </c>
      <c r="J66" s="235">
        <f t="shared" si="14"/>
        <v>15200</v>
      </c>
      <c r="K66" s="235">
        <f t="shared" si="14"/>
        <v>11400</v>
      </c>
      <c r="L66" s="235">
        <f t="shared" si="14"/>
        <v>7600</v>
      </c>
      <c r="M66" s="235">
        <f t="shared" si="14"/>
        <v>3800</v>
      </c>
      <c r="N66" s="235">
        <f t="shared" si="14"/>
        <v>0</v>
      </c>
      <c r="O66" s="235">
        <f t="shared" si="14"/>
        <v>0</v>
      </c>
      <c r="P66" s="235">
        <f t="shared" si="14"/>
        <v>0</v>
      </c>
      <c r="Q66" s="235">
        <f t="shared" si="14"/>
        <v>0</v>
      </c>
      <c r="R66" s="235">
        <f t="shared" si="14"/>
        <v>0</v>
      </c>
      <c r="S66" s="235">
        <f t="shared" si="14"/>
        <v>0</v>
      </c>
      <c r="T66" s="235">
        <f t="shared" si="14"/>
        <v>0</v>
      </c>
      <c r="U66" s="235">
        <f t="shared" si="14"/>
        <v>0</v>
      </c>
      <c r="V66" s="235">
        <f t="shared" si="14"/>
        <v>0</v>
      </c>
    </row>
    <row r="67" spans="1:22" s="308" customFormat="1" x14ac:dyDescent="0.25">
      <c r="A67" s="358" t="s">
        <v>138</v>
      </c>
      <c r="B67" s="313"/>
      <c r="C67" s="313">
        <v>0</v>
      </c>
      <c r="D67" s="313">
        <v>0</v>
      </c>
      <c r="E67" s="235">
        <f>$D$34*$B$18</f>
        <v>76000</v>
      </c>
      <c r="F67" s="235">
        <f>IF($B$19&gt;=F$58-1,($D$34-(E61*(E58-1)))*$B$18,0)</f>
        <v>68400</v>
      </c>
      <c r="G67" s="235">
        <f t="shared" ref="G67:V67" si="15">IF($B$19&gt;=G$58-1,($D$34-(F61*(F58-1)))*$B$18,0)</f>
        <v>60800</v>
      </c>
      <c r="H67" s="235">
        <f t="shared" si="15"/>
        <v>53200</v>
      </c>
      <c r="I67" s="235">
        <f t="shared" si="15"/>
        <v>45600</v>
      </c>
      <c r="J67" s="235">
        <f t="shared" si="15"/>
        <v>38000</v>
      </c>
      <c r="K67" s="235">
        <f t="shared" si="15"/>
        <v>30400</v>
      </c>
      <c r="L67" s="235">
        <f t="shared" si="15"/>
        <v>22800</v>
      </c>
      <c r="M67" s="235">
        <f t="shared" si="15"/>
        <v>15200</v>
      </c>
      <c r="N67" s="235">
        <f t="shared" si="15"/>
        <v>7600</v>
      </c>
      <c r="O67" s="235">
        <f t="shared" si="15"/>
        <v>0</v>
      </c>
      <c r="P67" s="235">
        <f t="shared" si="15"/>
        <v>0</v>
      </c>
      <c r="Q67" s="235">
        <f t="shared" si="15"/>
        <v>0</v>
      </c>
      <c r="R67" s="235">
        <f t="shared" si="15"/>
        <v>0</v>
      </c>
      <c r="S67" s="235">
        <f t="shared" si="15"/>
        <v>0</v>
      </c>
      <c r="T67" s="235">
        <f t="shared" si="15"/>
        <v>0</v>
      </c>
      <c r="U67" s="235">
        <f t="shared" si="15"/>
        <v>0</v>
      </c>
      <c r="V67" s="235">
        <f t="shared" si="15"/>
        <v>0</v>
      </c>
    </row>
    <row r="68" spans="1:22" s="308" customFormat="1" x14ac:dyDescent="0.25">
      <c r="A68" s="358" t="s">
        <v>141</v>
      </c>
      <c r="B68" s="313"/>
      <c r="C68" s="364">
        <v>0</v>
      </c>
      <c r="D68" s="364">
        <v>0</v>
      </c>
      <c r="E68" s="364">
        <v>0</v>
      </c>
      <c r="F68" s="365">
        <f>$E$34*$B$18</f>
        <v>190000</v>
      </c>
      <c r="G68" s="366">
        <f>IF($B$19&gt;=G$58-2,($E$34-(F62*(F58-2)))*$B$18,0)</f>
        <v>171000</v>
      </c>
      <c r="H68" s="366">
        <f t="shared" ref="H68:V68" si="16">IF($B$19&gt;=H$58-2,($E$34-(G62*(G58-2)))*$B$18,0)</f>
        <v>152000</v>
      </c>
      <c r="I68" s="366">
        <f t="shared" si="16"/>
        <v>133000</v>
      </c>
      <c r="J68" s="366">
        <f t="shared" si="16"/>
        <v>114000</v>
      </c>
      <c r="K68" s="366">
        <f t="shared" si="16"/>
        <v>95000</v>
      </c>
      <c r="L68" s="366">
        <f t="shared" si="16"/>
        <v>76000</v>
      </c>
      <c r="M68" s="366">
        <f t="shared" si="16"/>
        <v>57000</v>
      </c>
      <c r="N68" s="366">
        <f t="shared" si="16"/>
        <v>38000</v>
      </c>
      <c r="O68" s="366">
        <f t="shared" si="16"/>
        <v>19000</v>
      </c>
      <c r="P68" s="366">
        <f t="shared" si="16"/>
        <v>0</v>
      </c>
      <c r="Q68" s="366">
        <f t="shared" si="16"/>
        <v>0</v>
      </c>
      <c r="R68" s="366">
        <f t="shared" si="16"/>
        <v>0</v>
      </c>
      <c r="S68" s="366">
        <f t="shared" si="16"/>
        <v>0</v>
      </c>
      <c r="T68" s="366">
        <f t="shared" si="16"/>
        <v>0</v>
      </c>
      <c r="U68" s="366">
        <f t="shared" si="16"/>
        <v>0</v>
      </c>
      <c r="V68" s="366">
        <f t="shared" si="16"/>
        <v>0</v>
      </c>
    </row>
    <row r="69" spans="1:22" s="308" customFormat="1" x14ac:dyDescent="0.25">
      <c r="A69" s="363" t="s">
        <v>143</v>
      </c>
      <c r="B69" s="313"/>
      <c r="C69" s="313">
        <f>SUM(C66:C68)</f>
        <v>0</v>
      </c>
      <c r="D69" s="313">
        <f t="shared" ref="D69:V69" si="17">SUM(D66:D68)</f>
        <v>38000</v>
      </c>
      <c r="E69" s="313">
        <f t="shared" si="17"/>
        <v>110200</v>
      </c>
      <c r="F69" s="313">
        <f t="shared" si="17"/>
        <v>288800</v>
      </c>
      <c r="G69" s="313">
        <f t="shared" si="17"/>
        <v>258400</v>
      </c>
      <c r="H69" s="313">
        <f t="shared" si="17"/>
        <v>228000</v>
      </c>
      <c r="I69" s="313">
        <f t="shared" si="17"/>
        <v>197600</v>
      </c>
      <c r="J69" s="313">
        <f t="shared" si="17"/>
        <v>167200</v>
      </c>
      <c r="K69" s="313">
        <f t="shared" si="17"/>
        <v>136800</v>
      </c>
      <c r="L69" s="313">
        <f t="shared" si="17"/>
        <v>106400</v>
      </c>
      <c r="M69" s="313">
        <f t="shared" si="17"/>
        <v>76000</v>
      </c>
      <c r="N69" s="313">
        <f t="shared" si="17"/>
        <v>45600</v>
      </c>
      <c r="O69" s="313">
        <f t="shared" si="17"/>
        <v>19000</v>
      </c>
      <c r="P69" s="313">
        <f t="shared" si="17"/>
        <v>0</v>
      </c>
      <c r="Q69" s="313">
        <f t="shared" si="17"/>
        <v>0</v>
      </c>
      <c r="R69" s="313">
        <f t="shared" si="17"/>
        <v>0</v>
      </c>
      <c r="S69" s="313">
        <f t="shared" si="17"/>
        <v>0</v>
      </c>
      <c r="T69" s="313">
        <f t="shared" si="17"/>
        <v>0</v>
      </c>
      <c r="U69" s="313">
        <f t="shared" si="17"/>
        <v>0</v>
      </c>
      <c r="V69" s="313">
        <f t="shared" si="17"/>
        <v>0</v>
      </c>
    </row>
    <row r="70" spans="1:22" s="308" customFormat="1" x14ac:dyDescent="0.25">
      <c r="A70" s="358"/>
      <c r="B70" s="313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</row>
    <row r="71" spans="1:22" s="317" customFormat="1" ht="20.100000000000001" customHeight="1" x14ac:dyDescent="0.25">
      <c r="A71" s="367" t="s">
        <v>144</v>
      </c>
    </row>
    <row r="72" spans="1:22" s="317" customFormat="1" ht="20.100000000000001" customHeight="1" x14ac:dyDescent="0.25">
      <c r="A72" s="318"/>
    </row>
  </sheetData>
  <sheetProtection password="C597" sheet="1" objects="1" scenarios="1"/>
  <mergeCells count="16">
    <mergeCell ref="A57:B57"/>
    <mergeCell ref="F33:G33"/>
    <mergeCell ref="A39:B39"/>
    <mergeCell ref="F5:H5"/>
    <mergeCell ref="A13:B13"/>
    <mergeCell ref="A11:B11"/>
    <mergeCell ref="A34:B34"/>
    <mergeCell ref="A35:B35"/>
    <mergeCell ref="A33:B33"/>
    <mergeCell ref="C20:D20"/>
    <mergeCell ref="A5:B6"/>
    <mergeCell ref="A25:B25"/>
    <mergeCell ref="F24:G24"/>
    <mergeCell ref="A7:B7"/>
    <mergeCell ref="A24:B24"/>
    <mergeCell ref="C21:E21"/>
  </mergeCells>
  <pageMargins left="0.7" right="0.7" top="0.75" bottom="0.75" header="0.3" footer="0.3"/>
  <pageSetup orientation="portrait" r:id="rId1"/>
  <ignoredErrors>
    <ignoredError sqref="D43:E4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7"/>
  <sheetViews>
    <sheetView workbookViewId="0">
      <pane xSplit="1" ySplit="9" topLeftCell="B10" activePane="bottomRight" state="frozenSplit"/>
      <selection pane="topRight" activeCell="B1" sqref="B1"/>
      <selection pane="bottomLeft"/>
      <selection pane="bottomRight" activeCell="N15" sqref="N15"/>
    </sheetView>
  </sheetViews>
  <sheetFormatPr defaultRowHeight="15" x14ac:dyDescent="0.25"/>
  <cols>
    <col min="1" max="1" width="51" bestFit="1" customWidth="1"/>
    <col min="2" max="2" width="12.7109375" customWidth="1"/>
    <col min="3" max="3" width="14.85546875" style="230" customWidth="1"/>
    <col min="4" max="4" width="13.28515625" style="231" customWidth="1"/>
    <col min="5" max="5" width="12.7109375" style="232" customWidth="1"/>
    <col min="6" max="6" width="14.85546875" style="230" customWidth="1"/>
    <col min="7" max="7" width="13.28515625" style="231" customWidth="1"/>
    <col min="8" max="8" width="12.7109375" style="232" bestFit="1" customWidth="1"/>
    <col min="9" max="9" width="14.85546875" style="230" bestFit="1" customWidth="1"/>
    <col min="10" max="10" width="13.28515625" style="231" bestFit="1" customWidth="1"/>
    <col min="11" max="11" width="12.7109375" style="232" bestFit="1" customWidth="1"/>
    <col min="12" max="12" width="14.85546875" style="230" bestFit="1" customWidth="1"/>
    <col min="13" max="13" width="13.28515625" style="230" bestFit="1" customWidth="1"/>
    <col min="14" max="14" width="53.140625" customWidth="1"/>
    <col min="15" max="15" width="35.28515625" bestFit="1" customWidth="1"/>
    <col min="16" max="16" width="7" bestFit="1" customWidth="1"/>
    <col min="17" max="17" width="10.7109375" bestFit="1" customWidth="1"/>
  </cols>
  <sheetData>
    <row r="1" spans="1:14" x14ac:dyDescent="0.25">
      <c r="A1" s="1" t="s">
        <v>0</v>
      </c>
      <c r="B1" s="2"/>
      <c r="C1" s="3" t="s">
        <v>1</v>
      </c>
      <c r="D1" s="4"/>
      <c r="E1" s="5"/>
      <c r="F1" s="6" t="s">
        <v>2</v>
      </c>
      <c r="G1" s="7"/>
      <c r="H1" s="8"/>
      <c r="I1" s="9" t="s">
        <v>3</v>
      </c>
      <c r="J1" s="10"/>
      <c r="K1" s="11"/>
      <c r="L1" s="12" t="s">
        <v>4</v>
      </c>
      <c r="M1" s="12"/>
      <c r="N1" s="13"/>
    </row>
    <row r="2" spans="1:14" x14ac:dyDescent="0.25">
      <c r="A2" t="s">
        <v>5</v>
      </c>
      <c r="B2" s="14"/>
      <c r="C2" s="15">
        <f>Inputs!$B$10</f>
        <v>0.15</v>
      </c>
      <c r="D2" s="16"/>
      <c r="E2" s="17"/>
      <c r="F2" s="18">
        <f>Inputs!$B$11</f>
        <v>0.17</v>
      </c>
      <c r="G2" s="19"/>
      <c r="H2" s="20"/>
      <c r="I2" s="21">
        <f>Inputs!$B$12</f>
        <v>0.22</v>
      </c>
      <c r="J2" s="22"/>
      <c r="K2" s="23"/>
      <c r="L2" s="24">
        <f>Inputs!$B$13</f>
        <v>0.31</v>
      </c>
      <c r="M2" s="24"/>
    </row>
    <row r="3" spans="1:14" x14ac:dyDescent="0.25">
      <c r="A3" s="25" t="s">
        <v>6</v>
      </c>
      <c r="B3" s="26"/>
      <c r="C3" s="27">
        <v>0.02</v>
      </c>
      <c r="D3" s="28"/>
      <c r="E3" s="29"/>
      <c r="F3" s="30">
        <v>0.02</v>
      </c>
      <c r="G3" s="31"/>
      <c r="H3" s="32"/>
      <c r="I3" s="33">
        <v>0.03</v>
      </c>
      <c r="J3" s="34"/>
      <c r="K3" s="35"/>
      <c r="L3" s="36">
        <v>0.06</v>
      </c>
      <c r="M3" s="36"/>
      <c r="N3" s="37"/>
    </row>
    <row r="4" spans="1:14" x14ac:dyDescent="0.25">
      <c r="A4" t="s">
        <v>7</v>
      </c>
      <c r="B4" s="14"/>
      <c r="C4" s="38">
        <f>Inputs!$B$5</f>
        <v>205000</v>
      </c>
      <c r="D4" s="39"/>
      <c r="E4" s="40"/>
      <c r="F4" s="41">
        <f>C4</f>
        <v>205000</v>
      </c>
      <c r="G4" s="42"/>
      <c r="H4" s="43"/>
      <c r="I4" s="44">
        <f>C4</f>
        <v>205000</v>
      </c>
      <c r="J4" s="45"/>
      <c r="K4" s="46"/>
      <c r="L4" s="47">
        <f>C4</f>
        <v>205000</v>
      </c>
      <c r="M4" s="47"/>
      <c r="N4" s="48"/>
    </row>
    <row r="5" spans="1:14" x14ac:dyDescent="0.25">
      <c r="A5" t="s">
        <v>8</v>
      </c>
      <c r="B5" s="14"/>
      <c r="C5" s="38">
        <f>Inputs!$B$6</f>
        <v>62690</v>
      </c>
      <c r="D5" s="39"/>
      <c r="E5" s="40"/>
      <c r="F5" s="41">
        <f>C5</f>
        <v>62690</v>
      </c>
      <c r="G5" s="42"/>
      <c r="H5" s="43"/>
      <c r="I5" s="44">
        <f>F5</f>
        <v>62690</v>
      </c>
      <c r="J5" s="45"/>
      <c r="K5" s="46"/>
      <c r="L5" s="47">
        <f>I5</f>
        <v>62690</v>
      </c>
      <c r="M5" s="47"/>
      <c r="N5" s="48"/>
    </row>
    <row r="6" spans="1:14" x14ac:dyDescent="0.25">
      <c r="A6" t="s">
        <v>9</v>
      </c>
      <c r="B6" s="14"/>
      <c r="C6" s="49">
        <f>C5*C2</f>
        <v>9403.5</v>
      </c>
      <c r="D6" s="50"/>
      <c r="E6" s="51"/>
      <c r="F6" s="52">
        <f t="shared" ref="F6:L6" si="0">F5*F2</f>
        <v>10657.300000000001</v>
      </c>
      <c r="G6" s="53"/>
      <c r="H6" s="54"/>
      <c r="I6" s="55">
        <f t="shared" si="0"/>
        <v>13791.8</v>
      </c>
      <c r="J6" s="56"/>
      <c r="K6" s="57"/>
      <c r="L6" s="58">
        <f t="shared" si="0"/>
        <v>19433.900000000001</v>
      </c>
      <c r="M6" s="58"/>
      <c r="N6" s="48"/>
    </row>
    <row r="7" spans="1:14" x14ac:dyDescent="0.25">
      <c r="C7" s="59"/>
      <c r="D7" s="60"/>
      <c r="E7" s="61"/>
      <c r="F7" s="59"/>
      <c r="G7" s="60"/>
      <c r="H7" s="61"/>
      <c r="I7" s="59"/>
      <c r="J7" s="60"/>
      <c r="K7" s="61"/>
      <c r="L7" s="59"/>
      <c r="M7" s="59"/>
      <c r="N7" s="48"/>
    </row>
    <row r="8" spans="1:14" x14ac:dyDescent="0.25">
      <c r="B8" s="613" t="s">
        <v>10</v>
      </c>
      <c r="C8" s="613"/>
      <c r="D8" s="613"/>
      <c r="E8" s="614" t="s">
        <v>10</v>
      </c>
      <c r="F8" s="614"/>
      <c r="G8" s="614"/>
      <c r="H8" s="615" t="s">
        <v>10</v>
      </c>
      <c r="I8" s="615"/>
      <c r="J8" s="615"/>
      <c r="K8" s="616" t="s">
        <v>10</v>
      </c>
      <c r="L8" s="616"/>
      <c r="M8" s="616"/>
      <c r="N8" s="48"/>
    </row>
    <row r="9" spans="1:14" x14ac:dyDescent="0.25">
      <c r="A9" s="1" t="s">
        <v>178</v>
      </c>
      <c r="B9" s="62" t="s">
        <v>11</v>
      </c>
      <c r="C9" s="63" t="s">
        <v>12</v>
      </c>
      <c r="D9" s="64" t="s">
        <v>13</v>
      </c>
      <c r="E9" s="65" t="s">
        <v>11</v>
      </c>
      <c r="F9" s="66" t="s">
        <v>12</v>
      </c>
      <c r="G9" s="67" t="s">
        <v>13</v>
      </c>
      <c r="H9" s="68" t="s">
        <v>11</v>
      </c>
      <c r="I9" s="69" t="s">
        <v>12</v>
      </c>
      <c r="J9" s="70" t="s">
        <v>13</v>
      </c>
      <c r="K9" s="71" t="s">
        <v>11</v>
      </c>
      <c r="L9" s="72" t="s">
        <v>12</v>
      </c>
      <c r="M9" s="73" t="s">
        <v>13</v>
      </c>
      <c r="N9" s="48"/>
    </row>
    <row r="10" spans="1:14" x14ac:dyDescent="0.25">
      <c r="A10" t="s">
        <v>14</v>
      </c>
      <c r="B10" s="74">
        <f>C10-270</f>
        <v>1270</v>
      </c>
      <c r="C10" s="75">
        <f>Inputs!$E$5</f>
        <v>1540</v>
      </c>
      <c r="D10" s="76">
        <f>C10+180</f>
        <v>1720</v>
      </c>
      <c r="E10" s="77">
        <f>F10-270</f>
        <v>1270</v>
      </c>
      <c r="F10" s="78">
        <f>C10</f>
        <v>1540</v>
      </c>
      <c r="G10" s="79">
        <f>F10+180</f>
        <v>1720</v>
      </c>
      <c r="H10" s="80">
        <f>I10-270</f>
        <v>1270</v>
      </c>
      <c r="I10" s="81">
        <f>F10</f>
        <v>1540</v>
      </c>
      <c r="J10" s="82">
        <f>I10+180</f>
        <v>1720</v>
      </c>
      <c r="K10" s="83">
        <f>L10-270</f>
        <v>1270</v>
      </c>
      <c r="L10" s="84">
        <f>I10</f>
        <v>1540</v>
      </c>
      <c r="M10" s="85">
        <f>L10+180</f>
        <v>1720</v>
      </c>
    </row>
    <row r="11" spans="1:14" x14ac:dyDescent="0.25">
      <c r="A11" t="s">
        <v>15</v>
      </c>
      <c r="B11" s="86">
        <v>710</v>
      </c>
      <c r="C11" s="87">
        <f>Inputs!$E$6</f>
        <v>710</v>
      </c>
      <c r="D11" s="76">
        <v>710</v>
      </c>
      <c r="E11" s="77">
        <v>710</v>
      </c>
      <c r="F11" s="78">
        <f>C11</f>
        <v>710</v>
      </c>
      <c r="G11" s="79">
        <v>710</v>
      </c>
      <c r="H11" s="80">
        <v>710</v>
      </c>
      <c r="I11" s="81">
        <f>F11</f>
        <v>710</v>
      </c>
      <c r="J11" s="82">
        <v>710</v>
      </c>
      <c r="K11" s="83">
        <v>710</v>
      </c>
      <c r="L11" s="84">
        <f>I11</f>
        <v>710</v>
      </c>
      <c r="M11" s="88">
        <v>710</v>
      </c>
    </row>
    <row r="12" spans="1:14" x14ac:dyDescent="0.25">
      <c r="A12" s="89" t="s">
        <v>16</v>
      </c>
      <c r="B12" s="86">
        <f>C12-110</f>
        <v>1520</v>
      </c>
      <c r="C12" s="87">
        <f>Inputs!$E$7</f>
        <v>1630</v>
      </c>
      <c r="D12" s="76">
        <f>C12+400</f>
        <v>2030</v>
      </c>
      <c r="E12" s="77">
        <f>F12-110</f>
        <v>1520</v>
      </c>
      <c r="F12" s="78">
        <f>C12</f>
        <v>1630</v>
      </c>
      <c r="G12" s="79">
        <f>F12+400</f>
        <v>2030</v>
      </c>
      <c r="H12" s="80">
        <f>I12-110</f>
        <v>1520</v>
      </c>
      <c r="I12" s="81">
        <f>F12</f>
        <v>1630</v>
      </c>
      <c r="J12" s="82">
        <f>I12+400</f>
        <v>2030</v>
      </c>
      <c r="K12" s="83">
        <f>L12-110</f>
        <v>1520</v>
      </c>
      <c r="L12" s="84">
        <f>I12</f>
        <v>1630</v>
      </c>
      <c r="M12" s="88">
        <f>L12+400</f>
        <v>2030</v>
      </c>
    </row>
    <row r="13" spans="1:14" s="89" customFormat="1" x14ac:dyDescent="0.25">
      <c r="B13" s="90"/>
      <c r="C13" s="91"/>
      <c r="D13" s="92"/>
      <c r="E13" s="93"/>
      <c r="F13" s="94"/>
      <c r="G13" s="95"/>
      <c r="H13" s="96"/>
      <c r="I13" s="97"/>
      <c r="J13" s="98"/>
      <c r="K13" s="99"/>
      <c r="L13" s="100"/>
      <c r="M13" s="101"/>
    </row>
    <row r="14" spans="1:14" s="89" customFormat="1" x14ac:dyDescent="0.25">
      <c r="A14" s="102" t="s">
        <v>17</v>
      </c>
      <c r="B14" s="103">
        <f>Inputs!$E$10</f>
        <v>5265</v>
      </c>
      <c r="C14" s="91">
        <f t="shared" ref="C14:M14" si="1">B14</f>
        <v>5265</v>
      </c>
      <c r="D14" s="92">
        <f t="shared" si="1"/>
        <v>5265</v>
      </c>
      <c r="E14" s="93">
        <f t="shared" si="1"/>
        <v>5265</v>
      </c>
      <c r="F14" s="94">
        <f t="shared" si="1"/>
        <v>5265</v>
      </c>
      <c r="G14" s="95">
        <f t="shared" si="1"/>
        <v>5265</v>
      </c>
      <c r="H14" s="96">
        <f t="shared" si="1"/>
        <v>5265</v>
      </c>
      <c r="I14" s="97">
        <f t="shared" si="1"/>
        <v>5265</v>
      </c>
      <c r="J14" s="98">
        <f t="shared" si="1"/>
        <v>5265</v>
      </c>
      <c r="K14" s="99">
        <f t="shared" si="1"/>
        <v>5265</v>
      </c>
      <c r="L14" s="100">
        <f t="shared" si="1"/>
        <v>5265</v>
      </c>
      <c r="M14" s="101">
        <f t="shared" si="1"/>
        <v>5265</v>
      </c>
    </row>
    <row r="15" spans="1:14" s="89" customFormat="1" x14ac:dyDescent="0.25">
      <c r="A15" s="89" t="s">
        <v>18</v>
      </c>
      <c r="B15" s="103">
        <v>65</v>
      </c>
      <c r="C15" s="91">
        <v>65</v>
      </c>
      <c r="D15" s="92">
        <v>65</v>
      </c>
      <c r="E15" s="93">
        <v>65</v>
      </c>
      <c r="F15" s="94">
        <v>65</v>
      </c>
      <c r="G15" s="95">
        <v>65</v>
      </c>
      <c r="H15" s="96">
        <v>65</v>
      </c>
      <c r="I15" s="97">
        <v>65</v>
      </c>
      <c r="J15" s="98">
        <v>65</v>
      </c>
      <c r="K15" s="99">
        <v>65</v>
      </c>
      <c r="L15" s="100">
        <v>65</v>
      </c>
      <c r="M15" s="101">
        <v>65</v>
      </c>
    </row>
    <row r="16" spans="1:14" s="89" customFormat="1" x14ac:dyDescent="0.25">
      <c r="A16" s="48"/>
      <c r="B16" s="104"/>
      <c r="C16" s="105"/>
      <c r="D16" s="92"/>
      <c r="E16" s="93"/>
      <c r="F16" s="106"/>
      <c r="G16" s="95"/>
      <c r="H16" s="96"/>
      <c r="I16" s="107"/>
      <c r="J16" s="98"/>
      <c r="K16" s="99"/>
      <c r="L16" s="108"/>
      <c r="M16" s="109"/>
    </row>
    <row r="17" spans="1:16" s="89" customFormat="1" x14ac:dyDescent="0.25">
      <c r="A17" s="110" t="s">
        <v>19</v>
      </c>
      <c r="B17" s="104"/>
      <c r="C17" s="105"/>
      <c r="D17" s="92"/>
      <c r="E17" s="93"/>
      <c r="F17" s="106"/>
      <c r="G17" s="95"/>
      <c r="H17" s="96"/>
      <c r="I17" s="107"/>
      <c r="J17" s="98"/>
      <c r="K17" s="99"/>
      <c r="L17" s="108"/>
      <c r="M17" s="109"/>
    </row>
    <row r="18" spans="1:16" s="89" customFormat="1" x14ac:dyDescent="0.25">
      <c r="A18" s="48" t="s">
        <v>20</v>
      </c>
      <c r="B18" s="111">
        <f>IF($B$14&lt;&gt;0,B10/$B$14,0)</f>
        <v>0.24121557454890788</v>
      </c>
      <c r="C18" s="112">
        <f t="shared" ref="C18:M18" si="2">IF($B$14&lt;&gt;0,C10/$B$14,0)</f>
        <v>0.29249762583095917</v>
      </c>
      <c r="D18" s="113">
        <f t="shared" si="2"/>
        <v>0.32668566001899335</v>
      </c>
      <c r="E18" s="538">
        <f t="shared" si="2"/>
        <v>0.24121557454890788</v>
      </c>
      <c r="F18" s="114">
        <f t="shared" si="2"/>
        <v>0.29249762583095917</v>
      </c>
      <c r="G18" s="115">
        <f t="shared" si="2"/>
        <v>0.32668566001899335</v>
      </c>
      <c r="H18" s="539">
        <f t="shared" si="2"/>
        <v>0.24121557454890788</v>
      </c>
      <c r="I18" s="116">
        <f t="shared" si="2"/>
        <v>0.29249762583095917</v>
      </c>
      <c r="J18" s="117">
        <f t="shared" si="2"/>
        <v>0.32668566001899335</v>
      </c>
      <c r="K18" s="540">
        <f t="shared" si="2"/>
        <v>0.24121557454890788</v>
      </c>
      <c r="L18" s="118">
        <f t="shared" si="2"/>
        <v>0.29249762583095917</v>
      </c>
      <c r="M18" s="119">
        <f t="shared" si="2"/>
        <v>0.32668566001899335</v>
      </c>
    </row>
    <row r="19" spans="1:16" s="89" customFormat="1" x14ac:dyDescent="0.25">
      <c r="A19" s="48" t="s">
        <v>21</v>
      </c>
      <c r="B19" s="111">
        <f t="shared" ref="B19:M20" si="3">IF($B$14&lt;&gt;0,B11/$B$14,0)</f>
        <v>0.13485280151946819</v>
      </c>
      <c r="C19" s="112">
        <f t="shared" si="3"/>
        <v>0.13485280151946819</v>
      </c>
      <c r="D19" s="113">
        <f t="shared" si="3"/>
        <v>0.13485280151946819</v>
      </c>
      <c r="E19" s="538">
        <f t="shared" si="3"/>
        <v>0.13485280151946819</v>
      </c>
      <c r="F19" s="114">
        <f t="shared" si="3"/>
        <v>0.13485280151946819</v>
      </c>
      <c r="G19" s="115">
        <f t="shared" si="3"/>
        <v>0.13485280151946819</v>
      </c>
      <c r="H19" s="539">
        <f t="shared" si="3"/>
        <v>0.13485280151946819</v>
      </c>
      <c r="I19" s="116">
        <f t="shared" si="3"/>
        <v>0.13485280151946819</v>
      </c>
      <c r="J19" s="117">
        <f t="shared" si="3"/>
        <v>0.13485280151946819</v>
      </c>
      <c r="K19" s="540">
        <f t="shared" si="3"/>
        <v>0.13485280151946819</v>
      </c>
      <c r="L19" s="118">
        <f t="shared" si="3"/>
        <v>0.13485280151946819</v>
      </c>
      <c r="M19" s="119">
        <f t="shared" si="3"/>
        <v>0.13485280151946819</v>
      </c>
    </row>
    <row r="20" spans="1:16" s="89" customFormat="1" x14ac:dyDescent="0.25">
      <c r="A20" s="48" t="s">
        <v>22</v>
      </c>
      <c r="B20" s="111">
        <f t="shared" si="3"/>
        <v>0.28869895536562201</v>
      </c>
      <c r="C20" s="112">
        <f t="shared" si="3"/>
        <v>0.30959164292497626</v>
      </c>
      <c r="D20" s="113">
        <f t="shared" si="3"/>
        <v>0.38556505223171889</v>
      </c>
      <c r="E20" s="538">
        <f t="shared" si="3"/>
        <v>0.28869895536562201</v>
      </c>
      <c r="F20" s="114">
        <f t="shared" si="3"/>
        <v>0.30959164292497626</v>
      </c>
      <c r="G20" s="115">
        <f t="shared" si="3"/>
        <v>0.38556505223171889</v>
      </c>
      <c r="H20" s="539">
        <f t="shared" si="3"/>
        <v>0.28869895536562201</v>
      </c>
      <c r="I20" s="116">
        <f t="shared" si="3"/>
        <v>0.30959164292497626</v>
      </c>
      <c r="J20" s="117">
        <f t="shared" si="3"/>
        <v>0.38556505223171889</v>
      </c>
      <c r="K20" s="540">
        <f t="shared" si="3"/>
        <v>0.28869895536562201</v>
      </c>
      <c r="L20" s="118">
        <f t="shared" si="3"/>
        <v>0.30959164292497626</v>
      </c>
      <c r="M20" s="119">
        <f t="shared" si="3"/>
        <v>0.38556505223171889</v>
      </c>
    </row>
    <row r="21" spans="1:16" s="89" customFormat="1" ht="13.5" customHeight="1" x14ac:dyDescent="0.25">
      <c r="A21" s="48"/>
      <c r="B21" s="104"/>
      <c r="C21" s="105"/>
      <c r="D21" s="92"/>
      <c r="E21" s="93"/>
      <c r="F21" s="106"/>
      <c r="G21" s="95"/>
      <c r="H21" s="96"/>
      <c r="I21" s="107"/>
      <c r="J21" s="98"/>
      <c r="K21" s="99"/>
      <c r="L21" s="108"/>
      <c r="M21" s="109"/>
    </row>
    <row r="22" spans="1:16" s="89" customFormat="1" x14ac:dyDescent="0.25">
      <c r="A22" s="48" t="s">
        <v>23</v>
      </c>
      <c r="B22" s="120">
        <f>Inputs!$E$11</f>
        <v>37.700000000000003</v>
      </c>
      <c r="C22" s="105">
        <f t="shared" ref="C22:M22" si="4">B22</f>
        <v>37.700000000000003</v>
      </c>
      <c r="D22" s="92">
        <f t="shared" si="4"/>
        <v>37.700000000000003</v>
      </c>
      <c r="E22" s="93">
        <f t="shared" si="4"/>
        <v>37.700000000000003</v>
      </c>
      <c r="F22" s="106">
        <f t="shared" si="4"/>
        <v>37.700000000000003</v>
      </c>
      <c r="G22" s="95">
        <f t="shared" si="4"/>
        <v>37.700000000000003</v>
      </c>
      <c r="H22" s="96">
        <f t="shared" si="4"/>
        <v>37.700000000000003</v>
      </c>
      <c r="I22" s="107">
        <f t="shared" si="4"/>
        <v>37.700000000000003</v>
      </c>
      <c r="J22" s="98">
        <f t="shared" si="4"/>
        <v>37.700000000000003</v>
      </c>
      <c r="K22" s="99">
        <f t="shared" si="4"/>
        <v>37.700000000000003</v>
      </c>
      <c r="L22" s="108">
        <f t="shared" si="4"/>
        <v>37.700000000000003</v>
      </c>
      <c r="M22" s="109">
        <f t="shared" si="4"/>
        <v>37.700000000000003</v>
      </c>
    </row>
    <row r="23" spans="1:16" s="89" customFormat="1" x14ac:dyDescent="0.25">
      <c r="A23" s="48" t="s">
        <v>24</v>
      </c>
      <c r="B23" s="120">
        <f>B15-B22</f>
        <v>27.299999999999997</v>
      </c>
      <c r="C23" s="105">
        <f>C15-C22</f>
        <v>27.299999999999997</v>
      </c>
      <c r="D23" s="92">
        <f t="shared" ref="D23:M23" si="5">D15-D22</f>
        <v>27.299999999999997</v>
      </c>
      <c r="E23" s="93">
        <f t="shared" si="5"/>
        <v>27.299999999999997</v>
      </c>
      <c r="F23" s="106">
        <f t="shared" si="5"/>
        <v>27.299999999999997</v>
      </c>
      <c r="G23" s="95">
        <f t="shared" si="5"/>
        <v>27.299999999999997</v>
      </c>
      <c r="H23" s="96">
        <f t="shared" si="5"/>
        <v>27.299999999999997</v>
      </c>
      <c r="I23" s="107">
        <f t="shared" si="5"/>
        <v>27.299999999999997</v>
      </c>
      <c r="J23" s="98">
        <f t="shared" si="5"/>
        <v>27.299999999999997</v>
      </c>
      <c r="K23" s="99">
        <f t="shared" si="5"/>
        <v>27.299999999999997</v>
      </c>
      <c r="L23" s="108">
        <f t="shared" si="5"/>
        <v>27.299999999999997</v>
      </c>
      <c r="M23" s="109">
        <f t="shared" si="5"/>
        <v>27.299999999999997</v>
      </c>
    </row>
    <row r="24" spans="1:16" s="89" customFormat="1" x14ac:dyDescent="0.25">
      <c r="A24" s="48"/>
      <c r="B24" s="104"/>
      <c r="C24" s="105"/>
      <c r="D24" s="92"/>
      <c r="E24" s="93"/>
      <c r="F24" s="106"/>
      <c r="G24" s="95"/>
      <c r="H24" s="96"/>
      <c r="I24" s="107"/>
      <c r="J24" s="98"/>
      <c r="K24" s="99"/>
      <c r="L24" s="108"/>
      <c r="M24" s="109"/>
    </row>
    <row r="25" spans="1:16" s="89" customFormat="1" x14ac:dyDescent="0.25">
      <c r="A25" s="110" t="s">
        <v>25</v>
      </c>
      <c r="B25" s="104"/>
      <c r="C25" s="105"/>
      <c r="D25" s="92"/>
      <c r="E25" s="93"/>
      <c r="F25" s="106"/>
      <c r="G25" s="95"/>
      <c r="H25" s="96"/>
      <c r="I25" s="107"/>
      <c r="J25" s="98"/>
      <c r="K25" s="99"/>
      <c r="L25" s="108"/>
      <c r="M25" s="109"/>
    </row>
    <row r="26" spans="1:16" s="89" customFormat="1" x14ac:dyDescent="0.25">
      <c r="A26" s="48" t="s">
        <v>20</v>
      </c>
      <c r="B26" s="121">
        <f>B18*B23</f>
        <v>6.5851851851851846</v>
      </c>
      <c r="C26" s="122">
        <f>C18*C23</f>
        <v>7.9851851851851849</v>
      </c>
      <c r="D26" s="123">
        <f t="shared" ref="D26:M26" si="6">D18*D23</f>
        <v>8.9185185185185176</v>
      </c>
      <c r="E26" s="124">
        <f t="shared" si="6"/>
        <v>6.5851851851851846</v>
      </c>
      <c r="F26" s="125">
        <f t="shared" si="6"/>
        <v>7.9851851851851849</v>
      </c>
      <c r="G26" s="126">
        <f t="shared" si="6"/>
        <v>8.9185185185185176</v>
      </c>
      <c r="H26" s="127">
        <f t="shared" si="6"/>
        <v>6.5851851851851846</v>
      </c>
      <c r="I26" s="128">
        <f t="shared" si="6"/>
        <v>7.9851851851851849</v>
      </c>
      <c r="J26" s="129">
        <f t="shared" si="6"/>
        <v>8.9185185185185176</v>
      </c>
      <c r="K26" s="130">
        <f t="shared" si="6"/>
        <v>6.5851851851851846</v>
      </c>
      <c r="L26" s="131">
        <f t="shared" si="6"/>
        <v>7.9851851851851849</v>
      </c>
      <c r="M26" s="132">
        <f t="shared" si="6"/>
        <v>8.9185185185185176</v>
      </c>
    </row>
    <row r="27" spans="1:16" s="89" customFormat="1" x14ac:dyDescent="0.25">
      <c r="A27" s="48" t="s">
        <v>21</v>
      </c>
      <c r="B27" s="121">
        <f>B19*B23</f>
        <v>3.6814814814814811</v>
      </c>
      <c r="C27" s="122">
        <f>C19*C23</f>
        <v>3.6814814814814811</v>
      </c>
      <c r="D27" s="123">
        <f t="shared" ref="D27:M27" si="7">D19*D23</f>
        <v>3.6814814814814811</v>
      </c>
      <c r="E27" s="124">
        <f t="shared" si="7"/>
        <v>3.6814814814814811</v>
      </c>
      <c r="F27" s="125">
        <f t="shared" si="7"/>
        <v>3.6814814814814811</v>
      </c>
      <c r="G27" s="126">
        <f t="shared" si="7"/>
        <v>3.6814814814814811</v>
      </c>
      <c r="H27" s="127">
        <f t="shared" si="7"/>
        <v>3.6814814814814811</v>
      </c>
      <c r="I27" s="128">
        <f t="shared" si="7"/>
        <v>3.6814814814814811</v>
      </c>
      <c r="J27" s="129">
        <f t="shared" si="7"/>
        <v>3.6814814814814811</v>
      </c>
      <c r="K27" s="130">
        <f t="shared" si="7"/>
        <v>3.6814814814814811</v>
      </c>
      <c r="L27" s="131">
        <f t="shared" si="7"/>
        <v>3.6814814814814811</v>
      </c>
      <c r="M27" s="132">
        <f t="shared" si="7"/>
        <v>3.6814814814814811</v>
      </c>
      <c r="O27" s="133"/>
      <c r="P27" s="134"/>
    </row>
    <row r="28" spans="1:16" s="89" customFormat="1" x14ac:dyDescent="0.25">
      <c r="A28" s="48" t="s">
        <v>22</v>
      </c>
      <c r="B28" s="121">
        <f>B20*B23</f>
        <v>7.8814814814814804</v>
      </c>
      <c r="C28" s="122">
        <f>C20*C23</f>
        <v>8.4518518518518508</v>
      </c>
      <c r="D28" s="123">
        <f t="shared" ref="D28:M28" si="8">D20*D23</f>
        <v>10.525925925925925</v>
      </c>
      <c r="E28" s="124">
        <f t="shared" si="8"/>
        <v>7.8814814814814804</v>
      </c>
      <c r="F28" s="125">
        <f t="shared" si="8"/>
        <v>8.4518518518518508</v>
      </c>
      <c r="G28" s="126">
        <f t="shared" si="8"/>
        <v>10.525925925925925</v>
      </c>
      <c r="H28" s="127">
        <f t="shared" si="8"/>
        <v>7.8814814814814804</v>
      </c>
      <c r="I28" s="128">
        <f t="shared" si="8"/>
        <v>8.4518518518518508</v>
      </c>
      <c r="J28" s="129">
        <f t="shared" si="8"/>
        <v>10.525925925925925</v>
      </c>
      <c r="K28" s="130">
        <f t="shared" si="8"/>
        <v>7.8814814814814804</v>
      </c>
      <c r="L28" s="131">
        <f t="shared" si="8"/>
        <v>8.4518518518518508</v>
      </c>
      <c r="M28" s="132">
        <f t="shared" si="8"/>
        <v>10.525925925925925</v>
      </c>
      <c r="P28" s="134"/>
    </row>
    <row r="29" spans="1:16" s="89" customFormat="1" x14ac:dyDescent="0.25">
      <c r="A29" s="48"/>
      <c r="B29" s="104"/>
      <c r="C29" s="135"/>
      <c r="D29" s="136"/>
      <c r="E29" s="137"/>
      <c r="F29" s="138"/>
      <c r="G29" s="139"/>
      <c r="H29" s="140"/>
      <c r="I29" s="141"/>
      <c r="J29" s="142"/>
      <c r="K29" s="143"/>
      <c r="L29" s="144"/>
      <c r="M29" s="145"/>
      <c r="P29" s="134"/>
    </row>
    <row r="30" spans="1:16" s="89" customFormat="1" x14ac:dyDescent="0.25">
      <c r="A30" s="110" t="s">
        <v>26</v>
      </c>
      <c r="B30" s="146"/>
      <c r="C30" s="147"/>
      <c r="D30" s="148"/>
      <c r="E30" s="149"/>
      <c r="F30" s="150"/>
      <c r="G30" s="151"/>
      <c r="H30" s="152"/>
      <c r="I30" s="153"/>
      <c r="J30" s="154"/>
      <c r="K30" s="155"/>
      <c r="L30" s="156"/>
      <c r="M30" s="157"/>
    </row>
    <row r="31" spans="1:16" s="89" customFormat="1" x14ac:dyDescent="0.25">
      <c r="A31" s="48" t="s">
        <v>27</v>
      </c>
      <c r="B31" s="104"/>
      <c r="C31" s="105"/>
      <c r="D31" s="92"/>
      <c r="E31" s="93"/>
      <c r="F31" s="106"/>
      <c r="G31" s="95"/>
      <c r="H31" s="96"/>
      <c r="I31" s="107"/>
      <c r="J31" s="98"/>
      <c r="K31" s="99"/>
      <c r="L31" s="108"/>
      <c r="M31" s="109"/>
    </row>
    <row r="32" spans="1:16" s="89" customFormat="1" x14ac:dyDescent="0.25">
      <c r="A32" s="48" t="s">
        <v>28</v>
      </c>
      <c r="B32" s="120">
        <v>-3.2000000000000002E-3</v>
      </c>
      <c r="C32" s="105">
        <v>-3.2000000000000002E-3</v>
      </c>
      <c r="D32" s="92">
        <v>-3.2000000000000002E-3</v>
      </c>
      <c r="E32" s="93">
        <v>-3.2000000000000002E-3</v>
      </c>
      <c r="F32" s="106">
        <v>-3.2000000000000002E-3</v>
      </c>
      <c r="G32" s="95">
        <v>-3.2000000000000002E-3</v>
      </c>
      <c r="H32" s="96">
        <v>-3.2000000000000002E-3</v>
      </c>
      <c r="I32" s="107">
        <v>-3.2000000000000002E-3</v>
      </c>
      <c r="J32" s="98">
        <v>-3.2000000000000002E-3</v>
      </c>
      <c r="K32" s="99">
        <v>-3.2000000000000002E-3</v>
      </c>
      <c r="L32" s="108">
        <v>-3.2000000000000002E-3</v>
      </c>
      <c r="M32" s="109">
        <v>-3.2000000000000002E-3</v>
      </c>
    </row>
    <row r="33" spans="1:13" s="89" customFormat="1" x14ac:dyDescent="0.25">
      <c r="A33" s="48" t="s">
        <v>29</v>
      </c>
      <c r="B33" s="120">
        <v>478</v>
      </c>
      <c r="C33" s="105">
        <v>478</v>
      </c>
      <c r="D33" s="92">
        <v>478</v>
      </c>
      <c r="E33" s="93">
        <v>478</v>
      </c>
      <c r="F33" s="106">
        <v>478</v>
      </c>
      <c r="G33" s="95">
        <v>478</v>
      </c>
      <c r="H33" s="96">
        <v>478</v>
      </c>
      <c r="I33" s="107">
        <v>478</v>
      </c>
      <c r="J33" s="98">
        <v>478</v>
      </c>
      <c r="K33" s="99">
        <v>478</v>
      </c>
      <c r="L33" s="108">
        <v>478</v>
      </c>
      <c r="M33" s="109">
        <v>478</v>
      </c>
    </row>
    <row r="34" spans="1:13" s="89" customFormat="1" x14ac:dyDescent="0.25">
      <c r="A34" s="158" t="s">
        <v>30</v>
      </c>
      <c r="B34" s="159">
        <f t="shared" ref="B34:M34" si="9">B46*B32+B33</f>
        <v>398</v>
      </c>
      <c r="C34" s="160">
        <f t="shared" si="9"/>
        <v>398</v>
      </c>
      <c r="D34" s="161">
        <f t="shared" si="9"/>
        <v>398</v>
      </c>
      <c r="E34" s="162">
        <f t="shared" si="9"/>
        <v>398</v>
      </c>
      <c r="F34" s="163">
        <f t="shared" si="9"/>
        <v>398</v>
      </c>
      <c r="G34" s="164">
        <f t="shared" si="9"/>
        <v>398</v>
      </c>
      <c r="H34" s="165">
        <f t="shared" si="9"/>
        <v>398</v>
      </c>
      <c r="I34" s="166">
        <f t="shared" si="9"/>
        <v>398</v>
      </c>
      <c r="J34" s="167">
        <f t="shared" si="9"/>
        <v>398</v>
      </c>
      <c r="K34" s="168">
        <f t="shared" si="9"/>
        <v>398</v>
      </c>
      <c r="L34" s="169">
        <f t="shared" si="9"/>
        <v>398</v>
      </c>
      <c r="M34" s="170">
        <f t="shared" si="9"/>
        <v>398</v>
      </c>
    </row>
    <row r="35" spans="1:13" s="89" customFormat="1" x14ac:dyDescent="0.25">
      <c r="A35" s="48"/>
      <c r="B35" s="159"/>
      <c r="C35" s="160"/>
      <c r="D35" s="161"/>
      <c r="E35" s="162"/>
      <c r="F35" s="163"/>
      <c r="G35" s="164"/>
      <c r="H35" s="165"/>
      <c r="I35" s="166"/>
      <c r="J35" s="167"/>
      <c r="K35" s="168"/>
      <c r="L35" s="169"/>
      <c r="M35" s="170"/>
    </row>
    <row r="36" spans="1:13" s="89" customFormat="1" x14ac:dyDescent="0.25">
      <c r="A36" s="48" t="s">
        <v>31</v>
      </c>
      <c r="B36" s="104"/>
      <c r="C36" s="105"/>
      <c r="D36" s="92"/>
      <c r="E36" s="93"/>
      <c r="F36" s="106"/>
      <c r="G36" s="95"/>
      <c r="H36" s="96"/>
      <c r="I36" s="107"/>
      <c r="J36" s="98"/>
      <c r="K36" s="99"/>
      <c r="L36" s="108"/>
      <c r="M36" s="109"/>
    </row>
    <row r="37" spans="1:13" s="89" customFormat="1" x14ac:dyDescent="0.25">
      <c r="A37" s="48" t="s">
        <v>28</v>
      </c>
      <c r="B37" s="120">
        <v>4.1000000000000003E-3</v>
      </c>
      <c r="C37" s="105">
        <v>4.1000000000000003E-3</v>
      </c>
      <c r="D37" s="92">
        <v>4.1000000000000003E-3</v>
      </c>
      <c r="E37" s="93">
        <v>4.1000000000000003E-3</v>
      </c>
      <c r="F37" s="106">
        <v>4.1000000000000003E-3</v>
      </c>
      <c r="G37" s="95">
        <v>4.1000000000000003E-3</v>
      </c>
      <c r="H37" s="96">
        <v>4.1000000000000003E-3</v>
      </c>
      <c r="I37" s="107">
        <v>4.1000000000000003E-3</v>
      </c>
      <c r="J37" s="98">
        <v>4.1000000000000003E-3</v>
      </c>
      <c r="K37" s="99">
        <v>4.1000000000000003E-3</v>
      </c>
      <c r="L37" s="108">
        <v>4.1000000000000003E-3</v>
      </c>
      <c r="M37" s="109">
        <v>4.1000000000000003E-3</v>
      </c>
    </row>
    <row r="38" spans="1:13" s="89" customFormat="1" x14ac:dyDescent="0.25">
      <c r="A38" s="48" t="s">
        <v>29</v>
      </c>
      <c r="B38" s="120">
        <v>21.1</v>
      </c>
      <c r="C38" s="105">
        <v>21.1</v>
      </c>
      <c r="D38" s="92">
        <v>21.1</v>
      </c>
      <c r="E38" s="93">
        <v>21.1</v>
      </c>
      <c r="F38" s="106">
        <v>21.1</v>
      </c>
      <c r="G38" s="95">
        <v>21.1</v>
      </c>
      <c r="H38" s="96">
        <v>21.1</v>
      </c>
      <c r="I38" s="107">
        <v>21.1</v>
      </c>
      <c r="J38" s="98">
        <v>21.1</v>
      </c>
      <c r="K38" s="99">
        <v>21.1</v>
      </c>
      <c r="L38" s="108">
        <v>21.1</v>
      </c>
      <c r="M38" s="109">
        <v>21.1</v>
      </c>
    </row>
    <row r="39" spans="1:13" s="89" customFormat="1" x14ac:dyDescent="0.25">
      <c r="A39" s="158" t="s">
        <v>30</v>
      </c>
      <c r="B39" s="159">
        <f t="shared" ref="B39:M39" si="10">B46*B37+B38</f>
        <v>123.60000000000002</v>
      </c>
      <c r="C39" s="160">
        <f t="shared" si="10"/>
        <v>123.60000000000002</v>
      </c>
      <c r="D39" s="161">
        <f t="shared" si="10"/>
        <v>123.60000000000002</v>
      </c>
      <c r="E39" s="162">
        <f t="shared" si="10"/>
        <v>123.60000000000002</v>
      </c>
      <c r="F39" s="163">
        <f t="shared" si="10"/>
        <v>123.60000000000002</v>
      </c>
      <c r="G39" s="164">
        <f t="shared" si="10"/>
        <v>123.60000000000002</v>
      </c>
      <c r="H39" s="165">
        <f t="shared" si="10"/>
        <v>123.60000000000002</v>
      </c>
      <c r="I39" s="166">
        <f t="shared" si="10"/>
        <v>123.60000000000002</v>
      </c>
      <c r="J39" s="167">
        <f t="shared" si="10"/>
        <v>123.60000000000002</v>
      </c>
      <c r="K39" s="168">
        <f t="shared" si="10"/>
        <v>123.60000000000002</v>
      </c>
      <c r="L39" s="169">
        <f t="shared" si="10"/>
        <v>123.60000000000002</v>
      </c>
      <c r="M39" s="170">
        <f t="shared" si="10"/>
        <v>123.60000000000002</v>
      </c>
    </row>
    <row r="40" spans="1:13" s="89" customFormat="1" ht="15" customHeight="1" x14ac:dyDescent="0.25">
      <c r="A40" s="48"/>
      <c r="B40" s="104"/>
      <c r="C40" s="105"/>
      <c r="D40" s="92"/>
      <c r="E40" s="93"/>
      <c r="F40" s="106"/>
      <c r="G40" s="95"/>
      <c r="H40" s="96"/>
      <c r="I40" s="107"/>
      <c r="J40" s="98"/>
      <c r="K40" s="99"/>
      <c r="L40" s="108"/>
      <c r="M40" s="109"/>
    </row>
    <row r="41" spans="1:13" s="89" customFormat="1" x14ac:dyDescent="0.25">
      <c r="A41" s="48" t="s">
        <v>32</v>
      </c>
      <c r="B41" s="104"/>
      <c r="C41" s="105"/>
      <c r="D41" s="92"/>
      <c r="E41" s="93"/>
      <c r="F41" s="106"/>
      <c r="G41" s="95"/>
      <c r="H41" s="96"/>
      <c r="I41" s="107"/>
      <c r="J41" s="98"/>
      <c r="K41" s="99"/>
      <c r="L41" s="108"/>
      <c r="M41" s="109"/>
    </row>
    <row r="42" spans="1:13" s="89" customFormat="1" x14ac:dyDescent="0.25">
      <c r="A42" s="48" t="s">
        <v>28</v>
      </c>
      <c r="B42" s="120">
        <v>2.0000000000000001E-4</v>
      </c>
      <c r="C42" s="105">
        <v>2.0000000000000001E-4</v>
      </c>
      <c r="D42" s="92">
        <v>2.0000000000000001E-4</v>
      </c>
      <c r="E42" s="93">
        <v>2.0000000000000001E-4</v>
      </c>
      <c r="F42" s="106">
        <v>2.0000000000000001E-4</v>
      </c>
      <c r="G42" s="95">
        <v>2.0000000000000001E-4</v>
      </c>
      <c r="H42" s="96">
        <v>2.0000000000000001E-4</v>
      </c>
      <c r="I42" s="107">
        <v>2.0000000000000001E-4</v>
      </c>
      <c r="J42" s="98">
        <v>2.0000000000000001E-4</v>
      </c>
      <c r="K42" s="99">
        <v>2.0000000000000001E-4</v>
      </c>
      <c r="L42" s="108">
        <v>2.0000000000000001E-4</v>
      </c>
      <c r="M42" s="109">
        <v>2.0000000000000001E-4</v>
      </c>
    </row>
    <row r="43" spans="1:13" s="89" customFormat="1" x14ac:dyDescent="0.25">
      <c r="A43" s="48" t="s">
        <v>29</v>
      </c>
      <c r="B43" s="120">
        <v>16.3</v>
      </c>
      <c r="C43" s="105">
        <v>16.3</v>
      </c>
      <c r="D43" s="92">
        <v>16.3</v>
      </c>
      <c r="E43" s="93">
        <v>16.3</v>
      </c>
      <c r="F43" s="106">
        <v>16.3</v>
      </c>
      <c r="G43" s="95">
        <v>16.3</v>
      </c>
      <c r="H43" s="96">
        <v>16.3</v>
      </c>
      <c r="I43" s="107">
        <v>16.3</v>
      </c>
      <c r="J43" s="98">
        <v>16.3</v>
      </c>
      <c r="K43" s="99">
        <v>16.3</v>
      </c>
      <c r="L43" s="108">
        <v>16.3</v>
      </c>
      <c r="M43" s="109">
        <v>16.3</v>
      </c>
    </row>
    <row r="44" spans="1:13" s="89" customFormat="1" x14ac:dyDescent="0.25">
      <c r="A44" s="158" t="s">
        <v>30</v>
      </c>
      <c r="B44" s="159">
        <f t="shared" ref="B44:M44" si="11">B46*B42+B43</f>
        <v>21.3</v>
      </c>
      <c r="C44" s="160">
        <f>C46*C42+C43</f>
        <v>21.3</v>
      </c>
      <c r="D44" s="161">
        <f t="shared" si="11"/>
        <v>21.3</v>
      </c>
      <c r="E44" s="162">
        <f t="shared" si="11"/>
        <v>21.3</v>
      </c>
      <c r="F44" s="163">
        <f t="shared" si="11"/>
        <v>21.3</v>
      </c>
      <c r="G44" s="164">
        <f t="shared" si="11"/>
        <v>21.3</v>
      </c>
      <c r="H44" s="165">
        <f t="shared" si="11"/>
        <v>21.3</v>
      </c>
      <c r="I44" s="166">
        <f t="shared" si="11"/>
        <v>21.3</v>
      </c>
      <c r="J44" s="167">
        <f t="shared" si="11"/>
        <v>21.3</v>
      </c>
      <c r="K44" s="168">
        <f t="shared" si="11"/>
        <v>21.3</v>
      </c>
      <c r="L44" s="169">
        <f t="shared" si="11"/>
        <v>21.3</v>
      </c>
      <c r="M44" s="170">
        <f t="shared" si="11"/>
        <v>21.3</v>
      </c>
    </row>
    <row r="45" spans="1:13" s="89" customFormat="1" x14ac:dyDescent="0.25">
      <c r="A45" s="48"/>
      <c r="B45" s="104"/>
      <c r="C45" s="160"/>
      <c r="D45" s="161"/>
      <c r="E45" s="162"/>
      <c r="F45" s="163"/>
      <c r="G45" s="164"/>
      <c r="H45" s="165"/>
      <c r="I45" s="166"/>
      <c r="J45" s="167"/>
      <c r="K45" s="168"/>
      <c r="L45" s="169"/>
      <c r="M45" s="170"/>
    </row>
    <row r="46" spans="1:13" s="89" customFormat="1" x14ac:dyDescent="0.25">
      <c r="A46" s="48" t="s">
        <v>33</v>
      </c>
      <c r="B46" s="171">
        <v>25000</v>
      </c>
      <c r="C46" s="172">
        <v>25000</v>
      </c>
      <c r="D46" s="173">
        <v>25000</v>
      </c>
      <c r="E46" s="174">
        <v>25000</v>
      </c>
      <c r="F46" s="175">
        <v>25000</v>
      </c>
      <c r="G46" s="176">
        <v>25000</v>
      </c>
      <c r="H46" s="177">
        <v>25000</v>
      </c>
      <c r="I46" s="178">
        <v>25000</v>
      </c>
      <c r="J46" s="179">
        <v>25000</v>
      </c>
      <c r="K46" s="180">
        <v>25000</v>
      </c>
      <c r="L46" s="181">
        <v>25000</v>
      </c>
      <c r="M46" s="182">
        <v>25000</v>
      </c>
    </row>
    <row r="47" spans="1:13" s="89" customFormat="1" ht="15" customHeight="1" x14ac:dyDescent="0.25">
      <c r="A47" s="48"/>
      <c r="B47" s="104"/>
      <c r="C47" s="105"/>
      <c r="D47" s="92"/>
      <c r="E47" s="93"/>
      <c r="F47" s="106"/>
      <c r="G47" s="95"/>
      <c r="H47" s="96"/>
      <c r="I47" s="107"/>
      <c r="J47" s="98"/>
      <c r="K47" s="99"/>
      <c r="L47" s="108"/>
      <c r="M47" s="109"/>
    </row>
    <row r="48" spans="1:13" s="89" customFormat="1" x14ac:dyDescent="0.25">
      <c r="A48" s="48" t="s">
        <v>34</v>
      </c>
      <c r="B48" s="159">
        <f t="shared" ref="B48:M48" si="12">SUM(B39,B34,B44)</f>
        <v>542.9</v>
      </c>
      <c r="C48" s="160">
        <f t="shared" si="12"/>
        <v>542.9</v>
      </c>
      <c r="D48" s="161">
        <f t="shared" si="12"/>
        <v>542.9</v>
      </c>
      <c r="E48" s="162">
        <f t="shared" si="12"/>
        <v>542.9</v>
      </c>
      <c r="F48" s="163">
        <f t="shared" si="12"/>
        <v>542.9</v>
      </c>
      <c r="G48" s="164">
        <f t="shared" si="12"/>
        <v>542.9</v>
      </c>
      <c r="H48" s="165">
        <f t="shared" si="12"/>
        <v>542.9</v>
      </c>
      <c r="I48" s="166">
        <f t="shared" si="12"/>
        <v>542.9</v>
      </c>
      <c r="J48" s="167">
        <f t="shared" si="12"/>
        <v>542.9</v>
      </c>
      <c r="K48" s="168">
        <f t="shared" si="12"/>
        <v>542.9</v>
      </c>
      <c r="L48" s="169">
        <f t="shared" si="12"/>
        <v>542.9</v>
      </c>
      <c r="M48" s="170">
        <f t="shared" si="12"/>
        <v>542.9</v>
      </c>
    </row>
    <row r="49" spans="1:14" s="89" customFormat="1" x14ac:dyDescent="0.25">
      <c r="A49" s="48" t="s">
        <v>35</v>
      </c>
      <c r="B49" s="183">
        <f t="shared" ref="B49:M49" si="13">B34/B48</f>
        <v>0.73310001841959849</v>
      </c>
      <c r="C49" s="184">
        <f t="shared" si="13"/>
        <v>0.73310001841959849</v>
      </c>
      <c r="D49" s="185">
        <f t="shared" si="13"/>
        <v>0.73310001841959849</v>
      </c>
      <c r="E49" s="186">
        <f t="shared" si="13"/>
        <v>0.73310001841959849</v>
      </c>
      <c r="F49" s="187">
        <f t="shared" si="13"/>
        <v>0.73310001841959849</v>
      </c>
      <c r="G49" s="188">
        <f t="shared" si="13"/>
        <v>0.73310001841959849</v>
      </c>
      <c r="H49" s="189">
        <f t="shared" si="13"/>
        <v>0.73310001841959849</v>
      </c>
      <c r="I49" s="190">
        <f t="shared" si="13"/>
        <v>0.73310001841959849</v>
      </c>
      <c r="J49" s="191">
        <f t="shared" si="13"/>
        <v>0.73310001841959849</v>
      </c>
      <c r="K49" s="192">
        <f t="shared" si="13"/>
        <v>0.73310001841959849</v>
      </c>
      <c r="L49" s="193">
        <f t="shared" si="13"/>
        <v>0.73310001841959849</v>
      </c>
      <c r="M49" s="194">
        <f t="shared" si="13"/>
        <v>0.73310001841959849</v>
      </c>
    </row>
    <row r="50" spans="1:14" s="89" customFormat="1" x14ac:dyDescent="0.25">
      <c r="A50" s="48" t="s">
        <v>36</v>
      </c>
      <c r="B50" s="183">
        <f t="shared" ref="B50:M50" si="14">B39/B48</f>
        <v>0.22766623687603615</v>
      </c>
      <c r="C50" s="184">
        <f t="shared" si="14"/>
        <v>0.22766623687603615</v>
      </c>
      <c r="D50" s="185">
        <f t="shared" si="14"/>
        <v>0.22766623687603615</v>
      </c>
      <c r="E50" s="186">
        <f t="shared" si="14"/>
        <v>0.22766623687603615</v>
      </c>
      <c r="F50" s="187">
        <f t="shared" si="14"/>
        <v>0.22766623687603615</v>
      </c>
      <c r="G50" s="188">
        <f t="shared" si="14"/>
        <v>0.22766623687603615</v>
      </c>
      <c r="H50" s="189">
        <f t="shared" si="14"/>
        <v>0.22766623687603615</v>
      </c>
      <c r="I50" s="190">
        <f t="shared" si="14"/>
        <v>0.22766623687603615</v>
      </c>
      <c r="J50" s="191">
        <f t="shared" si="14"/>
        <v>0.22766623687603615</v>
      </c>
      <c r="K50" s="192">
        <f t="shared" si="14"/>
        <v>0.22766623687603615</v>
      </c>
      <c r="L50" s="193">
        <f t="shared" si="14"/>
        <v>0.22766623687603615</v>
      </c>
      <c r="M50" s="194">
        <f t="shared" si="14"/>
        <v>0.22766623687603615</v>
      </c>
    </row>
    <row r="51" spans="1:14" s="89" customFormat="1" x14ac:dyDescent="0.25">
      <c r="A51" s="48" t="s">
        <v>37</v>
      </c>
      <c r="B51" s="195">
        <f t="shared" ref="B51:M51" si="15">B44/B48</f>
        <v>3.9233744704365449E-2</v>
      </c>
      <c r="C51" s="196">
        <f t="shared" si="15"/>
        <v>3.9233744704365449E-2</v>
      </c>
      <c r="D51" s="197">
        <f t="shared" si="15"/>
        <v>3.9233744704365449E-2</v>
      </c>
      <c r="E51" s="198">
        <f t="shared" si="15"/>
        <v>3.9233744704365449E-2</v>
      </c>
      <c r="F51" s="199">
        <f t="shared" si="15"/>
        <v>3.9233744704365449E-2</v>
      </c>
      <c r="G51" s="200">
        <f t="shared" si="15"/>
        <v>3.9233744704365449E-2</v>
      </c>
      <c r="H51" s="201">
        <f t="shared" si="15"/>
        <v>3.9233744704365449E-2</v>
      </c>
      <c r="I51" s="202">
        <f t="shared" si="15"/>
        <v>3.9233744704365449E-2</v>
      </c>
      <c r="J51" s="203">
        <f t="shared" si="15"/>
        <v>3.9233744704365449E-2</v>
      </c>
      <c r="K51" s="204">
        <f t="shared" si="15"/>
        <v>3.9233744704365449E-2</v>
      </c>
      <c r="L51" s="205">
        <f t="shared" si="15"/>
        <v>3.9233744704365449E-2</v>
      </c>
      <c r="M51" s="206">
        <f t="shared" si="15"/>
        <v>3.9233744704365449E-2</v>
      </c>
    </row>
    <row r="52" spans="1:14" s="89" customFormat="1" ht="15" customHeight="1" x14ac:dyDescent="0.25">
      <c r="A52" s="48"/>
      <c r="B52" s="104"/>
      <c r="C52" s="207"/>
      <c r="D52" s="208"/>
      <c r="E52" s="93"/>
      <c r="F52" s="106"/>
      <c r="G52" s="95"/>
      <c r="H52" s="96"/>
      <c r="I52" s="107"/>
      <c r="J52" s="98"/>
      <c r="K52" s="99"/>
      <c r="L52" s="108"/>
      <c r="M52" s="109"/>
    </row>
    <row r="53" spans="1:14" s="89" customFormat="1" x14ac:dyDescent="0.25">
      <c r="A53" s="110" t="s">
        <v>38</v>
      </c>
      <c r="B53" s="104"/>
      <c r="C53" s="105"/>
      <c r="D53" s="92"/>
      <c r="E53" s="93"/>
      <c r="F53" s="106"/>
      <c r="G53" s="95"/>
      <c r="H53" s="96"/>
      <c r="I53" s="107"/>
      <c r="J53" s="98"/>
      <c r="K53" s="99"/>
      <c r="L53" s="108"/>
      <c r="M53" s="109"/>
    </row>
    <row r="54" spans="1:14" s="89" customFormat="1" x14ac:dyDescent="0.25">
      <c r="A54" s="48" t="s">
        <v>20</v>
      </c>
      <c r="B54" s="209">
        <f t="shared" ref="B54:D56" si="16">$C$6*B49</f>
        <v>6893.7060232086942</v>
      </c>
      <c r="C54" s="210">
        <f t="shared" si="16"/>
        <v>6893.7060232086942</v>
      </c>
      <c r="D54" s="211">
        <f t="shared" si="16"/>
        <v>6893.7060232086942</v>
      </c>
      <c r="E54" s="212">
        <f>$F$6*E49</f>
        <v>7812.8668263031877</v>
      </c>
      <c r="F54" s="213">
        <f>$F$6*F49</f>
        <v>7812.8668263031877</v>
      </c>
      <c r="G54" s="214">
        <f>$F$6*G49</f>
        <v>7812.8668263031877</v>
      </c>
      <c r="H54" s="215">
        <f>$I$6*H49</f>
        <v>10110.768834039418</v>
      </c>
      <c r="I54" s="216">
        <f>$I$6*I49</f>
        <v>10110.768834039418</v>
      </c>
      <c r="J54" s="217">
        <f>$I$6*J49</f>
        <v>10110.768834039418</v>
      </c>
      <c r="K54" s="218">
        <f>$L$6*K49</f>
        <v>14246.992447964636</v>
      </c>
      <c r="L54" s="219">
        <f>$L$6*L49</f>
        <v>14246.992447964636</v>
      </c>
      <c r="M54" s="220">
        <f>$L$6*M49</f>
        <v>14246.992447964636</v>
      </c>
    </row>
    <row r="55" spans="1:14" s="89" customFormat="1" x14ac:dyDescent="0.25">
      <c r="A55" s="48" t="s">
        <v>39</v>
      </c>
      <c r="B55" s="209">
        <f t="shared" si="16"/>
        <v>2140.8594584638058</v>
      </c>
      <c r="C55" s="210">
        <f t="shared" si="16"/>
        <v>2140.8594584638058</v>
      </c>
      <c r="D55" s="211">
        <f t="shared" si="16"/>
        <v>2140.8594584638058</v>
      </c>
      <c r="E55" s="212">
        <f t="shared" ref="E55:G56" si="17">$F$6*E50</f>
        <v>2426.3073862589804</v>
      </c>
      <c r="F55" s="213">
        <f t="shared" si="17"/>
        <v>2426.3073862589804</v>
      </c>
      <c r="G55" s="214">
        <f t="shared" si="17"/>
        <v>2426.3073862589804</v>
      </c>
      <c r="H55" s="215">
        <f t="shared" ref="H55:J56" si="18">$I$6*H50</f>
        <v>3139.9272057469152</v>
      </c>
      <c r="I55" s="216">
        <f t="shared" si="18"/>
        <v>3139.9272057469152</v>
      </c>
      <c r="J55" s="217">
        <f t="shared" si="18"/>
        <v>3139.9272057469152</v>
      </c>
      <c r="K55" s="218">
        <f t="shared" ref="K55:M56" si="19">$L$6*K50</f>
        <v>4424.4428808251996</v>
      </c>
      <c r="L55" s="219">
        <f t="shared" si="19"/>
        <v>4424.4428808251996</v>
      </c>
      <c r="M55" s="220">
        <f t="shared" si="19"/>
        <v>4424.4428808251996</v>
      </c>
    </row>
    <row r="56" spans="1:14" s="89" customFormat="1" x14ac:dyDescent="0.25">
      <c r="A56" s="48" t="s">
        <v>22</v>
      </c>
      <c r="B56" s="209">
        <f t="shared" si="16"/>
        <v>368.93451832750048</v>
      </c>
      <c r="C56" s="210">
        <f t="shared" si="16"/>
        <v>368.93451832750048</v>
      </c>
      <c r="D56" s="211">
        <f t="shared" si="16"/>
        <v>368.93451832750048</v>
      </c>
      <c r="E56" s="212">
        <f t="shared" si="17"/>
        <v>418.12578743783394</v>
      </c>
      <c r="F56" s="213">
        <f t="shared" si="17"/>
        <v>418.12578743783394</v>
      </c>
      <c r="G56" s="214">
        <f t="shared" si="17"/>
        <v>418.12578743783394</v>
      </c>
      <c r="H56" s="215">
        <f t="shared" si="18"/>
        <v>541.10396021366739</v>
      </c>
      <c r="I56" s="216">
        <f t="shared" si="18"/>
        <v>541.10396021366739</v>
      </c>
      <c r="J56" s="217">
        <f t="shared" si="18"/>
        <v>541.10396021366739</v>
      </c>
      <c r="K56" s="218">
        <f t="shared" si="19"/>
        <v>762.46467121016781</v>
      </c>
      <c r="L56" s="219">
        <f t="shared" si="19"/>
        <v>762.46467121016781</v>
      </c>
      <c r="M56" s="220">
        <f t="shared" si="19"/>
        <v>762.46467121016781</v>
      </c>
    </row>
    <row r="57" spans="1:14" s="89" customFormat="1" ht="15" customHeight="1" x14ac:dyDescent="0.25">
      <c r="A57" s="48"/>
      <c r="B57" s="104"/>
      <c r="C57" s="105"/>
      <c r="D57" s="92"/>
      <c r="E57" s="93"/>
      <c r="F57" s="106"/>
      <c r="G57" s="95"/>
      <c r="H57" s="96"/>
      <c r="I57" s="107"/>
      <c r="J57" s="98"/>
      <c r="K57" s="99"/>
      <c r="L57" s="108"/>
      <c r="M57" s="109"/>
    </row>
    <row r="58" spans="1:14" s="89" customFormat="1" x14ac:dyDescent="0.25">
      <c r="A58" s="110" t="s">
        <v>40</v>
      </c>
      <c r="B58" s="104"/>
      <c r="C58" s="105"/>
      <c r="D58" s="92"/>
      <c r="E58" s="93"/>
      <c r="F58" s="106"/>
      <c r="G58" s="95"/>
      <c r="H58" s="96"/>
      <c r="I58" s="107"/>
      <c r="J58" s="98"/>
      <c r="K58" s="99"/>
      <c r="L58" s="108"/>
      <c r="M58" s="109"/>
    </row>
    <row r="59" spans="1:14" s="89" customFormat="1" x14ac:dyDescent="0.25">
      <c r="A59" s="48" t="s">
        <v>20</v>
      </c>
      <c r="B59" s="171">
        <f t="shared" ref="B59:M61" si="20">B54*B26</f>
        <v>45396.330775055765</v>
      </c>
      <c r="C59" s="172">
        <f t="shared" si="20"/>
        <v>55047.519207547943</v>
      </c>
      <c r="D59" s="173">
        <f t="shared" si="20"/>
        <v>61481.644829209385</v>
      </c>
      <c r="E59" s="174">
        <f t="shared" si="20"/>
        <v>51449.174878396545</v>
      </c>
      <c r="F59" s="175">
        <f t="shared" si="20"/>
        <v>62387.188435221011</v>
      </c>
      <c r="G59" s="176">
        <f t="shared" si="20"/>
        <v>69679.197473103981</v>
      </c>
      <c r="H59" s="177">
        <f t="shared" si="20"/>
        <v>66581.285136748455</v>
      </c>
      <c r="I59" s="178">
        <f t="shared" si="20"/>
        <v>80736.361504403641</v>
      </c>
      <c r="J59" s="179">
        <f t="shared" si="20"/>
        <v>90173.079082840428</v>
      </c>
      <c r="K59" s="180">
        <f t="shared" si="20"/>
        <v>93819.083601781924</v>
      </c>
      <c r="L59" s="181">
        <f t="shared" si="20"/>
        <v>113764.87302893243</v>
      </c>
      <c r="M59" s="182">
        <f t="shared" si="20"/>
        <v>127062.06598036608</v>
      </c>
    </row>
    <row r="60" spans="1:14" s="89" customFormat="1" x14ac:dyDescent="0.25">
      <c r="A60" s="48" t="s">
        <v>39</v>
      </c>
      <c r="B60" s="171">
        <f t="shared" si="20"/>
        <v>7881.5344507889731</v>
      </c>
      <c r="C60" s="172">
        <f t="shared" si="20"/>
        <v>7881.5344507889731</v>
      </c>
      <c r="D60" s="173">
        <f t="shared" si="20"/>
        <v>7881.5344507889731</v>
      </c>
      <c r="E60" s="174">
        <f t="shared" si="20"/>
        <v>8932.4057108941706</v>
      </c>
      <c r="F60" s="175">
        <f t="shared" si="20"/>
        <v>8932.4057108941706</v>
      </c>
      <c r="G60" s="176">
        <f t="shared" si="20"/>
        <v>8932.4057108941706</v>
      </c>
      <c r="H60" s="177">
        <f t="shared" si="20"/>
        <v>11559.583861157162</v>
      </c>
      <c r="I60" s="178">
        <f t="shared" si="20"/>
        <v>11559.583861157162</v>
      </c>
      <c r="J60" s="179">
        <f t="shared" si="20"/>
        <v>11559.583861157162</v>
      </c>
      <c r="K60" s="180">
        <f t="shared" si="20"/>
        <v>16288.504531630548</v>
      </c>
      <c r="L60" s="181">
        <f t="shared" si="20"/>
        <v>16288.504531630548</v>
      </c>
      <c r="M60" s="182">
        <f t="shared" si="20"/>
        <v>16288.504531630548</v>
      </c>
    </row>
    <row r="61" spans="1:14" s="89" customFormat="1" x14ac:dyDescent="0.25">
      <c r="A61" s="48" t="s">
        <v>22</v>
      </c>
      <c r="B61" s="171">
        <f>B56*B28</f>
        <v>2907.750574077485</v>
      </c>
      <c r="C61" s="172">
        <f t="shared" si="20"/>
        <v>3118.1798919383555</v>
      </c>
      <c r="D61" s="173">
        <f>D56*D28</f>
        <v>3883.3774114324306</v>
      </c>
      <c r="E61" s="174">
        <f>E56*E28</f>
        <v>3295.4506506211501</v>
      </c>
      <c r="F61" s="175">
        <f t="shared" si="20"/>
        <v>3533.9372108634702</v>
      </c>
      <c r="G61" s="176">
        <f>G56*G28</f>
        <v>4401.1610662900885</v>
      </c>
      <c r="H61" s="177">
        <f>H56*H28</f>
        <v>4264.7008419803115</v>
      </c>
      <c r="I61" s="178">
        <f t="shared" si="20"/>
        <v>4573.3305081762546</v>
      </c>
      <c r="J61" s="179">
        <f>J56*J28</f>
        <v>5695.6202034342323</v>
      </c>
      <c r="K61" s="180">
        <f>K56*K28</f>
        <v>6009.351186426803</v>
      </c>
      <c r="L61" s="181">
        <f t="shared" si="20"/>
        <v>6444.238443339269</v>
      </c>
      <c r="M61" s="182">
        <f>M56*M28</f>
        <v>8025.6466502936919</v>
      </c>
    </row>
    <row r="62" spans="1:14" s="89" customFormat="1" x14ac:dyDescent="0.25">
      <c r="A62" s="48" t="s">
        <v>41</v>
      </c>
      <c r="B62" s="74">
        <f>SUM(B59:B61)</f>
        <v>56185.615799922227</v>
      </c>
      <c r="C62" s="75">
        <f>SUM(C59:C61)</f>
        <v>66047.233550275268</v>
      </c>
      <c r="D62" s="76">
        <f>SUM(D59:D61)</f>
        <v>73246.556691430786</v>
      </c>
      <c r="E62" s="77">
        <f t="shared" ref="E62:M62" si="21">SUM(E59:E61)</f>
        <v>63677.031239911863</v>
      </c>
      <c r="F62" s="78">
        <f t="shared" si="21"/>
        <v>74853.531356978652</v>
      </c>
      <c r="G62" s="79">
        <f t="shared" si="21"/>
        <v>83012.764250288237</v>
      </c>
      <c r="H62" s="80">
        <f t="shared" si="21"/>
        <v>82405.569839885939</v>
      </c>
      <c r="I62" s="81">
        <f t="shared" si="21"/>
        <v>96869.27587373706</v>
      </c>
      <c r="J62" s="82">
        <f t="shared" si="21"/>
        <v>107428.28314743182</v>
      </c>
      <c r="K62" s="83">
        <f t="shared" si="21"/>
        <v>116116.93931983928</v>
      </c>
      <c r="L62" s="84">
        <f t="shared" si="21"/>
        <v>136497.61600390225</v>
      </c>
      <c r="M62" s="85">
        <f t="shared" si="21"/>
        <v>151376.21716229033</v>
      </c>
    </row>
    <row r="63" spans="1:14" s="89" customFormat="1" x14ac:dyDescent="0.25">
      <c r="A63" s="48"/>
      <c r="B63" s="74"/>
      <c r="C63" s="75"/>
      <c r="D63" s="76"/>
      <c r="E63" s="77"/>
      <c r="F63" s="78"/>
      <c r="G63" s="79"/>
      <c r="H63" s="80"/>
      <c r="I63" s="81"/>
      <c r="J63" s="82"/>
      <c r="K63" s="83"/>
      <c r="L63" s="84"/>
      <c r="M63" s="85"/>
    </row>
    <row r="64" spans="1:14" s="89" customFormat="1" ht="15" customHeight="1" x14ac:dyDescent="0.25">
      <c r="A64" s="110" t="s">
        <v>42</v>
      </c>
      <c r="B64" s="221"/>
      <c r="C64" s="75"/>
      <c r="D64" s="76"/>
      <c r="E64" s="77"/>
      <c r="F64" s="78"/>
      <c r="G64" s="79"/>
      <c r="H64" s="80"/>
      <c r="I64" s="81"/>
      <c r="J64" s="82"/>
      <c r="K64" s="83"/>
      <c r="L64" s="84"/>
      <c r="M64" s="85"/>
      <c r="N64"/>
    </row>
    <row r="65" spans="1:13" s="89" customFormat="1" x14ac:dyDescent="0.25">
      <c r="A65" s="48" t="s">
        <v>43</v>
      </c>
      <c r="B65" s="222">
        <f>ROUND(B62*Inputs!$E$13, -3)</f>
        <v>337000</v>
      </c>
      <c r="C65" s="223">
        <f>ROUND(C62*Inputs!$E$13, -3)</f>
        <v>396000</v>
      </c>
      <c r="D65" s="224">
        <f>ROUND(D62*Inputs!$E$13, -3)</f>
        <v>439000</v>
      </c>
      <c r="E65" s="481">
        <f>ROUND(E62*Inputs!$E$13, -3)</f>
        <v>382000</v>
      </c>
      <c r="F65" s="225">
        <f>ROUND(F62*Inputs!$E$13, -3)</f>
        <v>449000</v>
      </c>
      <c r="G65" s="226">
        <f>ROUND(G62*Inputs!$E$13, -3)</f>
        <v>498000</v>
      </c>
      <c r="H65" s="482">
        <f>ROUND(H62*Inputs!$E$13, -3)</f>
        <v>494000</v>
      </c>
      <c r="I65" s="227">
        <f>ROUND(I62*Inputs!$E$13, -3)</f>
        <v>581000</v>
      </c>
      <c r="J65" s="228">
        <f>ROUND(J62*Inputs!$E$13, -3)</f>
        <v>645000</v>
      </c>
      <c r="K65" s="480">
        <f>ROUND(K62*Inputs!$E$13, -3)</f>
        <v>697000</v>
      </c>
      <c r="L65" s="229">
        <f>ROUND(L62*Inputs!$E$13, -3)</f>
        <v>819000</v>
      </c>
      <c r="M65" s="483">
        <f>ROUND(M62*Inputs!$E$13, -3)</f>
        <v>908000</v>
      </c>
    </row>
    <row r="66" spans="1:13" s="89" customFormat="1" x14ac:dyDescent="0.25">
      <c r="A66" s="48" t="s">
        <v>44</v>
      </c>
      <c r="B66" s="222">
        <f>ROUND(B62*Inputs!$E$14, -3)</f>
        <v>787000</v>
      </c>
      <c r="C66" s="223">
        <f>ROUND(C62*Inputs!$E$14, -3)</f>
        <v>925000</v>
      </c>
      <c r="D66" s="224">
        <f>ROUND(D62*Inputs!$E$14, -3)</f>
        <v>1025000</v>
      </c>
      <c r="E66" s="481">
        <f>ROUND(E62*Inputs!$E$14, -3)</f>
        <v>891000</v>
      </c>
      <c r="F66" s="225">
        <f>ROUND(F62*Inputs!$E$14, -3)</f>
        <v>1048000</v>
      </c>
      <c r="G66" s="226">
        <f>ROUND(G62*Inputs!$E$14, -3)</f>
        <v>1162000</v>
      </c>
      <c r="H66" s="482">
        <f>ROUND(H62*Inputs!$E$14, -3)</f>
        <v>1154000</v>
      </c>
      <c r="I66" s="227">
        <f>ROUND(I62*Inputs!$E$14, -3)</f>
        <v>1356000</v>
      </c>
      <c r="J66" s="228">
        <f>ROUND(J62*Inputs!$E$14, -3)</f>
        <v>1504000</v>
      </c>
      <c r="K66" s="480">
        <f>ROUND(K62*Inputs!$E$14, -3)</f>
        <v>1626000</v>
      </c>
      <c r="L66" s="229">
        <f>ROUND(L62*Inputs!$E$14, -3)</f>
        <v>1911000</v>
      </c>
      <c r="M66" s="483">
        <f>ROUND(M62*Inputs!$E$14, -3)</f>
        <v>2119000</v>
      </c>
    </row>
    <row r="67" spans="1:13" s="89" customFormat="1" x14ac:dyDescent="0.25">
      <c r="A67" s="48" t="s">
        <v>45</v>
      </c>
      <c r="B67" s="222">
        <f>ROUND(B62*Inputs!$E$15, -3)</f>
        <v>1292000</v>
      </c>
      <c r="C67" s="223">
        <f>ROUND(C62*Inputs!$E$15, -3)</f>
        <v>1519000</v>
      </c>
      <c r="D67" s="224">
        <f>ROUND(D62*Inputs!$E$15, -3)</f>
        <v>1685000</v>
      </c>
      <c r="E67" s="481">
        <f>ROUND(E62*Inputs!$E$15, -3)</f>
        <v>1465000</v>
      </c>
      <c r="F67" s="225">
        <f>ROUND(F62*Inputs!$E$15, -3)</f>
        <v>1722000</v>
      </c>
      <c r="G67" s="226">
        <f>ROUND(G62*Inputs!$E$15, -3)</f>
        <v>1909000</v>
      </c>
      <c r="H67" s="482">
        <f>ROUND(H62*Inputs!$E$15, -3)</f>
        <v>1895000</v>
      </c>
      <c r="I67" s="227">
        <f>ROUND(I62*Inputs!$E$15, -3)</f>
        <v>2228000</v>
      </c>
      <c r="J67" s="228">
        <f>ROUND(J62*Inputs!$E$15, -3)</f>
        <v>2471000</v>
      </c>
      <c r="K67" s="480">
        <f>ROUND(K62*Inputs!$E$15, -3)</f>
        <v>2671000</v>
      </c>
      <c r="L67" s="229">
        <f>ROUND(L62*Inputs!$E$15, -3)</f>
        <v>3139000</v>
      </c>
      <c r="M67" s="483">
        <f>ROUND(M62*Inputs!$E$15, -3)</f>
        <v>3482000</v>
      </c>
    </row>
  </sheetData>
  <sheetProtection password="C597" sheet="1" objects="1" scenarios="1"/>
  <mergeCells count="4">
    <mergeCell ref="B8:D8"/>
    <mergeCell ref="E8:G8"/>
    <mergeCell ref="H8:J8"/>
    <mergeCell ref="K8:M8"/>
  </mergeCells>
  <pageMargins left="0.7" right="0.7" top="0.75" bottom="0.75" header="0.3" footer="0.3"/>
  <pageSetup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17"/>
  <sheetViews>
    <sheetView workbookViewId="0">
      <selection activeCell="B12" sqref="B12:E17"/>
    </sheetView>
  </sheetViews>
  <sheetFormatPr defaultRowHeight="15" x14ac:dyDescent="0.25"/>
  <cols>
    <col min="2" max="2" width="41.5703125" customWidth="1"/>
    <col min="3" max="3" width="12.42578125" customWidth="1"/>
    <col min="4" max="5" width="12.5703125" bestFit="1" customWidth="1"/>
  </cols>
  <sheetData>
    <row r="2" spans="2:5" ht="15.75" thickBot="1" x14ac:dyDescent="0.3"/>
    <row r="3" spans="2:5" ht="18.75" x14ac:dyDescent="0.3">
      <c r="B3" s="621" t="s">
        <v>199</v>
      </c>
      <c r="C3" s="622"/>
      <c r="D3" s="622"/>
      <c r="E3" s="623"/>
    </row>
    <row r="4" spans="2:5" x14ac:dyDescent="0.25">
      <c r="B4" s="497"/>
      <c r="C4" s="498" t="s">
        <v>180</v>
      </c>
      <c r="D4" s="498" t="s">
        <v>202</v>
      </c>
      <c r="E4" s="499" t="s">
        <v>182</v>
      </c>
    </row>
    <row r="5" spans="2:5" x14ac:dyDescent="0.25">
      <c r="B5" s="347" t="s">
        <v>179</v>
      </c>
      <c r="C5" s="500">
        <v>6</v>
      </c>
      <c r="D5" s="500">
        <v>14</v>
      </c>
      <c r="E5" s="501">
        <v>23</v>
      </c>
    </row>
    <row r="6" spans="2:5" s="445" customFormat="1" x14ac:dyDescent="0.25">
      <c r="B6" s="347" t="s">
        <v>201</v>
      </c>
      <c r="C6" s="502">
        <v>2620</v>
      </c>
      <c r="D6" s="502">
        <v>2620</v>
      </c>
      <c r="E6" s="503">
        <v>2620</v>
      </c>
    </row>
    <row r="7" spans="2:5" x14ac:dyDescent="0.25">
      <c r="B7" s="347" t="s">
        <v>102</v>
      </c>
      <c r="C7" s="504">
        <v>71780.133422439161</v>
      </c>
      <c r="D7" s="504">
        <v>167486.97798569137</v>
      </c>
      <c r="E7" s="505">
        <v>275157.17811935011</v>
      </c>
    </row>
    <row r="8" spans="2:5" s="445" customFormat="1" x14ac:dyDescent="0.25">
      <c r="B8" s="347" t="s">
        <v>205</v>
      </c>
      <c r="C8" s="506">
        <f>'On-Bill Utility Credit'!B23+'On-Bill Utility Credit'!F23</f>
        <v>143560.26684487832</v>
      </c>
      <c r="D8" s="506">
        <f>'On-Bill Utility Credit'!C23+'On-Bill Utility Credit'!G23</f>
        <v>334973.95597138273</v>
      </c>
      <c r="E8" s="507">
        <f>'On-Bill Utility Credit'!D23+'On-Bill Utility Credit'!H23</f>
        <v>550314.35623870022</v>
      </c>
    </row>
    <row r="9" spans="2:5" x14ac:dyDescent="0.25">
      <c r="B9" s="347" t="s">
        <v>203</v>
      </c>
      <c r="C9" s="506">
        <v>42.142117435173247</v>
      </c>
      <c r="D9" s="506">
        <v>98.331607348737549</v>
      </c>
      <c r="E9" s="507">
        <v>161.54478350149742</v>
      </c>
    </row>
    <row r="10" spans="2:5" ht="30.75" thickBot="1" x14ac:dyDescent="0.3">
      <c r="B10" s="508" t="s">
        <v>198</v>
      </c>
      <c r="C10" s="624">
        <v>0.73372376000000006</v>
      </c>
      <c r="D10" s="625"/>
      <c r="E10" s="626"/>
    </row>
    <row r="11" spans="2:5" ht="15.75" thickBot="1" x14ac:dyDescent="0.3"/>
    <row r="12" spans="2:5" ht="18.75" x14ac:dyDescent="0.3">
      <c r="B12" s="621" t="s">
        <v>200</v>
      </c>
      <c r="C12" s="622"/>
      <c r="D12" s="622"/>
      <c r="E12" s="623"/>
    </row>
    <row r="13" spans="2:5" x14ac:dyDescent="0.25">
      <c r="B13" s="347" t="s">
        <v>201</v>
      </c>
      <c r="C13" s="627">
        <v>764</v>
      </c>
      <c r="D13" s="627"/>
      <c r="E13" s="628"/>
    </row>
    <row r="14" spans="2:5" s="445" customFormat="1" x14ac:dyDescent="0.25">
      <c r="B14" s="347" t="s">
        <v>102</v>
      </c>
      <c r="C14" s="617">
        <f>C15/3</f>
        <v>1283520</v>
      </c>
      <c r="D14" s="617"/>
      <c r="E14" s="618"/>
    </row>
    <row r="15" spans="2:5" s="445" customFormat="1" x14ac:dyDescent="0.25">
      <c r="B15" s="347" t="s">
        <v>204</v>
      </c>
      <c r="C15" s="617">
        <v>3850560</v>
      </c>
      <c r="D15" s="617"/>
      <c r="E15" s="618"/>
    </row>
    <row r="16" spans="2:5" x14ac:dyDescent="0.25">
      <c r="B16" s="347" t="s">
        <v>133</v>
      </c>
      <c r="C16" s="617">
        <v>5040</v>
      </c>
      <c r="D16" s="617"/>
      <c r="E16" s="618"/>
    </row>
    <row r="17" spans="2:5" ht="30.75" thickBot="1" x14ac:dyDescent="0.3">
      <c r="B17" s="508" t="s">
        <v>198</v>
      </c>
      <c r="C17" s="619">
        <v>0.42784</v>
      </c>
      <c r="D17" s="619"/>
      <c r="E17" s="620"/>
    </row>
  </sheetData>
  <mergeCells count="8">
    <mergeCell ref="C15:E15"/>
    <mergeCell ref="C16:E16"/>
    <mergeCell ref="C17:E17"/>
    <mergeCell ref="B3:E3"/>
    <mergeCell ref="B12:E12"/>
    <mergeCell ref="C10:E10"/>
    <mergeCell ref="C13:E13"/>
    <mergeCell ref="C14:E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Inputs</vt:lpstr>
      <vt:lpstr>On-Bill Utility Credit</vt:lpstr>
      <vt:lpstr>Gap Program - Financial</vt:lpstr>
      <vt:lpstr>Replacement Grant Program</vt:lpstr>
      <vt:lpstr>Replacement Loan Program</vt:lpstr>
      <vt:lpstr>Calculations</vt:lpstr>
      <vt:lpstr>Graphics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Jen</cp:lastModifiedBy>
  <cp:lastPrinted>2013-09-17T18:11:13Z</cp:lastPrinted>
  <dcterms:created xsi:type="dcterms:W3CDTF">2013-03-28T18:35:48Z</dcterms:created>
  <dcterms:modified xsi:type="dcterms:W3CDTF">2013-10-24T16:52:00Z</dcterms:modified>
</cp:coreProperties>
</file>