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A-D\bwrigh02\Net MyDocuments\EPA Protocol Gases\2016 Protocol\"/>
    </mc:Choice>
  </mc:AlternateContent>
  <bookViews>
    <workbookView xWindow="120" yWindow="60" windowWidth="9720" windowHeight="6750" tabRatio="846"/>
  </bookViews>
  <sheets>
    <sheet name="Readme" sheetId="1" r:id="rId1"/>
    <sheet name="Zero Test" sheetId="2" r:id="rId2"/>
    <sheet name="Curves 1" sheetId="3" r:id="rId3"/>
    <sheet name="Residuals 1" sheetId="4" r:id="rId4"/>
    <sheet name="Curves 2" sheetId="5" r:id="rId5"/>
    <sheet name="Residuals 2" sheetId="6" r:id="rId6"/>
    <sheet name="Curves 3" sheetId="7" r:id="rId7"/>
    <sheet name="Residuals 3" sheetId="8" r:id="rId8"/>
    <sheet name="Curves 4" sheetId="9" r:id="rId9"/>
    <sheet name="Residuals 4" sheetId="10" r:id="rId10"/>
    <sheet name="Chart Data" sheetId="11" r:id="rId11"/>
  </sheets>
  <definedNames>
    <definedName name="_MatInverse_In" hidden="1">'Zero Test'!$Z$12:$AB$14</definedName>
    <definedName name="_MatInverse_Out" hidden="1">'Zero Test'!$AD$20:$AD$20</definedName>
    <definedName name="_MatMult_A" hidden="1">'Zero Test'!#REF!</definedName>
    <definedName name="_MatMult_AxB" hidden="1">'Zero Test'!#REF!</definedName>
    <definedName name="_MatMult_B" hidden="1">'Zero Test'!#REF!</definedName>
    <definedName name="aa">'Zero Test'!#REF!</definedName>
    <definedName name="bb">'Zero Test'!#REF!</definedName>
    <definedName name="conc">'Zero Test'!$D$161</definedName>
    <definedName name="df">'Zero Test'!$P$34</definedName>
    <definedName name="n">'Zero Test'!$P$56</definedName>
    <definedName name="nn">'Zero Test'!$N$194</definedName>
    <definedName name="p">'Zero Test'!$Z$56</definedName>
    <definedName name="pp">'Zero Test'!#REF!</definedName>
    <definedName name="_xlnm.Print_Area" localSheetId="1">'Zero Test'!$A$2:$J$173</definedName>
    <definedName name="qq">'Zero Test'!#REF!</definedName>
    <definedName name="reps">'Zero Test'!#REF!</definedName>
    <definedName name="rr">'Zero Test'!#REF!</definedName>
    <definedName name="t">'Zero Test'!$P$37</definedName>
    <definedName name="X">'Zero Test'!$C$12:$C$61</definedName>
    <definedName name="xcubed">'Zero Test'!$AG$12:$AG$61</definedName>
    <definedName name="xsquared">'Zero Test'!$X$12:$X$61</definedName>
    <definedName name="xx">'Zero Test'!$C$188:$C$191,'Zero Test'!$E$188:$E$191</definedName>
    <definedName name="Y">'Zero Test'!$D$12:$D$61</definedName>
    <definedName name="yy">'Zero Test'!#REF!</definedName>
    <definedName name="zeroX">'Zero Test'!$L$181:$L$192</definedName>
    <definedName name="zeroY">'Zero Test'!$N$181:$N$192</definedName>
  </definedNames>
  <calcPr calcId="152511" calcOnSave="0"/>
</workbook>
</file>

<file path=xl/calcChain.xml><?xml version="1.0" encoding="utf-8"?>
<calcChain xmlns="http://schemas.openxmlformats.org/spreadsheetml/2006/main">
  <c r="P31" i="2" l="1"/>
  <c r="N192" i="2"/>
  <c r="L192" i="2"/>
  <c r="M192" i="2" s="1"/>
  <c r="N191" i="2"/>
  <c r="L191" i="2"/>
  <c r="M191" i="2"/>
  <c r="N190" i="2"/>
  <c r="L190" i="2"/>
  <c r="M190" i="2" s="1"/>
  <c r="N189" i="2"/>
  <c r="L189" i="2"/>
  <c r="M189" i="2" s="1"/>
  <c r="L188" i="2"/>
  <c r="X237" i="2"/>
  <c r="X236" i="2"/>
  <c r="P232" i="2"/>
  <c r="P56" i="2"/>
  <c r="N181" i="2"/>
  <c r="N182" i="2"/>
  <c r="N194" i="2" s="1"/>
  <c r="AA199" i="2" s="1"/>
  <c r="N183" i="2"/>
  <c r="P199" i="2" s="1"/>
  <c r="N184" i="2"/>
  <c r="N185" i="2"/>
  <c r="N186" i="2"/>
  <c r="N187" i="2"/>
  <c r="N188" i="2"/>
  <c r="P23" i="2"/>
  <c r="Z25" i="2"/>
  <c r="P24" i="2"/>
  <c r="Z26" i="2" s="1"/>
  <c r="X200" i="2" s="1"/>
  <c r="L181" i="2"/>
  <c r="L182" i="2"/>
  <c r="M182" i="2" s="1"/>
  <c r="L183" i="2"/>
  <c r="M183" i="2" s="1"/>
  <c r="L184" i="2"/>
  <c r="L185" i="2"/>
  <c r="M185" i="2" s="1"/>
  <c r="AB185" i="2" s="1"/>
  <c r="L186" i="2"/>
  <c r="M186" i="2" s="1"/>
  <c r="L187" i="2"/>
  <c r="Q13" i="2"/>
  <c r="Q181" i="2" s="1"/>
  <c r="P12" i="2"/>
  <c r="P180" i="2"/>
  <c r="P13" i="2"/>
  <c r="Q12" i="2" s="1"/>
  <c r="P197" i="2"/>
  <c r="P163" i="2"/>
  <c r="P34" i="2"/>
  <c r="M187" i="2"/>
  <c r="M188" i="2"/>
  <c r="M184" i="2"/>
  <c r="M181" i="2"/>
  <c r="Z12" i="2"/>
  <c r="X180" i="2"/>
  <c r="X12" i="2"/>
  <c r="Z14" i="2" s="1"/>
  <c r="X13" i="2"/>
  <c r="Z27" i="2" s="1"/>
  <c r="AI27" i="2" s="1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C194" i="2"/>
  <c r="C195" i="2"/>
  <c r="D199" i="2" s="1"/>
  <c r="C193" i="2"/>
  <c r="BN161" i="2"/>
  <c r="A6" i="11"/>
  <c r="B63" i="11" s="1"/>
  <c r="A7" i="11"/>
  <c r="H9" i="11"/>
  <c r="C21" i="11"/>
  <c r="B21" i="11"/>
  <c r="C22" i="11"/>
  <c r="B22" i="11"/>
  <c r="C23" i="11"/>
  <c r="B23" i="11"/>
  <c r="C24" i="11"/>
  <c r="B24" i="11"/>
  <c r="C25" i="11"/>
  <c r="B25" i="11"/>
  <c r="C26" i="11"/>
  <c r="B26" i="11"/>
  <c r="C27" i="11"/>
  <c r="B27" i="11"/>
  <c r="C28" i="11"/>
  <c r="B28" i="11"/>
  <c r="C29" i="11"/>
  <c r="B29" i="11"/>
  <c r="C30" i="11"/>
  <c r="B30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B12" i="11"/>
  <c r="A8" i="11"/>
  <c r="C31" i="11"/>
  <c r="B31" i="11"/>
  <c r="C32" i="11"/>
  <c r="B32" i="11"/>
  <c r="C33" i="11"/>
  <c r="B33" i="11"/>
  <c r="C34" i="11"/>
  <c r="B34" i="11"/>
  <c r="C35" i="11"/>
  <c r="B35" i="11"/>
  <c r="C36" i="11"/>
  <c r="B36" i="11"/>
  <c r="C37" i="11"/>
  <c r="B37" i="11"/>
  <c r="C38" i="11"/>
  <c r="B38" i="11"/>
  <c r="C39" i="11"/>
  <c r="B39" i="11"/>
  <c r="C40" i="11"/>
  <c r="B40" i="11"/>
  <c r="C41" i="11"/>
  <c r="B41" i="11"/>
  <c r="C42" i="11"/>
  <c r="B42" i="11"/>
  <c r="C43" i="11"/>
  <c r="B43" i="11"/>
  <c r="C44" i="11"/>
  <c r="B44" i="11"/>
  <c r="C45" i="11"/>
  <c r="B45" i="11"/>
  <c r="C46" i="11"/>
  <c r="B46" i="11"/>
  <c r="C47" i="11"/>
  <c r="B47" i="11"/>
  <c r="C48" i="11"/>
  <c r="B48" i="11"/>
  <c r="C49" i="11"/>
  <c r="B49" i="11"/>
  <c r="C50" i="11"/>
  <c r="B50" i="11"/>
  <c r="C51" i="11"/>
  <c r="B51" i="11"/>
  <c r="C52" i="11"/>
  <c r="B52" i="11"/>
  <c r="C53" i="11"/>
  <c r="B53" i="11"/>
  <c r="C54" i="11"/>
  <c r="B54" i="11"/>
  <c r="C55" i="11"/>
  <c r="B55" i="11"/>
  <c r="C56" i="11"/>
  <c r="B56" i="11"/>
  <c r="C57" i="11"/>
  <c r="B57" i="11"/>
  <c r="C58" i="11"/>
  <c r="B58" i="11"/>
  <c r="C59" i="11"/>
  <c r="B59" i="11"/>
  <c r="C60" i="11"/>
  <c r="B60" i="11"/>
  <c r="C61" i="11"/>
  <c r="B61" i="11"/>
  <c r="C12" i="11"/>
  <c r="B31" i="2"/>
  <c r="BJ6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AI12" i="2"/>
  <c r="BL12" i="2" s="1"/>
  <c r="AG12" i="2"/>
  <c r="AG13" i="2"/>
  <c r="AJ15" i="2" s="1"/>
  <c r="BM15" i="2" s="1"/>
  <c r="BP12" i="2" s="1"/>
  <c r="AG14" i="2"/>
  <c r="AI28" i="2" s="1"/>
  <c r="BL29" i="2" s="1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I15" i="2"/>
  <c r="AL12" i="2" s="1"/>
  <c r="BO12" i="2" s="1"/>
  <c r="BJ162" i="2"/>
  <c r="BJ163" i="2"/>
  <c r="BJ164" i="2"/>
  <c r="BJ165" i="2"/>
  <c r="AI50" i="2"/>
  <c r="C111" i="2" s="1"/>
  <c r="BL50" i="2"/>
  <c r="C129" i="2" s="1"/>
  <c r="Z50" i="2"/>
  <c r="X163" i="2"/>
  <c r="X164" i="2"/>
  <c r="P37" i="2"/>
  <c r="C76" i="2" s="1"/>
  <c r="AI35" i="2"/>
  <c r="C107" i="2" s="1"/>
  <c r="C124" i="2"/>
  <c r="C106" i="2"/>
  <c r="C90" i="2"/>
  <c r="B61" i="2"/>
  <c r="B60" i="2"/>
  <c r="B59" i="2"/>
  <c r="B58" i="2"/>
  <c r="B57" i="2"/>
  <c r="B56" i="2"/>
  <c r="B55" i="2"/>
  <c r="B54" i="2"/>
  <c r="B53" i="2"/>
  <c r="B52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15" i="2"/>
  <c r="B16" i="2"/>
  <c r="B17" i="2" s="1"/>
  <c r="B18" i="2" s="1"/>
  <c r="B19" i="2" s="1"/>
  <c r="B20" i="2"/>
  <c r="B21" i="2" s="1"/>
  <c r="B22" i="2" s="1"/>
  <c r="B23" i="2" s="1"/>
  <c r="B24" i="2"/>
  <c r="B25" i="2" s="1"/>
  <c r="B26" i="2" s="1"/>
  <c r="B27" i="2" s="1"/>
  <c r="B28" i="2" s="1"/>
  <c r="B29" i="2" s="1"/>
  <c r="B30" i="2"/>
  <c r="X201" i="2"/>
  <c r="X203" i="2"/>
  <c r="P16" i="2"/>
  <c r="P20" i="2" s="1"/>
  <c r="Q19" i="2" s="1"/>
  <c r="H7" i="11"/>
  <c r="AB162" i="2"/>
  <c r="BN16" i="2"/>
  <c r="AL15" i="2"/>
  <c r="BO15" i="2" s="1"/>
  <c r="BP14" i="2" s="1"/>
  <c r="BO16" i="2"/>
  <c r="BP15" i="2"/>
  <c r="BP16" i="2"/>
  <c r="BL16" i="2"/>
  <c r="AA14" i="2"/>
  <c r="AJ14" i="2" s="1"/>
  <c r="BM14" i="2" s="1"/>
  <c r="AB14" i="2"/>
  <c r="C75" i="2"/>
  <c r="C85" i="2"/>
  <c r="BL35" i="2"/>
  <c r="C125" i="2" s="1"/>
  <c r="Z35" i="2"/>
  <c r="C86" i="2" s="1"/>
  <c r="H8" i="11"/>
  <c r="H6" i="11"/>
  <c r="T162" i="2"/>
  <c r="R197" i="2"/>
  <c r="P198" i="2"/>
  <c r="R183" i="2"/>
  <c r="S182" i="2" s="1"/>
  <c r="P200" i="2"/>
  <c r="AA183" i="2"/>
  <c r="AK14" i="2"/>
  <c r="BN14" i="2" s="1"/>
  <c r="Y182" i="2"/>
  <c r="AB13" i="2"/>
  <c r="Z181" i="2" s="1"/>
  <c r="AL13" i="2"/>
  <c r="BO13" i="2" s="1"/>
  <c r="AA185" i="2"/>
  <c r="AC183" i="2" s="1"/>
  <c r="AA184" i="2"/>
  <c r="X202" i="2"/>
  <c r="AB183" i="2"/>
  <c r="R182" i="2"/>
  <c r="S183" i="2"/>
  <c r="AB184" i="2"/>
  <c r="S197" i="2"/>
  <c r="BL28" i="2"/>
  <c r="BL15" i="2"/>
  <c r="AK15" i="2"/>
  <c r="BL30" i="2"/>
  <c r="AK13" i="2"/>
  <c r="BN13" i="2" s="1"/>
  <c r="AI25" i="2"/>
  <c r="X199" i="2"/>
  <c r="BN15" i="2"/>
  <c r="BP13" i="2" s="1"/>
  <c r="AL14" i="2"/>
  <c r="BO14" i="2" s="1"/>
  <c r="C63" i="11"/>
  <c r="D63" i="11"/>
  <c r="AI26" i="2"/>
  <c r="BL27" i="2" s="1"/>
  <c r="BM16" i="2"/>
  <c r="AB12" i="2" l="1"/>
  <c r="X182" i="2"/>
  <c r="AI14" i="2"/>
  <c r="BL14" i="2" s="1"/>
  <c r="AC184" i="2"/>
  <c r="R187" i="2"/>
  <c r="AC185" i="2"/>
  <c r="X204" i="2"/>
  <c r="BL26" i="2"/>
  <c r="T229" i="2"/>
  <c r="R200" i="2"/>
  <c r="Z188" i="2"/>
  <c r="AC196" i="2" s="1"/>
  <c r="AA196" i="2"/>
  <c r="AC194" i="2" s="1"/>
  <c r="Z182" i="2"/>
  <c r="P19" i="2"/>
  <c r="P27" i="2" s="1"/>
  <c r="Q20" i="2"/>
  <c r="P28" i="2" s="1"/>
  <c r="B64" i="11"/>
  <c r="E63" i="11"/>
  <c r="AA12" i="2"/>
  <c r="Q180" i="2"/>
  <c r="Z203" i="2"/>
  <c r="AB232" i="2"/>
  <c r="P181" i="2"/>
  <c r="Z199" i="2"/>
  <c r="AA13" i="2"/>
  <c r="Z13" i="2"/>
  <c r="S27" i="2" l="1"/>
  <c r="C72" i="2"/>
  <c r="Q187" i="2"/>
  <c r="P187" i="2"/>
  <c r="P190" i="2" s="1"/>
  <c r="P191" i="2"/>
  <c r="Q190" i="2" s="1"/>
  <c r="Z17" i="2"/>
  <c r="AA21" i="2" s="1"/>
  <c r="Z22" i="2"/>
  <c r="AB20" i="2" s="1"/>
  <c r="Z32" i="2" s="1"/>
  <c r="Y180" i="2"/>
  <c r="AJ12" i="2"/>
  <c r="AB195" i="2"/>
  <c r="AA195" i="2"/>
  <c r="AB194" i="2" s="1"/>
  <c r="Y203" i="2" s="1"/>
  <c r="C71" i="2"/>
  <c r="I12" i="11"/>
  <c r="I14" i="11"/>
  <c r="I27" i="11"/>
  <c r="I15" i="11"/>
  <c r="I23" i="11"/>
  <c r="I13" i="11"/>
  <c r="Q162" i="2"/>
  <c r="P173" i="2" s="1"/>
  <c r="I17" i="11"/>
  <c r="I20" i="11"/>
  <c r="I24" i="11"/>
  <c r="I16" i="11"/>
  <c r="I18" i="11"/>
  <c r="I29" i="11"/>
  <c r="I30" i="11" s="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I54" i="11" s="1"/>
  <c r="I55" i="11" s="1"/>
  <c r="I56" i="11" s="1"/>
  <c r="I57" i="11" s="1"/>
  <c r="I58" i="11" s="1"/>
  <c r="I59" i="11" s="1"/>
  <c r="I60" i="11" s="1"/>
  <c r="I61" i="11" s="1"/>
  <c r="I19" i="11"/>
  <c r="R27" i="2"/>
  <c r="F63" i="11"/>
  <c r="I25" i="11"/>
  <c r="I21" i="11"/>
  <c r="F64" i="11"/>
  <c r="I22" i="11"/>
  <c r="I28" i="11"/>
  <c r="P40" i="2"/>
  <c r="I26" i="11"/>
  <c r="AI13" i="2"/>
  <c r="BL13" i="2" s="1"/>
  <c r="X181" i="2"/>
  <c r="AA22" i="2"/>
  <c r="AB21" i="2" s="1"/>
  <c r="Y181" i="2"/>
  <c r="AB22" i="2"/>
  <c r="AJ13" i="2"/>
  <c r="BM13" i="2" s="1"/>
  <c r="E64" i="11"/>
  <c r="C64" i="11"/>
  <c r="B65" i="11"/>
  <c r="D64" i="11"/>
  <c r="AA194" i="2"/>
  <c r="Y202" i="2" s="1"/>
  <c r="AB196" i="2"/>
  <c r="AC195" i="2" s="1"/>
  <c r="Y204" i="2" s="1"/>
  <c r="Z180" i="2"/>
  <c r="AK12" i="2"/>
  <c r="BN12" i="2" s="1"/>
  <c r="Z21" i="2"/>
  <c r="AA20" i="2" s="1"/>
  <c r="Z31" i="2" s="1"/>
  <c r="C65" i="11" l="1"/>
  <c r="B66" i="11"/>
  <c r="E65" i="11"/>
  <c r="D65" i="11"/>
  <c r="P46" i="2"/>
  <c r="P49" i="2" s="1"/>
  <c r="P43" i="2"/>
  <c r="Y188" i="2"/>
  <c r="Y192" i="2" s="1"/>
  <c r="X193" i="2"/>
  <c r="Z191" i="2" s="1"/>
  <c r="X188" i="2"/>
  <c r="AD30" i="2"/>
  <c r="C82" i="2"/>
  <c r="Q197" i="2"/>
  <c r="X192" i="2"/>
  <c r="Y191" i="2" s="1"/>
  <c r="C81" i="2"/>
  <c r="AC30" i="2"/>
  <c r="Z193" i="2"/>
  <c r="X191" i="2"/>
  <c r="Y199" i="2" s="1"/>
  <c r="F65" i="11"/>
  <c r="BM12" i="2"/>
  <c r="AJ22" i="2"/>
  <c r="AI23" i="2"/>
  <c r="AL21" i="2"/>
  <c r="AK22" i="2"/>
  <c r="AK23" i="2"/>
  <c r="AL23" i="2"/>
  <c r="AJ21" i="2"/>
  <c r="AL22" i="2"/>
  <c r="AL20" i="2"/>
  <c r="AI33" i="2" s="1"/>
  <c r="AI22" i="2"/>
  <c r="AJ20" i="2"/>
  <c r="AK20" i="2"/>
  <c r="AK21" i="2"/>
  <c r="AI20" i="2"/>
  <c r="AI30" i="2" s="1"/>
  <c r="AJ23" i="2"/>
  <c r="AI21" i="2"/>
  <c r="AI17" i="2"/>
  <c r="Q191" i="2"/>
  <c r="Q198" i="2" s="1"/>
  <c r="S193" i="2"/>
  <c r="R192" i="2"/>
  <c r="R193" i="2"/>
  <c r="S192" i="2" s="1"/>
  <c r="Q200" i="2" s="1"/>
  <c r="Z20" i="2"/>
  <c r="Z30" i="2" s="1"/>
  <c r="Q199" i="2" l="1"/>
  <c r="S200" i="2" s="1"/>
  <c r="AI31" i="2"/>
  <c r="E66" i="11"/>
  <c r="D66" i="11"/>
  <c r="C66" i="11"/>
  <c r="B67" i="11"/>
  <c r="F66" i="11"/>
  <c r="J66" i="11"/>
  <c r="M22" i="11"/>
  <c r="J63" i="11"/>
  <c r="M24" i="11"/>
  <c r="J64" i="11"/>
  <c r="M18" i="11"/>
  <c r="M29" i="1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23" i="11"/>
  <c r="M19" i="11"/>
  <c r="M25" i="11"/>
  <c r="C80" i="2"/>
  <c r="M21" i="11"/>
  <c r="M15" i="11"/>
  <c r="Z38" i="2"/>
  <c r="AB30" i="2"/>
  <c r="M27" i="11"/>
  <c r="M20" i="11"/>
  <c r="M13" i="11"/>
  <c r="M26" i="11"/>
  <c r="J65" i="11"/>
  <c r="M16" i="11"/>
  <c r="M12" i="11"/>
  <c r="M17" i="11"/>
  <c r="J67" i="11"/>
  <c r="M14" i="11"/>
  <c r="Y162" i="2"/>
  <c r="X173" i="2" s="1"/>
  <c r="M28" i="11"/>
  <c r="Q13" i="11"/>
  <c r="Q21" i="11"/>
  <c r="Q28" i="11"/>
  <c r="C100" i="2"/>
  <c r="Q12" i="11"/>
  <c r="Q25" i="11"/>
  <c r="AK43" i="2"/>
  <c r="Q20" i="11"/>
  <c r="N66" i="11"/>
  <c r="Y224" i="2"/>
  <c r="C73" i="2"/>
  <c r="Q52" i="2"/>
  <c r="P53" i="2"/>
  <c r="P52" i="2"/>
  <c r="Q53" i="2"/>
  <c r="C103" i="2"/>
  <c r="AN43" i="2"/>
  <c r="AI32" i="2"/>
  <c r="Q26" i="11" s="1"/>
  <c r="BO21" i="2"/>
  <c r="BP23" i="2"/>
  <c r="BN23" i="2"/>
  <c r="BO20" i="2"/>
  <c r="BP21" i="2"/>
  <c r="BN19" i="2"/>
  <c r="BO22" i="2"/>
  <c r="BP20" i="2"/>
  <c r="BL22" i="2"/>
  <c r="BL21" i="2"/>
  <c r="BP19" i="2"/>
  <c r="BO19" i="2"/>
  <c r="BM19" i="2"/>
  <c r="BO23" i="2"/>
  <c r="BL19" i="2"/>
  <c r="BN21" i="2"/>
  <c r="BP22" i="2"/>
  <c r="BL20" i="2"/>
  <c r="BN22" i="2"/>
  <c r="BM20" i="2"/>
  <c r="BL23" i="2"/>
  <c r="BN20" i="2"/>
  <c r="BM22" i="2"/>
  <c r="BM21" i="2"/>
  <c r="BM23" i="2"/>
  <c r="Y193" i="2"/>
  <c r="Z192" i="2" s="1"/>
  <c r="Y201" i="2" s="1"/>
  <c r="Y226" i="2" s="1"/>
  <c r="P203" i="2" l="1"/>
  <c r="Q203" i="2"/>
  <c r="R203" i="2" s="1"/>
  <c r="BN27" i="2"/>
  <c r="E72" i="2"/>
  <c r="D72" i="2"/>
  <c r="BN28" i="2"/>
  <c r="Q229" i="2"/>
  <c r="P239" i="2" s="1"/>
  <c r="R163" i="2"/>
  <c r="N63" i="11"/>
  <c r="Q29" i="1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Q55" i="11" s="1"/>
  <c r="Q56" i="11" s="1"/>
  <c r="Q57" i="11" s="1"/>
  <c r="Q58" i="11" s="1"/>
  <c r="Q59" i="11" s="1"/>
  <c r="Q60" i="11" s="1"/>
  <c r="Q61" i="11" s="1"/>
  <c r="N67" i="11"/>
  <c r="N64" i="11"/>
  <c r="Q17" i="11"/>
  <c r="Q23" i="11"/>
  <c r="C67" i="11"/>
  <c r="B68" i="11"/>
  <c r="E67" i="11"/>
  <c r="D67" i="11"/>
  <c r="F67" i="11"/>
  <c r="C101" i="2"/>
  <c r="AL43" i="2"/>
  <c r="Z44" i="2"/>
  <c r="Z47" i="2" s="1"/>
  <c r="Z41" i="2"/>
  <c r="BN29" i="2"/>
  <c r="C102" i="2"/>
  <c r="AM43" i="2"/>
  <c r="V66" i="11"/>
  <c r="V67" i="11"/>
  <c r="R162" i="2"/>
  <c r="S162" i="2" s="1"/>
  <c r="V64" i="11"/>
  <c r="G64" i="11" s="1"/>
  <c r="H64" i="11" s="1"/>
  <c r="V68" i="11"/>
  <c r="V63" i="11"/>
  <c r="V65" i="11"/>
  <c r="D71" i="2"/>
  <c r="E71" i="2"/>
  <c r="Y200" i="2"/>
  <c r="Q27" i="11"/>
  <c r="Q22" i="11"/>
  <c r="Q14" i="11"/>
  <c r="Q19" i="11"/>
  <c r="AI38" i="2"/>
  <c r="Q24" i="11"/>
  <c r="C74" i="2"/>
  <c r="E73" i="2"/>
  <c r="E74" i="2" s="1"/>
  <c r="D73" i="2"/>
  <c r="D74" i="2" s="1"/>
  <c r="BN26" i="2"/>
  <c r="BN30" i="2"/>
  <c r="W64" i="11"/>
  <c r="W67" i="11"/>
  <c r="W68" i="11"/>
  <c r="W65" i="11"/>
  <c r="W63" i="11"/>
  <c r="W66" i="11"/>
  <c r="G66" i="11" s="1"/>
  <c r="H66" i="11" s="1"/>
  <c r="Q18" i="11"/>
  <c r="N65" i="11"/>
  <c r="Q16" i="11"/>
  <c r="Q15" i="11"/>
  <c r="U19" i="11" l="1"/>
  <c r="BK161" i="2"/>
  <c r="BN43" i="2"/>
  <c r="U12" i="11"/>
  <c r="U21" i="11"/>
  <c r="U25" i="11"/>
  <c r="C117" i="2"/>
  <c r="U15" i="11"/>
  <c r="U18" i="11"/>
  <c r="U29" i="11"/>
  <c r="U30" i="11" s="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U42" i="11" s="1"/>
  <c r="U43" i="11" s="1"/>
  <c r="U44" i="11" s="1"/>
  <c r="U45" i="11" s="1"/>
  <c r="U46" i="11" s="1"/>
  <c r="U47" i="11" s="1"/>
  <c r="U48" i="11" s="1"/>
  <c r="U49" i="11" s="1"/>
  <c r="U50" i="11" s="1"/>
  <c r="U51" i="11" s="1"/>
  <c r="U52" i="11" s="1"/>
  <c r="U53" i="11" s="1"/>
  <c r="U54" i="11" s="1"/>
  <c r="U55" i="11" s="1"/>
  <c r="U56" i="11" s="1"/>
  <c r="U57" i="11" s="1"/>
  <c r="U58" i="11" s="1"/>
  <c r="U59" i="11" s="1"/>
  <c r="U60" i="11" s="1"/>
  <c r="U61" i="11" s="1"/>
  <c r="U16" i="11"/>
  <c r="U20" i="11"/>
  <c r="U28" i="11"/>
  <c r="U27" i="11"/>
  <c r="U26" i="11"/>
  <c r="U13" i="11"/>
  <c r="U17" i="11"/>
  <c r="U22" i="11"/>
  <c r="U24" i="11"/>
  <c r="BL38" i="2"/>
  <c r="U23" i="11"/>
  <c r="U14" i="11"/>
  <c r="BQ43" i="2"/>
  <c r="C120" i="2"/>
  <c r="D101" i="2"/>
  <c r="E101" i="2" s="1"/>
  <c r="D68" i="11"/>
  <c r="B69" i="11"/>
  <c r="E68" i="11"/>
  <c r="C68" i="11"/>
  <c r="F68" i="11"/>
  <c r="J68" i="11"/>
  <c r="N68" i="11"/>
  <c r="BP43" i="2"/>
  <c r="C119" i="2"/>
  <c r="R218" i="2"/>
  <c r="R216" i="2"/>
  <c r="R217" i="2"/>
  <c r="Q217" i="2"/>
  <c r="S218" i="2"/>
  <c r="P219" i="2"/>
  <c r="R219" i="2"/>
  <c r="S217" i="2"/>
  <c r="Q216" i="2"/>
  <c r="R230" i="2" s="1"/>
  <c r="P218" i="2"/>
  <c r="S219" i="2"/>
  <c r="Q219" i="2"/>
  <c r="S216" i="2"/>
  <c r="R232" i="2" s="1"/>
  <c r="P217" i="2"/>
  <c r="Q218" i="2"/>
  <c r="S203" i="2"/>
  <c r="P216" i="2"/>
  <c r="AI44" i="2"/>
  <c r="AI47" i="2" s="1"/>
  <c r="AI41" i="2"/>
  <c r="G67" i="11"/>
  <c r="H67" i="11"/>
  <c r="Y225" i="2"/>
  <c r="Y232" i="2"/>
  <c r="X244" i="2" s="1"/>
  <c r="AA203" i="2"/>
  <c r="G65" i="11"/>
  <c r="H65" i="11" s="1"/>
  <c r="R173" i="2"/>
  <c r="Q173" i="2"/>
  <c r="AK62" i="2"/>
  <c r="AJ59" i="2"/>
  <c r="AB60" i="2"/>
  <c r="AA60" i="2"/>
  <c r="AJ60" i="2"/>
  <c r="Z59" i="2"/>
  <c r="AI62" i="2"/>
  <c r="Z60" i="2"/>
  <c r="AJ61" i="2"/>
  <c r="AI60" i="2"/>
  <c r="AK60" i="2"/>
  <c r="AL60" i="2"/>
  <c r="C83" i="2"/>
  <c r="AK61" i="2"/>
  <c r="AJ62" i="2"/>
  <c r="AK59" i="2"/>
  <c r="AB59" i="2"/>
  <c r="AI53" i="2"/>
  <c r="AI56" i="2" s="1"/>
  <c r="AL62" i="2"/>
  <c r="D103" i="2" s="1"/>
  <c r="E103" i="2" s="1"/>
  <c r="AL61" i="2"/>
  <c r="AB61" i="2"/>
  <c r="AA59" i="2"/>
  <c r="AI59" i="2"/>
  <c r="AI61" i="2"/>
  <c r="Z61" i="2"/>
  <c r="AA61" i="2"/>
  <c r="AL59" i="2"/>
  <c r="Z53" i="2"/>
  <c r="C121" i="2"/>
  <c r="BR43" i="2"/>
  <c r="G63" i="11"/>
  <c r="H63" i="11" s="1"/>
  <c r="D102" i="2"/>
  <c r="E102" i="2" s="1"/>
  <c r="BO43" i="2"/>
  <c r="C118" i="2"/>
  <c r="AC67" i="11" l="1"/>
  <c r="AC66" i="11"/>
  <c r="AC63" i="11"/>
  <c r="AC68" i="11"/>
  <c r="AC65" i="11"/>
  <c r="AC64" i="11"/>
  <c r="Y64" i="11"/>
  <c r="Y65" i="11"/>
  <c r="Y66" i="11"/>
  <c r="Y68" i="11"/>
  <c r="Y67" i="11"/>
  <c r="Y63" i="11"/>
  <c r="D81" i="2"/>
  <c r="E81" i="2"/>
  <c r="B70" i="11"/>
  <c r="D69" i="11"/>
  <c r="C69" i="11"/>
  <c r="AC69" i="11" s="1"/>
  <c r="E69" i="11"/>
  <c r="F69" i="11"/>
  <c r="N69" i="11"/>
  <c r="J69" i="11"/>
  <c r="V69" i="11"/>
  <c r="W69" i="11"/>
  <c r="Z163" i="2"/>
  <c r="Z67" i="11"/>
  <c r="Z66" i="11"/>
  <c r="Z68" i="11"/>
  <c r="Z64" i="11"/>
  <c r="Z65" i="11"/>
  <c r="Z63" i="11"/>
  <c r="E82" i="2"/>
  <c r="D82" i="2"/>
  <c r="Z164" i="2"/>
  <c r="C84" i="2"/>
  <c r="D83" i="2"/>
  <c r="D84" i="2" s="1"/>
  <c r="E83" i="2"/>
  <c r="E84" i="2" s="1"/>
  <c r="X207" i="2"/>
  <c r="Y207" i="2"/>
  <c r="Z207" i="2" s="1"/>
  <c r="C104" i="2"/>
  <c r="BL53" i="2"/>
  <c r="BL56" i="2" s="1"/>
  <c r="R231" i="2"/>
  <c r="C150" i="2"/>
  <c r="F150" i="2" s="1"/>
  <c r="Z56" i="2"/>
  <c r="C89" i="2"/>
  <c r="B153" i="2"/>
  <c r="B92" i="2" s="1"/>
  <c r="B152" i="2"/>
  <c r="B91" i="2" s="1"/>
  <c r="R229" i="2"/>
  <c r="S229" i="2" s="1"/>
  <c r="R222" i="2"/>
  <c r="Q222" i="2"/>
  <c r="BL44" i="2"/>
  <c r="BL47" i="2" s="1"/>
  <c r="BL41" i="2"/>
  <c r="AA64" i="11"/>
  <c r="AA67" i="11"/>
  <c r="AA68" i="11"/>
  <c r="O68" i="11" s="1"/>
  <c r="P68" i="11" s="1"/>
  <c r="AA66" i="11"/>
  <c r="AA63" i="11"/>
  <c r="AA65" i="11"/>
  <c r="D100" i="2"/>
  <c r="E100" i="2" s="1"/>
  <c r="AD67" i="11"/>
  <c r="AD66" i="11"/>
  <c r="AD65" i="11"/>
  <c r="AD63" i="11"/>
  <c r="AD64" i="11"/>
  <c r="AD68" i="11"/>
  <c r="Q223" i="2"/>
  <c r="R223" i="2"/>
  <c r="G68" i="11"/>
  <c r="H68" i="11" s="1"/>
  <c r="R64" i="11"/>
  <c r="R65" i="11"/>
  <c r="R63" i="11"/>
  <c r="R66" i="11"/>
  <c r="R68" i="11"/>
  <c r="R67" i="11"/>
  <c r="AB63" i="11"/>
  <c r="AB67" i="11"/>
  <c r="AB66" i="11"/>
  <c r="AB68" i="11"/>
  <c r="AB65" i="11"/>
  <c r="AB64" i="11"/>
  <c r="X64" i="11"/>
  <c r="K64" i="11" s="1"/>
  <c r="L64" i="11" s="1"/>
  <c r="X66" i="11"/>
  <c r="K66" i="11" s="1"/>
  <c r="L66" i="11" s="1"/>
  <c r="X63" i="11"/>
  <c r="K63" i="11" s="1"/>
  <c r="L63" i="11" s="1"/>
  <c r="Z162" i="2"/>
  <c r="AA162" i="2" s="1"/>
  <c r="X65" i="11"/>
  <c r="K65" i="11" s="1"/>
  <c r="L65" i="11" s="1"/>
  <c r="X68" i="11"/>
  <c r="K68" i="11" s="1"/>
  <c r="L68" i="11" s="1"/>
  <c r="X67" i="11"/>
  <c r="D80" i="2"/>
  <c r="E80" i="2"/>
  <c r="R239" i="2" l="1"/>
  <c r="Q239" i="2"/>
  <c r="K67" i="11"/>
  <c r="L67" i="11" s="1"/>
  <c r="O66" i="11"/>
  <c r="P66" i="11" s="1"/>
  <c r="O64" i="11"/>
  <c r="P64" i="11" s="1"/>
  <c r="Z70" i="11"/>
  <c r="O65" i="11"/>
  <c r="P65" i="11" s="1"/>
  <c r="C128" i="2"/>
  <c r="D104" i="2"/>
  <c r="D105" i="2" s="1"/>
  <c r="C105" i="2"/>
  <c r="E104" i="2"/>
  <c r="E105" i="2" s="1"/>
  <c r="C110" i="2"/>
  <c r="X69" i="11"/>
  <c r="K69" i="11" s="1"/>
  <c r="L69" i="11" s="1"/>
  <c r="Z173" i="2"/>
  <c r="Y173" i="2"/>
  <c r="D166" i="2" s="1"/>
  <c r="AB69" i="11"/>
  <c r="R69" i="11"/>
  <c r="O67" i="11"/>
  <c r="P67" i="11" s="1"/>
  <c r="BO61" i="2"/>
  <c r="BO62" i="2"/>
  <c r="D120" i="2" s="1"/>
  <c r="E120" i="2" s="1"/>
  <c r="BO63" i="2"/>
  <c r="C122" i="2"/>
  <c r="BP59" i="2"/>
  <c r="BL61" i="2"/>
  <c r="BO60" i="2"/>
  <c r="BM62" i="2"/>
  <c r="BM63" i="2"/>
  <c r="BL60" i="2"/>
  <c r="BP60" i="2"/>
  <c r="BO59" i="2"/>
  <c r="BP63" i="2"/>
  <c r="D121" i="2" s="1"/>
  <c r="E121" i="2" s="1"/>
  <c r="BN62" i="2"/>
  <c r="BN63" i="2"/>
  <c r="BN59" i="2"/>
  <c r="BL59" i="2"/>
  <c r="BL62" i="2"/>
  <c r="BL63" i="2"/>
  <c r="BM60" i="2"/>
  <c r="D118" i="2" s="1"/>
  <c r="E118" i="2" s="1"/>
  <c r="BM59" i="2"/>
  <c r="BP61" i="2"/>
  <c r="BP62" i="2"/>
  <c r="BN60" i="2"/>
  <c r="BM61" i="2"/>
  <c r="BN61" i="2"/>
  <c r="D119" i="2" s="1"/>
  <c r="E119" i="2" s="1"/>
  <c r="AA218" i="2"/>
  <c r="Y216" i="2"/>
  <c r="Z218" i="2"/>
  <c r="Y220" i="2"/>
  <c r="Z221" i="2"/>
  <c r="AA217" i="2"/>
  <c r="AB221" i="2"/>
  <c r="Z220" i="2"/>
  <c r="X219" i="2"/>
  <c r="AA219" i="2"/>
  <c r="X220" i="2"/>
  <c r="AC217" i="2"/>
  <c r="AB218" i="2"/>
  <c r="Z216" i="2"/>
  <c r="AB219" i="2"/>
  <c r="Y218" i="2"/>
  <c r="Y217" i="2"/>
  <c r="AA221" i="2"/>
  <c r="AB216" i="2"/>
  <c r="AC216" i="2"/>
  <c r="X221" i="2"/>
  <c r="AB220" i="2"/>
  <c r="AA216" i="2"/>
  <c r="AC221" i="2"/>
  <c r="X216" i="2"/>
  <c r="Z217" i="2"/>
  <c r="AC219" i="2"/>
  <c r="AA207" i="2"/>
  <c r="AC220" i="2"/>
  <c r="Z219" i="2"/>
  <c r="Y221" i="2"/>
  <c r="AC218" i="2"/>
  <c r="X217" i="2"/>
  <c r="X218" i="2"/>
  <c r="Y219" i="2"/>
  <c r="AA220" i="2"/>
  <c r="AB217" i="2"/>
  <c r="S223" i="2"/>
  <c r="AD69" i="11"/>
  <c r="O63" i="11"/>
  <c r="P63" i="11" s="1"/>
  <c r="AA69" i="11"/>
  <c r="O69" i="11" s="1"/>
  <c r="P69" i="11" s="1"/>
  <c r="S222" i="2"/>
  <c r="P225" i="2" s="1"/>
  <c r="C196" i="2"/>
  <c r="F195" i="2"/>
  <c r="F196" i="2"/>
  <c r="B183" i="2"/>
  <c r="F193" i="2"/>
  <c r="F194" i="2"/>
  <c r="Z69" i="11"/>
  <c r="G69" i="11"/>
  <c r="H69" i="11" s="1"/>
  <c r="D70" i="11"/>
  <c r="E70" i="11"/>
  <c r="C70" i="11"/>
  <c r="B71" i="11"/>
  <c r="F70" i="11"/>
  <c r="N70" i="11"/>
  <c r="J70" i="11"/>
  <c r="V70" i="11"/>
  <c r="W70" i="11"/>
  <c r="Y69" i="11"/>
  <c r="AA225" i="2" l="1"/>
  <c r="Z225" i="2"/>
  <c r="X70" i="11"/>
  <c r="K70" i="11" s="1"/>
  <c r="L70" i="11" s="1"/>
  <c r="AA70" i="11"/>
  <c r="O70" i="11" s="1"/>
  <c r="P70" i="11" s="1"/>
  <c r="AD70" i="11"/>
  <c r="R70" i="11"/>
  <c r="AB70" i="11"/>
  <c r="F199" i="2"/>
  <c r="P226" i="2"/>
  <c r="Z234" i="2"/>
  <c r="Z233" i="2"/>
  <c r="BL163" i="2"/>
  <c r="BL164" i="2"/>
  <c r="D122" i="2"/>
  <c r="D123" i="2" s="1"/>
  <c r="C123" i="2"/>
  <c r="E122" i="2"/>
  <c r="E123" i="2" s="1"/>
  <c r="AC70" i="11"/>
  <c r="G70" i="11"/>
  <c r="H70" i="11" s="1"/>
  <c r="Z237" i="2"/>
  <c r="AH67" i="11"/>
  <c r="AH69" i="11"/>
  <c r="AH70" i="11"/>
  <c r="AH64" i="11"/>
  <c r="AH65" i="11"/>
  <c r="AH68" i="11"/>
  <c r="AH63" i="11"/>
  <c r="AH66" i="11"/>
  <c r="AF70" i="11"/>
  <c r="AF63" i="11"/>
  <c r="AF65" i="11"/>
  <c r="AF64" i="11"/>
  <c r="AF66" i="11"/>
  <c r="AF69" i="11"/>
  <c r="AF68" i="11"/>
  <c r="AF67" i="11"/>
  <c r="AG67" i="11"/>
  <c r="AG68" i="11"/>
  <c r="AG64" i="11"/>
  <c r="AG70" i="11"/>
  <c r="AG65" i="11"/>
  <c r="AG63" i="11"/>
  <c r="AG69" i="11"/>
  <c r="AG66" i="11"/>
  <c r="B113" i="2"/>
  <c r="B112" i="2"/>
  <c r="B130" i="2"/>
  <c r="B131" i="2"/>
  <c r="Z232" i="2"/>
  <c r="Z224" i="2"/>
  <c r="AB224" i="2" s="1"/>
  <c r="AA224" i="2"/>
  <c r="AI65" i="11"/>
  <c r="AI67" i="11"/>
  <c r="AI63" i="11"/>
  <c r="AI69" i="11"/>
  <c r="AI64" i="11"/>
  <c r="AI68" i="11"/>
  <c r="AI70" i="11"/>
  <c r="AI66" i="11"/>
  <c r="C71" i="11"/>
  <c r="AF71" i="11" s="1"/>
  <c r="B72" i="11"/>
  <c r="D71" i="11"/>
  <c r="AB71" i="11" s="1"/>
  <c r="E71" i="11"/>
  <c r="F71" i="11"/>
  <c r="J71" i="11"/>
  <c r="N71" i="11"/>
  <c r="W71" i="11"/>
  <c r="V71" i="11"/>
  <c r="AA71" i="11"/>
  <c r="X71" i="11"/>
  <c r="Z71" i="11"/>
  <c r="Y71" i="11"/>
  <c r="AD71" i="11"/>
  <c r="F200" i="2"/>
  <c r="F202" i="2"/>
  <c r="F203" i="2" s="1"/>
  <c r="D200" i="2"/>
  <c r="D201" i="2" s="1"/>
  <c r="D202" i="2"/>
  <c r="D203" i="2" s="1"/>
  <c r="Z235" i="2"/>
  <c r="Z236" i="2"/>
  <c r="Z226" i="2"/>
  <c r="AB226" i="2" s="1"/>
  <c r="AA226" i="2"/>
  <c r="BL162" i="2"/>
  <c r="AE63" i="11"/>
  <c r="AE69" i="11"/>
  <c r="S69" i="11" s="1"/>
  <c r="T69" i="11" s="1"/>
  <c r="AE64" i="11"/>
  <c r="AE65" i="11"/>
  <c r="S65" i="11" s="1"/>
  <c r="T65" i="11" s="1"/>
  <c r="AE68" i="11"/>
  <c r="S68" i="11" s="1"/>
  <c r="T68" i="11" s="1"/>
  <c r="AE70" i="11"/>
  <c r="AE67" i="11"/>
  <c r="AE66" i="11"/>
  <c r="S66" i="11" s="1"/>
  <c r="T66" i="11" s="1"/>
  <c r="BL161" i="2"/>
  <c r="D117" i="2"/>
  <c r="E117" i="2" s="1"/>
  <c r="BL165" i="2"/>
  <c r="Y70" i="11"/>
  <c r="S63" i="11" l="1"/>
  <c r="T63" i="11" s="1"/>
  <c r="AE71" i="11"/>
  <c r="R71" i="11"/>
  <c r="AC71" i="11"/>
  <c r="K71" i="11"/>
  <c r="L71" i="11"/>
  <c r="D72" i="11"/>
  <c r="AC72" i="11" s="1"/>
  <c r="E72" i="11"/>
  <c r="C72" i="11"/>
  <c r="B73" i="11"/>
  <c r="F72" i="11"/>
  <c r="J72" i="11"/>
  <c r="N72" i="11"/>
  <c r="W72" i="11"/>
  <c r="V72" i="11"/>
  <c r="Z72" i="11"/>
  <c r="R72" i="11"/>
  <c r="Y72" i="11"/>
  <c r="X72" i="11"/>
  <c r="BM161" i="2"/>
  <c r="S64" i="11"/>
  <c r="T64" i="11" s="1"/>
  <c r="G71" i="11"/>
  <c r="H71" i="11" s="1"/>
  <c r="AI71" i="11"/>
  <c r="AG71" i="11"/>
  <c r="F201" i="2"/>
  <c r="AB225" i="2"/>
  <c r="O71" i="11"/>
  <c r="P71" i="11"/>
  <c r="AI72" i="11"/>
  <c r="AA232" i="2"/>
  <c r="AH71" i="11"/>
  <c r="S70" i="11"/>
  <c r="T70" i="11" s="1"/>
  <c r="X229" i="2"/>
  <c r="B210" i="2" s="1"/>
  <c r="X228" i="2"/>
  <c r="B209" i="2" s="1"/>
  <c r="S67" i="11"/>
  <c r="T67" i="11" s="1"/>
  <c r="AF72" i="11" l="1"/>
  <c r="AG72" i="11"/>
  <c r="Z244" i="2"/>
  <c r="Y244" i="2"/>
  <c r="D220" i="2" s="1"/>
  <c r="AB72" i="11"/>
  <c r="L72" i="11"/>
  <c r="K72" i="11"/>
  <c r="AA72" i="11"/>
  <c r="O72" i="11" s="1"/>
  <c r="P72" i="11" s="1"/>
  <c r="AD72" i="11"/>
  <c r="D73" i="11"/>
  <c r="E73" i="11"/>
  <c r="B74" i="11"/>
  <c r="C73" i="11"/>
  <c r="AD73" i="11" s="1"/>
  <c r="F73" i="11"/>
  <c r="N73" i="11"/>
  <c r="J73" i="11"/>
  <c r="V73" i="11"/>
  <c r="W73" i="11"/>
  <c r="Y73" i="11"/>
  <c r="AB73" i="11"/>
  <c r="AH73" i="11"/>
  <c r="G72" i="11"/>
  <c r="H72" i="11" s="1"/>
  <c r="S71" i="11"/>
  <c r="T71" i="11" s="1"/>
  <c r="AH72" i="11"/>
  <c r="AE72" i="11"/>
  <c r="S72" i="11" s="1"/>
  <c r="T72" i="11" s="1"/>
  <c r="AA73" i="11" l="1"/>
  <c r="AC73" i="11"/>
  <c r="C74" i="11"/>
  <c r="AD74" i="11" s="1"/>
  <c r="E74" i="11"/>
  <c r="D74" i="11"/>
  <c r="B75" i="11"/>
  <c r="F74" i="11"/>
  <c r="J74" i="11"/>
  <c r="N74" i="11"/>
  <c r="V74" i="11"/>
  <c r="W74" i="11"/>
  <c r="X74" i="11"/>
  <c r="R74" i="11"/>
  <c r="AE74" i="11"/>
  <c r="AI73" i="11"/>
  <c r="AG73" i="11"/>
  <c r="X73" i="11"/>
  <c r="K73" i="11" s="1"/>
  <c r="L73" i="11" s="1"/>
  <c r="R73" i="11"/>
  <c r="G73" i="11"/>
  <c r="H73" i="11" s="1"/>
  <c r="AE73" i="11"/>
  <c r="AF73" i="11"/>
  <c r="Z73" i="11"/>
  <c r="O73" i="11"/>
  <c r="P73" i="11" s="1"/>
  <c r="S73" i="11" l="1"/>
  <c r="T73" i="11" s="1"/>
  <c r="AH74" i="11"/>
  <c r="AF74" i="11"/>
  <c r="Z74" i="11"/>
  <c r="Y74" i="11"/>
  <c r="K74" i="11"/>
  <c r="L74" i="11" s="1"/>
  <c r="AI74" i="11"/>
  <c r="AC74" i="11"/>
  <c r="AB74" i="11"/>
  <c r="E75" i="11"/>
  <c r="B76" i="11"/>
  <c r="D75" i="11"/>
  <c r="C75" i="11"/>
  <c r="AA75" i="11" s="1"/>
  <c r="F75" i="11"/>
  <c r="J75" i="11"/>
  <c r="N75" i="11"/>
  <c r="V75" i="11"/>
  <c r="W75" i="11"/>
  <c r="X75" i="11"/>
  <c r="AC75" i="11"/>
  <c r="AG75" i="11"/>
  <c r="S74" i="11"/>
  <c r="T74" i="11" s="1"/>
  <c r="G74" i="11"/>
  <c r="H74" i="11" s="1"/>
  <c r="AG74" i="11"/>
  <c r="AA74" i="11"/>
  <c r="O74" i="11" s="1"/>
  <c r="P74" i="11" s="1"/>
  <c r="AE75" i="11" l="1"/>
  <c r="O75" i="11"/>
  <c r="P75" i="11" s="1"/>
  <c r="AF75" i="11"/>
  <c r="AH75" i="11"/>
  <c r="AB75" i="11"/>
  <c r="Y75" i="11"/>
  <c r="G75" i="11"/>
  <c r="H75" i="11" s="1"/>
  <c r="AD75" i="11"/>
  <c r="R75" i="11"/>
  <c r="AI75" i="11"/>
  <c r="Z75" i="11"/>
  <c r="K75" i="11"/>
  <c r="L75" i="11" s="1"/>
  <c r="D76" i="11"/>
  <c r="B77" i="11"/>
  <c r="E76" i="11"/>
  <c r="C76" i="11"/>
  <c r="AD76" i="11" s="1"/>
  <c r="F76" i="11"/>
  <c r="J76" i="11"/>
  <c r="N76" i="11"/>
  <c r="W76" i="11"/>
  <c r="V76" i="11"/>
  <c r="AC76" i="11"/>
  <c r="Z76" i="11"/>
  <c r="AH76" i="11"/>
  <c r="T75" i="11" l="1"/>
  <c r="S75" i="11"/>
  <c r="AE76" i="11"/>
  <c r="AG76" i="11"/>
  <c r="R76" i="11"/>
  <c r="AF76" i="11"/>
  <c r="AB76" i="11"/>
  <c r="Y76" i="11"/>
  <c r="H76" i="11"/>
  <c r="G76" i="11"/>
  <c r="AI76" i="11"/>
  <c r="X76" i="11"/>
  <c r="K76" i="11" s="1"/>
  <c r="L76" i="11" s="1"/>
  <c r="AA76" i="11"/>
  <c r="O76" i="11" s="1"/>
  <c r="P76" i="11" s="1"/>
  <c r="D77" i="11"/>
  <c r="C77" i="11"/>
  <c r="X77" i="11" s="1"/>
  <c r="B78" i="11"/>
  <c r="E77" i="11"/>
  <c r="F77" i="11"/>
  <c r="J77" i="11"/>
  <c r="N77" i="11"/>
  <c r="W77" i="11"/>
  <c r="V77" i="11"/>
  <c r="AC77" i="11"/>
  <c r="R77" i="11"/>
  <c r="AB77" i="11"/>
  <c r="Y77" i="11"/>
  <c r="AG77" i="11"/>
  <c r="AH77" i="11"/>
  <c r="AE77" i="11"/>
  <c r="D78" i="11" l="1"/>
  <c r="AA78" i="11" s="1"/>
  <c r="C78" i="11"/>
  <c r="B79" i="11"/>
  <c r="E78" i="11"/>
  <c r="F78" i="11"/>
  <c r="J78" i="11"/>
  <c r="N78" i="11"/>
  <c r="V78" i="11"/>
  <c r="W78" i="11"/>
  <c r="X78" i="11"/>
  <c r="Y78" i="11"/>
  <c r="Z78" i="11"/>
  <c r="AC78" i="11"/>
  <c r="AB78" i="11"/>
  <c r="AI78" i="11"/>
  <c r="AH78" i="11"/>
  <c r="AE78" i="11"/>
  <c r="AG78" i="11"/>
  <c r="AI77" i="11"/>
  <c r="AD77" i="11"/>
  <c r="Z77" i="11"/>
  <c r="K77" i="11" s="1"/>
  <c r="L77" i="11" s="1"/>
  <c r="G77" i="11"/>
  <c r="H77" i="11"/>
  <c r="AF77" i="11"/>
  <c r="S77" i="11" s="1"/>
  <c r="T77" i="11" s="1"/>
  <c r="AA77" i="11"/>
  <c r="O77" i="11" s="1"/>
  <c r="P77" i="11" s="1"/>
  <c r="S76" i="11"/>
  <c r="T76" i="11" s="1"/>
  <c r="O78" i="11" l="1"/>
  <c r="P78" i="11" s="1"/>
  <c r="AF78" i="11"/>
  <c r="AD78" i="11"/>
  <c r="B80" i="11"/>
  <c r="C79" i="11"/>
  <c r="E79" i="11"/>
  <c r="AH79" i="11" s="1"/>
  <c r="D79" i="11"/>
  <c r="AB79" i="11" s="1"/>
  <c r="F79" i="11"/>
  <c r="J79" i="11"/>
  <c r="N79" i="11"/>
  <c r="W79" i="11"/>
  <c r="V79" i="11"/>
  <c r="X79" i="11"/>
  <c r="AC79" i="11"/>
  <c r="Y79" i="11"/>
  <c r="Z79" i="11"/>
  <c r="AA79" i="11"/>
  <c r="AD79" i="11"/>
  <c r="AF79" i="11"/>
  <c r="R78" i="11"/>
  <c r="K78" i="11"/>
  <c r="L78" i="11"/>
  <c r="G78" i="11"/>
  <c r="H78" i="11" s="1"/>
  <c r="AI79" i="11" l="1"/>
  <c r="R79" i="11"/>
  <c r="AG79" i="11"/>
  <c r="AE79" i="11"/>
  <c r="K79" i="11"/>
  <c r="L79" i="11" s="1"/>
  <c r="T78" i="11"/>
  <c r="S78" i="11"/>
  <c r="P79" i="11"/>
  <c r="O79" i="11"/>
  <c r="G79" i="11"/>
  <c r="H79" i="11" s="1"/>
  <c r="D80" i="11"/>
  <c r="AE80" i="11" s="1"/>
  <c r="C80" i="11"/>
  <c r="E80" i="11"/>
  <c r="AG80" i="11" s="1"/>
  <c r="B81" i="11"/>
  <c r="F80" i="11"/>
  <c r="J80" i="11"/>
  <c r="N80" i="11"/>
  <c r="V80" i="11"/>
  <c r="W80" i="11"/>
  <c r="Z80" i="11"/>
  <c r="AD80" i="11"/>
  <c r="AC80" i="11"/>
  <c r="Y80" i="11"/>
  <c r="R80" i="11"/>
  <c r="X80" i="11"/>
  <c r="AF80" i="11"/>
  <c r="H80" i="11" l="1"/>
  <c r="G80" i="11"/>
  <c r="AH80" i="11"/>
  <c r="AA80" i="11"/>
  <c r="AB80" i="11"/>
  <c r="C81" i="11"/>
  <c r="B82" i="11"/>
  <c r="D81" i="11"/>
  <c r="AD81" i="11" s="1"/>
  <c r="E81" i="11"/>
  <c r="AI81" i="11" s="1"/>
  <c r="F81" i="11"/>
  <c r="N81" i="11"/>
  <c r="J81" i="11"/>
  <c r="V81" i="11"/>
  <c r="W81" i="11"/>
  <c r="AC81" i="11"/>
  <c r="Y81" i="11"/>
  <c r="Z81" i="11"/>
  <c r="X81" i="11"/>
  <c r="AA81" i="11"/>
  <c r="AH81" i="11"/>
  <c r="AI80" i="11"/>
  <c r="S80" i="11" s="1"/>
  <c r="T80" i="11" s="1"/>
  <c r="K80" i="11"/>
  <c r="L80" i="11" s="1"/>
  <c r="S79" i="11"/>
  <c r="T79" i="11"/>
  <c r="O80" i="11"/>
  <c r="P80" i="11" s="1"/>
  <c r="K81" i="11" l="1"/>
  <c r="L81" i="11" s="1"/>
  <c r="AE81" i="11"/>
  <c r="AF81" i="11"/>
  <c r="AG81" i="11"/>
  <c r="AB81" i="11"/>
  <c r="G81" i="11"/>
  <c r="H81" i="11"/>
  <c r="R81" i="11"/>
  <c r="O81" i="11"/>
  <c r="P81" i="11" s="1"/>
  <c r="C82" i="11"/>
  <c r="R82" i="11" s="1"/>
  <c r="D82" i="11"/>
  <c r="B83" i="11"/>
  <c r="E82" i="11"/>
  <c r="F82" i="11"/>
  <c r="J82" i="11"/>
  <c r="N82" i="11"/>
  <c r="V82" i="11"/>
  <c r="W82" i="11"/>
  <c r="AD82" i="11"/>
  <c r="AA82" i="11"/>
  <c r="AE82" i="11"/>
  <c r="Y82" i="11" l="1"/>
  <c r="Z82" i="11"/>
  <c r="AG82" i="11"/>
  <c r="AC82" i="11"/>
  <c r="X82" i="11"/>
  <c r="B84" i="11"/>
  <c r="C83" i="11"/>
  <c r="Y83" i="11" s="1"/>
  <c r="D83" i="11"/>
  <c r="E83" i="11"/>
  <c r="F83" i="11"/>
  <c r="J83" i="11"/>
  <c r="N83" i="11"/>
  <c r="W83" i="11"/>
  <c r="V83" i="11"/>
  <c r="AC83" i="11"/>
  <c r="AD83" i="11"/>
  <c r="AE83" i="11"/>
  <c r="AI83" i="11"/>
  <c r="G82" i="11"/>
  <c r="H82" i="11" s="1"/>
  <c r="AI82" i="11"/>
  <c r="AF82" i="11"/>
  <c r="S82" i="11" s="1"/>
  <c r="T82" i="11" s="1"/>
  <c r="AH82" i="11"/>
  <c r="AB82" i="11"/>
  <c r="O82" i="11" s="1"/>
  <c r="P82" i="11" s="1"/>
  <c r="K82" i="11"/>
  <c r="L82" i="11" s="1"/>
  <c r="S81" i="11"/>
  <c r="T81" i="11" s="1"/>
  <c r="AH83" i="11" l="1"/>
  <c r="AB83" i="11"/>
  <c r="AG83" i="11"/>
  <c r="AA83" i="11"/>
  <c r="X83" i="11"/>
  <c r="K83" i="11" s="1"/>
  <c r="L83" i="11" s="1"/>
  <c r="O83" i="11"/>
  <c r="P83" i="11" s="1"/>
  <c r="AF83" i="11"/>
  <c r="R83" i="11"/>
  <c r="Z83" i="11"/>
  <c r="G83" i="11"/>
  <c r="H83" i="11" s="1"/>
  <c r="B85" i="11"/>
  <c r="E84" i="11"/>
  <c r="C84" i="11"/>
  <c r="AD84" i="11" s="1"/>
  <c r="D84" i="11"/>
  <c r="F84" i="11"/>
  <c r="J84" i="11"/>
  <c r="N84" i="11"/>
  <c r="V84" i="11"/>
  <c r="W84" i="11"/>
  <c r="Z84" i="11"/>
  <c r="R84" i="11"/>
  <c r="AB84" i="11"/>
  <c r="AA84" i="11"/>
  <c r="AE84" i="11"/>
  <c r="AI84" i="11"/>
  <c r="AH84" i="11"/>
  <c r="AF84" i="11" l="1"/>
  <c r="X84" i="11"/>
  <c r="Y84" i="11"/>
  <c r="K84" i="11" s="1"/>
  <c r="L84" i="11" s="1"/>
  <c r="G84" i="11"/>
  <c r="H84" i="11" s="1"/>
  <c r="S83" i="11"/>
  <c r="T83" i="11"/>
  <c r="AG84" i="11"/>
  <c r="AC84" i="11"/>
  <c r="O84" i="11" s="1"/>
  <c r="P84" i="11" s="1"/>
  <c r="S84" i="11"/>
  <c r="T84" i="11" s="1"/>
  <c r="C85" i="11"/>
  <c r="D85" i="11"/>
  <c r="AB85" i="11" s="1"/>
  <c r="E85" i="11"/>
  <c r="B86" i="11"/>
  <c r="F85" i="11"/>
  <c r="J85" i="11"/>
  <c r="N85" i="11"/>
  <c r="V85" i="11"/>
  <c r="W85" i="11"/>
  <c r="Y85" i="11"/>
  <c r="Z85" i="11"/>
  <c r="X85" i="11"/>
  <c r="AF85" i="11"/>
  <c r="AE85" i="11"/>
  <c r="L85" i="11" l="1"/>
  <c r="K85" i="11"/>
  <c r="AG85" i="11"/>
  <c r="AA85" i="11"/>
  <c r="O85" i="11" s="1"/>
  <c r="P85" i="11" s="1"/>
  <c r="AI85" i="11"/>
  <c r="R85" i="11"/>
  <c r="AC85" i="11"/>
  <c r="G85" i="11"/>
  <c r="H85" i="11" s="1"/>
  <c r="AH85" i="11"/>
  <c r="AD85" i="11"/>
  <c r="C86" i="11"/>
  <c r="AA86" i="11" s="1"/>
  <c r="D86" i="11"/>
  <c r="B87" i="11"/>
  <c r="E86" i="11"/>
  <c r="AF86" i="11" s="1"/>
  <c r="F86" i="11"/>
  <c r="N86" i="11"/>
  <c r="J86" i="11"/>
  <c r="V86" i="11"/>
  <c r="W86" i="11"/>
  <c r="AD86" i="11"/>
  <c r="X86" i="11"/>
  <c r="Y86" i="11"/>
  <c r="Z86" i="11"/>
  <c r="AC86" i="11"/>
  <c r="R86" i="11"/>
  <c r="AB86" i="11"/>
  <c r="AI86" i="11"/>
  <c r="AH86" i="11"/>
  <c r="AE86" i="11"/>
  <c r="K86" i="11" l="1"/>
  <c r="L86" i="11"/>
  <c r="B88" i="11"/>
  <c r="D87" i="11"/>
  <c r="E87" i="11"/>
  <c r="C87" i="11"/>
  <c r="AB87" i="11" s="1"/>
  <c r="F87" i="11"/>
  <c r="J87" i="11"/>
  <c r="N87" i="11"/>
  <c r="V87" i="11"/>
  <c r="W87" i="11"/>
  <c r="AA87" i="11"/>
  <c r="X87" i="11"/>
  <c r="AD87" i="11"/>
  <c r="R87" i="11"/>
  <c r="AG87" i="11"/>
  <c r="AE87" i="11"/>
  <c r="S85" i="11"/>
  <c r="T85" i="11"/>
  <c r="AG86" i="11"/>
  <c r="S86" i="11" s="1"/>
  <c r="T86" i="11" s="1"/>
  <c r="O86" i="11"/>
  <c r="P86" i="11" s="1"/>
  <c r="G86" i="11"/>
  <c r="H86" i="11"/>
  <c r="G87" i="11" l="1"/>
  <c r="H87" i="11" s="1"/>
  <c r="D88" i="11"/>
  <c r="E88" i="11"/>
  <c r="C88" i="11"/>
  <c r="AD88" i="11" s="1"/>
  <c r="B89" i="11"/>
  <c r="F88" i="11"/>
  <c r="J88" i="11"/>
  <c r="N88" i="11"/>
  <c r="V88" i="11"/>
  <c r="W88" i="11"/>
  <c r="Y88" i="11"/>
  <c r="AC88" i="11"/>
  <c r="AF88" i="11"/>
  <c r="AI87" i="11"/>
  <c r="AF87" i="11"/>
  <c r="S87" i="11" s="1"/>
  <c r="T87" i="11" s="1"/>
  <c r="Y87" i="11"/>
  <c r="K87" i="11" s="1"/>
  <c r="L87" i="11" s="1"/>
  <c r="AC87" i="11"/>
  <c r="O87" i="11" s="1"/>
  <c r="P87" i="11" s="1"/>
  <c r="AH87" i="11"/>
  <c r="Z87" i="11"/>
  <c r="AI88" i="11" l="1"/>
  <c r="Z88" i="11"/>
  <c r="AA88" i="11"/>
  <c r="O88" i="11" s="1"/>
  <c r="P88" i="11" s="1"/>
  <c r="B90" i="11"/>
  <c r="E89" i="11"/>
  <c r="D89" i="11"/>
  <c r="C89" i="11"/>
  <c r="AC89" i="11" s="1"/>
  <c r="F89" i="11"/>
  <c r="N89" i="11"/>
  <c r="J89" i="11"/>
  <c r="V89" i="11"/>
  <c r="W89" i="11"/>
  <c r="AD89" i="11"/>
  <c r="R89" i="11"/>
  <c r="X89" i="11"/>
  <c r="AB89" i="11"/>
  <c r="AI89" i="11"/>
  <c r="AE89" i="11"/>
  <c r="AG88" i="11"/>
  <c r="AE88" i="11"/>
  <c r="AB88" i="11"/>
  <c r="R88" i="11"/>
  <c r="AH88" i="11"/>
  <c r="X88" i="11"/>
  <c r="K88" i="11" s="1"/>
  <c r="L88" i="11" s="1"/>
  <c r="G88" i="11"/>
  <c r="H88" i="11" s="1"/>
  <c r="AG89" i="11" l="1"/>
  <c r="Y89" i="11"/>
  <c r="Z89" i="11"/>
  <c r="K89" i="11" s="1"/>
  <c r="L89" i="11" s="1"/>
  <c r="G89" i="11"/>
  <c r="H89" i="11"/>
  <c r="B91" i="11"/>
  <c r="C90" i="11"/>
  <c r="Z90" i="11" s="1"/>
  <c r="D90" i="11"/>
  <c r="E90" i="11"/>
  <c r="F90" i="11"/>
  <c r="N90" i="11"/>
  <c r="J90" i="11"/>
  <c r="V90" i="11"/>
  <c r="W90" i="11"/>
  <c r="AA90" i="11"/>
  <c r="Y90" i="11"/>
  <c r="AI90" i="11"/>
  <c r="AF90" i="11"/>
  <c r="S88" i="11"/>
  <c r="T88" i="11"/>
  <c r="AF89" i="11"/>
  <c r="S89" i="11" s="1"/>
  <c r="T89" i="11" s="1"/>
  <c r="AH89" i="11"/>
  <c r="AA89" i="11"/>
  <c r="O89" i="11"/>
  <c r="P89" i="11" s="1"/>
  <c r="R90" i="11" l="1"/>
  <c r="AE90" i="11"/>
  <c r="AD90" i="11"/>
  <c r="X90" i="11"/>
  <c r="K90" i="11"/>
  <c r="L90" i="11" s="1"/>
  <c r="AH90" i="11"/>
  <c r="AB90" i="11"/>
  <c r="O90" i="11" s="1"/>
  <c r="P90" i="11" s="1"/>
  <c r="AC90" i="11"/>
  <c r="G90" i="11"/>
  <c r="H90" i="11" s="1"/>
  <c r="C91" i="11"/>
  <c r="AB91" i="11" s="1"/>
  <c r="B92" i="11"/>
  <c r="E91" i="11"/>
  <c r="D91" i="11"/>
  <c r="F91" i="11"/>
  <c r="J91" i="11"/>
  <c r="N91" i="11"/>
  <c r="V91" i="11"/>
  <c r="W91" i="11"/>
  <c r="Y91" i="11"/>
  <c r="AC91" i="11"/>
  <c r="AD91" i="11"/>
  <c r="AA91" i="11"/>
  <c r="AG91" i="11"/>
  <c r="AI91" i="11"/>
  <c r="AE91" i="11"/>
  <c r="AG90" i="11"/>
  <c r="D92" i="11" l="1"/>
  <c r="AB92" i="11" s="1"/>
  <c r="C92" i="11"/>
  <c r="E92" i="11"/>
  <c r="B93" i="11"/>
  <c r="F92" i="11"/>
  <c r="N92" i="11"/>
  <c r="J92" i="11"/>
  <c r="W92" i="11"/>
  <c r="V92" i="11"/>
  <c r="Z92" i="11"/>
  <c r="Y92" i="11"/>
  <c r="X92" i="11"/>
  <c r="AI92" i="11"/>
  <c r="AF92" i="11"/>
  <c r="S90" i="11"/>
  <c r="T90" i="11" s="1"/>
  <c r="G91" i="11"/>
  <c r="H91" i="11" s="1"/>
  <c r="AF91" i="11"/>
  <c r="X91" i="11"/>
  <c r="K91" i="11" s="1"/>
  <c r="L91" i="11" s="1"/>
  <c r="AH91" i="11"/>
  <c r="Z91" i="11"/>
  <c r="R91" i="11"/>
  <c r="O91" i="11"/>
  <c r="P91" i="11" s="1"/>
  <c r="AH92" i="11" l="1"/>
  <c r="AG92" i="11"/>
  <c r="R92" i="11"/>
  <c r="AD92" i="11"/>
  <c r="H92" i="11"/>
  <c r="G92" i="11"/>
  <c r="AE92" i="11"/>
  <c r="AA92" i="11"/>
  <c r="AC92" i="11"/>
  <c r="O92" i="11" s="1"/>
  <c r="P92" i="11" s="1"/>
  <c r="C93" i="11"/>
  <c r="B94" i="11"/>
  <c r="D93" i="11"/>
  <c r="R93" i="11" s="1"/>
  <c r="E93" i="11"/>
  <c r="AF93" i="11" s="1"/>
  <c r="F93" i="11"/>
  <c r="J93" i="11"/>
  <c r="N93" i="11"/>
  <c r="V93" i="11"/>
  <c r="W93" i="11"/>
  <c r="Y93" i="11"/>
  <c r="Z93" i="11"/>
  <c r="AB93" i="11"/>
  <c r="AA93" i="11"/>
  <c r="AD93" i="11"/>
  <c r="X93" i="11"/>
  <c r="AG93" i="11"/>
  <c r="S91" i="11"/>
  <c r="T91" i="11"/>
  <c r="K92" i="11"/>
  <c r="L92" i="11"/>
  <c r="P93" i="11" l="1"/>
  <c r="O93" i="11"/>
  <c r="AI93" i="11"/>
  <c r="AC93" i="11"/>
  <c r="G93" i="11"/>
  <c r="H93" i="11" s="1"/>
  <c r="S92" i="11"/>
  <c r="T92" i="11" s="1"/>
  <c r="AE93" i="11"/>
  <c r="S93" i="11" s="1"/>
  <c r="T93" i="11" s="1"/>
  <c r="AH93" i="11"/>
  <c r="K93" i="11"/>
  <c r="L93" i="11" s="1"/>
  <c r="E94" i="11"/>
  <c r="AH94" i="11" s="1"/>
  <c r="C94" i="11"/>
  <c r="Z94" i="11" s="1"/>
  <c r="D94" i="11"/>
  <c r="AG94" i="11" s="1"/>
  <c r="B95" i="11"/>
  <c r="F94" i="11"/>
  <c r="N94" i="11"/>
  <c r="J94" i="11"/>
  <c r="W94" i="11"/>
  <c r="V94" i="11"/>
  <c r="X94" i="11"/>
  <c r="R94" i="11"/>
  <c r="AD94" i="11"/>
  <c r="Y94" i="11"/>
  <c r="AA94" i="11"/>
  <c r="AE94" i="11"/>
  <c r="G94" i="11" l="1"/>
  <c r="H94" i="11" s="1"/>
  <c r="AF94" i="11"/>
  <c r="AI94" i="11"/>
  <c r="AB94" i="11"/>
  <c r="AC94" i="11"/>
  <c r="O94" i="11"/>
  <c r="P94" i="11" s="1"/>
  <c r="C95" i="11"/>
  <c r="B96" i="11"/>
  <c r="E95" i="11"/>
  <c r="AH95" i="11" s="1"/>
  <c r="D95" i="11"/>
  <c r="AI95" i="11" s="1"/>
  <c r="F95" i="11"/>
  <c r="N95" i="11"/>
  <c r="J95" i="11"/>
  <c r="V95" i="11"/>
  <c r="W95" i="11"/>
  <c r="Z95" i="11"/>
  <c r="AA95" i="11"/>
  <c r="Y95" i="11"/>
  <c r="AB95" i="11"/>
  <c r="AD95" i="11"/>
  <c r="X95" i="11"/>
  <c r="AE95" i="11"/>
  <c r="T94" i="11"/>
  <c r="S94" i="11"/>
  <c r="K94" i="11"/>
  <c r="L94" i="11" s="1"/>
  <c r="AF95" i="11" l="1"/>
  <c r="K95" i="11"/>
  <c r="L95" i="11"/>
  <c r="AG95" i="11"/>
  <c r="R95" i="11"/>
  <c r="AC95" i="11"/>
  <c r="O95" i="11"/>
  <c r="P95" i="11" s="1"/>
  <c r="C96" i="11"/>
  <c r="AA96" i="11" s="1"/>
  <c r="B97" i="11"/>
  <c r="D96" i="11"/>
  <c r="AI96" i="11" s="1"/>
  <c r="E96" i="11"/>
  <c r="F96" i="11"/>
  <c r="N96" i="11"/>
  <c r="J96" i="11"/>
  <c r="V96" i="11"/>
  <c r="W96" i="11"/>
  <c r="AC96" i="11"/>
  <c r="X96" i="11"/>
  <c r="AD96" i="11"/>
  <c r="Y96" i="11"/>
  <c r="AF96" i="11"/>
  <c r="G95" i="11"/>
  <c r="H95" i="11" s="1"/>
  <c r="H96" i="11" l="1"/>
  <c r="G96" i="11"/>
  <c r="AG96" i="11"/>
  <c r="AB96" i="11"/>
  <c r="R96" i="11"/>
  <c r="AE96" i="11"/>
  <c r="AH96" i="11"/>
  <c r="Z96" i="11"/>
  <c r="K96" i="11" s="1"/>
  <c r="L96" i="11" s="1"/>
  <c r="P96" i="11"/>
  <c r="O96" i="11"/>
  <c r="E97" i="11"/>
  <c r="B98" i="11"/>
  <c r="C97" i="11"/>
  <c r="Z97" i="11" s="1"/>
  <c r="D97" i="11"/>
  <c r="F97" i="11"/>
  <c r="J97" i="11"/>
  <c r="N97" i="11"/>
  <c r="W97" i="11"/>
  <c r="V97" i="11"/>
  <c r="AA97" i="11"/>
  <c r="AD97" i="11"/>
  <c r="AI97" i="11"/>
  <c r="T95" i="11"/>
  <c r="S95" i="11"/>
  <c r="O97" i="11" l="1"/>
  <c r="P97" i="11" s="1"/>
  <c r="AF97" i="11"/>
  <c r="X97" i="11"/>
  <c r="AC97" i="11"/>
  <c r="S96" i="11"/>
  <c r="T96" i="11"/>
  <c r="AE97" i="11"/>
  <c r="AB97" i="11"/>
  <c r="Y97" i="11"/>
  <c r="K97" i="11"/>
  <c r="L97" i="11" s="1"/>
  <c r="D98" i="11"/>
  <c r="E98" i="11"/>
  <c r="C98" i="11"/>
  <c r="X98" i="11" s="1"/>
  <c r="B99" i="11"/>
  <c r="F98" i="11"/>
  <c r="J98" i="11"/>
  <c r="N98" i="11"/>
  <c r="V98" i="11"/>
  <c r="W98" i="11"/>
  <c r="Z98" i="11"/>
  <c r="AA98" i="11"/>
  <c r="AE98" i="11"/>
  <c r="AH97" i="11"/>
  <c r="AG97" i="11"/>
  <c r="R97" i="11"/>
  <c r="G97" i="11"/>
  <c r="H97" i="11"/>
  <c r="AG98" i="11" l="1"/>
  <c r="AC98" i="11"/>
  <c r="S97" i="11"/>
  <c r="T97" i="11" s="1"/>
  <c r="AH98" i="11"/>
  <c r="AI98" i="11"/>
  <c r="AD98" i="11"/>
  <c r="R98" i="11"/>
  <c r="E99" i="11"/>
  <c r="AE99" i="11" s="1"/>
  <c r="B100" i="11"/>
  <c r="D99" i="11"/>
  <c r="C99" i="11"/>
  <c r="Y99" i="11" s="1"/>
  <c r="F99" i="11"/>
  <c r="J99" i="11"/>
  <c r="N99" i="11"/>
  <c r="W99" i="11"/>
  <c r="V99" i="11"/>
  <c r="AD99" i="11"/>
  <c r="AA99" i="11"/>
  <c r="AB99" i="11"/>
  <c r="AC99" i="11"/>
  <c r="Z99" i="11"/>
  <c r="AI99" i="11"/>
  <c r="AH99" i="11"/>
  <c r="Y98" i="11"/>
  <c r="K98" i="11" s="1"/>
  <c r="L98" i="11" s="1"/>
  <c r="AF98" i="11"/>
  <c r="AB98" i="11"/>
  <c r="O98" i="11" s="1"/>
  <c r="P98" i="11" s="1"/>
  <c r="G98" i="11"/>
  <c r="H98" i="11" s="1"/>
  <c r="AF99" i="11" l="1"/>
  <c r="R99" i="11"/>
  <c r="K99" i="11"/>
  <c r="L99" i="11" s="1"/>
  <c r="B101" i="11"/>
  <c r="D100" i="11"/>
  <c r="E100" i="11"/>
  <c r="AF100" i="11" s="1"/>
  <c r="C100" i="11"/>
  <c r="F100" i="11"/>
  <c r="J100" i="11"/>
  <c r="N100" i="11"/>
  <c r="W100" i="11"/>
  <c r="V100" i="11"/>
  <c r="AC100" i="11"/>
  <c r="R100" i="11"/>
  <c r="Y100" i="11"/>
  <c r="Z100" i="11"/>
  <c r="AD100" i="11"/>
  <c r="AA100" i="11"/>
  <c r="X100" i="11"/>
  <c r="AB100" i="11"/>
  <c r="AI100" i="11"/>
  <c r="T98" i="11"/>
  <c r="S98" i="11"/>
  <c r="G99" i="11"/>
  <c r="H99" i="11"/>
  <c r="AG99" i="11"/>
  <c r="X99" i="11"/>
  <c r="O99" i="11"/>
  <c r="P99" i="11" s="1"/>
  <c r="AE100" i="11" l="1"/>
  <c r="O100" i="11"/>
  <c r="P100" i="11" s="1"/>
  <c r="AG100" i="11"/>
  <c r="AH100" i="11"/>
  <c r="K100" i="11"/>
  <c r="L100" i="11" s="1"/>
  <c r="S99" i="11"/>
  <c r="T99" i="11" s="1"/>
  <c r="S100" i="11"/>
  <c r="T100" i="11" s="1"/>
  <c r="G100" i="11"/>
  <c r="H100" i="11" s="1"/>
  <c r="C101" i="11"/>
  <c r="D101" i="11"/>
  <c r="AB101" i="11" s="1"/>
  <c r="B102" i="11"/>
  <c r="E101" i="11"/>
  <c r="F101" i="11"/>
  <c r="N101" i="11"/>
  <c r="J101" i="11"/>
  <c r="V101" i="11"/>
  <c r="W101" i="11"/>
  <c r="Y101" i="11"/>
  <c r="X101" i="11"/>
  <c r="R101" i="11"/>
  <c r="Z101" i="11"/>
  <c r="AF101" i="11"/>
  <c r="AE101" i="11"/>
  <c r="AG101" i="11" l="1"/>
  <c r="AD101" i="11"/>
  <c r="AH101" i="11"/>
  <c r="S101" i="11" s="1"/>
  <c r="T101" i="11" s="1"/>
  <c r="AC101" i="11"/>
  <c r="K101" i="11"/>
  <c r="L101" i="11"/>
  <c r="E102" i="11"/>
  <c r="AI102" i="11" s="1"/>
  <c r="C102" i="11"/>
  <c r="D102" i="11"/>
  <c r="R102" i="11" s="1"/>
  <c r="B103" i="11"/>
  <c r="F102" i="11"/>
  <c r="J102" i="11"/>
  <c r="N102" i="11"/>
  <c r="V102" i="11"/>
  <c r="W102" i="11"/>
  <c r="AB102" i="11"/>
  <c r="AA102" i="11"/>
  <c r="X102" i="11"/>
  <c r="Z102" i="11"/>
  <c r="Y102" i="11"/>
  <c r="AD102" i="11"/>
  <c r="AF102" i="11"/>
  <c r="AI101" i="11"/>
  <c r="AA101" i="11"/>
  <c r="G101" i="11"/>
  <c r="H101" i="11"/>
  <c r="P101" i="11"/>
  <c r="O101" i="11"/>
  <c r="AH102" i="11" l="1"/>
  <c r="AE102" i="11"/>
  <c r="AG102" i="11"/>
  <c r="S102" i="11" s="1"/>
  <c r="T102" i="11" s="1"/>
  <c r="AC102" i="11"/>
  <c r="L102" i="11"/>
  <c r="K102" i="11"/>
  <c r="C103" i="11"/>
  <c r="Y103" i="11" s="1"/>
  <c r="B104" i="11"/>
  <c r="E103" i="11"/>
  <c r="R103" i="11" s="1"/>
  <c r="D103" i="11"/>
  <c r="F103" i="11"/>
  <c r="N103" i="11"/>
  <c r="J103" i="11"/>
  <c r="V103" i="11"/>
  <c r="W103" i="11"/>
  <c r="AD103" i="11"/>
  <c r="AC103" i="11"/>
  <c r="Z103" i="11"/>
  <c r="X103" i="11"/>
  <c r="AF103" i="11"/>
  <c r="G102" i="11"/>
  <c r="H102" i="11" s="1"/>
  <c r="O102" i="11"/>
  <c r="P102" i="11" s="1"/>
  <c r="L103" i="11" l="1"/>
  <c r="K103" i="11"/>
  <c r="AE103" i="11"/>
  <c r="AG103" i="11"/>
  <c r="S103" i="11" s="1"/>
  <c r="T103" i="11" s="1"/>
  <c r="AA103" i="11"/>
  <c r="O103" i="11" s="1"/>
  <c r="P103" i="11" s="1"/>
  <c r="AB103" i="11"/>
  <c r="AI103" i="11"/>
  <c r="AH103" i="11"/>
  <c r="C104" i="11"/>
  <c r="D104" i="11"/>
  <c r="AD104" i="11" s="1"/>
  <c r="E104" i="11"/>
  <c r="AE104" i="11" s="1"/>
  <c r="B105" i="11"/>
  <c r="F104" i="11"/>
  <c r="J104" i="11"/>
  <c r="N104" i="11"/>
  <c r="W104" i="11"/>
  <c r="V104" i="11"/>
  <c r="AC104" i="11"/>
  <c r="AA104" i="11"/>
  <c r="Y104" i="11"/>
  <c r="Z104" i="11"/>
  <c r="X104" i="11"/>
  <c r="AH104" i="11"/>
  <c r="H103" i="11"/>
  <c r="G103" i="11"/>
  <c r="O104" i="11" l="1"/>
  <c r="P104" i="11" s="1"/>
  <c r="R104" i="11"/>
  <c r="AG104" i="11"/>
  <c r="AB104" i="11"/>
  <c r="E105" i="11"/>
  <c r="D105" i="11"/>
  <c r="AB105" i="11" s="1"/>
  <c r="B106" i="11"/>
  <c r="C105" i="11"/>
  <c r="F105" i="11"/>
  <c r="N105" i="11"/>
  <c r="J105" i="11"/>
  <c r="V105" i="11"/>
  <c r="W105" i="11"/>
  <c r="Z105" i="11"/>
  <c r="X105" i="11"/>
  <c r="Y105" i="11"/>
  <c r="AF105" i="11"/>
  <c r="AE105" i="11"/>
  <c r="AF104" i="11"/>
  <c r="K104" i="11"/>
  <c r="L104" i="11"/>
  <c r="AI104" i="11"/>
  <c r="G104" i="11"/>
  <c r="H104" i="11" s="1"/>
  <c r="AG105" i="11" l="1"/>
  <c r="AH105" i="11"/>
  <c r="AA105" i="11"/>
  <c r="O105" i="11" s="1"/>
  <c r="P105" i="11" s="1"/>
  <c r="AD105" i="11"/>
  <c r="K105" i="11"/>
  <c r="L105" i="11" s="1"/>
  <c r="B107" i="11"/>
  <c r="C106" i="11"/>
  <c r="D106" i="11"/>
  <c r="R106" i="11" s="1"/>
  <c r="E106" i="11"/>
  <c r="F106" i="11"/>
  <c r="J106" i="11"/>
  <c r="N106" i="11"/>
  <c r="V106" i="11"/>
  <c r="W106" i="11"/>
  <c r="Y106" i="11"/>
  <c r="Z106" i="11"/>
  <c r="AA106" i="11"/>
  <c r="X106" i="11"/>
  <c r="AI106" i="11"/>
  <c r="T104" i="11"/>
  <c r="S104" i="11"/>
  <c r="R105" i="11"/>
  <c r="G105" i="11"/>
  <c r="H105" i="11"/>
  <c r="AI105" i="11"/>
  <c r="AC105" i="11"/>
  <c r="AH106" i="11" l="1"/>
  <c r="D107" i="11"/>
  <c r="C107" i="11"/>
  <c r="Z107" i="11" s="1"/>
  <c r="B108" i="11"/>
  <c r="E107" i="11"/>
  <c r="F107" i="11"/>
  <c r="N107" i="11"/>
  <c r="J107" i="11"/>
  <c r="V107" i="11"/>
  <c r="W107" i="11"/>
  <c r="AC107" i="11"/>
  <c r="AB107" i="11"/>
  <c r="AA107" i="11"/>
  <c r="R107" i="11"/>
  <c r="AH107" i="11"/>
  <c r="AG107" i="11"/>
  <c r="AI107" i="11"/>
  <c r="AF106" i="11"/>
  <c r="AD106" i="11"/>
  <c r="AC106" i="11"/>
  <c r="AE106" i="11"/>
  <c r="S106" i="11" s="1"/>
  <c r="T106" i="11" s="1"/>
  <c r="AG106" i="11"/>
  <c r="AB106" i="11"/>
  <c r="O106" i="11" s="1"/>
  <c r="P106" i="11" s="1"/>
  <c r="K106" i="11"/>
  <c r="L106" i="11" s="1"/>
  <c r="S105" i="11"/>
  <c r="T105" i="11"/>
  <c r="G106" i="11"/>
  <c r="H106" i="11" s="1"/>
  <c r="AE107" i="11" l="1"/>
  <c r="X107" i="11"/>
  <c r="Y107" i="11"/>
  <c r="K107" i="11" s="1"/>
  <c r="L107" i="11" s="1"/>
  <c r="G107" i="11"/>
  <c r="H107" i="11" s="1"/>
  <c r="S107" i="11"/>
  <c r="T107" i="11" s="1"/>
  <c r="AF107" i="11"/>
  <c r="AD107" i="11"/>
  <c r="B109" i="11"/>
  <c r="D108" i="11"/>
  <c r="E108" i="11"/>
  <c r="C108" i="11"/>
  <c r="R108" i="11" s="1"/>
  <c r="F108" i="11"/>
  <c r="N108" i="11"/>
  <c r="J108" i="11"/>
  <c r="V108" i="11"/>
  <c r="W108" i="11"/>
  <c r="X108" i="11"/>
  <c r="AD108" i="11"/>
  <c r="AH108" i="11"/>
  <c r="O107" i="11"/>
  <c r="P107" i="11"/>
  <c r="AE108" i="11" l="1"/>
  <c r="S108" i="11" s="1"/>
  <c r="T108" i="11" s="1"/>
  <c r="AB108" i="11"/>
  <c r="AF108" i="11"/>
  <c r="Y108" i="11"/>
  <c r="AI108" i="11"/>
  <c r="AA108" i="11"/>
  <c r="AC108" i="11"/>
  <c r="O108" i="11" s="1"/>
  <c r="P108" i="11" s="1"/>
  <c r="G108" i="11"/>
  <c r="H108" i="11"/>
  <c r="C109" i="11"/>
  <c r="B110" i="11"/>
  <c r="D109" i="11"/>
  <c r="E109" i="11"/>
  <c r="AF109" i="11" s="1"/>
  <c r="F109" i="11"/>
  <c r="J109" i="11"/>
  <c r="N109" i="11"/>
  <c r="V109" i="11"/>
  <c r="W109" i="11"/>
  <c r="Z109" i="11"/>
  <c r="AA109" i="11"/>
  <c r="X109" i="11"/>
  <c r="AD109" i="11"/>
  <c r="R109" i="11"/>
  <c r="AB109" i="11"/>
  <c r="AC109" i="11"/>
  <c r="Y109" i="11"/>
  <c r="AG109" i="11"/>
  <c r="AI109" i="11"/>
  <c r="AE109" i="11"/>
  <c r="Z108" i="11"/>
  <c r="K108" i="11"/>
  <c r="L108" i="11" s="1"/>
  <c r="AG108" i="11"/>
  <c r="B111" i="11" l="1"/>
  <c r="C110" i="11"/>
  <c r="D110" i="11"/>
  <c r="AB110" i="11" s="1"/>
  <c r="E110" i="11"/>
  <c r="AI110" i="11" s="1"/>
  <c r="F110" i="11"/>
  <c r="J110" i="11"/>
  <c r="N110" i="11"/>
  <c r="W110" i="11"/>
  <c r="V110" i="11"/>
  <c r="Y110" i="11"/>
  <c r="AC110" i="11"/>
  <c r="AA110" i="11"/>
  <c r="X110" i="11"/>
  <c r="Z110" i="11"/>
  <c r="AD110" i="11"/>
  <c r="AG110" i="11"/>
  <c r="AH109" i="11"/>
  <c r="O109" i="11"/>
  <c r="P109" i="11" s="1"/>
  <c r="K109" i="11"/>
  <c r="L109" i="11"/>
  <c r="G109" i="11"/>
  <c r="H109" i="11" s="1"/>
  <c r="S109" i="11"/>
  <c r="T109" i="11" s="1"/>
  <c r="AF110" i="11" l="1"/>
  <c r="R110" i="11"/>
  <c r="O110" i="11"/>
  <c r="P110" i="11" s="1"/>
  <c r="AE110" i="11"/>
  <c r="AH110" i="11"/>
  <c r="L110" i="11"/>
  <c r="K110" i="11"/>
  <c r="G110" i="11"/>
  <c r="H110" i="11" s="1"/>
  <c r="C111" i="11"/>
  <c r="X111" i="11" s="1"/>
  <c r="B112" i="11"/>
  <c r="E111" i="11"/>
  <c r="D111" i="11"/>
  <c r="F111" i="11"/>
  <c r="N111" i="11"/>
  <c r="J111" i="11"/>
  <c r="V111" i="11"/>
  <c r="W111" i="11"/>
  <c r="AC111" i="11"/>
  <c r="AD111" i="11"/>
  <c r="AF111" i="11"/>
  <c r="AA111" i="11" l="1"/>
  <c r="O111" i="11" s="1"/>
  <c r="P111" i="11" s="1"/>
  <c r="Y111" i="11"/>
  <c r="AE111" i="11"/>
  <c r="AI111" i="11"/>
  <c r="Z111" i="11"/>
  <c r="R111" i="11"/>
  <c r="D112" i="11"/>
  <c r="AC112" i="11" s="1"/>
  <c r="C112" i="11"/>
  <c r="E112" i="11"/>
  <c r="AG112" i="11" s="1"/>
  <c r="B113" i="11"/>
  <c r="F112" i="11"/>
  <c r="N112" i="11"/>
  <c r="J112" i="11"/>
  <c r="V112" i="11"/>
  <c r="W112" i="11"/>
  <c r="Z112" i="11"/>
  <c r="AA112" i="11"/>
  <c r="Y112" i="11"/>
  <c r="AD112" i="11"/>
  <c r="X112" i="11"/>
  <c r="AI112" i="11"/>
  <c r="H111" i="11"/>
  <c r="G111" i="11"/>
  <c r="AH111" i="11"/>
  <c r="AB111" i="11"/>
  <c r="T110" i="11"/>
  <c r="S110" i="11"/>
  <c r="AG111" i="11"/>
  <c r="K111" i="11"/>
  <c r="L111" i="11"/>
  <c r="AF112" i="11" l="1"/>
  <c r="R112" i="11"/>
  <c r="AB112" i="11"/>
  <c r="O112" i="11" s="1"/>
  <c r="P112" i="11" s="1"/>
  <c r="D113" i="11"/>
  <c r="C113" i="11"/>
  <c r="AA113" i="11" s="1"/>
  <c r="E113" i="11"/>
  <c r="F113" i="11"/>
  <c r="J113" i="11"/>
  <c r="N113" i="11"/>
  <c r="V113" i="11"/>
  <c r="W113" i="11"/>
  <c r="AD113" i="11"/>
  <c r="R113" i="11"/>
  <c r="X113" i="11"/>
  <c r="Y113" i="11"/>
  <c r="AB113" i="11"/>
  <c r="AC113" i="11"/>
  <c r="AG113" i="11"/>
  <c r="AH113" i="11"/>
  <c r="AI113" i="11"/>
  <c r="AF113" i="11"/>
  <c r="AE113" i="11"/>
  <c r="K112" i="11"/>
  <c r="L112" i="11" s="1"/>
  <c r="AE112" i="11"/>
  <c r="AH112" i="11"/>
  <c r="S111" i="11"/>
  <c r="T111" i="11" s="1"/>
  <c r="G112" i="11"/>
  <c r="H112" i="11" s="1"/>
  <c r="G113" i="11" l="1"/>
  <c r="H113" i="11" s="1"/>
  <c r="Z113" i="11"/>
  <c r="K113" i="11" s="1"/>
  <c r="L113" i="11" s="1"/>
  <c r="S113" i="11"/>
  <c r="T113" i="11" s="1"/>
  <c r="S112" i="11"/>
  <c r="T112" i="11" s="1"/>
  <c r="O113" i="11"/>
  <c r="P113" i="1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Z53" authorId="0" shapeId="0">
      <text>
        <r>
          <rPr>
            <sz val="8"/>
            <color indexed="81"/>
            <rFont val="Tahoma"/>
            <family val="2"/>
          </rPr>
          <t>This compares the residuals of the linear and quadratic regressions.  If significant, then quadratic is the preferred model.</t>
        </r>
      </text>
    </comment>
    <comment ref="AI53" authorId="0" shapeId="0">
      <text>
        <r>
          <rPr>
            <sz val="8"/>
            <color indexed="81"/>
            <rFont val="Tahoma"/>
            <family val="2"/>
          </rPr>
          <t>This compares the residuals of the quadratic and cubic regressions.  If significant, then cubic is the preferred model.</t>
        </r>
      </text>
    </comment>
    <comment ref="BL53" authorId="0" shapeId="0">
      <text>
        <r>
          <rPr>
            <sz val="8"/>
            <color indexed="81"/>
            <rFont val="Tahoma"/>
            <family val="2"/>
          </rPr>
          <t>This compares the residuals of the quadratic and cubic regressions.  If significant, then cubic is the preferred model.</t>
        </r>
      </text>
    </comment>
    <comment ref="Z56" authorId="0" shapeId="0">
      <text>
        <r>
          <rPr>
            <sz val="8"/>
            <color indexed="81"/>
            <rFont val="Tahoma"/>
            <family val="2"/>
          </rPr>
          <t>Comparing the Linear and Quadratic solutions.
Q --&gt; quadratic is better
L --&gt; linear is better model</t>
        </r>
      </text>
    </comment>
    <comment ref="AI56" authorId="0" shapeId="0">
      <text>
        <r>
          <rPr>
            <sz val="8"/>
            <color indexed="81"/>
            <rFont val="Tahoma"/>
            <family val="2"/>
          </rPr>
          <t>Comparing the Quadratic and Cubic solutions</t>
        </r>
      </text>
    </comment>
    <comment ref="BL56" authorId="0" shapeId="0">
      <text>
        <r>
          <rPr>
            <sz val="8"/>
            <color indexed="81"/>
            <rFont val="Tahoma"/>
            <family val="2"/>
          </rPr>
          <t>Comparing the Cubic and Quartic solutions</t>
        </r>
      </text>
    </comment>
  </commentList>
</comments>
</file>

<file path=xl/sharedStrings.xml><?xml version="1.0" encoding="utf-8"?>
<sst xmlns="http://schemas.openxmlformats.org/spreadsheetml/2006/main" count="530" uniqueCount="319">
  <si>
    <t>Purpose</t>
  </si>
  <si>
    <t>This worksheet supports linear, quadratic, cubic, and quartic regression models:</t>
  </si>
  <si>
    <t>Linear: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</si>
  <si>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x+ </t>
    </r>
    <r>
      <rPr>
        <b/>
        <sz val="12"/>
        <rFont val="Symbol"/>
        <family val="1"/>
        <charset val="2"/>
      </rPr>
      <t>e</t>
    </r>
  </si>
  <si>
    <t>Quadratic: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</si>
  <si>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e</t>
    </r>
  </si>
  <si>
    <t>Cubic: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</si>
  <si>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+</t>
    </r>
    <r>
      <rPr>
        <b/>
        <sz val="12"/>
        <rFont val="Symbol"/>
        <family val="1"/>
        <charset val="2"/>
      </rPr>
      <t>e</t>
    </r>
  </si>
  <si>
    <t>Quartic: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</si>
  <si>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+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e</t>
    </r>
  </si>
  <si>
    <t>The inputs are:</t>
  </si>
  <si>
    <t>x</t>
  </si>
  <si>
    <t>the concentration of the certified calibration standard</t>
  </si>
  <si>
    <t>y</t>
  </si>
  <si>
    <t>the measured instrument response</t>
  </si>
  <si>
    <t>e</t>
  </si>
  <si>
    <t>a random effect due to variation of influence quantities</t>
  </si>
  <si>
    <r>
      <t>It is assumed that the concentrations of the calibration standards (</t>
    </r>
    <r>
      <rPr>
        <b/>
        <sz val="12"/>
        <rFont val="Arial"/>
        <family val="2"/>
      </rPr>
      <t>x</t>
    </r>
    <r>
      <rPr>
        <sz val="12"/>
        <rFont val="Arial"/>
        <family val="2"/>
      </rPr>
      <t>) have negligible uncertainties.</t>
    </r>
  </si>
  <si>
    <r>
      <t>The output quantities are estimated parameters (</t>
    </r>
    <r>
      <rPr>
        <b/>
        <sz val="12"/>
        <rFont val="Symbol"/>
        <family val="1"/>
        <charset val="2"/>
      </rPr>
      <t>b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>) and related uncertainties.</t>
    </r>
  </si>
  <si>
    <t>The workbook then helps the user perform the following functions:</t>
  </si>
  <si>
    <t>-</t>
  </si>
  <si>
    <t>determine which model (linear, quadratic, etc.) is best.</t>
  </si>
  <si>
    <t>determine whether zero and span responses are acceptable.</t>
  </si>
  <si>
    <t>analyzed on the same day as the initial calibration or a subsequent day</t>
  </si>
  <si>
    <t>Warning</t>
  </si>
  <si>
    <t>EPA discourages the use of cubic and quartic models and believes that better fits of the data</t>
  </si>
  <si>
    <t>can be obtained by performing multipoint calibrations over more limited concentration ranges</t>
  </si>
  <si>
    <t>and by using straight-line or quadratic models.  Inclusion of cubic and quartic models in the</t>
  </si>
  <si>
    <t>spreadsheet is for experimental use or for situations in which there is a theoretical basis for</t>
  </si>
  <si>
    <t>the use of such higher-order models.  Analysts should be aware that apparent higher-order</t>
  </si>
  <si>
    <t>calibration curves may be caused by artifacts such as inaccurate reference standards or</t>
  </si>
  <si>
    <t>leaks in a gas dilution system.  They should not use higher-order regression models to fit</t>
  </si>
  <si>
    <t>multipoint calibration data that have inadequate precision and that should be fitted to lower-</t>
  </si>
  <si>
    <t>order regression models.  If analysts suspect that precision is inadequate, they should make</t>
  </si>
  <si>
    <t>replicate measurements at each different concentration.  Additionally, a multipoint calibration</t>
  </si>
  <si>
    <t>should not change regression model orders from one month to the next.</t>
  </si>
  <si>
    <t>Organization</t>
  </si>
  <si>
    <t>The workbook consists of several worksheets, which are displayed as tabs at the bottom of</t>
  </si>
  <si>
    <t>the screen.  The functions of these worksheets are described below:</t>
  </si>
  <si>
    <r>
      <t>ReadMe</t>
    </r>
    <r>
      <rPr>
        <sz val="12"/>
        <rFont val="Arial"/>
        <family val="2"/>
      </rPr>
      <t xml:space="preserve"> (this sheet) - describes the workbook, explaining how to use the worksheets</t>
    </r>
  </si>
  <si>
    <r>
      <t>Measurement Data</t>
    </r>
    <r>
      <rPr>
        <sz val="12"/>
        <rFont val="Arial"/>
        <family val="2"/>
      </rPr>
      <t xml:space="preserve"> - allows for user input of calibration and other analytical data</t>
    </r>
  </si>
  <si>
    <r>
      <t>Curves 1</t>
    </r>
    <r>
      <rPr>
        <sz val="12"/>
        <rFont val="Arial"/>
        <family val="2"/>
      </rPr>
      <t xml:space="preserve"> - displays the calibration data, the best-fit line, and expanded uncertainties.</t>
    </r>
  </si>
  <si>
    <r>
      <t>Residuals 1</t>
    </r>
    <r>
      <rPr>
        <sz val="12"/>
        <rFont val="Arial"/>
        <family val="2"/>
      </rPr>
      <t xml:space="preserve"> - displays the difference between the observed responses and those</t>
    </r>
  </si>
  <si>
    <t>estimated by the best-fit calibration line.</t>
  </si>
  <si>
    <r>
      <t>Curves 2</t>
    </r>
    <r>
      <rPr>
        <sz val="12"/>
        <rFont val="Arial"/>
        <family val="2"/>
      </rPr>
      <t xml:space="preserve"> - displays the calibration data, the best-fit quadratic curve, and</t>
    </r>
  </si>
  <si>
    <t>expanded uncertainties.</t>
  </si>
  <si>
    <r>
      <t>Residuals 2</t>
    </r>
    <r>
      <rPr>
        <sz val="12"/>
        <rFont val="Arial"/>
        <family val="2"/>
      </rPr>
      <t xml:space="preserve"> - displays the difference between the observed responses and those</t>
    </r>
  </si>
  <si>
    <t>estimated by the best-fit quadratic regression line.</t>
  </si>
  <si>
    <r>
      <t>Curves 3</t>
    </r>
    <r>
      <rPr>
        <sz val="12"/>
        <rFont val="Arial"/>
        <family val="2"/>
      </rPr>
      <t xml:space="preserve"> - displays the calibration data, the best-fit cubic curve, and</t>
    </r>
  </si>
  <si>
    <r>
      <t>Residuals 3</t>
    </r>
    <r>
      <rPr>
        <sz val="12"/>
        <rFont val="Arial"/>
        <family val="2"/>
      </rPr>
      <t xml:space="preserve"> - displays the difference between the observed responses and those</t>
    </r>
  </si>
  <si>
    <t>estimated by the best fit cubic regression line.</t>
  </si>
  <si>
    <r>
      <t>Curves 4</t>
    </r>
    <r>
      <rPr>
        <sz val="12"/>
        <rFont val="Arial"/>
        <family val="2"/>
      </rPr>
      <t xml:space="preserve"> - displays the calibration data, the best-fit quartic curve, and</t>
    </r>
  </si>
  <si>
    <r>
      <t>Residuals 4</t>
    </r>
    <r>
      <rPr>
        <sz val="12"/>
        <rFont val="Arial"/>
        <family val="2"/>
      </rPr>
      <t xml:space="preserve"> - displays the difference between the observed responses and those</t>
    </r>
  </si>
  <si>
    <t>estimated by the best-fit quartic regression line.</t>
  </si>
  <si>
    <r>
      <t>Chart Data</t>
    </r>
    <r>
      <rPr>
        <sz val="12"/>
        <rFont val="Arial"/>
        <family val="2"/>
      </rPr>
      <t xml:space="preserve"> - includes the data used to create the Curves and Residuals charts</t>
    </r>
  </si>
  <si>
    <t>Conventions</t>
  </si>
  <si>
    <t>steps in its use.  The worksheet is also color coded to simplify use.  Shaded cells that are</t>
  </si>
  <si>
    <t>bordered in blue lines are for input of data.  These cells are unprotected, but all other cells of</t>
  </si>
  <si>
    <r>
      <t xml:space="preserve">workbook is cell </t>
    </r>
    <r>
      <rPr>
        <b/>
        <sz val="12"/>
        <rFont val="Arial"/>
        <family val="2"/>
      </rPr>
      <t>F4</t>
    </r>
    <r>
      <rPr>
        <sz val="12"/>
        <rFont val="Arial"/>
        <family val="2"/>
      </rPr>
      <t xml:space="preserve"> of the </t>
    </r>
    <r>
      <rPr>
        <b/>
        <sz val="12"/>
        <rFont val="Arial"/>
        <family val="2"/>
      </rPr>
      <t>Chart Data</t>
    </r>
    <r>
      <rPr>
        <sz val="12"/>
        <rFont val="Arial"/>
        <family val="2"/>
      </rPr>
      <t xml:space="preserve"> worksheet.  That cell controls the approximate level of</t>
    </r>
  </si>
  <si>
    <r>
      <t>confidence associated with the expanded uncertainties displayed in the "</t>
    </r>
    <r>
      <rPr>
        <b/>
        <sz val="12"/>
        <rFont val="Arial"/>
        <family val="2"/>
      </rPr>
      <t xml:space="preserve">Curves" </t>
    </r>
    <r>
      <rPr>
        <sz val="12"/>
        <rFont val="Arial"/>
        <family val="2"/>
      </rPr>
      <t xml:space="preserve">charts. </t>
    </r>
  </si>
  <si>
    <t>Derived values and statements are colored red.  These cells contain formulas and are</t>
  </si>
  <si>
    <t xml:space="preserve">protected to prevent alteration. </t>
  </si>
  <si>
    <t xml:space="preserve">Spreadsheet background colors indicate the order of the polynomial supported by the </t>
  </si>
  <si>
    <t xml:space="preserve">calculations in the area.  </t>
  </si>
  <si>
    <t>Light green is used for the linear model.</t>
  </si>
  <si>
    <t>Yellow is used for the quadratic model.</t>
  </si>
  <si>
    <t>Gray color is used for the cubic model.</t>
  </si>
  <si>
    <t>Light blue is used for the quartic model.</t>
  </si>
  <si>
    <t>Use</t>
  </si>
  <si>
    <t>The Measurement Data worksheet guides the user through six steps.</t>
  </si>
  <si>
    <t>STEP 1</t>
  </si>
  <si>
    <t>Enter Calibration Data</t>
  </si>
  <si>
    <t>In this step, up to 50 calibration points may be entered.  Each calibration point has two parts, the</t>
  </si>
  <si>
    <t>certified concentration of the calibration gas standard and the instrument response when testing</t>
  </si>
  <si>
    <t>the standard.  These values are entered in two columns.  The spreadsheet performs</t>
  </si>
  <si>
    <t>computations in cloumns I through P (linear), Q through X (quadratic), Y through AZ (cubic), and BA</t>
  </si>
  <si>
    <t>and above (quartic).</t>
  </si>
  <si>
    <t>STEP 2</t>
  </si>
  <si>
    <t>Review the Parameter Estimates</t>
  </si>
  <si>
    <r>
      <t>In this step, the user reviews the estimates of the intercepts (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), slopes (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) and other</t>
    </r>
  </si>
  <si>
    <r>
      <t>parameters (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, 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, and 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 for the four models, examines their expanded uncertainties and the</t>
    </r>
  </si>
  <si>
    <r>
      <t>overall uncertainty of the fit (</t>
    </r>
    <r>
      <rPr>
        <i/>
        <sz val="12"/>
        <rFont val="Arial"/>
        <family val="2"/>
      </rPr>
      <t>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).  The result of an F test indicates which of the models is best.  The </t>
    </r>
  </si>
  <si>
    <t xml:space="preserve">linear model is recommended unless the quadratic or higher order model significantly reduces </t>
  </si>
  <si>
    <t>the residual error.</t>
  </si>
  <si>
    <t>STEP 3</t>
  </si>
  <si>
    <t>Review the Charts</t>
  </si>
  <si>
    <t>In this step, the user reviews the charts named Curves 1, Residuals 1, Curves 2, Residuals 2, etc.</t>
  </si>
  <si>
    <t>These charts help the user understand why one model performs better than the other.</t>
  </si>
  <si>
    <t>STEP 4</t>
  </si>
  <si>
    <t>Assess Magnitude of Uncertainty</t>
  </si>
  <si>
    <t>Reference: Appendix A, EPA Traceability Protocol Assay and Certification of Gaseous</t>
  </si>
  <si>
    <t>Calibration Standards, USEPA, 1997.</t>
  </si>
  <si>
    <t>Calculations - Linear Model</t>
  </si>
  <si>
    <t>Calculations - Quadratic Model</t>
  </si>
  <si>
    <t>Calculations - Cubic Model</t>
  </si>
  <si>
    <t>Calculations - Quartic Model</t>
  </si>
  <si>
    <t>Enter the calibration data in the shaded spaces below.  The first column (i)</t>
  </si>
  <si>
    <t xml:space="preserve">simply counts the calibration points that you enter.  The second column (X) is </t>
  </si>
  <si>
    <t>for the certified concentrations of the calibration gas standards.  The third</t>
  </si>
  <si>
    <t>column (Y) is for the instrument responses corresponding to the calibration</t>
  </si>
  <si>
    <t>standards.  The number of points cannot exceed 50.</t>
  </si>
  <si>
    <t>i</t>
  </si>
  <si>
    <r>
      <t>X</t>
    </r>
    <r>
      <rPr>
        <b/>
        <vertAlign val="subscript"/>
        <sz val="12"/>
        <rFont val="Arial"/>
        <family val="2"/>
      </rPr>
      <t>i</t>
    </r>
  </si>
  <si>
    <r>
      <t>Y</t>
    </r>
    <r>
      <rPr>
        <b/>
        <vertAlign val="subscript"/>
        <sz val="12"/>
        <rFont val="Arial"/>
        <family val="2"/>
      </rPr>
      <t>i</t>
    </r>
  </si>
  <si>
    <t>Color Code</t>
  </si>
  <si>
    <t>X'X</t>
  </si>
  <si>
    <r>
      <t>X</t>
    </r>
    <r>
      <rPr>
        <vertAlign val="superscript"/>
        <sz val="12"/>
        <rFont val="Arial"/>
        <family val="2"/>
      </rPr>
      <t>2</t>
    </r>
  </si>
  <si>
    <r>
      <t>X</t>
    </r>
    <r>
      <rPr>
        <vertAlign val="superscript"/>
        <sz val="12"/>
        <rFont val="Arial"/>
        <family val="2"/>
      </rPr>
      <t>3</t>
    </r>
  </si>
  <si>
    <r>
      <t>X</t>
    </r>
    <r>
      <rPr>
        <vertAlign val="superscript"/>
        <sz val="12"/>
        <rFont val="Arial"/>
        <family val="2"/>
      </rPr>
      <t>4</t>
    </r>
  </si>
  <si>
    <t>red = derived value (protected)</t>
  </si>
  <si>
    <t>blue = entered value (unprotected)</t>
  </si>
  <si>
    <t>Det(X'X)</t>
  </si>
  <si>
    <t>black = fixed text (protected)</t>
  </si>
  <si>
    <t>X'Xinverse</t>
  </si>
  <si>
    <t>X'Y</t>
  </si>
  <si>
    <t>b</t>
  </si>
  <si>
    <t>b'</t>
  </si>
  <si>
    <t>Y'Y</t>
  </si>
  <si>
    <t>df</t>
  </si>
  <si>
    <t>t(0.95)</t>
  </si>
  <si>
    <t>t(0.95,df)</t>
  </si>
  <si>
    <t>b'X'Y = SSmodel</t>
  </si>
  <si>
    <t>SSregression</t>
  </si>
  <si>
    <t>SSresidual</t>
  </si>
  <si>
    <r>
      <t>s</t>
    </r>
    <r>
      <rPr>
        <vertAlign val="superscript"/>
        <sz val="12"/>
        <rFont val="Arial"/>
        <family val="2"/>
      </rPr>
      <t>2</t>
    </r>
  </si>
  <si>
    <t>Fcrit(0.05)</t>
  </si>
  <si>
    <t>Var-Covar</t>
  </si>
  <si>
    <t>F</t>
  </si>
  <si>
    <t>n</t>
  </si>
  <si>
    <t>Preferred Model</t>
  </si>
  <si>
    <r>
      <t>Review the estimates of the parameters (</t>
    </r>
    <r>
      <rPr>
        <b/>
        <sz val="12"/>
        <rFont val="Arial"/>
        <family val="2"/>
      </rPr>
      <t>b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b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, …)</t>
    </r>
  </si>
  <si>
    <t>for the linear and quadratic models, their expanded</t>
  </si>
  <si>
    <r>
      <t>uncertainties and the overall uncertainty of the fit (</t>
    </r>
    <r>
      <rPr>
        <i/>
        <sz val="12"/>
        <rFont val="Arial"/>
        <family val="2"/>
      </rPr>
      <t>u</t>
    </r>
    <r>
      <rPr>
        <b/>
        <vertAlign val="superscript"/>
        <sz val="12"/>
        <rFont val="Arial"/>
        <family val="2"/>
      </rPr>
      <t>2</t>
    </r>
    <r>
      <rPr>
        <sz val="12"/>
        <rFont val="Arial"/>
        <family val="2"/>
      </rPr>
      <t>).</t>
    </r>
  </si>
  <si>
    <t>The approximate level of confidence</t>
  </si>
  <si>
    <t>Linear Model</t>
  </si>
  <si>
    <t>Expanded Uncertainty</t>
  </si>
  <si>
    <t>associated with the expanded</t>
  </si>
  <si>
    <t>parameter</t>
  </si>
  <si>
    <t>estimate</t>
  </si>
  <si>
    <t>lower</t>
  </si>
  <si>
    <t>upper</t>
  </si>
  <si>
    <t>uncertainties is 95%.</t>
  </si>
  <si>
    <r>
      <t>b</t>
    </r>
    <r>
      <rPr>
        <vertAlign val="subscript"/>
        <sz val="14"/>
        <rFont val="Arial"/>
        <family val="2"/>
      </rPr>
      <t>0</t>
    </r>
    <r>
      <rPr>
        <sz val="12"/>
        <rFont val="Arial"/>
        <family val="2"/>
      </rPr>
      <t xml:space="preserve"> =</t>
    </r>
  </si>
  <si>
    <r>
      <t>b</t>
    </r>
    <r>
      <rPr>
        <vertAlign val="subscript"/>
        <sz val="14"/>
        <rFont val="Arial"/>
        <family val="2"/>
      </rPr>
      <t>1</t>
    </r>
    <r>
      <rPr>
        <sz val="12"/>
        <rFont val="Arial"/>
        <family val="2"/>
      </rPr>
      <t xml:space="preserve"> =</t>
    </r>
  </si>
  <si>
    <t>The corresponding intervals take the form</t>
  </si>
  <si>
    <r>
      <t>s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=</t>
    </r>
  </si>
  <si>
    <t>estimate +/- t*u, where:</t>
  </si>
  <si>
    <t>s =</t>
  </si>
  <si>
    <t>estimate is the quantity of interest,</t>
  </si>
  <si>
    <t>df =</t>
  </si>
  <si>
    <t>u is its uncertainty, and</t>
  </si>
  <si>
    <t>t =</t>
  </si>
  <si>
    <t>t is a coverage factor.</t>
  </si>
  <si>
    <t>Quadratic Model</t>
  </si>
  <si>
    <t>For each model,</t>
  </si>
  <si>
    <t>the coverage factor, t, is</t>
  </si>
  <si>
    <t>determined from the t-distribution</t>
  </si>
  <si>
    <t>with appropriate degrees of</t>
  </si>
  <si>
    <r>
      <t>b</t>
    </r>
    <r>
      <rPr>
        <vertAlign val="subscript"/>
        <sz val="14"/>
        <rFont val="Arial"/>
        <family val="2"/>
      </rPr>
      <t>2</t>
    </r>
    <r>
      <rPr>
        <sz val="12"/>
        <rFont val="Arial"/>
        <family val="2"/>
      </rPr>
      <t xml:space="preserve"> =</t>
    </r>
  </si>
  <si>
    <t>freedom (df).</t>
  </si>
  <si>
    <t>Note that the uncertainties are not</t>
  </si>
  <si>
    <t>displayed, but can easily be</t>
  </si>
  <si>
    <t>derived from the estimate, expanded</t>
  </si>
  <si>
    <t>uncertainty, and the coverage factor.</t>
  </si>
  <si>
    <t>Comparing the two models:</t>
  </si>
  <si>
    <t>F ratio =</t>
  </si>
  <si>
    <t>F critical =</t>
  </si>
  <si>
    <t>(5% significance level)</t>
  </si>
  <si>
    <t>If cubic or quartic models are supported by compelling</t>
  </si>
  <si>
    <t>scientific theory or data, then review the following estimates</t>
  </si>
  <si>
    <r>
      <t xml:space="preserve">for those models.  Otherwise, </t>
    </r>
    <r>
      <rPr>
        <b/>
        <u/>
        <sz val="12"/>
        <rFont val="Arial"/>
        <family val="2"/>
      </rPr>
      <t>go to Step 3</t>
    </r>
    <r>
      <rPr>
        <sz val="12"/>
        <rFont val="Arial"/>
        <family val="2"/>
      </rPr>
      <t xml:space="preserve">. </t>
    </r>
  </si>
  <si>
    <t>Cubic Model</t>
  </si>
  <si>
    <t>See above notes on calculation</t>
  </si>
  <si>
    <t>of expanded uncertainties.</t>
  </si>
  <si>
    <r>
      <t>b</t>
    </r>
    <r>
      <rPr>
        <vertAlign val="subscript"/>
        <sz val="14"/>
        <rFont val="Arial"/>
        <family val="2"/>
      </rPr>
      <t>3</t>
    </r>
    <r>
      <rPr>
        <sz val="12"/>
        <rFont val="Arial"/>
        <family val="2"/>
      </rPr>
      <t xml:space="preserve"> =</t>
    </r>
  </si>
  <si>
    <t>Comparing quadratic and cubic models:</t>
  </si>
  <si>
    <t>Quartic Model</t>
  </si>
  <si>
    <r>
      <t>b</t>
    </r>
    <r>
      <rPr>
        <vertAlign val="subscript"/>
        <sz val="14"/>
        <rFont val="Arial"/>
        <family val="2"/>
      </rPr>
      <t>4</t>
    </r>
    <r>
      <rPr>
        <sz val="12"/>
        <rFont val="Arial"/>
        <family val="2"/>
      </rPr>
      <t xml:space="preserve"> =</t>
    </r>
  </si>
  <si>
    <t xml:space="preserve">F ratio = </t>
  </si>
  <si>
    <r>
      <t xml:space="preserve">View the charts named </t>
    </r>
    <r>
      <rPr>
        <b/>
        <sz val="12"/>
        <rFont val="Arial"/>
        <family val="2"/>
      </rPr>
      <t>Curves 1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Residuals 1</t>
    </r>
    <r>
      <rPr>
        <sz val="12"/>
        <rFont val="Arial"/>
        <family val="2"/>
      </rPr>
      <t xml:space="preserve">.  </t>
    </r>
    <r>
      <rPr>
        <b/>
        <sz val="12"/>
        <rFont val="Arial"/>
        <family val="2"/>
      </rPr>
      <t>Curves 1</t>
    </r>
    <r>
      <rPr>
        <sz val="12"/>
        <rFont val="Arial"/>
        <family val="2"/>
      </rPr>
      <t xml:space="preserve"> shows bands</t>
    </r>
  </si>
  <si>
    <t>illustrating expanded uncertainties for the estimated regression.  Compare these</t>
  </si>
  <si>
    <r>
      <t xml:space="preserve">bands with those of the quadratic regression, </t>
    </r>
    <r>
      <rPr>
        <b/>
        <sz val="12"/>
        <rFont val="Arial"/>
        <family val="2"/>
      </rPr>
      <t>Curves 2</t>
    </r>
    <r>
      <rPr>
        <sz val="12"/>
        <rFont val="Arial"/>
        <family val="2"/>
      </rPr>
      <t>.</t>
    </r>
  </si>
  <si>
    <t>(Note: You can change the associated approximate confidence level by</t>
  </si>
  <si>
    <r>
      <t xml:space="preserve">changing the "p-value" in cell F4 of the worksheet named </t>
    </r>
    <r>
      <rPr>
        <b/>
        <i/>
        <sz val="12"/>
        <rFont val="Arial"/>
        <family val="2"/>
      </rPr>
      <t>Chart Data</t>
    </r>
    <r>
      <rPr>
        <i/>
        <sz val="12"/>
        <rFont val="Arial"/>
        <family val="2"/>
      </rPr>
      <t>.)</t>
    </r>
  </si>
  <si>
    <r>
      <t>Residuals 1</t>
    </r>
    <r>
      <rPr>
        <sz val="12"/>
        <rFont val="Arial"/>
        <family val="2"/>
      </rPr>
      <t xml:space="preserve"> shows how the calibration points deviated from the calibration</t>
    </r>
  </si>
  <si>
    <t>line.  Look for a simple pattern (such as a quadratic curve) in the chart.  If</t>
  </si>
  <si>
    <r>
      <t xml:space="preserve">such a pattern appears, the quadratic model may be better.  View </t>
    </r>
    <r>
      <rPr>
        <b/>
        <sz val="12"/>
        <rFont val="Arial"/>
        <family val="2"/>
      </rPr>
      <t>Residual 2</t>
    </r>
    <r>
      <rPr>
        <sz val="12"/>
        <rFont val="Arial"/>
        <family val="2"/>
      </rPr>
      <t>,</t>
    </r>
  </si>
  <si>
    <r>
      <t xml:space="preserve">the deviations from the best- fit quadratic curve.  If </t>
    </r>
    <r>
      <rPr>
        <b/>
        <sz val="12"/>
        <rFont val="Arial"/>
        <family val="2"/>
      </rPr>
      <t>Residual 2</t>
    </r>
    <r>
      <rPr>
        <sz val="12"/>
        <rFont val="Arial"/>
        <family val="2"/>
      </rPr>
      <t xml:space="preserve"> effectively</t>
    </r>
  </si>
  <si>
    <r>
      <t xml:space="preserve">removes the simple pattern observed in </t>
    </r>
    <r>
      <rPr>
        <b/>
        <sz val="12"/>
        <rFont val="Arial"/>
        <family val="2"/>
      </rPr>
      <t>Residual 1</t>
    </r>
    <r>
      <rPr>
        <sz val="12"/>
        <rFont val="Arial"/>
        <family val="2"/>
      </rPr>
      <t xml:space="preserve"> and if the magnitude of</t>
    </r>
  </si>
  <si>
    <t>the deviations has been significantly reduced (as evidenced by a reduction</t>
  </si>
  <si>
    <r>
      <t>in the uncertainty u</t>
    </r>
    <r>
      <rPr>
        <b/>
        <vertAlign val="superscript"/>
        <sz val="12"/>
        <rFont val="Arial"/>
        <family val="2"/>
      </rPr>
      <t>2</t>
    </r>
    <r>
      <rPr>
        <sz val="12"/>
        <rFont val="Arial"/>
        <family val="2"/>
      </rPr>
      <t>), then the quadratic model is superior.  An F-test can be</t>
    </r>
  </si>
  <si>
    <t>run to determine if the two overall uncertainties of fit are significantly different.</t>
  </si>
  <si>
    <t>F =</t>
  </si>
  <si>
    <t>Prob. of greater F =</t>
  </si>
  <si>
    <t>xb</t>
  </si>
  <si>
    <t>x'V</t>
  </si>
  <si>
    <t>x'Vx</t>
  </si>
  <si>
    <t>Estimate</t>
  </si>
  <si>
    <t>Lower</t>
  </si>
  <si>
    <t>Upper</t>
  </si>
  <si>
    <t>This sheet contains the chart data.  The chart data include initial calibration data and the</t>
  </si>
  <si>
    <t>regression information derived from those data.</t>
  </si>
  <si>
    <t>Only the initial calibration data (Step 1 in Measurement Data worksheet) are included.</t>
  </si>
  <si>
    <t>Recalibration data (Step 6) are not included.</t>
  </si>
  <si>
    <t>= Confidence Level for Plotting Confidence Bands</t>
  </si>
  <si>
    <t>= minimum concentration</t>
  </si>
  <si>
    <t>= t for linear model</t>
  </si>
  <si>
    <t>= maximum concentration</t>
  </si>
  <si>
    <t>= t for quadratic model</t>
  </si>
  <si>
    <t>= n, the number of initial calibration points</t>
  </si>
  <si>
    <t>= t for cubic model</t>
  </si>
  <si>
    <t>= t for quartic model</t>
  </si>
  <si>
    <t>Initial Calibration Data</t>
  </si>
  <si>
    <t>Estimates, Linear Model</t>
  </si>
  <si>
    <t>Estimates, Quadratic Model</t>
  </si>
  <si>
    <t>Estimates, Cubic Model</t>
  </si>
  <si>
    <t>Estimates, Quartic Model</t>
  </si>
  <si>
    <t>Xi</t>
  </si>
  <si>
    <t>Yi</t>
  </si>
  <si>
    <t>Residual</t>
  </si>
  <si>
    <t xml:space="preserve">x'V for Linear </t>
  </si>
  <si>
    <t>x'V for Quadratic</t>
  </si>
  <si>
    <t xml:space="preserve">x'V for Cubic </t>
  </si>
  <si>
    <t>x'V for Quartic</t>
  </si>
  <si>
    <t>Maximum Concentration =</t>
  </si>
  <si>
    <t>Enter the impurity specification for the zero air material estimation and prediction</t>
  </si>
  <si>
    <t>t(0.9,df)</t>
  </si>
  <si>
    <t>This test can only be used when using the linear or quadratic model.</t>
  </si>
  <si>
    <t>In this step, the user enters the maximum concentration for the gas calibrated and being measured</t>
  </si>
  <si>
    <t>so that it will be considered a zero air material.  Based upon the calibration of the instrument</t>
  </si>
  <si>
    <t>they will get what the maximum measurement can be in order to consider this sufficiently</t>
  </si>
  <si>
    <t>However, it will not perform the Zero Air Test for the cubic or quartic models.</t>
  </si>
  <si>
    <t>and includes statistical calculations for polynomial regression. At the end it will give</t>
  </si>
  <si>
    <t>the maximum measurement that can be observed in order to consider the gas a zero</t>
  </si>
  <si>
    <t>air material.</t>
  </si>
  <si>
    <r>
      <t xml:space="preserve">the </t>
    </r>
    <r>
      <rPr>
        <b/>
        <sz val="12"/>
        <rFont val="Arial"/>
        <family val="2"/>
      </rPr>
      <t>Zero Test</t>
    </r>
    <r>
      <rPr>
        <sz val="12"/>
        <rFont val="Arial"/>
        <family val="2"/>
      </rPr>
      <t xml:space="preserve"> worksheet are protected. The only other unprotected cell in the</t>
    </r>
  </si>
  <si>
    <r>
      <t xml:space="preserve">The </t>
    </r>
    <r>
      <rPr>
        <b/>
        <sz val="12"/>
        <rFont val="Arial"/>
        <family val="2"/>
      </rPr>
      <t>Zero Test</t>
    </r>
    <r>
      <rPr>
        <sz val="12"/>
        <rFont val="Arial"/>
        <family val="2"/>
      </rPr>
      <t xml:space="preserve"> worksheet includes instructions that guide the user through the </t>
    </r>
  </si>
  <si>
    <t>STEP 5</t>
  </si>
  <si>
    <t>Test for Zero Air Material on Different Day</t>
  </si>
  <si>
    <t>from Initial Calibration</t>
  </si>
  <si>
    <t>UpLeft</t>
  </si>
  <si>
    <t>DnRight</t>
  </si>
  <si>
    <t>Response to</t>
  </si>
  <si>
    <t>Span</t>
  </si>
  <si>
    <t>Response</t>
  </si>
  <si>
    <t>Zero gas</t>
  </si>
  <si>
    <t>Conc.</t>
  </si>
  <si>
    <t>to Span</t>
  </si>
  <si>
    <t>b'X'Y</t>
  </si>
  <si>
    <t>n =</t>
  </si>
  <si>
    <t>mean =</t>
  </si>
  <si>
    <t>s = experimental standard deviation</t>
  </si>
  <si>
    <t>SSregr</t>
  </si>
  <si>
    <t>SSresid</t>
  </si>
  <si>
    <t>s</t>
  </si>
  <si>
    <t>Cal. Resp. =</t>
  </si>
  <si>
    <t>Cal. Response =</t>
  </si>
  <si>
    <t>Zero Gas Results</t>
  </si>
  <si>
    <t>Std. Uncertainty = s/sqrt(n) =</t>
  </si>
  <si>
    <t>Rrs/100 =</t>
  </si>
  <si>
    <t>Relative Difference (RD)=</t>
  </si>
  <si>
    <t>Conc</t>
  </si>
  <si>
    <t>Conc^2</t>
  </si>
  <si>
    <t>nn =</t>
  </si>
  <si>
    <t>Have Coefficients Remained the Same?</t>
  </si>
  <si>
    <t>b0-b2</t>
  </si>
  <si>
    <t>b1-b3</t>
  </si>
  <si>
    <t>(Continued)</t>
  </si>
  <si>
    <t>b0-b3</t>
  </si>
  <si>
    <t>b1-b4</t>
  </si>
  <si>
    <t>b2-b5</t>
  </si>
  <si>
    <t>RD calculations above are based on linear/quadratic model.</t>
  </si>
  <si>
    <t>t</t>
  </si>
  <si>
    <t xml:space="preserve"> 90% Prediction Limits for Response.(for one tailed test)</t>
  </si>
  <si>
    <t>Maximum Concentration when Predicting.</t>
  </si>
  <si>
    <t>First</t>
  </si>
  <si>
    <t>(Only Quadratic Models)</t>
  </si>
  <si>
    <t>Second</t>
  </si>
  <si>
    <t>gas are made.  If necessary, second span should be higher concentration than the first.</t>
  </si>
  <si>
    <t>Enter the results below:</t>
  </si>
  <si>
    <t>Max. Span Calculations</t>
  </si>
  <si>
    <t>Max. Span Gas Results</t>
  </si>
  <si>
    <t xml:space="preserve">Maximum Response that can be measured at 95% confidence to make sure concentration is less than </t>
  </si>
  <si>
    <t>Maximum Concentration when Predicting Response.</t>
  </si>
  <si>
    <t>This step applies to zero material tests on a different day than the initial calibration.</t>
  </si>
  <si>
    <t xml:space="preserve">This test can only be used when using the linear or quadratic model. Before the zero material limit is input, </t>
  </si>
  <si>
    <t>the measurement system is challenged with zero and span checks.   Three or</t>
  </si>
  <si>
    <t>more discrete checks of the zero gas and three or more checks of each span</t>
  </si>
  <si>
    <t>Following successful completion of the zero and span checks, zero material</t>
  </si>
  <si>
    <t>limit can be predicted by the appropriate model</t>
  </si>
  <si>
    <t>Test for Zero Material on Different Day</t>
  </si>
  <si>
    <t>This spreadsheet is used for the Zero Material test.</t>
  </si>
  <si>
    <t>INSTRUCTIONS FOR MATERIAL WORKBOOK</t>
  </si>
  <si>
    <t>based upon maximum concentration allowed give the maximum acceptable maximum response</t>
  </si>
  <si>
    <t>Test for Zero Material on Same Day as Initial Calibration</t>
  </si>
  <si>
    <t>Test Zero Air Material on Same Day as Initial Calibration</t>
  </si>
  <si>
    <t>Test Zero Air Material on Different Day of Initial Calibration</t>
  </si>
  <si>
    <t>from the calibration of STEP 1.  The worksheet first assesses the zero and span responses.  If</t>
  </si>
  <si>
    <t>each model, in addition to the zero standard.  Failure to meet these requirements will result in serious</t>
  </si>
  <si>
    <t>calculation errors and invalid results.</t>
  </si>
  <si>
    <t>In this step, the user enters the responses to a candidate that is tested on a different day</t>
  </si>
  <si>
    <t>the zero and span responses are acceptable, the user proceeds to enter the maximum acceptable</t>
  </si>
  <si>
    <t>concentration.  The results include those for zero and span reference standards.  The</t>
  </si>
  <si>
    <t>table below specifies the number of different reference span standards concentrations needed for</t>
  </si>
  <si>
    <t>Model</t>
  </si>
  <si>
    <t>Minimum number of different nonzero reference standards required</t>
  </si>
  <si>
    <t>Linear</t>
  </si>
  <si>
    <t>Quadratic</t>
  </si>
  <si>
    <t>Cubic</t>
  </si>
  <si>
    <t>Quartic</t>
  </si>
  <si>
    <t>NA</t>
  </si>
  <si>
    <t>The spreadsheet determines whether the regression curve has changed since the initial</t>
  </si>
  <si>
    <t>calibration.  The data are corrected for any change and the estimated concentration of the</t>
  </si>
  <si>
    <t>candidate standard is provided together with its expanded uncertainty associated with an</t>
  </si>
  <si>
    <t>approximate level of confidence of 95%.</t>
  </si>
  <si>
    <t>less than the maximum concentration at a 95% level.</t>
  </si>
  <si>
    <t>After confirming and adjusting for any changes, the user can enter the maximum allowable concentration</t>
  </si>
  <si>
    <t>for the gas, and will get the maximum allowable response in order to confirm it is a zero material at a</t>
  </si>
  <si>
    <t>95%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</si>
</sst>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39" x14ac:knownFonts="1">
    <font>
      <sz val="12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vertAlign val="superscript"/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4"/>
      <color indexed="10"/>
      <name val="Times New Roman"/>
      <family val="1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name val="Symbol"/>
      <family val="1"/>
      <charset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4"/>
      <color indexed="16"/>
      <name val="Arial"/>
      <family val="2"/>
    </font>
    <font>
      <b/>
      <u/>
      <sz val="14"/>
      <color indexed="17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color indexed="16"/>
      <name val="Arial"/>
      <family val="2"/>
    </font>
    <font>
      <u/>
      <sz val="14"/>
      <color indexed="17"/>
      <name val="Arial"/>
      <family val="2"/>
    </font>
    <font>
      <sz val="12"/>
      <name val="Symbol"/>
      <family val="1"/>
      <charset val="2"/>
    </font>
    <font>
      <b/>
      <sz val="12"/>
      <color indexed="10"/>
      <name val="Arial"/>
      <family val="2"/>
    </font>
    <font>
      <u/>
      <sz val="10"/>
      <color indexed="10"/>
      <name val="Arial"/>
      <family val="2"/>
    </font>
    <font>
      <vertAlign val="subscript"/>
      <sz val="12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sz val="11"/>
      <color indexed="10"/>
      <name val="Arial"/>
      <family val="2"/>
    </font>
    <font>
      <sz val="14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574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7" fillId="0" borderId="3" xfId="0" quotePrefix="1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6" fillId="0" borderId="0" xfId="0" quotePrefix="1" applyFont="1" applyAlignment="1">
      <alignment horizontal="left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quotePrefix="1" applyFont="1" applyAlignment="1">
      <alignment horizontal="left"/>
    </xf>
    <xf numFmtId="0" fontId="19" fillId="0" borderId="7" xfId="0" quotePrefix="1" applyFont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applyFont="1"/>
    <xf numFmtId="0" fontId="22" fillId="0" borderId="0" xfId="0" quotePrefix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2" borderId="13" xfId="0" quotePrefix="1" applyFont="1" applyFill="1" applyBorder="1" applyAlignment="1">
      <alignment horizontal="center"/>
    </xf>
    <xf numFmtId="0" fontId="24" fillId="0" borderId="0" xfId="0" applyFont="1" applyBorder="1"/>
    <xf numFmtId="0" fontId="22" fillId="0" borderId="14" xfId="0" applyFont="1" applyBorder="1"/>
    <xf numFmtId="0" fontId="0" fillId="0" borderId="15" xfId="0" applyBorder="1"/>
    <xf numFmtId="0" fontId="0" fillId="0" borderId="16" xfId="0" applyBorder="1"/>
    <xf numFmtId="0" fontId="11" fillId="0" borderId="0" xfId="0" quotePrefix="1" applyFont="1" applyAlignment="1">
      <alignment horizontal="left"/>
    </xf>
    <xf numFmtId="0" fontId="25" fillId="2" borderId="17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0" fontId="14" fillId="0" borderId="0" xfId="0" quotePrefix="1" applyFont="1" applyAlignment="1">
      <alignment horizontal="left"/>
    </xf>
    <xf numFmtId="0" fontId="7" fillId="0" borderId="4" xfId="0" quotePrefix="1" applyFont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19" fillId="0" borderId="20" xfId="0" quotePrefix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3" fillId="3" borderId="0" xfId="0" applyFont="1" applyFill="1"/>
    <xf numFmtId="0" fontId="12" fillId="3" borderId="0" xfId="0" quotePrefix="1" applyFont="1" applyFill="1" applyAlignment="1">
      <alignment horizontal="left"/>
    </xf>
    <xf numFmtId="0" fontId="6" fillId="3" borderId="0" xfId="0" applyFont="1" applyFill="1"/>
    <xf numFmtId="0" fontId="3" fillId="3" borderId="0" xfId="0" quotePrefix="1" applyFont="1" applyFill="1" applyAlignment="1">
      <alignment horizontal="center"/>
    </xf>
    <xf numFmtId="0" fontId="6" fillId="3" borderId="21" xfId="0" applyFont="1" applyFill="1" applyBorder="1"/>
    <xf numFmtId="0" fontId="6" fillId="3" borderId="22" xfId="0" applyFont="1" applyFill="1" applyBorder="1"/>
    <xf numFmtId="0" fontId="6" fillId="3" borderId="23" xfId="0" applyFont="1" applyFill="1" applyBorder="1"/>
    <xf numFmtId="0" fontId="6" fillId="3" borderId="24" xfId="0" applyFont="1" applyFill="1" applyBorder="1"/>
    <xf numFmtId="0" fontId="6" fillId="3" borderId="25" xfId="0" applyFont="1" applyFill="1" applyBorder="1"/>
    <xf numFmtId="0" fontId="13" fillId="3" borderId="0" xfId="0" applyFont="1" applyFill="1"/>
    <xf numFmtId="0" fontId="6" fillId="3" borderId="26" xfId="0" applyFont="1" applyFill="1" applyBorder="1"/>
    <xf numFmtId="0" fontId="6" fillId="3" borderId="0" xfId="0" applyFont="1" applyFill="1" applyBorder="1"/>
    <xf numFmtId="0" fontId="6" fillId="4" borderId="4" xfId="0" applyFont="1" applyFill="1" applyBorder="1"/>
    <xf numFmtId="0" fontId="6" fillId="3" borderId="27" xfId="0" applyFont="1" applyFill="1" applyBorder="1"/>
    <xf numFmtId="0" fontId="6" fillId="3" borderId="28" xfId="0" applyFont="1" applyFill="1" applyBorder="1"/>
    <xf numFmtId="0" fontId="6" fillId="3" borderId="29" xfId="0" applyFont="1" applyFill="1" applyBorder="1"/>
    <xf numFmtId="0" fontId="6" fillId="3" borderId="30" xfId="0" applyFont="1" applyFill="1" applyBorder="1"/>
    <xf numFmtId="0" fontId="6" fillId="3" borderId="25" xfId="0" quotePrefix="1" applyFont="1" applyFill="1" applyBorder="1" applyAlignment="1">
      <alignment horizontal="right"/>
    </xf>
    <xf numFmtId="0" fontId="6" fillId="3" borderId="4" xfId="0" applyFont="1" applyFill="1" applyBorder="1"/>
    <xf numFmtId="0" fontId="6" fillId="3" borderId="31" xfId="0" applyFont="1" applyFill="1" applyBorder="1"/>
    <xf numFmtId="0" fontId="6" fillId="3" borderId="15" xfId="0" applyFont="1" applyFill="1" applyBorder="1"/>
    <xf numFmtId="0" fontId="6" fillId="3" borderId="16" xfId="0" applyFont="1" applyFill="1" applyBorder="1"/>
    <xf numFmtId="0" fontId="6" fillId="3" borderId="4" xfId="0" quotePrefix="1" applyFont="1" applyFill="1" applyBorder="1" applyAlignment="1">
      <alignment horizontal="left"/>
    </xf>
    <xf numFmtId="0" fontId="3" fillId="3" borderId="0" xfId="0" quotePrefix="1" applyFont="1" applyFill="1" applyAlignment="1">
      <alignment horizontal="left"/>
    </xf>
    <xf numFmtId="0" fontId="6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2" xfId="0" quotePrefix="1" applyFont="1" applyFill="1" applyBorder="1" applyAlignment="1">
      <alignment horizontal="left"/>
    </xf>
    <xf numFmtId="0" fontId="6" fillId="3" borderId="23" xfId="0" applyFont="1" applyFill="1" applyBorder="1" applyAlignment="1">
      <alignment horizontal="left"/>
    </xf>
    <xf numFmtId="0" fontId="3" fillId="3" borderId="26" xfId="0" quotePrefix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3" fillId="3" borderId="27" xfId="0" applyFont="1" applyFill="1" applyBorder="1"/>
    <xf numFmtId="0" fontId="3" fillId="3" borderId="24" xfId="0" applyFont="1" applyFill="1" applyBorder="1"/>
    <xf numFmtId="0" fontId="0" fillId="3" borderId="0" xfId="0" applyFill="1" applyAlignment="1">
      <alignment horizontal="center"/>
    </xf>
    <xf numFmtId="0" fontId="6" fillId="3" borderId="14" xfId="0" applyFont="1" applyFill="1" applyBorder="1"/>
    <xf numFmtId="0" fontId="3" fillId="5" borderId="0" xfId="0" applyFont="1" applyFill="1"/>
    <xf numFmtId="0" fontId="0" fillId="5" borderId="0" xfId="0" applyFill="1"/>
    <xf numFmtId="0" fontId="12" fillId="5" borderId="0" xfId="0" quotePrefix="1" applyFont="1" applyFill="1" applyAlignment="1">
      <alignment horizontal="left"/>
    </xf>
    <xf numFmtId="0" fontId="6" fillId="5" borderId="0" xfId="0" applyFont="1" applyFill="1"/>
    <xf numFmtId="0" fontId="6" fillId="5" borderId="22" xfId="0" applyFont="1" applyFill="1" applyBorder="1"/>
    <xf numFmtId="0" fontId="6" fillId="5" borderId="24" xfId="0" applyFont="1" applyFill="1" applyBorder="1"/>
    <xf numFmtId="0" fontId="6" fillId="5" borderId="28" xfId="0" applyFont="1" applyFill="1" applyBorder="1"/>
    <xf numFmtId="0" fontId="6" fillId="5" borderId="30" xfId="0" applyFont="1" applyFill="1" applyBorder="1"/>
    <xf numFmtId="0" fontId="3" fillId="5" borderId="0" xfId="0" applyFont="1" applyFill="1" applyAlignment="1">
      <alignment horizontal="left"/>
    </xf>
    <xf numFmtId="0" fontId="6" fillId="5" borderId="4" xfId="0" applyFont="1" applyFill="1" applyBorder="1"/>
    <xf numFmtId="0" fontId="3" fillId="5" borderId="0" xfId="0" quotePrefix="1" applyFont="1" applyFill="1" applyAlignment="1">
      <alignment horizontal="left"/>
    </xf>
    <xf numFmtId="0" fontId="6" fillId="5" borderId="21" xfId="0" applyFont="1" applyFill="1" applyBorder="1"/>
    <xf numFmtId="0" fontId="6" fillId="5" borderId="31" xfId="0" applyFont="1" applyFill="1" applyBorder="1"/>
    <xf numFmtId="0" fontId="13" fillId="5" borderId="0" xfId="0" applyFont="1" applyFill="1"/>
    <xf numFmtId="0" fontId="6" fillId="5" borderId="14" xfId="0" applyFont="1" applyFill="1" applyBorder="1"/>
    <xf numFmtId="0" fontId="6" fillId="5" borderId="16" xfId="0" applyFont="1" applyFill="1" applyBorder="1"/>
    <xf numFmtId="0" fontId="6" fillId="5" borderId="4" xfId="0" applyFont="1" applyFill="1" applyBorder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22" xfId="0" quotePrefix="1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3" fillId="5" borderId="26" xfId="0" quotePrefix="1" applyFont="1" applyFill="1" applyBorder="1" applyAlignment="1">
      <alignment horizontal="center"/>
    </xf>
    <xf numFmtId="0" fontId="3" fillId="5" borderId="0" xfId="0" quotePrefix="1" applyFont="1" applyFill="1" applyBorder="1" applyAlignment="1">
      <alignment horizontal="center"/>
    </xf>
    <xf numFmtId="0" fontId="6" fillId="5" borderId="0" xfId="0" applyFont="1" applyFill="1" applyBorder="1"/>
    <xf numFmtId="0" fontId="6" fillId="5" borderId="29" xfId="0" applyFont="1" applyFill="1" applyBorder="1"/>
    <xf numFmtId="0" fontId="12" fillId="4" borderId="0" xfId="0" quotePrefix="1" applyFont="1" applyFill="1" applyAlignment="1">
      <alignment horizontal="left"/>
    </xf>
    <xf numFmtId="0" fontId="0" fillId="4" borderId="0" xfId="0" applyFill="1"/>
    <xf numFmtId="0" fontId="3" fillId="4" borderId="0" xfId="0" applyFont="1" applyFill="1"/>
    <xf numFmtId="0" fontId="6" fillId="4" borderId="0" xfId="0" applyFont="1" applyFill="1"/>
    <xf numFmtId="0" fontId="3" fillId="4" borderId="0" xfId="0" quotePrefix="1" applyFont="1" applyFill="1" applyAlignment="1">
      <alignment horizontal="center"/>
    </xf>
    <xf numFmtId="0" fontId="6" fillId="4" borderId="21" xfId="0" applyFont="1" applyFill="1" applyBorder="1"/>
    <xf numFmtId="0" fontId="6" fillId="4" borderId="25" xfId="0" applyFont="1" applyFill="1" applyBorder="1"/>
    <xf numFmtId="0" fontId="6" fillId="4" borderId="0" xfId="0" applyFont="1" applyFill="1" applyBorder="1"/>
    <xf numFmtId="0" fontId="6" fillId="4" borderId="25" xfId="0" quotePrefix="1" applyFont="1" applyFill="1" applyBorder="1" applyAlignment="1">
      <alignment horizontal="right"/>
    </xf>
    <xf numFmtId="0" fontId="6" fillId="4" borderId="9" xfId="0" applyFont="1" applyFill="1" applyBorder="1"/>
    <xf numFmtId="0" fontId="6" fillId="4" borderId="31" xfId="0" applyFont="1" applyFill="1" applyBorder="1"/>
    <xf numFmtId="0" fontId="6" fillId="4" borderId="0" xfId="0" quotePrefix="1" applyFont="1" applyFill="1" applyAlignment="1">
      <alignment horizontal="right"/>
    </xf>
    <xf numFmtId="0" fontId="6" fillId="4" borderId="4" xfId="0" quotePrefix="1" applyFont="1" applyFill="1" applyBorder="1" applyAlignment="1">
      <alignment horizontal="left"/>
    </xf>
    <xf numFmtId="0" fontId="6" fillId="4" borderId="0" xfId="0" quotePrefix="1" applyFont="1" applyFill="1" applyAlignment="1">
      <alignment horizontal="left"/>
    </xf>
    <xf numFmtId="0" fontId="6" fillId="4" borderId="14" xfId="0" applyFont="1" applyFill="1" applyBorder="1"/>
    <xf numFmtId="0" fontId="6" fillId="4" borderId="15" xfId="0" applyFont="1" applyFill="1" applyBorder="1"/>
    <xf numFmtId="0" fontId="6" fillId="4" borderId="16" xfId="0" applyFont="1" applyFill="1" applyBorder="1"/>
    <xf numFmtId="0" fontId="3" fillId="4" borderId="0" xfId="0" quotePrefix="1" applyFont="1" applyFill="1" applyAlignment="1">
      <alignment horizontal="left"/>
    </xf>
    <xf numFmtId="0" fontId="6" fillId="4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24" xfId="0" applyFont="1" applyFill="1" applyBorder="1"/>
    <xf numFmtId="0" fontId="3" fillId="4" borderId="0" xfId="0" quotePrefix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8" xfId="0" applyFont="1" applyFill="1" applyBorder="1"/>
    <xf numFmtId="0" fontId="6" fillId="4" borderId="29" xfId="0" applyFont="1" applyFill="1" applyBorder="1"/>
    <xf numFmtId="0" fontId="6" fillId="4" borderId="30" xfId="0" applyFont="1" applyFill="1" applyBorder="1"/>
    <xf numFmtId="0" fontId="6" fillId="4" borderId="22" xfId="0" applyFont="1" applyFill="1" applyBorder="1"/>
    <xf numFmtId="0" fontId="6" fillId="4" borderId="23" xfId="0" applyFont="1" applyFill="1" applyBorder="1"/>
    <xf numFmtId="0" fontId="18" fillId="4" borderId="32" xfId="0" quotePrefix="1" applyFont="1" applyFill="1" applyBorder="1" applyAlignment="1">
      <alignment horizontal="left"/>
    </xf>
    <xf numFmtId="0" fontId="18" fillId="4" borderId="8" xfId="0" applyFont="1" applyFill="1" applyBorder="1"/>
    <xf numFmtId="0" fontId="18" fillId="4" borderId="9" xfId="0" applyFont="1" applyFill="1" applyBorder="1"/>
    <xf numFmtId="0" fontId="20" fillId="4" borderId="20" xfId="0" quotePrefix="1" applyFont="1" applyFill="1" applyBorder="1" applyAlignment="1">
      <alignment horizontal="center"/>
    </xf>
    <xf numFmtId="0" fontId="20" fillId="4" borderId="0" xfId="0" quotePrefix="1" applyFont="1" applyFill="1" applyBorder="1" applyAlignment="1">
      <alignment horizontal="left"/>
    </xf>
    <xf numFmtId="0" fontId="20" fillId="4" borderId="0" xfId="0" applyFont="1" applyFill="1" applyBorder="1"/>
    <xf numFmtId="0" fontId="20" fillId="4" borderId="10" xfId="0" applyFont="1" applyFill="1" applyBorder="1"/>
    <xf numFmtId="0" fontId="22" fillId="4" borderId="20" xfId="0" applyFont="1" applyFill="1" applyBorder="1"/>
    <xf numFmtId="0" fontId="22" fillId="4" borderId="0" xfId="0" applyFont="1" applyFill="1" applyBorder="1"/>
    <xf numFmtId="0" fontId="22" fillId="4" borderId="10" xfId="0" quotePrefix="1" applyFont="1" applyFill="1" applyBorder="1" applyAlignment="1">
      <alignment horizontal="left"/>
    </xf>
    <xf numFmtId="0" fontId="22" fillId="4" borderId="10" xfId="0" applyFont="1" applyFill="1" applyBorder="1"/>
    <xf numFmtId="0" fontId="22" fillId="4" borderId="20" xfId="0" quotePrefix="1" applyFont="1" applyFill="1" applyBorder="1" applyAlignment="1">
      <alignment horizontal="right"/>
    </xf>
    <xf numFmtId="0" fontId="22" fillId="4" borderId="20" xfId="0" applyFont="1" applyFill="1" applyBorder="1" applyAlignment="1">
      <alignment horizontal="right"/>
    </xf>
    <xf numFmtId="0" fontId="22" fillId="4" borderId="33" xfId="0" applyFont="1" applyFill="1" applyBorder="1" applyAlignment="1">
      <alignment horizontal="right"/>
    </xf>
    <xf numFmtId="0" fontId="22" fillId="4" borderId="11" xfId="0" applyFont="1" applyFill="1" applyBorder="1"/>
    <xf numFmtId="0" fontId="20" fillId="5" borderId="20" xfId="0" quotePrefix="1" applyFont="1" applyFill="1" applyBorder="1" applyAlignment="1">
      <alignment horizontal="center"/>
    </xf>
    <xf numFmtId="0" fontId="20" fillId="5" borderId="0" xfId="0" quotePrefix="1" applyFont="1" applyFill="1" applyBorder="1" applyAlignment="1">
      <alignment horizontal="left"/>
    </xf>
    <xf numFmtId="0" fontId="20" fillId="5" borderId="0" xfId="0" applyFont="1" applyFill="1" applyBorder="1"/>
    <xf numFmtId="0" fontId="20" fillId="5" borderId="10" xfId="0" applyFont="1" applyFill="1" applyBorder="1"/>
    <xf numFmtId="0" fontId="22" fillId="5" borderId="20" xfId="0" applyFont="1" applyFill="1" applyBorder="1"/>
    <xf numFmtId="0" fontId="22" fillId="5" borderId="0" xfId="0" applyFont="1" applyFill="1" applyBorder="1"/>
    <xf numFmtId="0" fontId="22" fillId="5" borderId="10" xfId="0" quotePrefix="1" applyFont="1" applyFill="1" applyBorder="1" applyAlignment="1">
      <alignment horizontal="left"/>
    </xf>
    <xf numFmtId="0" fontId="22" fillId="5" borderId="10" xfId="0" applyFont="1" applyFill="1" applyBorder="1"/>
    <xf numFmtId="0" fontId="22" fillId="5" borderId="12" xfId="0" applyFont="1" applyFill="1" applyBorder="1"/>
    <xf numFmtId="0" fontId="18" fillId="3" borderId="32" xfId="0" quotePrefix="1" applyFont="1" applyFill="1" applyBorder="1" applyAlignment="1">
      <alignment horizontal="left"/>
    </xf>
    <xf numFmtId="0" fontId="18" fillId="3" borderId="8" xfId="0" applyFont="1" applyFill="1" applyBorder="1"/>
    <xf numFmtId="0" fontId="18" fillId="3" borderId="9" xfId="0" applyFont="1" applyFill="1" applyBorder="1"/>
    <xf numFmtId="0" fontId="20" fillId="3" borderId="20" xfId="0" quotePrefix="1" applyFont="1" applyFill="1" applyBorder="1" applyAlignment="1">
      <alignment horizontal="center"/>
    </xf>
    <xf numFmtId="0" fontId="20" fillId="3" borderId="0" xfId="0" quotePrefix="1" applyFont="1" applyFill="1" applyBorder="1" applyAlignment="1">
      <alignment horizontal="left"/>
    </xf>
    <xf numFmtId="0" fontId="20" fillId="3" borderId="0" xfId="0" applyFont="1" applyFill="1" applyBorder="1"/>
    <xf numFmtId="0" fontId="20" fillId="3" borderId="10" xfId="0" applyFont="1" applyFill="1" applyBorder="1"/>
    <xf numFmtId="0" fontId="22" fillId="3" borderId="20" xfId="0" applyFont="1" applyFill="1" applyBorder="1"/>
    <xf numFmtId="0" fontId="22" fillId="3" borderId="0" xfId="0" applyFont="1" applyFill="1" applyBorder="1"/>
    <xf numFmtId="0" fontId="22" fillId="3" borderId="10" xfId="0" quotePrefix="1" applyFont="1" applyFill="1" applyBorder="1" applyAlignment="1">
      <alignment horizontal="left"/>
    </xf>
    <xf numFmtId="0" fontId="22" fillId="3" borderId="10" xfId="0" applyFont="1" applyFill="1" applyBorder="1"/>
    <xf numFmtId="0" fontId="22" fillId="3" borderId="20" xfId="0" quotePrefix="1" applyFont="1" applyFill="1" applyBorder="1" applyAlignment="1">
      <alignment horizontal="right"/>
    </xf>
    <xf numFmtId="0" fontId="22" fillId="3" borderId="0" xfId="0" quotePrefix="1" applyFont="1" applyFill="1" applyBorder="1" applyAlignment="1">
      <alignment horizontal="right"/>
    </xf>
    <xf numFmtId="0" fontId="22" fillId="3" borderId="20" xfId="0" applyFont="1" applyFill="1" applyBorder="1" applyAlignment="1">
      <alignment horizontal="right"/>
    </xf>
    <xf numFmtId="0" fontId="22" fillId="3" borderId="33" xfId="0" applyFont="1" applyFill="1" applyBorder="1" applyAlignment="1">
      <alignment horizontal="right"/>
    </xf>
    <xf numFmtId="0" fontId="22" fillId="3" borderId="11" xfId="0" applyFont="1" applyFill="1" applyBorder="1"/>
    <xf numFmtId="0" fontId="22" fillId="3" borderId="12" xfId="0" applyFont="1" applyFill="1" applyBorder="1"/>
    <xf numFmtId="0" fontId="22" fillId="5" borderId="0" xfId="0" applyFont="1" applyFill="1"/>
    <xf numFmtId="0" fontId="22" fillId="3" borderId="0" xfId="0" applyFont="1" applyFill="1"/>
    <xf numFmtId="0" fontId="18" fillId="5" borderId="32" xfId="0" quotePrefix="1" applyFont="1" applyFill="1" applyBorder="1" applyAlignment="1">
      <alignment horizontal="left"/>
    </xf>
    <xf numFmtId="0" fontId="18" fillId="5" borderId="8" xfId="0" applyFont="1" applyFill="1" applyBorder="1"/>
    <xf numFmtId="0" fontId="18" fillId="5" borderId="9" xfId="0" applyFont="1" applyFill="1" applyBorder="1"/>
    <xf numFmtId="0" fontId="18" fillId="4" borderId="0" xfId="0" quotePrefix="1" applyFont="1" applyFill="1" applyAlignment="1">
      <alignment horizontal="left"/>
    </xf>
    <xf numFmtId="0" fontId="18" fillId="4" borderId="0" xfId="0" applyFont="1" applyFill="1"/>
    <xf numFmtId="0" fontId="18" fillId="5" borderId="0" xfId="0" quotePrefix="1" applyFont="1" applyFill="1" applyAlignment="1">
      <alignment horizontal="left"/>
    </xf>
    <xf numFmtId="0" fontId="18" fillId="5" borderId="0" xfId="0" applyFont="1" applyFill="1"/>
    <xf numFmtId="0" fontId="18" fillId="3" borderId="0" xfId="0" quotePrefix="1" applyFont="1" applyFill="1" applyAlignment="1">
      <alignment horizontal="left"/>
    </xf>
    <xf numFmtId="0" fontId="18" fillId="3" borderId="0" xfId="0" applyFont="1" applyFill="1"/>
    <xf numFmtId="0" fontId="19" fillId="0" borderId="10" xfId="0" quotePrefix="1" applyFont="1" applyBorder="1" applyAlignment="1">
      <alignment horizontal="center"/>
    </xf>
    <xf numFmtId="0" fontId="22" fillId="4" borderId="0" xfId="0" quotePrefix="1" applyFont="1" applyFill="1" applyBorder="1" applyAlignment="1">
      <alignment horizontal="right"/>
    </xf>
    <xf numFmtId="0" fontId="22" fillId="5" borderId="0" xfId="0" quotePrefix="1" applyFont="1" applyFill="1" applyBorder="1" applyAlignment="1">
      <alignment horizontal="right"/>
    </xf>
    <xf numFmtId="0" fontId="22" fillId="5" borderId="0" xfId="0" applyFont="1" applyFill="1" applyBorder="1" applyAlignment="1">
      <alignment horizontal="right"/>
    </xf>
    <xf numFmtId="0" fontId="22" fillId="5" borderId="11" xfId="0" applyFont="1" applyFill="1" applyBorder="1" applyAlignment="1">
      <alignment horizontal="right"/>
    </xf>
    <xf numFmtId="0" fontId="22" fillId="3" borderId="11" xfId="0" quotePrefix="1" applyFont="1" applyFill="1" applyBorder="1" applyAlignment="1">
      <alignment horizontal="right"/>
    </xf>
    <xf numFmtId="0" fontId="22" fillId="5" borderId="11" xfId="0" quotePrefix="1" applyFont="1" applyFill="1" applyBorder="1" applyAlignment="1">
      <alignment horizontal="right"/>
    </xf>
    <xf numFmtId="0" fontId="22" fillId="4" borderId="11" xfId="0" quotePrefix="1" applyFont="1" applyFill="1" applyBorder="1" applyAlignment="1">
      <alignment horizontal="right"/>
    </xf>
    <xf numFmtId="0" fontId="3" fillId="5" borderId="34" xfId="0" applyFont="1" applyFill="1" applyBorder="1"/>
    <xf numFmtId="0" fontId="3" fillId="5" borderId="35" xfId="0" applyFont="1" applyFill="1" applyBorder="1"/>
    <xf numFmtId="0" fontId="3" fillId="5" borderId="36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11" fillId="5" borderId="20" xfId="0" applyFont="1" applyFill="1" applyBorder="1"/>
    <xf numFmtId="0" fontId="11" fillId="5" borderId="0" xfId="0" quotePrefix="1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2" fillId="5" borderId="20" xfId="0" quotePrefix="1" applyFont="1" applyFill="1" applyBorder="1" applyAlignment="1">
      <alignment horizontal="right"/>
    </xf>
    <xf numFmtId="0" fontId="2" fillId="5" borderId="33" xfId="0" quotePrefix="1" applyFont="1" applyFill="1" applyBorder="1" applyAlignment="1">
      <alignment horizontal="right"/>
    </xf>
    <xf numFmtId="0" fontId="2" fillId="5" borderId="32" xfId="0" quotePrefix="1" applyFont="1" applyFill="1" applyBorder="1" applyAlignment="1">
      <alignment horizontal="right"/>
    </xf>
    <xf numFmtId="0" fontId="6" fillId="5" borderId="9" xfId="0" applyFont="1" applyFill="1" applyBorder="1"/>
    <xf numFmtId="0" fontId="3" fillId="3" borderId="34" xfId="0" applyFont="1" applyFill="1" applyBorder="1"/>
    <xf numFmtId="0" fontId="3" fillId="3" borderId="35" xfId="0" applyFont="1" applyFill="1" applyBorder="1"/>
    <xf numFmtId="0" fontId="3" fillId="3" borderId="32" xfId="0" applyFont="1" applyFill="1" applyBorder="1" applyAlignment="1">
      <alignment horizontal="left"/>
    </xf>
    <xf numFmtId="0" fontId="3" fillId="3" borderId="9" xfId="0" applyFont="1" applyFill="1" applyBorder="1"/>
    <xf numFmtId="0" fontId="11" fillId="3" borderId="20" xfId="0" applyFont="1" applyFill="1" applyBorder="1"/>
    <xf numFmtId="0" fontId="11" fillId="3" borderId="0" xfId="0" quotePrefix="1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2" fillId="3" borderId="20" xfId="0" quotePrefix="1" applyFont="1" applyFill="1" applyBorder="1" applyAlignment="1">
      <alignment horizontal="right"/>
    </xf>
    <xf numFmtId="0" fontId="2" fillId="3" borderId="33" xfId="0" quotePrefix="1" applyFont="1" applyFill="1" applyBorder="1" applyAlignment="1">
      <alignment horizontal="right"/>
    </xf>
    <xf numFmtId="0" fontId="2" fillId="3" borderId="32" xfId="0" quotePrefix="1" applyFont="1" applyFill="1" applyBorder="1" applyAlignment="1">
      <alignment horizontal="right"/>
    </xf>
    <xf numFmtId="0" fontId="6" fillId="3" borderId="9" xfId="0" applyFont="1" applyFill="1" applyBorder="1"/>
    <xf numFmtId="0" fontId="3" fillId="2" borderId="34" xfId="0" quotePrefix="1" applyFont="1" applyFill="1" applyBorder="1" applyAlignment="1">
      <alignment horizontal="left"/>
    </xf>
    <xf numFmtId="0" fontId="3" fillId="2" borderId="35" xfId="0" applyFont="1" applyFill="1" applyBorder="1"/>
    <xf numFmtId="0" fontId="3" fillId="2" borderId="3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11" fillId="2" borderId="20" xfId="0" applyFont="1" applyFill="1" applyBorder="1"/>
    <xf numFmtId="0" fontId="11" fillId="2" borderId="0" xfId="0" quotePrefix="1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2" borderId="20" xfId="0" quotePrefix="1" applyFont="1" applyFill="1" applyBorder="1" applyAlignment="1">
      <alignment horizontal="right"/>
    </xf>
    <xf numFmtId="0" fontId="6" fillId="2" borderId="0" xfId="0" applyFont="1" applyFill="1" applyBorder="1"/>
    <xf numFmtId="0" fontId="2" fillId="2" borderId="33" xfId="0" quotePrefix="1" applyFont="1" applyFill="1" applyBorder="1" applyAlignment="1">
      <alignment horizontal="right"/>
    </xf>
    <xf numFmtId="0" fontId="2" fillId="2" borderId="32" xfId="0" quotePrefix="1" applyFont="1" applyFill="1" applyBorder="1" applyAlignment="1">
      <alignment horizontal="right"/>
    </xf>
    <xf numFmtId="0" fontId="6" fillId="2" borderId="9" xfId="0" applyFont="1" applyFill="1" applyBorder="1"/>
    <xf numFmtId="0" fontId="3" fillId="4" borderId="34" xfId="0" quotePrefix="1" applyFont="1" applyFill="1" applyBorder="1" applyAlignment="1">
      <alignment horizontal="left"/>
    </xf>
    <xf numFmtId="0" fontId="3" fillId="4" borderId="35" xfId="0" applyFont="1" applyFill="1" applyBorder="1"/>
    <xf numFmtId="0" fontId="3" fillId="4" borderId="36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11" fillId="4" borderId="20" xfId="0" applyFont="1" applyFill="1" applyBorder="1"/>
    <xf numFmtId="0" fontId="11" fillId="4" borderId="0" xfId="0" quotePrefix="1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2" fillId="4" borderId="20" xfId="0" quotePrefix="1" applyFont="1" applyFill="1" applyBorder="1" applyAlignment="1">
      <alignment horizontal="right"/>
    </xf>
    <xf numFmtId="0" fontId="2" fillId="4" borderId="33" xfId="0" quotePrefix="1" applyFont="1" applyFill="1" applyBorder="1" applyAlignment="1">
      <alignment horizontal="right"/>
    </xf>
    <xf numFmtId="0" fontId="2" fillId="4" borderId="32" xfId="0" quotePrefix="1" applyFont="1" applyFill="1" applyBorder="1" applyAlignment="1">
      <alignment horizontal="right"/>
    </xf>
    <xf numFmtId="0" fontId="22" fillId="5" borderId="11" xfId="0" applyFont="1" applyFill="1" applyBorder="1"/>
    <xf numFmtId="0" fontId="0" fillId="5" borderId="34" xfId="0" quotePrefix="1" applyFill="1" applyBorder="1" applyAlignment="1">
      <alignment horizontal="left"/>
    </xf>
    <xf numFmtId="0" fontId="0" fillId="5" borderId="35" xfId="0" applyFill="1" applyBorder="1"/>
    <xf numFmtId="0" fontId="35" fillId="2" borderId="3" xfId="0" applyFont="1" applyFill="1" applyBorder="1" applyAlignment="1" applyProtection="1">
      <alignment horizontal="center"/>
      <protection locked="0"/>
    </xf>
    <xf numFmtId="0" fontId="18" fillId="0" borderId="3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18" fillId="0" borderId="36" xfId="0" applyFont="1" applyBorder="1"/>
    <xf numFmtId="0" fontId="22" fillId="5" borderId="36" xfId="0" applyFont="1" applyFill="1" applyBorder="1"/>
    <xf numFmtId="0" fontId="22" fillId="3" borderId="36" xfId="0" applyFont="1" applyFill="1" applyBorder="1"/>
    <xf numFmtId="0" fontId="22" fillId="4" borderId="36" xfId="0" applyFont="1" applyFill="1" applyBorder="1"/>
    <xf numFmtId="0" fontId="18" fillId="0" borderId="37" xfId="0" applyFont="1" applyBorder="1"/>
    <xf numFmtId="0" fontId="22" fillId="5" borderId="37" xfId="0" applyFont="1" applyFill="1" applyBorder="1"/>
    <xf numFmtId="0" fontId="22" fillId="3" borderId="37" xfId="0" applyFont="1" applyFill="1" applyBorder="1"/>
    <xf numFmtId="0" fontId="22" fillId="4" borderId="37" xfId="0" applyFont="1" applyFill="1" applyBorder="1"/>
    <xf numFmtId="0" fontId="18" fillId="0" borderId="38" xfId="0" applyFont="1" applyBorder="1"/>
    <xf numFmtId="0" fontId="22" fillId="5" borderId="38" xfId="0" applyFont="1" applyFill="1" applyBorder="1"/>
    <xf numFmtId="0" fontId="22" fillId="3" borderId="38" xfId="0" applyFont="1" applyFill="1" applyBorder="1"/>
    <xf numFmtId="0" fontId="22" fillId="4" borderId="38" xfId="0" applyFont="1" applyFill="1" applyBorder="1"/>
    <xf numFmtId="0" fontId="22" fillId="5" borderId="32" xfId="0" applyFont="1" applyFill="1" applyBorder="1"/>
    <xf numFmtId="0" fontId="22" fillId="5" borderId="9" xfId="0" applyFont="1" applyFill="1" applyBorder="1"/>
    <xf numFmtId="0" fontId="22" fillId="5" borderId="33" xfId="0" applyFont="1" applyFill="1" applyBorder="1"/>
    <xf numFmtId="0" fontId="0" fillId="3" borderId="34" xfId="0" quotePrefix="1" applyFill="1" applyBorder="1" applyAlignment="1">
      <alignment horizontal="left"/>
    </xf>
    <xf numFmtId="0" fontId="0" fillId="3" borderId="39" xfId="0" applyFill="1" applyBorder="1"/>
    <xf numFmtId="0" fontId="0" fillId="3" borderId="40" xfId="0" applyFill="1" applyBorder="1"/>
    <xf numFmtId="0" fontId="0" fillId="4" borderId="39" xfId="0" applyFill="1" applyBorder="1"/>
    <xf numFmtId="0" fontId="0" fillId="4" borderId="35" xfId="0" applyFill="1" applyBorder="1"/>
    <xf numFmtId="0" fontId="22" fillId="3" borderId="32" xfId="0" applyFont="1" applyFill="1" applyBorder="1"/>
    <xf numFmtId="0" fontId="22" fillId="3" borderId="8" xfId="0" applyFont="1" applyFill="1" applyBorder="1"/>
    <xf numFmtId="0" fontId="22" fillId="4" borderId="8" xfId="0" applyFont="1" applyFill="1" applyBorder="1"/>
    <xf numFmtId="0" fontId="22" fillId="4" borderId="9" xfId="0" applyFont="1" applyFill="1" applyBorder="1"/>
    <xf numFmtId="0" fontId="22" fillId="3" borderId="33" xfId="0" applyFont="1" applyFill="1" applyBorder="1"/>
    <xf numFmtId="0" fontId="22" fillId="4" borderId="12" xfId="0" applyFont="1" applyFill="1" applyBorder="1"/>
    <xf numFmtId="0" fontId="24" fillId="5" borderId="0" xfId="0" applyFont="1" applyFill="1" applyBorder="1"/>
    <xf numFmtId="0" fontId="24" fillId="4" borderId="0" xfId="0" applyFont="1" applyFill="1" applyBorder="1"/>
    <xf numFmtId="0" fontId="6" fillId="2" borderId="0" xfId="0" applyFont="1" applyFill="1"/>
    <xf numFmtId="0" fontId="24" fillId="3" borderId="0" xfId="0" applyFont="1" applyFill="1" applyBorder="1"/>
    <xf numFmtId="0" fontId="6" fillId="4" borderId="22" xfId="0" quotePrefix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/>
    <xf numFmtId="0" fontId="23" fillId="4" borderId="13" xfId="0" quotePrefix="1" applyFont="1" applyFill="1" applyBorder="1" applyAlignment="1">
      <alignment horizontal="center"/>
    </xf>
    <xf numFmtId="0" fontId="12" fillId="2" borderId="0" xfId="0" quotePrefix="1" applyFont="1" applyFill="1" applyAlignment="1">
      <alignment horizontal="left"/>
    </xf>
    <xf numFmtId="0" fontId="3" fillId="2" borderId="0" xfId="0" applyFont="1" applyFill="1"/>
    <xf numFmtId="0" fontId="3" fillId="2" borderId="0" xfId="0" quotePrefix="1" applyFont="1" applyFill="1" applyAlignment="1">
      <alignment horizontal="center"/>
    </xf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5" xfId="0" quotePrefix="1" applyFont="1" applyFill="1" applyBorder="1" applyAlignment="1">
      <alignment horizontal="right"/>
    </xf>
    <xf numFmtId="0" fontId="6" fillId="2" borderId="28" xfId="0" applyFont="1" applyFill="1" applyBorder="1"/>
    <xf numFmtId="0" fontId="6" fillId="2" borderId="29" xfId="0" applyFont="1" applyFill="1" applyBorder="1"/>
    <xf numFmtId="0" fontId="6" fillId="2" borderId="30" xfId="0" applyFont="1" applyFill="1" applyBorder="1"/>
    <xf numFmtId="0" fontId="6" fillId="2" borderId="4" xfId="0" applyFont="1" applyFill="1" applyBorder="1"/>
    <xf numFmtId="0" fontId="6" fillId="2" borderId="22" xfId="0" quotePrefix="1" applyFont="1" applyFill="1" applyBorder="1" applyAlignment="1">
      <alignment horizontal="left"/>
    </xf>
    <xf numFmtId="0" fontId="6" fillId="2" borderId="31" xfId="0" applyFont="1" applyFill="1" applyBorder="1"/>
    <xf numFmtId="0" fontId="0" fillId="2" borderId="0" xfId="0" quotePrefix="1" applyFill="1" applyAlignment="1">
      <alignment horizontal="right"/>
    </xf>
    <xf numFmtId="0" fontId="6" fillId="2" borderId="0" xfId="0" quotePrefix="1" applyFont="1" applyFill="1" applyAlignment="1">
      <alignment horizontal="right"/>
    </xf>
    <xf numFmtId="0" fontId="6" fillId="2" borderId="4" xfId="0" quotePrefix="1" applyFont="1" applyFill="1" applyBorder="1" applyAlignment="1">
      <alignment horizontal="left"/>
    </xf>
    <xf numFmtId="0" fontId="6" fillId="2" borderId="0" xfId="0" quotePrefix="1" applyFont="1" applyFill="1" applyAlignment="1">
      <alignment horizontal="left"/>
    </xf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3" fillId="2" borderId="0" xfId="0" quotePrefix="1" applyFont="1" applyFill="1" applyAlignment="1">
      <alignment horizontal="left"/>
    </xf>
    <xf numFmtId="0" fontId="6" fillId="2" borderId="4" xfId="0" applyFont="1" applyFill="1" applyBorder="1" applyAlignment="1">
      <alignment horizontal="center"/>
    </xf>
    <xf numFmtId="0" fontId="24" fillId="2" borderId="0" xfId="0" applyFont="1" applyFill="1" applyBorder="1"/>
    <xf numFmtId="0" fontId="3" fillId="2" borderId="0" xfId="0" quotePrefix="1" applyFont="1" applyFill="1" applyBorder="1" applyAlignment="1">
      <alignment horizontal="center"/>
    </xf>
    <xf numFmtId="0" fontId="18" fillId="2" borderId="32" xfId="0" quotePrefix="1" applyFont="1" applyFill="1" applyBorder="1" applyAlignment="1">
      <alignment horizontal="left"/>
    </xf>
    <xf numFmtId="0" fontId="18" fillId="2" borderId="8" xfId="0" applyFont="1" applyFill="1" applyBorder="1"/>
    <xf numFmtId="0" fontId="18" fillId="2" borderId="9" xfId="0" applyFont="1" applyFill="1" applyBorder="1"/>
    <xf numFmtId="0" fontId="20" fillId="2" borderId="20" xfId="0" quotePrefix="1" applyFont="1" applyFill="1" applyBorder="1" applyAlignment="1">
      <alignment horizontal="center"/>
    </xf>
    <xf numFmtId="0" fontId="20" fillId="2" borderId="0" xfId="0" quotePrefix="1" applyFont="1" applyFill="1" applyBorder="1" applyAlignment="1">
      <alignment horizontal="left"/>
    </xf>
    <xf numFmtId="0" fontId="20" fillId="2" borderId="0" xfId="0" applyFont="1" applyFill="1" applyBorder="1"/>
    <xf numFmtId="0" fontId="20" fillId="2" borderId="10" xfId="0" applyFont="1" applyFill="1" applyBorder="1"/>
    <xf numFmtId="0" fontId="22" fillId="2" borderId="20" xfId="0" applyFont="1" applyFill="1" applyBorder="1"/>
    <xf numFmtId="0" fontId="22" fillId="2" borderId="0" xfId="0" applyFont="1" applyFill="1" applyBorder="1"/>
    <xf numFmtId="0" fontId="22" fillId="2" borderId="10" xfId="0" quotePrefix="1" applyFont="1" applyFill="1" applyBorder="1" applyAlignment="1">
      <alignment horizontal="left"/>
    </xf>
    <xf numFmtId="0" fontId="22" fillId="2" borderId="10" xfId="0" applyFont="1" applyFill="1" applyBorder="1"/>
    <xf numFmtId="0" fontId="22" fillId="2" borderId="20" xfId="0" applyFont="1" applyFill="1" applyBorder="1" applyAlignment="1">
      <alignment horizontal="right"/>
    </xf>
    <xf numFmtId="0" fontId="22" fillId="2" borderId="0" xfId="0" quotePrefix="1" applyFont="1" applyFill="1" applyBorder="1" applyAlignment="1">
      <alignment horizontal="right"/>
    </xf>
    <xf numFmtId="0" fontId="22" fillId="2" borderId="0" xfId="0" applyFont="1" applyFill="1" applyBorder="1" applyAlignment="1">
      <alignment horizontal="right"/>
    </xf>
    <xf numFmtId="0" fontId="22" fillId="2" borderId="33" xfId="0" applyFont="1" applyFill="1" applyBorder="1" applyAlignment="1">
      <alignment horizontal="right"/>
    </xf>
    <xf numFmtId="0" fontId="22" fillId="2" borderId="11" xfId="0" applyFont="1" applyFill="1" applyBorder="1" applyAlignment="1">
      <alignment horizontal="right"/>
    </xf>
    <xf numFmtId="0" fontId="22" fillId="2" borderId="11" xfId="0" quotePrefix="1" applyFont="1" applyFill="1" applyBorder="1" applyAlignment="1">
      <alignment horizontal="right"/>
    </xf>
    <xf numFmtId="0" fontId="22" fillId="2" borderId="12" xfId="0" applyFont="1" applyFill="1" applyBorder="1"/>
    <xf numFmtId="0" fontId="22" fillId="2" borderId="0" xfId="0" applyFont="1" applyFill="1"/>
    <xf numFmtId="0" fontId="18" fillId="2" borderId="0" xfId="0" quotePrefix="1" applyFont="1" applyFill="1" applyAlignment="1">
      <alignment horizontal="left"/>
    </xf>
    <xf numFmtId="0" fontId="18" fillId="2" borderId="0" xfId="0" applyFont="1" applyFill="1"/>
    <xf numFmtId="0" fontId="22" fillId="2" borderId="38" xfId="0" applyFont="1" applyFill="1" applyBorder="1"/>
    <xf numFmtId="0" fontId="22" fillId="2" borderId="36" xfId="0" applyFont="1" applyFill="1" applyBorder="1"/>
    <xf numFmtId="0" fontId="22" fillId="2" borderId="37" xfId="0" applyFont="1" applyFill="1" applyBorder="1"/>
    <xf numFmtId="0" fontId="0" fillId="2" borderId="41" xfId="0" quotePrefix="1" applyFill="1" applyBorder="1" applyAlignment="1">
      <alignment horizontal="left"/>
    </xf>
    <xf numFmtId="0" fontId="0" fillId="2" borderId="39" xfId="0" applyFill="1" applyBorder="1"/>
    <xf numFmtId="0" fontId="0" fillId="2" borderId="35" xfId="0" applyFill="1" applyBorder="1"/>
    <xf numFmtId="0" fontId="22" fillId="2" borderId="32" xfId="0" quotePrefix="1" applyFont="1" applyFill="1" applyBorder="1" applyAlignment="1">
      <alignment horizontal="right"/>
    </xf>
    <xf numFmtId="0" fontId="22" fillId="2" borderId="8" xfId="0" quotePrefix="1" applyFont="1" applyFill="1" applyBorder="1" applyAlignment="1">
      <alignment horizontal="right"/>
    </xf>
    <xf numFmtId="0" fontId="22" fillId="2" borderId="9" xfId="0" quotePrefix="1" applyFont="1" applyFill="1" applyBorder="1" applyAlignment="1">
      <alignment horizontal="right"/>
    </xf>
    <xf numFmtId="0" fontId="22" fillId="2" borderId="20" xfId="0" quotePrefix="1" applyFont="1" applyFill="1" applyBorder="1" applyAlignment="1">
      <alignment horizontal="right"/>
    </xf>
    <xf numFmtId="0" fontId="22" fillId="2" borderId="10" xfId="0" quotePrefix="1" applyFont="1" applyFill="1" applyBorder="1" applyAlignment="1">
      <alignment horizontal="right"/>
    </xf>
    <xf numFmtId="0" fontId="22" fillId="2" borderId="33" xfId="0" quotePrefix="1" applyFont="1" applyFill="1" applyBorder="1" applyAlignment="1">
      <alignment horizontal="right"/>
    </xf>
    <xf numFmtId="0" fontId="22" fillId="2" borderId="12" xfId="0" quotePrefix="1" applyFont="1" applyFill="1" applyBorder="1" applyAlignment="1">
      <alignment horizontal="right"/>
    </xf>
    <xf numFmtId="0" fontId="22" fillId="4" borderId="0" xfId="0" applyFont="1" applyFill="1" applyAlignment="1">
      <alignment horizontal="right"/>
    </xf>
    <xf numFmtId="165" fontId="10" fillId="2" borderId="1" xfId="0" applyNumberFormat="1" applyFont="1" applyFill="1" applyBorder="1" applyProtection="1">
      <protection locked="0"/>
    </xf>
    <xf numFmtId="165" fontId="3" fillId="0" borderId="0" xfId="0" applyNumberFormat="1" applyFont="1"/>
    <xf numFmtId="165" fontId="10" fillId="2" borderId="5" xfId="0" applyNumberFormat="1" applyFont="1" applyFill="1" applyBorder="1" applyProtection="1">
      <protection locked="0"/>
    </xf>
    <xf numFmtId="165" fontId="6" fillId="5" borderId="0" xfId="0" applyNumberFormat="1" applyFont="1" applyFill="1" applyBorder="1"/>
    <xf numFmtId="165" fontId="6" fillId="5" borderId="37" xfId="0" applyNumberFormat="1" applyFont="1" applyFill="1" applyBorder="1"/>
    <xf numFmtId="165" fontId="6" fillId="5" borderId="10" xfId="0" applyNumberFormat="1" applyFont="1" applyFill="1" applyBorder="1"/>
    <xf numFmtId="165" fontId="6" fillId="5" borderId="11" xfId="0" applyNumberFormat="1" applyFont="1" applyFill="1" applyBorder="1"/>
    <xf numFmtId="165" fontId="6" fillId="5" borderId="38" xfId="0" applyNumberFormat="1" applyFont="1" applyFill="1" applyBorder="1"/>
    <xf numFmtId="165" fontId="6" fillId="5" borderId="12" xfId="0" applyNumberFormat="1" applyFont="1" applyFill="1" applyBorder="1"/>
    <xf numFmtId="165" fontId="6" fillId="3" borderId="0" xfId="0" applyNumberFormat="1" applyFont="1" applyFill="1" applyBorder="1"/>
    <xf numFmtId="165" fontId="6" fillId="3" borderId="37" xfId="0" applyNumberFormat="1" applyFont="1" applyFill="1" applyBorder="1"/>
    <xf numFmtId="165" fontId="6" fillId="3" borderId="10" xfId="0" applyNumberFormat="1" applyFont="1" applyFill="1" applyBorder="1"/>
    <xf numFmtId="165" fontId="6" fillId="3" borderId="11" xfId="0" applyNumberFormat="1" applyFont="1" applyFill="1" applyBorder="1"/>
    <xf numFmtId="165" fontId="6" fillId="3" borderId="38" xfId="0" applyNumberFormat="1" applyFont="1" applyFill="1" applyBorder="1"/>
    <xf numFmtId="165" fontId="6" fillId="3" borderId="12" xfId="0" applyNumberFormat="1" applyFont="1" applyFill="1" applyBorder="1"/>
    <xf numFmtId="165" fontId="6" fillId="2" borderId="0" xfId="0" applyNumberFormat="1" applyFont="1" applyFill="1" applyBorder="1"/>
    <xf numFmtId="165" fontId="6" fillId="2" borderId="37" xfId="0" applyNumberFormat="1" applyFont="1" applyFill="1" applyBorder="1"/>
    <xf numFmtId="165" fontId="6" fillId="2" borderId="10" xfId="0" applyNumberFormat="1" applyFont="1" applyFill="1" applyBorder="1"/>
    <xf numFmtId="165" fontId="6" fillId="2" borderId="11" xfId="0" applyNumberFormat="1" applyFont="1" applyFill="1" applyBorder="1"/>
    <xf numFmtId="165" fontId="6" fillId="2" borderId="38" xfId="0" applyNumberFormat="1" applyFont="1" applyFill="1" applyBorder="1"/>
    <xf numFmtId="165" fontId="6" fillId="2" borderId="12" xfId="0" applyNumberFormat="1" applyFont="1" applyFill="1" applyBorder="1"/>
    <xf numFmtId="165" fontId="6" fillId="4" borderId="0" xfId="0" applyNumberFormat="1" applyFont="1" applyFill="1" applyBorder="1"/>
    <xf numFmtId="165" fontId="6" fillId="4" borderId="37" xfId="0" applyNumberFormat="1" applyFont="1" applyFill="1" applyBorder="1"/>
    <xf numFmtId="165" fontId="6" fillId="4" borderId="10" xfId="0" applyNumberFormat="1" applyFont="1" applyFill="1" applyBorder="1"/>
    <xf numFmtId="165" fontId="6" fillId="4" borderId="11" xfId="0" applyNumberFormat="1" applyFont="1" applyFill="1" applyBorder="1"/>
    <xf numFmtId="165" fontId="6" fillId="4" borderId="38" xfId="0" applyNumberFormat="1" applyFont="1" applyFill="1" applyBorder="1"/>
    <xf numFmtId="165" fontId="6" fillId="4" borderId="12" xfId="0" applyNumberFormat="1" applyFont="1" applyFill="1" applyBorder="1"/>
    <xf numFmtId="165" fontId="6" fillId="0" borderId="0" xfId="0" applyNumberFormat="1" applyFont="1"/>
    <xf numFmtId="165" fontId="6" fillId="0" borderId="4" xfId="0" applyNumberFormat="1" applyFont="1" applyBorder="1"/>
    <xf numFmtId="2" fontId="6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3" fillId="5" borderId="23" xfId="0" applyFont="1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0" xfId="0" applyFill="1" applyBorder="1"/>
    <xf numFmtId="0" fontId="0" fillId="5" borderId="27" xfId="0" applyFill="1" applyBorder="1"/>
    <xf numFmtId="0" fontId="0" fillId="5" borderId="29" xfId="0" applyFill="1" applyBorder="1"/>
    <xf numFmtId="0" fontId="0" fillId="5" borderId="30" xfId="0" applyFill="1" applyBorder="1"/>
    <xf numFmtId="0" fontId="0" fillId="2" borderId="0" xfId="0" applyFill="1" applyBorder="1"/>
    <xf numFmtId="0" fontId="0" fillId="4" borderId="0" xfId="0" applyFill="1" applyBorder="1"/>
    <xf numFmtId="0" fontId="3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4" borderId="0" xfId="0" quotePrefix="1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3" borderId="0" xfId="0" applyFont="1" applyFill="1" applyBorder="1"/>
    <xf numFmtId="0" fontId="3" fillId="3" borderId="23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2" fillId="0" borderId="0" xfId="0" applyFont="1"/>
    <xf numFmtId="0" fontId="6" fillId="5" borderId="23" xfId="0" applyFont="1" applyFill="1" applyBorder="1"/>
    <xf numFmtId="0" fontId="6" fillId="5" borderId="26" xfId="0" applyFont="1" applyFill="1" applyBorder="1"/>
    <xf numFmtId="0" fontId="6" fillId="5" borderId="27" xfId="0" applyFont="1" applyFill="1" applyBorder="1"/>
    <xf numFmtId="0" fontId="3" fillId="5" borderId="0" xfId="0" quotePrefix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0" fillId="0" borderId="42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quotePrefix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1" fillId="4" borderId="0" xfId="0" quotePrefix="1" applyFont="1" applyFill="1" applyAlignment="1">
      <alignment horizontal="left"/>
    </xf>
    <xf numFmtId="0" fontId="6" fillId="5" borderId="25" xfId="0" applyFont="1" applyFill="1" applyBorder="1"/>
    <xf numFmtId="164" fontId="6" fillId="0" borderId="0" xfId="0" applyNumberFormat="1" applyFont="1"/>
    <xf numFmtId="0" fontId="0" fillId="5" borderId="0" xfId="0" applyFill="1" applyAlignment="1">
      <alignment horizontal="center"/>
    </xf>
    <xf numFmtId="0" fontId="18" fillId="0" borderId="0" xfId="0" quotePrefix="1" applyFont="1" applyAlignment="1">
      <alignment horizontal="right"/>
    </xf>
    <xf numFmtId="0" fontId="0" fillId="0" borderId="22" xfId="0" applyBorder="1"/>
    <xf numFmtId="0" fontId="18" fillId="0" borderId="23" xfId="0" applyFont="1" applyBorder="1" applyAlignment="1">
      <alignment horizontal="right"/>
    </xf>
    <xf numFmtId="165" fontId="6" fillId="0" borderId="22" xfId="1" applyNumberFormat="1" applyFont="1" applyBorder="1"/>
    <xf numFmtId="165" fontId="0" fillId="0" borderId="24" xfId="0" applyNumberFormat="1" applyBorder="1"/>
    <xf numFmtId="0" fontId="0" fillId="0" borderId="24" xfId="0" applyBorder="1"/>
    <xf numFmtId="0" fontId="0" fillId="0" borderId="26" xfId="0" applyBorder="1"/>
    <xf numFmtId="0" fontId="18" fillId="0" borderId="0" xfId="0" quotePrefix="1" applyFont="1" applyBorder="1" applyAlignment="1">
      <alignment horizontal="right"/>
    </xf>
    <xf numFmtId="165" fontId="6" fillId="0" borderId="26" xfId="0" applyNumberFormat="1" applyFont="1" applyBorder="1"/>
    <xf numFmtId="165" fontId="0" fillId="0" borderId="27" xfId="0" applyNumberFormat="1" applyBorder="1"/>
    <xf numFmtId="0" fontId="0" fillId="0" borderId="27" xfId="0" applyBorder="1"/>
    <xf numFmtId="0" fontId="6" fillId="0" borderId="28" xfId="0" quotePrefix="1" applyFont="1" applyBorder="1" applyAlignment="1">
      <alignment horizontal="left"/>
    </xf>
    <xf numFmtId="0" fontId="6" fillId="0" borderId="30" xfId="0" quotePrefix="1" applyFont="1" applyBorder="1" applyAlignment="1">
      <alignment horizontal="right"/>
    </xf>
    <xf numFmtId="0" fontId="37" fillId="0" borderId="29" xfId="0" applyFont="1" applyBorder="1"/>
    <xf numFmtId="0" fontId="0" fillId="0" borderId="30" xfId="0" applyBorder="1"/>
    <xf numFmtId="0" fontId="18" fillId="0" borderId="23" xfId="0" quotePrefix="1" applyFont="1" applyBorder="1" applyAlignment="1">
      <alignment horizontal="right"/>
    </xf>
    <xf numFmtId="10" fontId="6" fillId="0" borderId="22" xfId="1" applyNumberFormat="1" applyFont="1" applyBorder="1"/>
    <xf numFmtId="0" fontId="0" fillId="0" borderId="29" xfId="0" applyBorder="1"/>
    <xf numFmtId="0" fontId="37" fillId="0" borderId="28" xfId="0" applyFont="1" applyBorder="1"/>
    <xf numFmtId="0" fontId="23" fillId="2" borderId="0" xfId="0" quotePrefix="1" applyFont="1" applyFill="1" applyBorder="1" applyAlignment="1">
      <alignment horizontal="center"/>
    </xf>
    <xf numFmtId="0" fontId="23" fillId="4" borderId="0" xfId="0" quotePrefix="1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2" fillId="2" borderId="0" xfId="0" applyFont="1" applyFill="1" applyBorder="1"/>
    <xf numFmtId="0" fontId="0" fillId="4" borderId="0" xfId="0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7" fillId="2" borderId="0" xfId="0" applyFont="1" applyFill="1" applyBorder="1"/>
    <xf numFmtId="0" fontId="3" fillId="4" borderId="0" xfId="0" quotePrefix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0" fillId="2" borderId="0" xfId="0" quotePrefix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12" fillId="2" borderId="0" xfId="0" quotePrefix="1" applyFont="1" applyFill="1" applyBorder="1" applyAlignment="1">
      <alignment horizontal="left"/>
    </xf>
    <xf numFmtId="0" fontId="12" fillId="4" borderId="0" xfId="0" quotePrefix="1" applyFont="1" applyFill="1" applyBorder="1" applyAlignment="1">
      <alignment horizontal="left"/>
    </xf>
    <xf numFmtId="0" fontId="0" fillId="0" borderId="0" xfId="0" applyBorder="1"/>
    <xf numFmtId="164" fontId="6" fillId="3" borderId="0" xfId="0" applyNumberFormat="1" applyFont="1" applyFill="1" applyBorder="1"/>
    <xf numFmtId="0" fontId="3" fillId="0" borderId="7" xfId="0" applyFont="1" applyBorder="1"/>
    <xf numFmtId="0" fontId="0" fillId="0" borderId="36" xfId="0" applyBorder="1"/>
    <xf numFmtId="0" fontId="6" fillId="0" borderId="20" xfId="0" applyFont="1" applyBorder="1"/>
    <xf numFmtId="0" fontId="6" fillId="0" borderId="33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0" xfId="0" applyFont="1" applyBorder="1"/>
    <xf numFmtId="1" fontId="6" fillId="5" borderId="0" xfId="0" applyNumberFormat="1" applyFont="1" applyFill="1" applyBorder="1"/>
    <xf numFmtId="166" fontId="6" fillId="5" borderId="27" xfId="0" applyNumberFormat="1" applyFont="1" applyFill="1" applyBorder="1"/>
    <xf numFmtId="166" fontId="6" fillId="5" borderId="29" xfId="0" applyNumberFormat="1" applyFont="1" applyFill="1" applyBorder="1"/>
    <xf numFmtId="166" fontId="6" fillId="5" borderId="30" xfId="0" applyNumberFormat="1" applyFont="1" applyFill="1" applyBorder="1"/>
    <xf numFmtId="0" fontId="0" fillId="0" borderId="7" xfId="0" applyBorder="1"/>
    <xf numFmtId="166" fontId="6" fillId="3" borderId="0" xfId="0" applyNumberFormat="1" applyFont="1" applyFill="1" applyBorder="1"/>
    <xf numFmtId="166" fontId="6" fillId="3" borderId="27" xfId="0" applyNumberFormat="1" applyFont="1" applyFill="1" applyBorder="1"/>
    <xf numFmtId="166" fontId="6" fillId="3" borderId="29" xfId="0" applyNumberFormat="1" applyFont="1" applyFill="1" applyBorder="1"/>
    <xf numFmtId="166" fontId="6" fillId="3" borderId="30" xfId="0" applyNumberFormat="1" applyFont="1" applyFill="1" applyBorder="1"/>
    <xf numFmtId="0" fontId="10" fillId="2" borderId="43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5" borderId="0" xfId="0" quotePrefix="1" applyFont="1" applyFill="1" applyBorder="1" applyAlignment="1">
      <alignment horizontal="center"/>
    </xf>
    <xf numFmtId="0" fontId="6" fillId="5" borderId="23" xfId="0" quotePrefix="1" applyFont="1" applyFill="1" applyBorder="1" applyAlignment="1">
      <alignment horizontal="left"/>
    </xf>
    <xf numFmtId="0" fontId="6" fillId="5" borderId="29" xfId="0" quotePrefix="1" applyFont="1" applyFill="1" applyBorder="1" applyAlignment="1">
      <alignment horizontal="left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23" fillId="0" borderId="0" xfId="0" quotePrefix="1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quotePrefix="1" applyFont="1" applyFill="1" applyBorder="1" applyAlignment="1">
      <alignment horizontal="right"/>
    </xf>
    <xf numFmtId="0" fontId="23" fillId="3" borderId="13" xfId="0" quotePrefix="1" applyFont="1" applyFill="1" applyBorder="1" applyAlignment="1">
      <alignment horizontal="center"/>
    </xf>
    <xf numFmtId="0" fontId="0" fillId="3" borderId="0" xfId="0" applyFill="1" applyBorder="1"/>
    <xf numFmtId="0" fontId="3" fillId="3" borderId="23" xfId="0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Fill="1" applyBorder="1"/>
    <xf numFmtId="0" fontId="0" fillId="3" borderId="27" xfId="0" applyFill="1" applyBorder="1"/>
    <xf numFmtId="0" fontId="0" fillId="3" borderId="29" xfId="0" applyFill="1" applyBorder="1"/>
    <xf numFmtId="0" fontId="0" fillId="3" borderId="30" xfId="0" applyFill="1" applyBorder="1"/>
    <xf numFmtId="165" fontId="10" fillId="2" borderId="44" xfId="0" applyNumberFormat="1" applyFont="1" applyFill="1" applyBorder="1" applyProtection="1">
      <protection locked="0"/>
    </xf>
    <xf numFmtId="165" fontId="10" fillId="2" borderId="45" xfId="0" applyNumberFormat="1" applyFont="1" applyFill="1" applyBorder="1" applyProtection="1">
      <protection locked="0"/>
    </xf>
    <xf numFmtId="0" fontId="10" fillId="2" borderId="46" xfId="0" applyFont="1" applyFill="1" applyBorder="1" applyProtection="1">
      <protection locked="0"/>
    </xf>
    <xf numFmtId="0" fontId="10" fillId="2" borderId="47" xfId="0" applyFont="1" applyFill="1" applyBorder="1" applyProtection="1">
      <protection locked="0"/>
    </xf>
    <xf numFmtId="164" fontId="10" fillId="2" borderId="48" xfId="0" applyNumberFormat="1" applyFont="1" applyFill="1" applyBorder="1" applyProtection="1">
      <protection locked="0"/>
    </xf>
    <xf numFmtId="164" fontId="10" fillId="2" borderId="49" xfId="0" applyNumberFormat="1" applyFont="1" applyFill="1" applyBorder="1" applyProtection="1">
      <protection locked="0"/>
    </xf>
    <xf numFmtId="164" fontId="10" fillId="2" borderId="50" xfId="0" applyNumberFormat="1" applyFont="1" applyFill="1" applyBorder="1" applyProtection="1">
      <protection locked="0"/>
    </xf>
    <xf numFmtId="164" fontId="10" fillId="2" borderId="51" xfId="0" applyNumberFormat="1" applyFont="1" applyFill="1" applyBorder="1" applyProtection="1">
      <protection locked="0"/>
    </xf>
    <xf numFmtId="164" fontId="10" fillId="2" borderId="52" xfId="0" applyNumberFormat="1" applyFont="1" applyFill="1" applyBorder="1" applyProtection="1">
      <protection locked="0"/>
    </xf>
    <xf numFmtId="164" fontId="10" fillId="2" borderId="53" xfId="0" applyNumberFormat="1" applyFont="1" applyFill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164" fontId="11" fillId="0" borderId="0" xfId="0" applyNumberFormat="1" applyFont="1" applyFill="1" applyBorder="1" applyProtection="1">
      <protection locked="0"/>
    </xf>
    <xf numFmtId="10" fontId="6" fillId="0" borderId="22" xfId="1" applyNumberFormat="1" applyFont="1" applyFill="1" applyBorder="1"/>
    <xf numFmtId="165" fontId="6" fillId="0" borderId="22" xfId="1" applyNumberFormat="1" applyFont="1" applyFill="1" applyBorder="1"/>
    <xf numFmtId="0" fontId="0" fillId="0" borderId="0" xfId="0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28" fillId="5" borderId="18" xfId="0" quotePrefix="1" applyFont="1" applyFill="1" applyBorder="1" applyAlignment="1" applyProtection="1">
      <alignment horizontal="center"/>
    </xf>
    <xf numFmtId="0" fontId="0" fillId="5" borderId="19" xfId="0" applyFill="1" applyBorder="1" applyProtection="1"/>
    <xf numFmtId="0" fontId="14" fillId="7" borderId="3" xfId="0" applyFont="1" applyFill="1" applyBorder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3" fillId="0" borderId="0" xfId="0" applyFont="1" applyProtection="1"/>
    <xf numFmtId="0" fontId="3" fillId="0" borderId="0" xfId="0" quotePrefix="1" applyFont="1" applyAlignment="1" applyProtection="1">
      <alignment horizontal="right"/>
    </xf>
    <xf numFmtId="0" fontId="7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2" fillId="0" borderId="0" xfId="0" applyFont="1" applyProtection="1"/>
    <xf numFmtId="0" fontId="7" fillId="0" borderId="0" xfId="0" applyFont="1" applyAlignment="1" applyProtection="1">
      <alignment horizontal="left"/>
    </xf>
    <xf numFmtId="0" fontId="1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0" fillId="0" borderId="0" xfId="0" quotePrefix="1" applyAlignment="1" applyProtection="1">
      <alignment horizontal="right"/>
    </xf>
    <xf numFmtId="0" fontId="0" fillId="0" borderId="0" xfId="0" applyAlignment="1" applyProtection="1">
      <alignment horizontal="left"/>
    </xf>
    <xf numFmtId="0" fontId="14" fillId="0" borderId="0" xfId="0" quotePrefix="1" applyFont="1" applyAlignment="1" applyProtection="1">
      <alignment horizontal="left"/>
    </xf>
    <xf numFmtId="0" fontId="14" fillId="5" borderId="0" xfId="0" quotePrefix="1" applyFont="1" applyFill="1" applyAlignment="1" applyProtection="1">
      <alignment horizontal="left"/>
    </xf>
    <xf numFmtId="0" fontId="0" fillId="5" borderId="0" xfId="0" applyFill="1" applyProtection="1"/>
    <xf numFmtId="0" fontId="0" fillId="5" borderId="0" xfId="0" quotePrefix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14" fillId="3" borderId="0" xfId="0" quotePrefix="1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0" fillId="3" borderId="0" xfId="0" quotePrefix="1" applyFill="1" applyAlignment="1" applyProtection="1">
      <alignment horizontal="left"/>
    </xf>
    <xf numFmtId="0" fontId="14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quotePrefix="1" applyFill="1" applyAlignment="1" applyProtection="1">
      <alignment horizontal="left"/>
    </xf>
    <xf numFmtId="0" fontId="14" fillId="4" borderId="0" xfId="0" quotePrefix="1" applyFont="1" applyFill="1" applyAlignment="1" applyProtection="1">
      <alignment horizontal="left"/>
    </xf>
    <xf numFmtId="0" fontId="0" fillId="4" borderId="0" xfId="0" applyFill="1" applyProtection="1"/>
    <xf numFmtId="0" fontId="0" fillId="4" borderId="0" xfId="0" applyFill="1" applyAlignment="1" applyProtection="1">
      <alignment horizontal="left"/>
    </xf>
    <xf numFmtId="0" fontId="0" fillId="4" borderId="0" xfId="0" quotePrefix="1" applyFill="1" applyAlignment="1" applyProtection="1">
      <alignment horizontal="left"/>
    </xf>
    <xf numFmtId="0" fontId="17" fillId="0" borderId="0" xfId="0" applyFont="1" applyProtection="1"/>
    <xf numFmtId="0" fontId="2" fillId="0" borderId="0" xfId="0" applyFont="1" applyProtection="1"/>
    <xf numFmtId="0" fontId="29" fillId="2" borderId="13" xfId="0" quotePrefix="1" applyFont="1" applyFill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0" fontId="30" fillId="0" borderId="0" xfId="0" applyFont="1" applyBorder="1" applyProtection="1"/>
    <xf numFmtId="0" fontId="0" fillId="0" borderId="0" xfId="0" quotePrefix="1" applyProtection="1"/>
    <xf numFmtId="0" fontId="7" fillId="0" borderId="7" xfId="0" applyFont="1" applyBorder="1" applyAlignment="1" applyProtection="1">
      <alignment horizontal="left"/>
    </xf>
    <xf numFmtId="0" fontId="7" fillId="0" borderId="34" xfId="0" applyFont="1" applyBorder="1" applyAlignment="1" applyProtection="1">
      <alignment horizontal="centerContinuous"/>
    </xf>
    <xf numFmtId="0" fontId="7" fillId="0" borderId="39" xfId="0" applyFont="1" applyBorder="1" applyAlignment="1" applyProtection="1">
      <alignment horizontal="centerContinuous"/>
    </xf>
    <xf numFmtId="0" fontId="0" fillId="0" borderId="39" xfId="0" applyBorder="1" applyAlignment="1" applyProtection="1">
      <alignment horizontal="centerContinuous"/>
    </xf>
    <xf numFmtId="0" fontId="7" fillId="0" borderId="7" xfId="0" applyFont="1" applyBorder="1" applyAlignment="1" applyProtection="1">
      <alignment horizontal="centerContinuous"/>
    </xf>
    <xf numFmtId="0" fontId="7" fillId="5" borderId="37" xfId="0" quotePrefix="1" applyFont="1" applyFill="1" applyBorder="1" applyAlignment="1" applyProtection="1">
      <alignment horizontal="left"/>
    </xf>
    <xf numFmtId="0" fontId="7" fillId="5" borderId="20" xfId="0" applyFont="1" applyFill="1" applyBorder="1" applyAlignment="1" applyProtection="1">
      <alignment horizontal="centerContinuous"/>
    </xf>
    <xf numFmtId="0" fontId="7" fillId="5" borderId="0" xfId="0" applyFont="1" applyFill="1" applyBorder="1" applyAlignment="1" applyProtection="1">
      <alignment horizontal="centerContinuous"/>
    </xf>
    <xf numFmtId="0" fontId="7" fillId="5" borderId="37" xfId="0" applyFont="1" applyFill="1" applyBorder="1" applyAlignment="1" applyProtection="1">
      <alignment horizontal="centerContinuous"/>
    </xf>
    <xf numFmtId="0" fontId="7" fillId="3" borderId="37" xfId="0" quotePrefix="1" applyFont="1" applyFill="1" applyBorder="1" applyAlignment="1" applyProtection="1">
      <alignment horizontal="left"/>
    </xf>
    <xf numFmtId="0" fontId="7" fillId="3" borderId="20" xfId="0" applyFont="1" applyFill="1" applyBorder="1" applyAlignment="1" applyProtection="1">
      <alignment horizontal="centerContinuous"/>
    </xf>
    <xf numFmtId="0" fontId="7" fillId="3" borderId="0" xfId="0" applyFont="1" applyFill="1" applyBorder="1" applyAlignment="1" applyProtection="1">
      <alignment horizontal="centerContinuous"/>
    </xf>
    <xf numFmtId="0" fontId="7" fillId="3" borderId="37" xfId="0" applyFont="1" applyFill="1" applyBorder="1" applyAlignment="1" applyProtection="1">
      <alignment horizontal="centerContinuous"/>
    </xf>
    <xf numFmtId="0" fontId="7" fillId="2" borderId="37" xfId="0" quotePrefix="1" applyFont="1" applyFill="1" applyBorder="1" applyAlignment="1" applyProtection="1">
      <alignment horizontal="left"/>
    </xf>
    <xf numFmtId="0" fontId="7" fillId="2" borderId="20" xfId="0" applyFont="1" applyFill="1" applyBorder="1" applyAlignment="1" applyProtection="1">
      <alignment horizontal="centerContinuous"/>
    </xf>
    <xf numFmtId="0" fontId="7" fillId="2" borderId="0" xfId="0" applyFont="1" applyFill="1" applyBorder="1" applyAlignment="1" applyProtection="1">
      <alignment horizontal="centerContinuous"/>
    </xf>
    <xf numFmtId="0" fontId="7" fillId="2" borderId="37" xfId="0" applyFont="1" applyFill="1" applyBorder="1" applyAlignment="1" applyProtection="1">
      <alignment horizontal="centerContinuous"/>
    </xf>
    <xf numFmtId="0" fontId="7" fillId="4" borderId="38" xfId="0" quotePrefix="1" applyFont="1" applyFill="1" applyBorder="1" applyAlignment="1" applyProtection="1">
      <alignment horizontal="left"/>
    </xf>
    <xf numFmtId="0" fontId="7" fillId="4" borderId="33" xfId="0" applyFont="1" applyFill="1" applyBorder="1" applyAlignment="1" applyProtection="1">
      <alignment horizontal="centerContinuous"/>
    </xf>
    <xf numFmtId="0" fontId="7" fillId="4" borderId="11" xfId="0" applyFont="1" applyFill="1" applyBorder="1" applyAlignment="1" applyProtection="1">
      <alignment horizontal="centerContinuous"/>
    </xf>
    <xf numFmtId="0" fontId="7" fillId="4" borderId="38" xfId="0" applyFont="1" applyFill="1" applyBorder="1" applyAlignment="1" applyProtection="1">
      <alignment horizontal="centerContinuous"/>
    </xf>
    <xf numFmtId="0" fontId="21" fillId="0" borderId="0" xfId="0" applyFont="1" applyProtection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Linear Model</a:t>
            </a:r>
          </a:p>
        </c:rich>
      </c:tx>
      <c:layout>
        <c:manualLayout>
          <c:xMode val="edge"/>
          <c:yMode val="edge"/>
          <c:x val="0.3540510543840177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539967373572595"/>
          <c:w val="0.79578246392896779"/>
          <c:h val="0.72104404567699842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0.19</c:v>
                </c:pt>
                <c:pt idx="1">
                  <c:v>0.2</c:v>
                </c:pt>
                <c:pt idx="2">
                  <c:v>0.21</c:v>
                </c:pt>
                <c:pt idx="3">
                  <c:v>1.1399999999999999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1.99</c:v>
                </c:pt>
                <c:pt idx="7">
                  <c:v>2</c:v>
                </c:pt>
                <c:pt idx="8">
                  <c:v>2.0099999999999998</c:v>
                </c:pt>
                <c:pt idx="9">
                  <c:v>2.74</c:v>
                </c:pt>
                <c:pt idx="10">
                  <c:v>2.75</c:v>
                </c:pt>
                <c:pt idx="11">
                  <c:v>2.76</c:v>
                </c:pt>
                <c:pt idx="12">
                  <c:v>3.39</c:v>
                </c:pt>
                <c:pt idx="13">
                  <c:v>3.4</c:v>
                </c:pt>
                <c:pt idx="14">
                  <c:v>3.41</c:v>
                </c:pt>
                <c:pt idx="15">
                  <c:v>3.94</c:v>
                </c:pt>
                <c:pt idx="16">
                  <c:v>3.95</c:v>
                </c:pt>
                <c:pt idx="17">
                  <c:v>3.96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Line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Data'!$F$12:$F$113</c:f>
              <c:numCache>
                <c:formatCode>General</c:formatCode>
                <c:ptCount val="102"/>
                <c:pt idx="51">
                  <c:v>0.36666666666666714</c:v>
                </c:pt>
                <c:pt idx="52">
                  <c:v>0.44166666666666715</c:v>
                </c:pt>
                <c:pt idx="53">
                  <c:v>0.51666666666666716</c:v>
                </c:pt>
                <c:pt idx="54">
                  <c:v>0.59166666666666723</c:v>
                </c:pt>
                <c:pt idx="55">
                  <c:v>0.66666666666666718</c:v>
                </c:pt>
                <c:pt idx="56">
                  <c:v>0.74166666666666725</c:v>
                </c:pt>
                <c:pt idx="57">
                  <c:v>0.81666666666666732</c:v>
                </c:pt>
                <c:pt idx="58">
                  <c:v>0.89166666666666727</c:v>
                </c:pt>
                <c:pt idx="59">
                  <c:v>0.96666666666666723</c:v>
                </c:pt>
                <c:pt idx="60">
                  <c:v>1.0416666666666674</c:v>
                </c:pt>
                <c:pt idx="61">
                  <c:v>1.1166666666666671</c:v>
                </c:pt>
                <c:pt idx="62">
                  <c:v>1.1916666666666673</c:v>
                </c:pt>
                <c:pt idx="63">
                  <c:v>1.2666666666666675</c:v>
                </c:pt>
                <c:pt idx="64">
                  <c:v>1.3416666666666675</c:v>
                </c:pt>
                <c:pt idx="65">
                  <c:v>1.4166666666666676</c:v>
                </c:pt>
                <c:pt idx="66">
                  <c:v>1.4916666666666676</c:v>
                </c:pt>
                <c:pt idx="67">
                  <c:v>1.5666666666666678</c:v>
                </c:pt>
                <c:pt idx="68">
                  <c:v>1.6416666666666677</c:v>
                </c:pt>
                <c:pt idx="69">
                  <c:v>1.7166666666666679</c:v>
                </c:pt>
                <c:pt idx="70">
                  <c:v>1.7916666666666681</c:v>
                </c:pt>
                <c:pt idx="71">
                  <c:v>1.866666666666668</c:v>
                </c:pt>
                <c:pt idx="72">
                  <c:v>1.941666666666668</c:v>
                </c:pt>
                <c:pt idx="73">
                  <c:v>2.0166666666666684</c:v>
                </c:pt>
                <c:pt idx="74">
                  <c:v>2.0916666666666681</c:v>
                </c:pt>
                <c:pt idx="75">
                  <c:v>2.1666666666666683</c:v>
                </c:pt>
                <c:pt idx="76">
                  <c:v>2.2416666666666685</c:v>
                </c:pt>
                <c:pt idx="77">
                  <c:v>2.3166666666666682</c:v>
                </c:pt>
                <c:pt idx="78">
                  <c:v>2.3916666666666684</c:v>
                </c:pt>
                <c:pt idx="79">
                  <c:v>2.4666666666666686</c:v>
                </c:pt>
                <c:pt idx="80">
                  <c:v>2.5416666666666687</c:v>
                </c:pt>
                <c:pt idx="81">
                  <c:v>2.6166666666666689</c:v>
                </c:pt>
                <c:pt idx="82">
                  <c:v>2.6916666666666691</c:v>
                </c:pt>
                <c:pt idx="83">
                  <c:v>2.7666666666666688</c:v>
                </c:pt>
                <c:pt idx="84">
                  <c:v>2.841666666666669</c:v>
                </c:pt>
                <c:pt idx="85">
                  <c:v>2.9166666666666692</c:v>
                </c:pt>
                <c:pt idx="86">
                  <c:v>2.9916666666666694</c:v>
                </c:pt>
                <c:pt idx="87">
                  <c:v>3.0666666666666695</c:v>
                </c:pt>
                <c:pt idx="88">
                  <c:v>3.1416666666666693</c:v>
                </c:pt>
                <c:pt idx="89">
                  <c:v>3.2166666666666694</c:v>
                </c:pt>
                <c:pt idx="90">
                  <c:v>3.2916666666666696</c:v>
                </c:pt>
                <c:pt idx="91">
                  <c:v>3.3666666666666694</c:v>
                </c:pt>
                <c:pt idx="92">
                  <c:v>3.4416666666666691</c:v>
                </c:pt>
                <c:pt idx="93">
                  <c:v>3.5166666666666688</c:v>
                </c:pt>
                <c:pt idx="94">
                  <c:v>3.5916666666666686</c:v>
                </c:pt>
                <c:pt idx="95">
                  <c:v>3.6666666666666683</c:v>
                </c:pt>
                <c:pt idx="96">
                  <c:v>3.741666666666668</c:v>
                </c:pt>
                <c:pt idx="97">
                  <c:v>3.8166666666666678</c:v>
                </c:pt>
                <c:pt idx="98">
                  <c:v>3.8916666666666675</c:v>
                </c:pt>
                <c:pt idx="99">
                  <c:v>3.9666666666666672</c:v>
                </c:pt>
                <c:pt idx="100">
                  <c:v>4.041666666666667</c:v>
                </c:pt>
                <c:pt idx="101">
                  <c:v>4.1166666666666671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Data'!$G$12:$G$113</c:f>
              <c:numCache>
                <c:formatCode>General</c:formatCode>
                <c:ptCount val="102"/>
                <c:pt idx="51">
                  <c:v>0.24923365599609437</c:v>
                </c:pt>
                <c:pt idx="52">
                  <c:v>0.32741542402629847</c:v>
                </c:pt>
                <c:pt idx="53">
                  <c:v>0.40555289936310779</c:v>
                </c:pt>
                <c:pt idx="54">
                  <c:v>0.4836422226101561</c:v>
                </c:pt>
                <c:pt idx="55">
                  <c:v>0.56167914296573085</c:v>
                </c:pt>
                <c:pt idx="56">
                  <c:v>0.63965897998669852</c:v>
                </c:pt>
                <c:pt idx="57">
                  <c:v>0.71757658370903599</c:v>
                </c:pt>
                <c:pt idx="58">
                  <c:v>0.79542629400992071</c:v>
                </c:pt>
                <c:pt idx="59">
                  <c:v>0.87320190053805447</c:v>
                </c:pt>
                <c:pt idx="60">
                  <c:v>0.95089660510642227</c:v>
                </c:pt>
                <c:pt idx="61">
                  <c:v>1.0285029891479025</c:v>
                </c:pt>
                <c:pt idx="62">
                  <c:v>1.1060129896794977</c:v>
                </c:pt>
                <c:pt idx="63">
                  <c:v>1.1834178881830186</c:v>
                </c:pt>
                <c:pt idx="64">
                  <c:v>1.2607083178295988</c:v>
                </c:pt>
                <c:pt idx="65">
                  <c:v>1.3378742954392639</c:v>
                </c:pt>
                <c:pt idx="66">
                  <c:v>1.414905285291284</c:v>
                </c:pt>
                <c:pt idx="67">
                  <c:v>1.4917903021216075</c:v>
                </c:pt>
                <c:pt idx="68">
                  <c:v>1.5685180600215642</c:v>
                </c:pt>
                <c:pt idx="69">
                  <c:v>1.6450771721122082</c:v>
                </c:pt>
                <c:pt idx="70">
                  <c:v>1.7214564024824797</c:v>
                </c:pt>
                <c:pt idx="71">
                  <c:v>1.7976449667971945</c:v>
                </c:pt>
                <c:pt idx="72">
                  <c:v>1.8736328713974237</c:v>
                </c:pt>
                <c:pt idx="73">
                  <c:v>1.9494112733185451</c:v>
                </c:pt>
                <c:pt idx="74">
                  <c:v>2.0249728366679962</c:v>
                </c:pt>
                <c:pt idx="75">
                  <c:v>2.1003120558609347</c:v>
                </c:pt>
                <c:pt idx="76">
                  <c:v>2.1754255149535791</c:v>
                </c:pt>
                <c:pt idx="77">
                  <c:v>2.2503120558609346</c:v>
                </c:pt>
                <c:pt idx="78">
                  <c:v>2.3249728366679965</c:v>
                </c:pt>
                <c:pt idx="79">
                  <c:v>2.3994112733185453</c:v>
                </c:pt>
                <c:pt idx="80">
                  <c:v>2.4736328713974247</c:v>
                </c:pt>
                <c:pt idx="81">
                  <c:v>2.5476449667971952</c:v>
                </c:pt>
                <c:pt idx="82">
                  <c:v>2.6214564024824805</c:v>
                </c:pt>
                <c:pt idx="83">
                  <c:v>2.6950771721122093</c:v>
                </c:pt>
                <c:pt idx="84">
                  <c:v>2.7685180600215653</c:v>
                </c:pt>
                <c:pt idx="85">
                  <c:v>2.8417903021216087</c:v>
                </c:pt>
                <c:pt idx="86">
                  <c:v>2.9149052852912858</c:v>
                </c:pt>
                <c:pt idx="87">
                  <c:v>2.9878742954392656</c:v>
                </c:pt>
                <c:pt idx="88">
                  <c:v>3.0607083178296004</c:v>
                </c:pt>
                <c:pt idx="89">
                  <c:v>3.1334178881830206</c:v>
                </c:pt>
                <c:pt idx="90">
                  <c:v>3.2060129896795</c:v>
                </c:pt>
                <c:pt idx="91">
                  <c:v>3.2785029891479045</c:v>
                </c:pt>
                <c:pt idx="92">
                  <c:v>3.3508966051064237</c:v>
                </c:pt>
                <c:pt idx="93">
                  <c:v>3.4232019005380558</c:v>
                </c:pt>
                <c:pt idx="94">
                  <c:v>3.4954262940099219</c:v>
                </c:pt>
                <c:pt idx="95">
                  <c:v>3.567576583709037</c:v>
                </c:pt>
                <c:pt idx="96">
                  <c:v>3.6396589799866992</c:v>
                </c:pt>
                <c:pt idx="97">
                  <c:v>3.7116791429657314</c:v>
                </c:pt>
                <c:pt idx="98">
                  <c:v>3.7836422226101565</c:v>
                </c:pt>
                <c:pt idx="99">
                  <c:v>3.8555528993631079</c:v>
                </c:pt>
                <c:pt idx="100">
                  <c:v>3.9274154240262984</c:v>
                </c:pt>
                <c:pt idx="101">
                  <c:v>3.9992336559960946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Data'!$H$12:$H$113</c:f>
              <c:numCache>
                <c:formatCode>General</c:formatCode>
                <c:ptCount val="102"/>
                <c:pt idx="51">
                  <c:v>0.48409967733723991</c:v>
                </c:pt>
                <c:pt idx="52">
                  <c:v>0.55591790930703588</c:v>
                </c:pt>
                <c:pt idx="53">
                  <c:v>0.62778043397022654</c:v>
                </c:pt>
                <c:pt idx="54">
                  <c:v>0.69969111072317836</c:v>
                </c:pt>
                <c:pt idx="55">
                  <c:v>0.77165419036760352</c:v>
                </c:pt>
                <c:pt idx="56">
                  <c:v>0.84367435334663599</c:v>
                </c:pt>
                <c:pt idx="57">
                  <c:v>0.91575674962429865</c:v>
                </c:pt>
                <c:pt idx="58">
                  <c:v>0.98790703932341384</c:v>
                </c:pt>
                <c:pt idx="59">
                  <c:v>1.06013143279528</c:v>
                </c:pt>
                <c:pt idx="60">
                  <c:v>1.1324367282269125</c:v>
                </c:pt>
                <c:pt idx="61">
                  <c:v>1.2048303441854318</c:v>
                </c:pt>
                <c:pt idx="62">
                  <c:v>1.277320343653837</c:v>
                </c:pt>
                <c:pt idx="63">
                  <c:v>1.3499154451503164</c:v>
                </c:pt>
                <c:pt idx="64">
                  <c:v>1.4226250155037361</c:v>
                </c:pt>
                <c:pt idx="65">
                  <c:v>1.4954590378940713</c:v>
                </c:pt>
                <c:pt idx="66">
                  <c:v>1.5684280480420512</c:v>
                </c:pt>
                <c:pt idx="67">
                  <c:v>1.6415430312117281</c:v>
                </c:pt>
                <c:pt idx="68">
                  <c:v>1.7148152733117712</c:v>
                </c:pt>
                <c:pt idx="69">
                  <c:v>1.7882561612211276</c:v>
                </c:pt>
                <c:pt idx="70">
                  <c:v>1.8618769308508565</c:v>
                </c:pt>
                <c:pt idx="71">
                  <c:v>1.9356883665361415</c:v>
                </c:pt>
                <c:pt idx="72">
                  <c:v>2.0097004619359122</c:v>
                </c:pt>
                <c:pt idx="73">
                  <c:v>2.0839220600147916</c:v>
                </c:pt>
                <c:pt idx="74">
                  <c:v>2.15836049666534</c:v>
                </c:pt>
                <c:pt idx="75">
                  <c:v>2.2330212774724019</c:v>
                </c:pt>
                <c:pt idx="76">
                  <c:v>2.3079078183797579</c:v>
                </c:pt>
                <c:pt idx="77">
                  <c:v>2.3830212774724018</c:v>
                </c:pt>
                <c:pt idx="78">
                  <c:v>2.4583604966653403</c:v>
                </c:pt>
                <c:pt idx="79">
                  <c:v>2.5339220600147918</c:v>
                </c:pt>
                <c:pt idx="80">
                  <c:v>2.6097004619359128</c:v>
                </c:pt>
                <c:pt idx="81">
                  <c:v>2.6856883665361426</c:v>
                </c:pt>
                <c:pt idx="82">
                  <c:v>2.7618769308508577</c:v>
                </c:pt>
                <c:pt idx="83">
                  <c:v>2.8382561612211283</c:v>
                </c:pt>
                <c:pt idx="84">
                  <c:v>2.9148152733117727</c:v>
                </c:pt>
                <c:pt idx="85">
                  <c:v>2.9915430312117297</c:v>
                </c:pt>
                <c:pt idx="86">
                  <c:v>3.0684280480420529</c:v>
                </c:pt>
                <c:pt idx="87">
                  <c:v>3.1454590378940734</c:v>
                </c:pt>
                <c:pt idx="88">
                  <c:v>3.2226250155037381</c:v>
                </c:pt>
                <c:pt idx="89">
                  <c:v>3.2999154451503183</c:v>
                </c:pt>
                <c:pt idx="90">
                  <c:v>3.3773203436538393</c:v>
                </c:pt>
                <c:pt idx="91">
                  <c:v>3.4548303441854342</c:v>
                </c:pt>
                <c:pt idx="92">
                  <c:v>3.5324367282269145</c:v>
                </c:pt>
                <c:pt idx="93">
                  <c:v>3.6101314327952818</c:v>
                </c:pt>
                <c:pt idx="94">
                  <c:v>3.6879070393234152</c:v>
                </c:pt>
                <c:pt idx="95">
                  <c:v>3.7657567496242996</c:v>
                </c:pt>
                <c:pt idx="96">
                  <c:v>3.8436743533466369</c:v>
                </c:pt>
                <c:pt idx="97">
                  <c:v>3.9216541903676041</c:v>
                </c:pt>
                <c:pt idx="98">
                  <c:v>3.9996911107231785</c:v>
                </c:pt>
                <c:pt idx="99">
                  <c:v>4.0777804339702266</c:v>
                </c:pt>
                <c:pt idx="100">
                  <c:v>4.1559179093070355</c:v>
                </c:pt>
                <c:pt idx="101">
                  <c:v>4.2340996773372392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25392"/>
        <c:axId val="182725000"/>
      </c:scatterChart>
      <c:valAx>
        <c:axId val="18272539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25000"/>
        <c:crosses val="autoZero"/>
        <c:crossBetween val="midCat"/>
      </c:valAx>
      <c:valAx>
        <c:axId val="18272500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25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14095449500555"/>
          <c:y val="0.265905383360522"/>
          <c:w val="0.22641509433962265"/>
          <c:h val="0.138662316476345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Linear Model</a:t>
            </a:r>
          </a:p>
        </c:rich>
      </c:tx>
      <c:layout>
        <c:manualLayout>
          <c:xMode val="edge"/>
          <c:yMode val="edge"/>
          <c:x val="0.38401775804661487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13376835236541598"/>
          <c:w val="0.86792452830188682"/>
          <c:h val="0.7683523654159869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Data'!$I$12:$I$61</c:f>
              <c:numCache>
                <c:formatCode>General</c:formatCode>
                <c:ptCount val="50"/>
                <c:pt idx="0">
                  <c:v>-0.17666666666666714</c:v>
                </c:pt>
                <c:pt idx="1">
                  <c:v>-0.16666666666666713</c:v>
                </c:pt>
                <c:pt idx="2">
                  <c:v>-0.15666666666666715</c:v>
                </c:pt>
                <c:pt idx="3">
                  <c:v>2.333333333333254E-2</c:v>
                </c:pt>
                <c:pt idx="4">
                  <c:v>3.3333333333332549E-2</c:v>
                </c:pt>
                <c:pt idx="5">
                  <c:v>4.3333333333332558E-2</c:v>
                </c:pt>
                <c:pt idx="6">
                  <c:v>0.12333333333333241</c:v>
                </c:pt>
                <c:pt idx="7">
                  <c:v>0.13333333333333242</c:v>
                </c:pt>
                <c:pt idx="8">
                  <c:v>0.1433333333333322</c:v>
                </c:pt>
                <c:pt idx="9">
                  <c:v>0.12333333333333218</c:v>
                </c:pt>
                <c:pt idx="10">
                  <c:v>0.13333333333333197</c:v>
                </c:pt>
                <c:pt idx="11">
                  <c:v>0.14333333333333176</c:v>
                </c:pt>
                <c:pt idx="12">
                  <c:v>2.3333333333332096E-2</c:v>
                </c:pt>
                <c:pt idx="13">
                  <c:v>3.3333333333331883E-2</c:v>
                </c:pt>
                <c:pt idx="14">
                  <c:v>4.3333333333332114E-2</c:v>
                </c:pt>
                <c:pt idx="15">
                  <c:v>-0.17666666666666808</c:v>
                </c:pt>
                <c:pt idx="16">
                  <c:v>-0.16666666666666785</c:v>
                </c:pt>
                <c:pt idx="17">
                  <c:v>-0.15666666666666806</c:v>
                </c:pt>
                <c:pt idx="18">
                  <c:v>-0.15666666666666806</c:v>
                </c:pt>
                <c:pt idx="19">
                  <c:v>-0.15666666666666806</c:v>
                </c:pt>
                <c:pt idx="20">
                  <c:v>-0.15666666666666806</c:v>
                </c:pt>
                <c:pt idx="21">
                  <c:v>-0.15666666666666806</c:v>
                </c:pt>
                <c:pt idx="22">
                  <c:v>-0.15666666666666806</c:v>
                </c:pt>
                <c:pt idx="23">
                  <c:v>-0.15666666666666806</c:v>
                </c:pt>
                <c:pt idx="24">
                  <c:v>-0.15666666666666806</c:v>
                </c:pt>
                <c:pt idx="25">
                  <c:v>-0.15666666666666806</c:v>
                </c:pt>
                <c:pt idx="26">
                  <c:v>-0.15666666666666806</c:v>
                </c:pt>
                <c:pt idx="27">
                  <c:v>-0.15666666666666806</c:v>
                </c:pt>
                <c:pt idx="28">
                  <c:v>-0.15666666666666806</c:v>
                </c:pt>
                <c:pt idx="29">
                  <c:v>-0.15666666666666806</c:v>
                </c:pt>
                <c:pt idx="30">
                  <c:v>-0.15666666666666806</c:v>
                </c:pt>
                <c:pt idx="31">
                  <c:v>-0.15666666666666806</c:v>
                </c:pt>
                <c:pt idx="32">
                  <c:v>-0.15666666666666806</c:v>
                </c:pt>
                <c:pt idx="33">
                  <c:v>-0.15666666666666806</c:v>
                </c:pt>
                <c:pt idx="34">
                  <c:v>-0.15666666666666806</c:v>
                </c:pt>
                <c:pt idx="35">
                  <c:v>-0.15666666666666806</c:v>
                </c:pt>
                <c:pt idx="36">
                  <c:v>-0.15666666666666806</c:v>
                </c:pt>
                <c:pt idx="37">
                  <c:v>-0.15666666666666806</c:v>
                </c:pt>
                <c:pt idx="38">
                  <c:v>-0.15666666666666806</c:v>
                </c:pt>
                <c:pt idx="39">
                  <c:v>-0.15666666666666806</c:v>
                </c:pt>
                <c:pt idx="40">
                  <c:v>-0.15666666666666806</c:v>
                </c:pt>
                <c:pt idx="41">
                  <c:v>-0.15666666666666806</c:v>
                </c:pt>
                <c:pt idx="42">
                  <c:v>-0.15666666666666806</c:v>
                </c:pt>
                <c:pt idx="43">
                  <c:v>-0.15666666666666806</c:v>
                </c:pt>
                <c:pt idx="44">
                  <c:v>-0.15666666666666806</c:v>
                </c:pt>
                <c:pt idx="45">
                  <c:v>-0.15666666666666806</c:v>
                </c:pt>
                <c:pt idx="46">
                  <c:v>-0.15666666666666806</c:v>
                </c:pt>
                <c:pt idx="47">
                  <c:v>-0.15666666666666806</c:v>
                </c:pt>
                <c:pt idx="48">
                  <c:v>-0.15666666666666806</c:v>
                </c:pt>
                <c:pt idx="49">
                  <c:v>-0.15666666666666806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78192"/>
        <c:axId val="225723864"/>
      </c:scatterChart>
      <c:valAx>
        <c:axId val="18287819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3864"/>
        <c:crosses val="autoZero"/>
        <c:crossBetween val="midCat"/>
      </c:valAx>
      <c:valAx>
        <c:axId val="225723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79608482871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878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Quadratic Model</a:t>
            </a:r>
          </a:p>
        </c:rich>
      </c:tx>
      <c:layout>
        <c:manualLayout>
          <c:xMode val="edge"/>
          <c:yMode val="edge"/>
          <c:x val="0.33851276359600446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539967373572595"/>
          <c:w val="0.79578246392896779"/>
          <c:h val="0.72104404567699842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0.19</c:v>
                </c:pt>
                <c:pt idx="1">
                  <c:v>0.2</c:v>
                </c:pt>
                <c:pt idx="2">
                  <c:v>0.21</c:v>
                </c:pt>
                <c:pt idx="3">
                  <c:v>1.1399999999999999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1.99</c:v>
                </c:pt>
                <c:pt idx="7">
                  <c:v>2</c:v>
                </c:pt>
                <c:pt idx="8">
                  <c:v>2.0099999999999998</c:v>
                </c:pt>
                <c:pt idx="9">
                  <c:v>2.74</c:v>
                </c:pt>
                <c:pt idx="10">
                  <c:v>2.75</c:v>
                </c:pt>
                <c:pt idx="11">
                  <c:v>2.76</c:v>
                </c:pt>
                <c:pt idx="12">
                  <c:v>3.39</c:v>
                </c:pt>
                <c:pt idx="13">
                  <c:v>3.4</c:v>
                </c:pt>
                <c:pt idx="14">
                  <c:v>3.41</c:v>
                </c:pt>
                <c:pt idx="15">
                  <c:v>3.94</c:v>
                </c:pt>
                <c:pt idx="16">
                  <c:v>3.95</c:v>
                </c:pt>
                <c:pt idx="17">
                  <c:v>3.96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Curve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Data'!$J$12:$J$113</c:f>
              <c:numCache>
                <c:formatCode>General</c:formatCode>
                <c:ptCount val="102"/>
                <c:pt idx="51">
                  <c:v>0.20000000000000284</c:v>
                </c:pt>
                <c:pt idx="52">
                  <c:v>0.29950000000000282</c:v>
                </c:pt>
                <c:pt idx="53">
                  <c:v>0.39800000000000285</c:v>
                </c:pt>
                <c:pt idx="54">
                  <c:v>0.49550000000000288</c:v>
                </c:pt>
                <c:pt idx="55">
                  <c:v>0.59200000000000286</c:v>
                </c:pt>
                <c:pt idx="56">
                  <c:v>0.68750000000000289</c:v>
                </c:pt>
                <c:pt idx="57">
                  <c:v>0.78200000000000292</c:v>
                </c:pt>
                <c:pt idx="58">
                  <c:v>0.87550000000000283</c:v>
                </c:pt>
                <c:pt idx="59">
                  <c:v>0.96800000000000275</c:v>
                </c:pt>
                <c:pt idx="60">
                  <c:v>1.059500000000003</c:v>
                </c:pt>
                <c:pt idx="61">
                  <c:v>1.150000000000003</c:v>
                </c:pt>
                <c:pt idx="62">
                  <c:v>1.2395000000000029</c:v>
                </c:pt>
                <c:pt idx="63">
                  <c:v>1.328000000000003</c:v>
                </c:pt>
                <c:pt idx="64">
                  <c:v>1.4155000000000031</c:v>
                </c:pt>
                <c:pt idx="65">
                  <c:v>1.5020000000000033</c:v>
                </c:pt>
                <c:pt idx="66">
                  <c:v>1.5875000000000035</c:v>
                </c:pt>
                <c:pt idx="67">
                  <c:v>1.6720000000000035</c:v>
                </c:pt>
                <c:pt idx="68">
                  <c:v>1.7555000000000036</c:v>
                </c:pt>
                <c:pt idx="69">
                  <c:v>1.8380000000000041</c:v>
                </c:pt>
                <c:pt idx="70">
                  <c:v>1.9195000000000038</c:v>
                </c:pt>
                <c:pt idx="71">
                  <c:v>2.000000000000004</c:v>
                </c:pt>
                <c:pt idx="72">
                  <c:v>2.0795000000000039</c:v>
                </c:pt>
                <c:pt idx="73">
                  <c:v>2.1580000000000044</c:v>
                </c:pt>
                <c:pt idx="74">
                  <c:v>2.2355000000000045</c:v>
                </c:pt>
                <c:pt idx="75">
                  <c:v>2.3120000000000043</c:v>
                </c:pt>
                <c:pt idx="76">
                  <c:v>2.3875000000000046</c:v>
                </c:pt>
                <c:pt idx="77">
                  <c:v>2.4620000000000046</c:v>
                </c:pt>
                <c:pt idx="78">
                  <c:v>2.5355000000000047</c:v>
                </c:pt>
                <c:pt idx="79">
                  <c:v>2.608000000000005</c:v>
                </c:pt>
                <c:pt idx="80">
                  <c:v>2.6795000000000053</c:v>
                </c:pt>
                <c:pt idx="81">
                  <c:v>2.7500000000000053</c:v>
                </c:pt>
                <c:pt idx="82">
                  <c:v>2.8195000000000054</c:v>
                </c:pt>
                <c:pt idx="83">
                  <c:v>2.8880000000000057</c:v>
                </c:pt>
                <c:pt idx="84">
                  <c:v>2.955500000000006</c:v>
                </c:pt>
                <c:pt idx="85">
                  <c:v>3.022000000000006</c:v>
                </c:pt>
                <c:pt idx="86">
                  <c:v>3.0875000000000061</c:v>
                </c:pt>
                <c:pt idx="87">
                  <c:v>3.1520000000000064</c:v>
                </c:pt>
                <c:pt idx="88">
                  <c:v>3.2155000000000067</c:v>
                </c:pt>
                <c:pt idx="89">
                  <c:v>3.2780000000000071</c:v>
                </c:pt>
                <c:pt idx="90">
                  <c:v>3.3395000000000068</c:v>
                </c:pt>
                <c:pt idx="91">
                  <c:v>3.4000000000000066</c:v>
                </c:pt>
                <c:pt idx="92">
                  <c:v>3.4595000000000065</c:v>
                </c:pt>
                <c:pt idx="93">
                  <c:v>3.5180000000000069</c:v>
                </c:pt>
                <c:pt idx="94">
                  <c:v>3.5755000000000066</c:v>
                </c:pt>
                <c:pt idx="95">
                  <c:v>3.6320000000000063</c:v>
                </c:pt>
                <c:pt idx="96">
                  <c:v>3.6875000000000062</c:v>
                </c:pt>
                <c:pt idx="97">
                  <c:v>3.7420000000000062</c:v>
                </c:pt>
                <c:pt idx="98">
                  <c:v>3.7955000000000063</c:v>
                </c:pt>
                <c:pt idx="99">
                  <c:v>3.8480000000000065</c:v>
                </c:pt>
                <c:pt idx="100">
                  <c:v>3.8995000000000064</c:v>
                </c:pt>
                <c:pt idx="101">
                  <c:v>3.9500000000000064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Data'!$K$12:$K$113</c:f>
              <c:numCache>
                <c:formatCode>General</c:formatCode>
                <c:ptCount val="102"/>
                <c:pt idx="51">
                  <c:v>0.19002427829160487</c:v>
                </c:pt>
                <c:pt idx="52">
                  <c:v>0.29021014081536256</c:v>
                </c:pt>
                <c:pt idx="53">
                  <c:v>0.38933446823518691</c:v>
                </c:pt>
                <c:pt idx="54">
                  <c:v>0.48739433076270106</c:v>
                </c:pt>
                <c:pt idx="55">
                  <c:v>0.58438701439994933</c:v>
                </c:pt>
                <c:pt idx="56">
                  <c:v>0.68031035301220066</c:v>
                </c:pt>
                <c:pt idx="57">
                  <c:v>0.77516314112618268</c:v>
                </c:pt>
                <c:pt idx="58">
                  <c:v>0.86894557191502964</c:v>
                </c:pt>
                <c:pt idx="59">
                  <c:v>0.9616596050482944</c:v>
                </c:pt>
                <c:pt idx="60">
                  <c:v>1.0533091528194234</c:v>
                </c:pt>
                <c:pt idx="61">
                  <c:v>1.1439000028403841</c:v>
                </c:pt>
                <c:pt idx="62">
                  <c:v>1.2334394701803022</c:v>
                </c:pt>
                <c:pt idx="63">
                  <c:v>1.3219358570317372</c:v>
                </c:pt>
                <c:pt idx="64">
                  <c:v>1.4093978487159222</c:v>
                </c:pt>
                <c:pt idx="65">
                  <c:v>1.4958339695828964</c:v>
                </c:pt>
                <c:pt idx="66">
                  <c:v>1.5812521756706106</c:v>
                </c:pt>
                <c:pt idx="67">
                  <c:v>1.665659605048295</c:v>
                </c:pt>
                <c:pt idx="68">
                  <c:v>1.7490624661767065</c:v>
                </c:pt>
                <c:pt idx="69">
                  <c:v>1.8314660264406841</c:v>
                </c:pt>
                <c:pt idx="70">
                  <c:v>1.9128746620165553</c:v>
                </c:pt>
                <c:pt idx="71">
                  <c:v>1.9932919378633385</c:v>
                </c:pt>
                <c:pt idx="72">
                  <c:v>2.072720696315284</c:v>
                </c:pt>
                <c:pt idx="73">
                  <c:v>2.151163141126184</c:v>
                </c:pt>
                <c:pt idx="74">
                  <c:v>2.2286209098276775</c:v>
                </c:pt>
                <c:pt idx="75">
                  <c:v>2.305095131055964</c:v>
                </c:pt>
                <c:pt idx="76">
                  <c:v>2.380586465616767</c:v>
                </c:pt>
                <c:pt idx="77">
                  <c:v>2.4550951310559643</c:v>
                </c:pt>
                <c:pt idx="78">
                  <c:v>2.5286209098276777</c:v>
                </c:pt>
                <c:pt idx="79">
                  <c:v>2.6011631411261846</c:v>
                </c:pt>
                <c:pt idx="80">
                  <c:v>2.6727206963152854</c:v>
                </c:pt>
                <c:pt idx="81">
                  <c:v>2.74329193786334</c:v>
                </c:pt>
                <c:pt idx="82">
                  <c:v>2.812874662016557</c:v>
                </c:pt>
                <c:pt idx="83">
                  <c:v>2.8814660264406857</c:v>
                </c:pt>
                <c:pt idx="84">
                  <c:v>2.9490624661767089</c:v>
                </c:pt>
                <c:pt idx="85">
                  <c:v>3.0156596050482976</c:v>
                </c:pt>
                <c:pt idx="86">
                  <c:v>3.0812521756706133</c:v>
                </c:pt>
                <c:pt idx="87">
                  <c:v>3.1458339695828994</c:v>
                </c:pt>
                <c:pt idx="88">
                  <c:v>3.2093978487159256</c:v>
                </c:pt>
                <c:pt idx="89">
                  <c:v>3.2719358570317416</c:v>
                </c:pt>
                <c:pt idx="90">
                  <c:v>3.3334394701803061</c:v>
                </c:pt>
                <c:pt idx="91">
                  <c:v>3.3939000028403874</c:v>
                </c:pt>
                <c:pt idx="92">
                  <c:v>3.4533091528194269</c:v>
                </c:pt>
                <c:pt idx="93">
                  <c:v>3.5116596050482984</c:v>
                </c:pt>
                <c:pt idx="94">
                  <c:v>3.5689455719150334</c:v>
                </c:pt>
                <c:pt idx="95">
                  <c:v>3.625163141126186</c:v>
                </c:pt>
                <c:pt idx="96">
                  <c:v>3.6803103530122039</c:v>
                </c:pt>
                <c:pt idx="97">
                  <c:v>3.7343870143999527</c:v>
                </c:pt>
                <c:pt idx="98">
                  <c:v>3.7873943307627047</c:v>
                </c:pt>
                <c:pt idx="99">
                  <c:v>3.8393344682351906</c:v>
                </c:pt>
                <c:pt idx="100">
                  <c:v>3.8902101408153662</c:v>
                </c:pt>
                <c:pt idx="101">
                  <c:v>3.9400242782916086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Data'!$L$12:$L$113</c:f>
              <c:numCache>
                <c:formatCode>General</c:formatCode>
                <c:ptCount val="102"/>
                <c:pt idx="51">
                  <c:v>0.20997572170840081</c:v>
                </c:pt>
                <c:pt idx="52">
                  <c:v>0.30878985918464308</c:v>
                </c:pt>
                <c:pt idx="53">
                  <c:v>0.40666553176481879</c:v>
                </c:pt>
                <c:pt idx="54">
                  <c:v>0.50360566923730476</c:v>
                </c:pt>
                <c:pt idx="55">
                  <c:v>0.59961298560005638</c:v>
                </c:pt>
                <c:pt idx="56">
                  <c:v>0.69468964698780511</c:v>
                </c:pt>
                <c:pt idx="57">
                  <c:v>0.78883685887382315</c:v>
                </c:pt>
                <c:pt idx="58">
                  <c:v>0.88205442808497603</c:v>
                </c:pt>
                <c:pt idx="59">
                  <c:v>0.9743403949517111</c:v>
                </c:pt>
                <c:pt idx="60">
                  <c:v>1.0656908471805826</c:v>
                </c:pt>
                <c:pt idx="61">
                  <c:v>1.156099997159622</c:v>
                </c:pt>
                <c:pt idx="62">
                  <c:v>1.2455605298197037</c:v>
                </c:pt>
                <c:pt idx="63">
                  <c:v>1.3340641429682687</c:v>
                </c:pt>
                <c:pt idx="64">
                  <c:v>1.421602151284084</c:v>
                </c:pt>
                <c:pt idx="65">
                  <c:v>1.5081660304171103</c:v>
                </c:pt>
                <c:pt idx="66">
                  <c:v>1.5937478243293963</c:v>
                </c:pt>
                <c:pt idx="67">
                  <c:v>1.6783403949517119</c:v>
                </c:pt>
                <c:pt idx="68">
                  <c:v>1.7619375338233008</c:v>
                </c:pt>
                <c:pt idx="69">
                  <c:v>1.844533973559324</c:v>
                </c:pt>
                <c:pt idx="70">
                  <c:v>1.9261253379834522</c:v>
                </c:pt>
                <c:pt idx="71">
                  <c:v>2.0067080621366697</c:v>
                </c:pt>
                <c:pt idx="72">
                  <c:v>2.0862793036847238</c:v>
                </c:pt>
                <c:pt idx="73">
                  <c:v>2.1648368588738247</c:v>
                </c:pt>
                <c:pt idx="74">
                  <c:v>2.2423790901723315</c:v>
                </c:pt>
                <c:pt idx="75">
                  <c:v>2.3189048689440446</c:v>
                </c:pt>
                <c:pt idx="76">
                  <c:v>2.3944135343832422</c:v>
                </c:pt>
                <c:pt idx="77">
                  <c:v>2.4689048689440449</c:v>
                </c:pt>
                <c:pt idx="78">
                  <c:v>2.5423790901723318</c:v>
                </c:pt>
                <c:pt idx="79">
                  <c:v>2.6148368588738253</c:v>
                </c:pt>
                <c:pt idx="80">
                  <c:v>2.6862793036847252</c:v>
                </c:pt>
                <c:pt idx="81">
                  <c:v>2.7567080621366706</c:v>
                </c:pt>
                <c:pt idx="82">
                  <c:v>2.8261253379834539</c:v>
                </c:pt>
                <c:pt idx="83">
                  <c:v>2.8945339735593256</c:v>
                </c:pt>
                <c:pt idx="84">
                  <c:v>2.9619375338233032</c:v>
                </c:pt>
                <c:pt idx="85">
                  <c:v>3.0283403949517145</c:v>
                </c:pt>
                <c:pt idx="86">
                  <c:v>3.093747824329399</c:v>
                </c:pt>
                <c:pt idx="87">
                  <c:v>3.1581660304171133</c:v>
                </c:pt>
                <c:pt idx="88">
                  <c:v>3.2216021512840878</c:v>
                </c:pt>
                <c:pt idx="89">
                  <c:v>3.2840641429682726</c:v>
                </c:pt>
                <c:pt idx="90">
                  <c:v>3.3455605298197075</c:v>
                </c:pt>
                <c:pt idx="91">
                  <c:v>3.4060999971596257</c:v>
                </c:pt>
                <c:pt idx="92">
                  <c:v>3.4656908471805861</c:v>
                </c:pt>
                <c:pt idx="93">
                  <c:v>3.5243403949517154</c:v>
                </c:pt>
                <c:pt idx="94">
                  <c:v>3.5820544280849798</c:v>
                </c:pt>
                <c:pt idx="95">
                  <c:v>3.6388368588738267</c:v>
                </c:pt>
                <c:pt idx="96">
                  <c:v>3.6946896469878086</c:v>
                </c:pt>
                <c:pt idx="97">
                  <c:v>3.7496129856000597</c:v>
                </c:pt>
                <c:pt idx="98">
                  <c:v>3.8036056692373079</c:v>
                </c:pt>
                <c:pt idx="99">
                  <c:v>3.8566655317648224</c:v>
                </c:pt>
                <c:pt idx="100">
                  <c:v>3.9087898591846466</c:v>
                </c:pt>
                <c:pt idx="101">
                  <c:v>3.9599757217084042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24648"/>
        <c:axId val="225725040"/>
      </c:scatterChart>
      <c:valAx>
        <c:axId val="22572464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5040"/>
        <c:crosses val="autoZero"/>
        <c:crossBetween val="midCat"/>
      </c:valAx>
      <c:valAx>
        <c:axId val="22572504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4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25083240843509"/>
          <c:y val="0.265905383360522"/>
          <c:w val="0.23529411764705882"/>
          <c:h val="0.138662316476345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Quadratic Model</a:t>
            </a:r>
          </a:p>
        </c:rich>
      </c:tx>
      <c:layout>
        <c:manualLayout>
          <c:xMode val="edge"/>
          <c:yMode val="edge"/>
          <c:x val="0.36736958934517205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3376835236541598"/>
          <c:w val="0.85571587125416204"/>
          <c:h val="0.7683523654159869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Data'!$M$12:$M$61</c:f>
              <c:numCache>
                <c:formatCode>General</c:formatCode>
                <c:ptCount val="50"/>
                <c:pt idx="0">
                  <c:v>-1.000000000000284E-2</c:v>
                </c:pt>
                <c:pt idx="1">
                  <c:v>-2.8310687127941492E-15</c:v>
                </c:pt>
                <c:pt idx="2">
                  <c:v>9.9999999999971501E-3</c:v>
                </c:pt>
                <c:pt idx="3">
                  <c:v>-1.0000000000003118E-2</c:v>
                </c:pt>
                <c:pt idx="4">
                  <c:v>-3.1086244689504383E-15</c:v>
                </c:pt>
                <c:pt idx="5">
                  <c:v>9.9999999999969003E-3</c:v>
                </c:pt>
                <c:pt idx="6">
                  <c:v>-1.0000000000003562E-2</c:v>
                </c:pt>
                <c:pt idx="7">
                  <c:v>-3.5527136788005009E-15</c:v>
                </c:pt>
                <c:pt idx="8">
                  <c:v>9.9999999999962341E-3</c:v>
                </c:pt>
                <c:pt idx="9">
                  <c:v>-1.0000000000004228E-2</c:v>
                </c:pt>
                <c:pt idx="10">
                  <c:v>-4.4408920985006262E-15</c:v>
                </c:pt>
                <c:pt idx="11">
                  <c:v>9.9999999999953459E-3</c:v>
                </c:pt>
                <c:pt idx="12">
                  <c:v>-1.000000000000556E-2</c:v>
                </c:pt>
                <c:pt idx="13">
                  <c:v>-5.773159728050814E-15</c:v>
                </c:pt>
                <c:pt idx="14">
                  <c:v>9.9999999999944578E-3</c:v>
                </c:pt>
                <c:pt idx="15">
                  <c:v>-1.0000000000007336E-2</c:v>
                </c:pt>
                <c:pt idx="16">
                  <c:v>-7.1054273576010019E-15</c:v>
                </c:pt>
                <c:pt idx="17">
                  <c:v>9.9999999999926814E-3</c:v>
                </c:pt>
                <c:pt idx="18">
                  <c:v>9.9999999999926814E-3</c:v>
                </c:pt>
                <c:pt idx="19">
                  <c:v>9.9999999999926814E-3</c:v>
                </c:pt>
                <c:pt idx="20">
                  <c:v>9.9999999999926814E-3</c:v>
                </c:pt>
                <c:pt idx="21">
                  <c:v>9.9999999999926814E-3</c:v>
                </c:pt>
                <c:pt idx="22">
                  <c:v>9.9999999999926814E-3</c:v>
                </c:pt>
                <c:pt idx="23">
                  <c:v>9.9999999999926814E-3</c:v>
                </c:pt>
                <c:pt idx="24">
                  <c:v>9.9999999999926814E-3</c:v>
                </c:pt>
                <c:pt idx="25">
                  <c:v>9.9999999999926814E-3</c:v>
                </c:pt>
                <c:pt idx="26">
                  <c:v>9.9999999999926814E-3</c:v>
                </c:pt>
                <c:pt idx="27">
                  <c:v>9.9999999999926814E-3</c:v>
                </c:pt>
                <c:pt idx="28">
                  <c:v>9.9999999999926814E-3</c:v>
                </c:pt>
                <c:pt idx="29">
                  <c:v>9.9999999999926814E-3</c:v>
                </c:pt>
                <c:pt idx="30">
                  <c:v>9.9999999999926814E-3</c:v>
                </c:pt>
                <c:pt idx="31">
                  <c:v>9.9999999999926814E-3</c:v>
                </c:pt>
                <c:pt idx="32">
                  <c:v>9.9999999999926814E-3</c:v>
                </c:pt>
                <c:pt idx="33">
                  <c:v>9.9999999999926814E-3</c:v>
                </c:pt>
                <c:pt idx="34">
                  <c:v>9.9999999999926814E-3</c:v>
                </c:pt>
                <c:pt idx="35">
                  <c:v>9.9999999999926814E-3</c:v>
                </c:pt>
                <c:pt idx="36">
                  <c:v>9.9999999999926814E-3</c:v>
                </c:pt>
                <c:pt idx="37">
                  <c:v>9.9999999999926814E-3</c:v>
                </c:pt>
                <c:pt idx="38">
                  <c:v>9.9999999999926814E-3</c:v>
                </c:pt>
                <c:pt idx="39">
                  <c:v>9.9999999999926814E-3</c:v>
                </c:pt>
                <c:pt idx="40">
                  <c:v>9.9999999999926814E-3</c:v>
                </c:pt>
                <c:pt idx="41">
                  <c:v>9.9999999999926814E-3</c:v>
                </c:pt>
                <c:pt idx="42">
                  <c:v>9.9999999999926814E-3</c:v>
                </c:pt>
                <c:pt idx="43">
                  <c:v>9.9999999999926814E-3</c:v>
                </c:pt>
                <c:pt idx="44">
                  <c:v>9.9999999999926814E-3</c:v>
                </c:pt>
                <c:pt idx="45">
                  <c:v>9.9999999999926814E-3</c:v>
                </c:pt>
                <c:pt idx="46">
                  <c:v>9.9999999999926814E-3</c:v>
                </c:pt>
                <c:pt idx="47">
                  <c:v>9.9999999999926814E-3</c:v>
                </c:pt>
                <c:pt idx="48">
                  <c:v>9.9999999999926814E-3</c:v>
                </c:pt>
                <c:pt idx="49">
                  <c:v>9.9999999999926814E-3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42432"/>
        <c:axId val="225725432"/>
      </c:scatterChart>
      <c:valAx>
        <c:axId val="1831424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7502774694783573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5432"/>
        <c:crosses val="autoZero"/>
        <c:crossBetween val="midCat"/>
      </c:valAx>
      <c:valAx>
        <c:axId val="225725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79608482871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14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Cubic Model</a:t>
            </a:r>
          </a:p>
        </c:rich>
      </c:tx>
      <c:layout>
        <c:manualLayout>
          <c:xMode val="edge"/>
          <c:yMode val="edge"/>
          <c:x val="0.3562708102108768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539967373572595"/>
          <c:w val="0.79578246392896779"/>
          <c:h val="0.72104404567699842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0.19</c:v>
                </c:pt>
                <c:pt idx="1">
                  <c:v>0.2</c:v>
                </c:pt>
                <c:pt idx="2">
                  <c:v>0.21</c:v>
                </c:pt>
                <c:pt idx="3">
                  <c:v>1.1399999999999999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1.99</c:v>
                </c:pt>
                <c:pt idx="7">
                  <c:v>2</c:v>
                </c:pt>
                <c:pt idx="8">
                  <c:v>2.0099999999999998</c:v>
                </c:pt>
                <c:pt idx="9">
                  <c:v>2.74</c:v>
                </c:pt>
                <c:pt idx="10">
                  <c:v>2.75</c:v>
                </c:pt>
                <c:pt idx="11">
                  <c:v>2.76</c:v>
                </c:pt>
                <c:pt idx="12">
                  <c:v>3.39</c:v>
                </c:pt>
                <c:pt idx="13">
                  <c:v>3.4</c:v>
                </c:pt>
                <c:pt idx="14">
                  <c:v>3.41</c:v>
                </c:pt>
                <c:pt idx="15">
                  <c:v>3.94</c:v>
                </c:pt>
                <c:pt idx="16">
                  <c:v>3.95</c:v>
                </c:pt>
                <c:pt idx="17">
                  <c:v>3.96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Line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Data'!$N$12:$N$113</c:f>
              <c:numCache>
                <c:formatCode>General</c:formatCode>
                <c:ptCount val="102"/>
                <c:pt idx="51">
                  <c:v>0.19999999999998863</c:v>
                </c:pt>
                <c:pt idx="52">
                  <c:v>0.29950000000000004</c:v>
                </c:pt>
                <c:pt idx="53">
                  <c:v>0.39800000000001151</c:v>
                </c:pt>
                <c:pt idx="54">
                  <c:v>0.49550000000002314</c:v>
                </c:pt>
                <c:pt idx="55">
                  <c:v>0.59200000000003472</c:v>
                </c:pt>
                <c:pt idx="56">
                  <c:v>0.68750000000004663</c:v>
                </c:pt>
                <c:pt idx="57">
                  <c:v>0.78200000000005854</c:v>
                </c:pt>
                <c:pt idx="58">
                  <c:v>0.87550000000007078</c:v>
                </c:pt>
                <c:pt idx="59">
                  <c:v>0.96800000000008313</c:v>
                </c:pt>
                <c:pt idx="60">
                  <c:v>1.0595000000000958</c:v>
                </c:pt>
                <c:pt idx="61">
                  <c:v>1.1500000000001087</c:v>
                </c:pt>
                <c:pt idx="62">
                  <c:v>1.2395000000001217</c:v>
                </c:pt>
                <c:pt idx="63">
                  <c:v>1.3280000000001353</c:v>
                </c:pt>
                <c:pt idx="64">
                  <c:v>1.4155000000001492</c:v>
                </c:pt>
                <c:pt idx="65">
                  <c:v>1.5020000000001632</c:v>
                </c:pt>
                <c:pt idx="66">
                  <c:v>1.5875000000001778</c:v>
                </c:pt>
                <c:pt idx="67">
                  <c:v>1.6720000000001927</c:v>
                </c:pt>
                <c:pt idx="68">
                  <c:v>1.7555000000002079</c:v>
                </c:pt>
                <c:pt idx="69">
                  <c:v>1.8380000000002235</c:v>
                </c:pt>
                <c:pt idx="70">
                  <c:v>1.9195000000002398</c:v>
                </c:pt>
                <c:pt idx="71">
                  <c:v>2.0000000000002562</c:v>
                </c:pt>
                <c:pt idx="72">
                  <c:v>2.0795000000002735</c:v>
                </c:pt>
                <c:pt idx="73">
                  <c:v>2.1580000000002908</c:v>
                </c:pt>
                <c:pt idx="74">
                  <c:v>2.2355000000003087</c:v>
                </c:pt>
                <c:pt idx="75">
                  <c:v>2.3120000000003276</c:v>
                </c:pt>
                <c:pt idx="76">
                  <c:v>2.387500000000347</c:v>
                </c:pt>
                <c:pt idx="77">
                  <c:v>2.462000000000367</c:v>
                </c:pt>
                <c:pt idx="78">
                  <c:v>2.5355000000003867</c:v>
                </c:pt>
                <c:pt idx="79">
                  <c:v>2.6080000000004082</c:v>
                </c:pt>
                <c:pt idx="80">
                  <c:v>2.6795000000004294</c:v>
                </c:pt>
                <c:pt idx="81">
                  <c:v>2.7500000000004521</c:v>
                </c:pt>
                <c:pt idx="82">
                  <c:v>2.8195000000004753</c:v>
                </c:pt>
                <c:pt idx="83">
                  <c:v>2.8880000000004991</c:v>
                </c:pt>
                <c:pt idx="84">
                  <c:v>2.9555000000005234</c:v>
                </c:pt>
                <c:pt idx="85">
                  <c:v>3.0220000000005482</c:v>
                </c:pt>
                <c:pt idx="86">
                  <c:v>3.0875000000005746</c:v>
                </c:pt>
                <c:pt idx="87">
                  <c:v>3.1520000000006019</c:v>
                </c:pt>
                <c:pt idx="88">
                  <c:v>3.2155000000006293</c:v>
                </c:pt>
                <c:pt idx="89">
                  <c:v>3.2780000000006582</c:v>
                </c:pt>
                <c:pt idx="90">
                  <c:v>3.3395000000006871</c:v>
                </c:pt>
                <c:pt idx="91">
                  <c:v>3.4000000000007171</c:v>
                </c:pt>
                <c:pt idx="92">
                  <c:v>3.4595000000007481</c:v>
                </c:pt>
                <c:pt idx="93">
                  <c:v>3.5180000000007805</c:v>
                </c:pt>
                <c:pt idx="94">
                  <c:v>3.5755000000008126</c:v>
                </c:pt>
                <c:pt idx="95">
                  <c:v>3.6320000000008466</c:v>
                </c:pt>
                <c:pt idx="96">
                  <c:v>3.6875000000008815</c:v>
                </c:pt>
                <c:pt idx="97">
                  <c:v>3.7420000000009179</c:v>
                </c:pt>
                <c:pt idx="98">
                  <c:v>3.7955000000009549</c:v>
                </c:pt>
                <c:pt idx="99">
                  <c:v>3.848000000000992</c:v>
                </c:pt>
                <c:pt idx="100">
                  <c:v>3.8995000000010309</c:v>
                </c:pt>
                <c:pt idx="101">
                  <c:v>3.9500000000010713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Data'!$O$12:$O$113</c:f>
              <c:numCache>
                <c:formatCode>General</c:formatCode>
                <c:ptCount val="102"/>
                <c:pt idx="51">
                  <c:v>0.19258888023804949</c:v>
                </c:pt>
                <c:pt idx="52">
                  <c:v>0.29291929006844247</c:v>
                </c:pt>
                <c:pt idx="53">
                  <c:v>0.39202341160373999</c:v>
                </c:pt>
                <c:pt idx="54">
                  <c:v>0.48991374492915374</c:v>
                </c:pt>
                <c:pt idx="55">
                  <c:v>0.58661891442977743</c:v>
                </c:pt>
                <c:pt idx="56">
                  <c:v>0.68218062761978659</c:v>
                </c:pt>
                <c:pt idx="57">
                  <c:v>0.7766451623322399</c:v>
                </c:pt>
                <c:pt idx="58">
                  <c:v>0.87005478385466417</c:v>
                </c:pt>
                <c:pt idx="59">
                  <c:v>0.96244304947784387</c:v>
                </c:pt>
                <c:pt idx="60">
                  <c:v>1.0538340240008033</c:v>
                </c:pt>
                <c:pt idx="61">
                  <c:v>1.1442435786361991</c:v>
                </c:pt>
                <c:pt idx="62">
                  <c:v>1.2336812379420166</c:v>
                </c:pt>
                <c:pt idx="63">
                  <c:v>1.3221518409986439</c:v>
                </c:pt>
                <c:pt idx="64">
                  <c:v>1.4096568130975551</c:v>
                </c:pt>
                <c:pt idx="65">
                  <c:v>1.4961950695098074</c:v>
                </c:pt>
                <c:pt idx="66">
                  <c:v>1.5817636353769733</c:v>
                </c:pt>
                <c:pt idx="67">
                  <c:v>1.6663580666034947</c:v>
                </c:pt>
                <c:pt idx="68">
                  <c:v>1.7499727424087097</c:v>
                </c:pt>
                <c:pt idx="69">
                  <c:v>1.8326010876281211</c:v>
                </c:pt>
                <c:pt idx="70">
                  <c:v>1.9142357759767679</c:v>
                </c:pt>
                <c:pt idx="71">
                  <c:v>1.9948689630395915</c:v>
                </c:pt>
                <c:pt idx="72">
                  <c:v>2.0744925951713689</c:v>
                </c:pt>
                <c:pt idx="73">
                  <c:v>2.1530988301761318</c:v>
                </c:pt>
                <c:pt idx="74">
                  <c:v>2.230680578647334</c:v>
                </c:pt>
                <c:pt idx="75">
                  <c:v>2.3072321268342337</c:v>
                </c:pt>
                <c:pt idx="76">
                  <c:v>2.3827497428204309</c:v>
                </c:pt>
                <c:pt idx="77">
                  <c:v>2.4572321268342732</c:v>
                </c:pt>
                <c:pt idx="78">
                  <c:v>2.530680578647412</c:v>
                </c:pt>
                <c:pt idx="79">
                  <c:v>2.6030988301762492</c:v>
                </c:pt>
                <c:pt idx="80">
                  <c:v>2.6744925951715248</c:v>
                </c:pt>
                <c:pt idx="81">
                  <c:v>2.7448689630397873</c:v>
                </c:pt>
                <c:pt idx="82">
                  <c:v>2.8142357759770031</c:v>
                </c:pt>
                <c:pt idx="83">
                  <c:v>2.8826010876283967</c:v>
                </c:pt>
                <c:pt idx="84">
                  <c:v>2.9499727424090252</c:v>
                </c:pt>
                <c:pt idx="85">
                  <c:v>3.0163580666038503</c:v>
                </c:pt>
                <c:pt idx="86">
                  <c:v>3.0817636353773699</c:v>
                </c:pt>
                <c:pt idx="87">
                  <c:v>3.1461950695102461</c:v>
                </c:pt>
                <c:pt idx="88">
                  <c:v>3.2096568130980354</c:v>
                </c:pt>
                <c:pt idx="89">
                  <c:v>3.2721518409991668</c:v>
                </c:pt>
                <c:pt idx="90">
                  <c:v>3.333681237942582</c:v>
                </c:pt>
                <c:pt idx="91">
                  <c:v>3.3942435786368077</c:v>
                </c:pt>
                <c:pt idx="92">
                  <c:v>3.4538340240014556</c:v>
                </c:pt>
                <c:pt idx="93">
                  <c:v>3.512443049478541</c:v>
                </c:pt>
                <c:pt idx="94">
                  <c:v>3.5700547838554058</c:v>
                </c:pt>
                <c:pt idx="95">
                  <c:v>3.6266451623330278</c:v>
                </c:pt>
                <c:pt idx="96">
                  <c:v>3.6821806276206215</c:v>
                </c:pt>
                <c:pt idx="97">
                  <c:v>3.7366189144306605</c:v>
                </c:pt>
                <c:pt idx="98">
                  <c:v>3.7899137449300855</c:v>
                </c:pt>
                <c:pt idx="99">
                  <c:v>3.8420234116047203</c:v>
                </c:pt>
                <c:pt idx="100">
                  <c:v>3.8929192900694733</c:v>
                </c:pt>
                <c:pt idx="101">
                  <c:v>3.9425888802391325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Data'!$P$12:$P$113</c:f>
              <c:numCache>
                <c:formatCode>General</c:formatCode>
                <c:ptCount val="102"/>
                <c:pt idx="51">
                  <c:v>0.20741111976192778</c:v>
                </c:pt>
                <c:pt idx="52">
                  <c:v>0.30608070993155762</c:v>
                </c:pt>
                <c:pt idx="53">
                  <c:v>0.40397658839628303</c:v>
                </c:pt>
                <c:pt idx="54">
                  <c:v>0.50108625507089255</c:v>
                </c:pt>
                <c:pt idx="55">
                  <c:v>0.59738108557029201</c:v>
                </c:pt>
                <c:pt idx="56">
                  <c:v>0.69281937238030666</c:v>
                </c:pt>
                <c:pt idx="57">
                  <c:v>0.78735483766787717</c:v>
                </c:pt>
                <c:pt idx="58">
                  <c:v>0.88094521614547738</c:v>
                </c:pt>
                <c:pt idx="59">
                  <c:v>0.97355695052232238</c:v>
                </c:pt>
                <c:pt idx="60">
                  <c:v>1.0651659759993883</c:v>
                </c:pt>
                <c:pt idx="61">
                  <c:v>1.1557564213640183</c:v>
                </c:pt>
                <c:pt idx="62">
                  <c:v>1.2453187620582269</c:v>
                </c:pt>
                <c:pt idx="63">
                  <c:v>1.3338481590016267</c:v>
                </c:pt>
                <c:pt idx="64">
                  <c:v>1.4213431869027433</c:v>
                </c:pt>
                <c:pt idx="65">
                  <c:v>1.507804930490519</c:v>
                </c:pt>
                <c:pt idx="66">
                  <c:v>1.5932363646233823</c:v>
                </c:pt>
                <c:pt idx="67">
                  <c:v>1.6776419333968906</c:v>
                </c:pt>
                <c:pt idx="68">
                  <c:v>1.7610272575917061</c:v>
                </c:pt>
                <c:pt idx="69">
                  <c:v>1.8433989123723258</c:v>
                </c:pt>
                <c:pt idx="70">
                  <c:v>1.9247642240237117</c:v>
                </c:pt>
                <c:pt idx="71">
                  <c:v>2.005131036960921</c:v>
                </c:pt>
                <c:pt idx="72">
                  <c:v>2.0845074048291781</c:v>
                </c:pt>
                <c:pt idx="73">
                  <c:v>2.1629011698244498</c:v>
                </c:pt>
                <c:pt idx="74">
                  <c:v>2.2403194213532833</c:v>
                </c:pt>
                <c:pt idx="75">
                  <c:v>2.3167678731664214</c:v>
                </c:pt>
                <c:pt idx="76">
                  <c:v>2.3922502571802631</c:v>
                </c:pt>
                <c:pt idx="77">
                  <c:v>2.4667678731664608</c:v>
                </c:pt>
                <c:pt idx="78">
                  <c:v>2.5403194213533613</c:v>
                </c:pt>
                <c:pt idx="79">
                  <c:v>2.6129011698245672</c:v>
                </c:pt>
                <c:pt idx="80">
                  <c:v>2.684507404829334</c:v>
                </c:pt>
                <c:pt idx="81">
                  <c:v>2.7551310369611168</c:v>
                </c:pt>
                <c:pt idx="82">
                  <c:v>2.8247642240239474</c:v>
                </c:pt>
                <c:pt idx="83">
                  <c:v>2.8933989123726014</c:v>
                </c:pt>
                <c:pt idx="84">
                  <c:v>2.9610272575920216</c:v>
                </c:pt>
                <c:pt idx="85">
                  <c:v>3.0276419333972462</c:v>
                </c:pt>
                <c:pt idx="86">
                  <c:v>3.0932363646237793</c:v>
                </c:pt>
                <c:pt idx="87">
                  <c:v>3.1578049304909577</c:v>
                </c:pt>
                <c:pt idx="88">
                  <c:v>3.2213431869032232</c:v>
                </c:pt>
                <c:pt idx="89">
                  <c:v>3.2838481590021495</c:v>
                </c:pt>
                <c:pt idx="90">
                  <c:v>3.3453187620587923</c:v>
                </c:pt>
                <c:pt idx="91">
                  <c:v>3.4057564213646265</c:v>
                </c:pt>
                <c:pt idx="92">
                  <c:v>3.4651659760000406</c:v>
                </c:pt>
                <c:pt idx="93">
                  <c:v>3.52355695052302</c:v>
                </c:pt>
                <c:pt idx="94">
                  <c:v>3.5809452161462194</c:v>
                </c:pt>
                <c:pt idx="95">
                  <c:v>3.6373548376686653</c:v>
                </c:pt>
                <c:pt idx="96">
                  <c:v>3.6928193723811416</c:v>
                </c:pt>
                <c:pt idx="97">
                  <c:v>3.7473810855711753</c:v>
                </c:pt>
                <c:pt idx="98">
                  <c:v>3.8010862550718243</c:v>
                </c:pt>
                <c:pt idx="99">
                  <c:v>3.8539765883972636</c:v>
                </c:pt>
                <c:pt idx="100">
                  <c:v>3.9060807099325885</c:v>
                </c:pt>
                <c:pt idx="101">
                  <c:v>3.9574111197630102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26216"/>
        <c:axId val="225726608"/>
      </c:scatterChart>
      <c:valAx>
        <c:axId val="22572621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6608"/>
        <c:crosses val="autoZero"/>
        <c:crossBetween val="midCat"/>
      </c:valAx>
      <c:valAx>
        <c:axId val="22572660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14095449500555"/>
          <c:y val="0.265905383360522"/>
          <c:w val="0.22641509433962265"/>
          <c:h val="0.138662316476345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Cubic Model</a:t>
            </a:r>
          </a:p>
        </c:rich>
      </c:tx>
      <c:layout>
        <c:manualLayout>
          <c:xMode val="edge"/>
          <c:yMode val="edge"/>
          <c:x val="0.385127635960044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3376835236541598"/>
          <c:w val="0.85571587125416204"/>
          <c:h val="0.7683523654159869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Data'!$Q$12:$Q$61</c:f>
              <c:numCache>
                <c:formatCode>General</c:formatCode>
                <c:ptCount val="50"/>
                <c:pt idx="0">
                  <c:v>-9.9999999999886291E-3</c:v>
                </c:pt>
                <c:pt idx="1">
                  <c:v>1.1379786002407855E-14</c:v>
                </c:pt>
                <c:pt idx="2">
                  <c:v>1.0000000000011361E-2</c:v>
                </c:pt>
                <c:pt idx="3">
                  <c:v>-1.0000000000108811E-2</c:v>
                </c:pt>
                <c:pt idx="4">
                  <c:v>-1.0880185641326534E-13</c:v>
                </c:pt>
                <c:pt idx="5">
                  <c:v>9.999999999891207E-3</c:v>
                </c:pt>
                <c:pt idx="6">
                  <c:v>-1.0000000000255804E-2</c:v>
                </c:pt>
                <c:pt idx="7">
                  <c:v>-2.5579538487363607E-13</c:v>
                </c:pt>
                <c:pt idx="8">
                  <c:v>9.9999999997439915E-3</c:v>
                </c:pt>
                <c:pt idx="9">
                  <c:v>-1.0000000000450981E-2</c:v>
                </c:pt>
                <c:pt idx="10">
                  <c:v>-4.5119463720766362E-13</c:v>
                </c:pt>
                <c:pt idx="11">
                  <c:v>9.9999999995485922E-3</c:v>
                </c:pt>
                <c:pt idx="12">
                  <c:v>-1.0000000000716103E-2</c:v>
                </c:pt>
                <c:pt idx="13">
                  <c:v>-7.16315895488151E-13</c:v>
                </c:pt>
                <c:pt idx="14">
                  <c:v>9.999999999283915E-3</c:v>
                </c:pt>
                <c:pt idx="15">
                  <c:v>-1.0000000001072262E-2</c:v>
                </c:pt>
                <c:pt idx="16">
                  <c:v>-1.0720313525780512E-12</c:v>
                </c:pt>
                <c:pt idx="17">
                  <c:v>9.9999999989277555E-3</c:v>
                </c:pt>
                <c:pt idx="18">
                  <c:v>9.9999999989277555E-3</c:v>
                </c:pt>
                <c:pt idx="19">
                  <c:v>9.9999999989277555E-3</c:v>
                </c:pt>
                <c:pt idx="20">
                  <c:v>9.9999999989277555E-3</c:v>
                </c:pt>
                <c:pt idx="21">
                  <c:v>9.9999999989277555E-3</c:v>
                </c:pt>
                <c:pt idx="22">
                  <c:v>9.9999999989277555E-3</c:v>
                </c:pt>
                <c:pt idx="23">
                  <c:v>9.9999999989277555E-3</c:v>
                </c:pt>
                <c:pt idx="24">
                  <c:v>9.9999999989277555E-3</c:v>
                </c:pt>
                <c:pt idx="25">
                  <c:v>9.9999999989277555E-3</c:v>
                </c:pt>
                <c:pt idx="26">
                  <c:v>9.9999999989277555E-3</c:v>
                </c:pt>
                <c:pt idx="27">
                  <c:v>9.9999999989277555E-3</c:v>
                </c:pt>
                <c:pt idx="28">
                  <c:v>9.9999999989277555E-3</c:v>
                </c:pt>
                <c:pt idx="29">
                  <c:v>9.9999999989277555E-3</c:v>
                </c:pt>
                <c:pt idx="30">
                  <c:v>9.9999999989277555E-3</c:v>
                </c:pt>
                <c:pt idx="31">
                  <c:v>9.9999999989277555E-3</c:v>
                </c:pt>
                <c:pt idx="32">
                  <c:v>9.9999999989277555E-3</c:v>
                </c:pt>
                <c:pt idx="33">
                  <c:v>9.9999999989277555E-3</c:v>
                </c:pt>
                <c:pt idx="34">
                  <c:v>9.9999999989277555E-3</c:v>
                </c:pt>
                <c:pt idx="35">
                  <c:v>9.9999999989277555E-3</c:v>
                </c:pt>
                <c:pt idx="36">
                  <c:v>9.9999999989277555E-3</c:v>
                </c:pt>
                <c:pt idx="37">
                  <c:v>9.9999999989277555E-3</c:v>
                </c:pt>
                <c:pt idx="38">
                  <c:v>9.9999999989277555E-3</c:v>
                </c:pt>
                <c:pt idx="39">
                  <c:v>9.9999999989277555E-3</c:v>
                </c:pt>
                <c:pt idx="40">
                  <c:v>9.9999999989277555E-3</c:v>
                </c:pt>
                <c:pt idx="41">
                  <c:v>9.9999999989277555E-3</c:v>
                </c:pt>
                <c:pt idx="42">
                  <c:v>9.9999999989277555E-3</c:v>
                </c:pt>
                <c:pt idx="43">
                  <c:v>9.9999999989277555E-3</c:v>
                </c:pt>
                <c:pt idx="44">
                  <c:v>9.9999999989277555E-3</c:v>
                </c:pt>
                <c:pt idx="45">
                  <c:v>9.9999999989277555E-3</c:v>
                </c:pt>
                <c:pt idx="46">
                  <c:v>9.9999999989277555E-3</c:v>
                </c:pt>
                <c:pt idx="47">
                  <c:v>9.9999999989277555E-3</c:v>
                </c:pt>
                <c:pt idx="48">
                  <c:v>9.9999999989277555E-3</c:v>
                </c:pt>
                <c:pt idx="49">
                  <c:v>9.9999999989277555E-3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27392"/>
        <c:axId val="182726960"/>
      </c:scatterChart>
      <c:valAx>
        <c:axId val="22572739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7502774694783573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26960"/>
        <c:crosses val="autoZero"/>
        <c:crossBetween val="midCat"/>
      </c:valAx>
      <c:valAx>
        <c:axId val="182726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79608482871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7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Quartic Model</a:t>
            </a:r>
          </a:p>
        </c:rich>
      </c:tx>
      <c:layout>
        <c:manualLayout>
          <c:xMode val="edge"/>
          <c:yMode val="edge"/>
          <c:x val="0.34961154273029965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539967373572595"/>
          <c:w val="0.79578246392896779"/>
          <c:h val="0.72104404567699842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0.19</c:v>
                </c:pt>
                <c:pt idx="1">
                  <c:v>0.2</c:v>
                </c:pt>
                <c:pt idx="2">
                  <c:v>0.21</c:v>
                </c:pt>
                <c:pt idx="3">
                  <c:v>1.1399999999999999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1.99</c:v>
                </c:pt>
                <c:pt idx="7">
                  <c:v>2</c:v>
                </c:pt>
                <c:pt idx="8">
                  <c:v>2.0099999999999998</c:v>
                </c:pt>
                <c:pt idx="9">
                  <c:v>2.74</c:v>
                </c:pt>
                <c:pt idx="10">
                  <c:v>2.75</c:v>
                </c:pt>
                <c:pt idx="11">
                  <c:v>2.76</c:v>
                </c:pt>
                <c:pt idx="12">
                  <c:v>3.39</c:v>
                </c:pt>
                <c:pt idx="13">
                  <c:v>3.4</c:v>
                </c:pt>
                <c:pt idx="14">
                  <c:v>3.41</c:v>
                </c:pt>
                <c:pt idx="15">
                  <c:v>3.94</c:v>
                </c:pt>
                <c:pt idx="16">
                  <c:v>3.95</c:v>
                </c:pt>
                <c:pt idx="17">
                  <c:v>3.96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Line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Data'!$R$12:$R$113</c:f>
              <c:numCache>
                <c:formatCode>General</c:formatCode>
                <c:ptCount val="102"/>
                <c:pt idx="51">
                  <c:v>0.19999999999991758</c:v>
                </c:pt>
                <c:pt idx="52">
                  <c:v>0.29949999999991589</c:v>
                </c:pt>
                <c:pt idx="53">
                  <c:v>0.39799999999991165</c:v>
                </c:pt>
                <c:pt idx="54">
                  <c:v>0.49549999999990568</c:v>
                </c:pt>
                <c:pt idx="55">
                  <c:v>0.59199999999989883</c:v>
                </c:pt>
                <c:pt idx="56">
                  <c:v>0.68749999999989209</c:v>
                </c:pt>
                <c:pt idx="57">
                  <c:v>0.78199999999988612</c:v>
                </c:pt>
                <c:pt idx="58">
                  <c:v>0.87549999999988182</c:v>
                </c:pt>
                <c:pt idx="59">
                  <c:v>0.96799999999987962</c:v>
                </c:pt>
                <c:pt idx="60">
                  <c:v>1.0594999999998804</c:v>
                </c:pt>
                <c:pt idx="61">
                  <c:v>1.1499999999998849</c:v>
                </c:pt>
                <c:pt idx="62">
                  <c:v>1.239499999999893</c:v>
                </c:pt>
                <c:pt idx="63">
                  <c:v>1.3279999999999061</c:v>
                </c:pt>
                <c:pt idx="64">
                  <c:v>1.415499999999924</c:v>
                </c:pt>
                <c:pt idx="65">
                  <c:v>1.5019999999999472</c:v>
                </c:pt>
                <c:pt idx="66">
                  <c:v>1.5874999999999762</c:v>
                </c:pt>
                <c:pt idx="67">
                  <c:v>1.672000000000011</c:v>
                </c:pt>
                <c:pt idx="68">
                  <c:v>1.7555000000000518</c:v>
                </c:pt>
                <c:pt idx="69">
                  <c:v>1.8380000000000993</c:v>
                </c:pt>
                <c:pt idx="70">
                  <c:v>1.9195000000001532</c:v>
                </c:pt>
                <c:pt idx="71">
                  <c:v>2.0000000000002136</c:v>
                </c:pt>
                <c:pt idx="72">
                  <c:v>2.0795000000002801</c:v>
                </c:pt>
                <c:pt idx="73">
                  <c:v>2.1580000000003543</c:v>
                </c:pt>
                <c:pt idx="74">
                  <c:v>2.2355000000004344</c:v>
                </c:pt>
                <c:pt idx="75">
                  <c:v>2.3120000000005203</c:v>
                </c:pt>
                <c:pt idx="76">
                  <c:v>2.3875000000006135</c:v>
                </c:pt>
                <c:pt idx="77">
                  <c:v>2.4620000000007121</c:v>
                </c:pt>
                <c:pt idx="78">
                  <c:v>2.5355000000008157</c:v>
                </c:pt>
                <c:pt idx="79">
                  <c:v>2.608000000000926</c:v>
                </c:pt>
                <c:pt idx="80">
                  <c:v>2.67950000000104</c:v>
                </c:pt>
                <c:pt idx="81">
                  <c:v>2.7500000000011591</c:v>
                </c:pt>
                <c:pt idx="82">
                  <c:v>2.8195000000012822</c:v>
                </c:pt>
                <c:pt idx="83">
                  <c:v>2.888000000001409</c:v>
                </c:pt>
                <c:pt idx="84">
                  <c:v>2.9555000000015386</c:v>
                </c:pt>
                <c:pt idx="85">
                  <c:v>3.0220000000016705</c:v>
                </c:pt>
                <c:pt idx="86">
                  <c:v>3.0875000000018029</c:v>
                </c:pt>
                <c:pt idx="87">
                  <c:v>3.1520000000019373</c:v>
                </c:pt>
                <c:pt idx="88">
                  <c:v>3.2155000000020717</c:v>
                </c:pt>
                <c:pt idx="89">
                  <c:v>3.2780000000022049</c:v>
                </c:pt>
                <c:pt idx="90">
                  <c:v>3.339500000002336</c:v>
                </c:pt>
                <c:pt idx="91">
                  <c:v>3.4000000000024651</c:v>
                </c:pt>
                <c:pt idx="92">
                  <c:v>3.4595000000025902</c:v>
                </c:pt>
                <c:pt idx="93">
                  <c:v>3.518000000002711</c:v>
                </c:pt>
                <c:pt idx="94">
                  <c:v>3.5755000000028256</c:v>
                </c:pt>
                <c:pt idx="95">
                  <c:v>3.6320000000029333</c:v>
                </c:pt>
                <c:pt idx="96">
                  <c:v>3.6875000000030327</c:v>
                </c:pt>
                <c:pt idx="97">
                  <c:v>3.7420000000031228</c:v>
                </c:pt>
                <c:pt idx="98">
                  <c:v>3.7955000000032024</c:v>
                </c:pt>
                <c:pt idx="99">
                  <c:v>3.8480000000032697</c:v>
                </c:pt>
                <c:pt idx="100">
                  <c:v>3.8995000000033233</c:v>
                </c:pt>
                <c:pt idx="101">
                  <c:v>3.9500000000033628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Data'!$S$12:$S$113</c:f>
              <c:numCache>
                <c:formatCode>General</c:formatCode>
                <c:ptCount val="102"/>
                <c:pt idx="51">
                  <c:v>0.19186310278399493</c:v>
                </c:pt>
                <c:pt idx="52">
                  <c:v>0.29236495740600899</c:v>
                </c:pt>
                <c:pt idx="53">
                  <c:v>0.39106637398596306</c:v>
                </c:pt>
                <c:pt idx="54">
                  <c:v>0.48831749239110467</c:v>
                </c:pt>
                <c:pt idx="55">
                  <c:v>0.58442796458965995</c:v>
                </c:pt>
                <c:pt idx="56">
                  <c:v>0.67957837241206565</c:v>
                </c:pt>
                <c:pt idx="57">
                  <c:v>0.77384931205209573</c:v>
                </c:pt>
                <c:pt idx="58">
                  <c:v>0.86726503590005732</c:v>
                </c:pt>
                <c:pt idx="59">
                  <c:v>0.95982055292820256</c:v>
                </c:pt>
                <c:pt idx="60">
                  <c:v>1.0514956405237406</c:v>
                </c:pt>
                <c:pt idx="61">
                  <c:v>1.1422618900201531</c:v>
                </c:pt>
                <c:pt idx="62">
                  <c:v>1.2320864184049596</c:v>
                </c:pt>
                <c:pt idx="63">
                  <c:v>1.3209341833816051</c:v>
                </c:pt>
                <c:pt idx="64">
                  <c:v>1.4087700572103952</c:v>
                </c:pt>
                <c:pt idx="65">
                  <c:v>1.4955614381381568</c:v>
                </c:pt>
                <c:pt idx="66">
                  <c:v>1.581281745605327</c:v>
                </c:pt>
                <c:pt idx="67">
                  <c:v>1.6659143398339724</c:v>
                </c:pt>
                <c:pt idx="68">
                  <c:v>1.7494554241687292</c:v>
                </c:pt>
                <c:pt idx="69">
                  <c:v>1.8319142555031502</c:v>
                </c:pt>
                <c:pt idx="70">
                  <c:v>1.9133102019251993</c:v>
                </c:pt>
                <c:pt idx="71">
                  <c:v>1.9936679583432335</c:v>
                </c:pt>
                <c:pt idx="72">
                  <c:v>2.0730128935781806</c:v>
                </c:pt>
                <c:pt idx="73">
                  <c:v>2.1513677568169896</c:v>
                </c:pt>
                <c:pt idx="74">
                  <c:v>2.228750889169532</c:v>
                </c:pt>
                <c:pt idx="75">
                  <c:v>2.3051754995709044</c:v>
                </c:pt>
                <c:pt idx="76">
                  <c:v>2.3806494942081731</c:v>
                </c:pt>
                <c:pt idx="77">
                  <c:v>2.4551754995710966</c:v>
                </c:pt>
                <c:pt idx="78">
                  <c:v>2.5287508891699133</c:v>
                </c:pt>
                <c:pt idx="79">
                  <c:v>2.6013677568175613</c:v>
                </c:pt>
                <c:pt idx="80">
                  <c:v>2.673012893578941</c:v>
                </c:pt>
                <c:pt idx="81">
                  <c:v>2.7436679583441794</c:v>
                </c:pt>
                <c:pt idx="82">
                  <c:v>2.8133102019263285</c:v>
                </c:pt>
                <c:pt idx="83">
                  <c:v>2.8819142555044612</c:v>
                </c:pt>
                <c:pt idx="84">
                  <c:v>2.9494554241702184</c:v>
                </c:pt>
                <c:pt idx="85">
                  <c:v>3.0159143398356338</c:v>
                </c:pt>
                <c:pt idx="86">
                  <c:v>3.0812817456071531</c:v>
                </c:pt>
                <c:pt idx="87">
                  <c:v>3.1455614381401475</c:v>
                </c:pt>
                <c:pt idx="88">
                  <c:v>3.2087700572125444</c:v>
                </c:pt>
                <c:pt idx="89">
                  <c:v>3.2709341833839054</c:v>
                </c:pt>
                <c:pt idx="90">
                  <c:v>3.3320864184074042</c:v>
                </c:pt>
                <c:pt idx="91">
                  <c:v>3.3922618900227386</c:v>
                </c:pt>
                <c:pt idx="92">
                  <c:v>3.4514956405264505</c:v>
                </c:pt>
                <c:pt idx="93">
                  <c:v>3.5098205529310347</c:v>
                </c:pt>
                <c:pt idx="94">
                  <c:v>3.5672650359030031</c:v>
                </c:pt>
                <c:pt idx="95">
                  <c:v>3.6238493120551425</c:v>
                </c:pt>
                <c:pt idx="96">
                  <c:v>3.6795783724152078</c:v>
                </c:pt>
                <c:pt idx="97">
                  <c:v>3.7344279645928862</c:v>
                </c:pt>
                <c:pt idx="98">
                  <c:v>3.7883174923944138</c:v>
                </c:pt>
                <c:pt idx="99">
                  <c:v>3.8410663739893249</c:v>
                </c:pt>
                <c:pt idx="100">
                  <c:v>3.8923649574094066</c:v>
                </c:pt>
                <c:pt idx="101">
                  <c:v>3.9418631027874498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0.4</c:v>
                </c:pt>
                <c:pt idx="56">
                  <c:v>0.5</c:v>
                </c:pt>
                <c:pt idx="57">
                  <c:v>0.6</c:v>
                </c:pt>
                <c:pt idx="58">
                  <c:v>0.7</c:v>
                </c:pt>
                <c:pt idx="59">
                  <c:v>0.79999999999999993</c:v>
                </c:pt>
                <c:pt idx="60">
                  <c:v>0.89999999999999991</c:v>
                </c:pt>
                <c:pt idx="61">
                  <c:v>0.99999999999999989</c:v>
                </c:pt>
                <c:pt idx="62">
                  <c:v>1.0999999999999999</c:v>
                </c:pt>
                <c:pt idx="63">
                  <c:v>1.2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1.5000000000000002</c:v>
                </c:pt>
                <c:pt idx="67">
                  <c:v>1.6000000000000003</c:v>
                </c:pt>
                <c:pt idx="68">
                  <c:v>1.7000000000000004</c:v>
                </c:pt>
                <c:pt idx="69">
                  <c:v>1.8000000000000005</c:v>
                </c:pt>
                <c:pt idx="70">
                  <c:v>1.9000000000000006</c:v>
                </c:pt>
                <c:pt idx="71">
                  <c:v>2.0000000000000004</c:v>
                </c:pt>
                <c:pt idx="72">
                  <c:v>2.1000000000000005</c:v>
                </c:pt>
                <c:pt idx="73">
                  <c:v>2.2000000000000006</c:v>
                </c:pt>
                <c:pt idx="74">
                  <c:v>2.3000000000000007</c:v>
                </c:pt>
                <c:pt idx="75">
                  <c:v>2.4000000000000008</c:v>
                </c:pt>
                <c:pt idx="76">
                  <c:v>2.5000000000000009</c:v>
                </c:pt>
                <c:pt idx="77">
                  <c:v>2.600000000000001</c:v>
                </c:pt>
                <c:pt idx="78">
                  <c:v>2.7000000000000011</c:v>
                </c:pt>
                <c:pt idx="79">
                  <c:v>2.8000000000000012</c:v>
                </c:pt>
                <c:pt idx="80">
                  <c:v>2.9000000000000012</c:v>
                </c:pt>
                <c:pt idx="81">
                  <c:v>3.0000000000000013</c:v>
                </c:pt>
                <c:pt idx="82">
                  <c:v>3.1000000000000014</c:v>
                </c:pt>
                <c:pt idx="83">
                  <c:v>3.2000000000000015</c:v>
                </c:pt>
                <c:pt idx="84">
                  <c:v>3.3000000000000016</c:v>
                </c:pt>
                <c:pt idx="85">
                  <c:v>3.4000000000000017</c:v>
                </c:pt>
                <c:pt idx="86">
                  <c:v>3.5000000000000018</c:v>
                </c:pt>
                <c:pt idx="87">
                  <c:v>3.6000000000000019</c:v>
                </c:pt>
                <c:pt idx="88">
                  <c:v>3.700000000000002</c:v>
                </c:pt>
                <c:pt idx="89">
                  <c:v>3.800000000000002</c:v>
                </c:pt>
                <c:pt idx="90">
                  <c:v>3.9000000000000021</c:v>
                </c:pt>
                <c:pt idx="91">
                  <c:v>4.0000000000000018</c:v>
                </c:pt>
                <c:pt idx="92">
                  <c:v>4.1000000000000014</c:v>
                </c:pt>
                <c:pt idx="93">
                  <c:v>4.2000000000000011</c:v>
                </c:pt>
                <c:pt idx="94">
                  <c:v>4.3000000000000007</c:v>
                </c:pt>
                <c:pt idx="95">
                  <c:v>4.4000000000000004</c:v>
                </c:pt>
                <c:pt idx="96">
                  <c:v>4.5</c:v>
                </c:pt>
                <c:pt idx="97">
                  <c:v>4.5999999999999996</c:v>
                </c:pt>
                <c:pt idx="98">
                  <c:v>4.6999999999999993</c:v>
                </c:pt>
                <c:pt idx="99">
                  <c:v>4.7999999999999989</c:v>
                </c:pt>
                <c:pt idx="100">
                  <c:v>4.8999999999999986</c:v>
                </c:pt>
                <c:pt idx="101">
                  <c:v>4.9999999999999982</c:v>
                </c:pt>
              </c:numCache>
            </c:numRef>
          </c:xVal>
          <c:yVal>
            <c:numRef>
              <c:f>'Chart Data'!$T$12:$T$113</c:f>
              <c:numCache>
                <c:formatCode>General</c:formatCode>
                <c:ptCount val="102"/>
                <c:pt idx="51">
                  <c:v>0.20813689721584022</c:v>
                </c:pt>
                <c:pt idx="52">
                  <c:v>0.30663504259382279</c:v>
                </c:pt>
                <c:pt idx="53">
                  <c:v>0.40493362601386024</c:v>
                </c:pt>
                <c:pt idx="54">
                  <c:v>0.5026825076087067</c:v>
                </c:pt>
                <c:pt idx="55">
                  <c:v>0.5995720354101377</c:v>
                </c:pt>
                <c:pt idx="56">
                  <c:v>0.69542162758771853</c:v>
                </c:pt>
                <c:pt idx="57">
                  <c:v>0.79015068794767651</c:v>
                </c:pt>
                <c:pt idx="58">
                  <c:v>0.88373496409970631</c:v>
                </c:pt>
                <c:pt idx="59">
                  <c:v>0.97617944707155668</c:v>
                </c:pt>
                <c:pt idx="60">
                  <c:v>1.0675043594760203</c:v>
                </c:pt>
                <c:pt idx="61">
                  <c:v>1.1577381099796167</c:v>
                </c:pt>
                <c:pt idx="62">
                  <c:v>1.2469135815948265</c:v>
                </c:pt>
                <c:pt idx="63">
                  <c:v>1.3350658166182072</c:v>
                </c:pt>
                <c:pt idx="64">
                  <c:v>1.4222299427894529</c:v>
                </c:pt>
                <c:pt idx="65">
                  <c:v>1.5084385618617375</c:v>
                </c:pt>
                <c:pt idx="66">
                  <c:v>1.5937182543946253</c:v>
                </c:pt>
                <c:pt idx="67">
                  <c:v>1.6780856601660497</c:v>
                </c:pt>
                <c:pt idx="68">
                  <c:v>1.7615445758313744</c:v>
                </c:pt>
                <c:pt idx="69">
                  <c:v>1.8440857444970484</c:v>
                </c:pt>
                <c:pt idx="70">
                  <c:v>1.9256897980751071</c:v>
                </c:pt>
                <c:pt idx="71">
                  <c:v>2.0063320416571937</c:v>
                </c:pt>
                <c:pt idx="72">
                  <c:v>2.0859871064223796</c:v>
                </c:pt>
                <c:pt idx="73">
                  <c:v>2.1646322431837191</c:v>
                </c:pt>
                <c:pt idx="74">
                  <c:v>2.2422491108313367</c:v>
                </c:pt>
                <c:pt idx="75">
                  <c:v>2.3188245004301362</c:v>
                </c:pt>
                <c:pt idx="76">
                  <c:v>2.3943505057930539</c:v>
                </c:pt>
                <c:pt idx="77">
                  <c:v>2.4688245004303275</c:v>
                </c:pt>
                <c:pt idx="78">
                  <c:v>2.542249110831718</c:v>
                </c:pt>
                <c:pt idx="79">
                  <c:v>2.6146322431842908</c:v>
                </c:pt>
                <c:pt idx="80">
                  <c:v>2.6859871064231391</c:v>
                </c:pt>
                <c:pt idx="81">
                  <c:v>2.7563320416581387</c:v>
                </c:pt>
                <c:pt idx="82">
                  <c:v>2.8256897980762359</c:v>
                </c:pt>
                <c:pt idx="83">
                  <c:v>2.8940857444983568</c:v>
                </c:pt>
                <c:pt idx="84">
                  <c:v>2.9615445758328587</c:v>
                </c:pt>
                <c:pt idx="85">
                  <c:v>3.0280856601677071</c:v>
                </c:pt>
                <c:pt idx="86">
                  <c:v>3.0937182543964528</c:v>
                </c:pt>
                <c:pt idx="87">
                  <c:v>3.158438561863727</c:v>
                </c:pt>
                <c:pt idx="88">
                  <c:v>3.222229942791599</c:v>
                </c:pt>
                <c:pt idx="89">
                  <c:v>3.2850658166205045</c:v>
                </c:pt>
                <c:pt idx="90">
                  <c:v>3.3469135815972679</c:v>
                </c:pt>
                <c:pt idx="91">
                  <c:v>3.4077381099821915</c:v>
                </c:pt>
                <c:pt idx="92">
                  <c:v>3.4675043594787298</c:v>
                </c:pt>
                <c:pt idx="93">
                  <c:v>3.5261794470743872</c:v>
                </c:pt>
                <c:pt idx="94">
                  <c:v>3.5837349641026481</c:v>
                </c:pt>
                <c:pt idx="95">
                  <c:v>3.6401506879507242</c:v>
                </c:pt>
                <c:pt idx="96">
                  <c:v>3.6954216275908576</c:v>
                </c:pt>
                <c:pt idx="97">
                  <c:v>3.7495720354133595</c:v>
                </c:pt>
                <c:pt idx="98">
                  <c:v>3.802682507611991</c:v>
                </c:pt>
                <c:pt idx="99">
                  <c:v>3.8549336260172145</c:v>
                </c:pt>
                <c:pt idx="100">
                  <c:v>3.90663504259724</c:v>
                </c:pt>
                <c:pt idx="101">
                  <c:v>3.9581368972192759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951464"/>
        <c:axId val="227951856"/>
      </c:scatterChart>
      <c:valAx>
        <c:axId val="22795146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951856"/>
        <c:crosses val="autoZero"/>
        <c:crossBetween val="midCat"/>
      </c:valAx>
      <c:valAx>
        <c:axId val="2279518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951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14095449500555"/>
          <c:y val="0.265905383360522"/>
          <c:w val="0.22641509433962265"/>
          <c:h val="0.138662316476345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Quartic Model</a:t>
            </a:r>
          </a:p>
        </c:rich>
      </c:tx>
      <c:layout>
        <c:manualLayout>
          <c:xMode val="edge"/>
          <c:yMode val="edge"/>
          <c:x val="0.37957824639289678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3376835236541598"/>
          <c:w val="0.85571587125416204"/>
          <c:h val="0.7683523654159869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Data'!$U$12:$U$61</c:f>
              <c:numCache>
                <c:formatCode>General</c:formatCode>
                <c:ptCount val="50"/>
                <c:pt idx="0">
                  <c:v>-9.9999999999175748E-3</c:v>
                </c:pt>
                <c:pt idx="1">
                  <c:v>8.2434059578417873E-14</c:v>
                </c:pt>
                <c:pt idx="2">
                  <c:v>1.0000000000082415E-2</c:v>
                </c:pt>
                <c:pt idx="3">
                  <c:v>-9.9999999998849898E-3</c:v>
                </c:pt>
                <c:pt idx="4">
                  <c:v>1.1501910535116622E-13</c:v>
                </c:pt>
                <c:pt idx="5">
                  <c:v>1.0000000000115028E-2</c:v>
                </c:pt>
                <c:pt idx="6">
                  <c:v>-1.0000000000213172E-2</c:v>
                </c:pt>
                <c:pt idx="7">
                  <c:v>-2.1316282072803006E-13</c:v>
                </c:pt>
                <c:pt idx="8">
                  <c:v>9.999999999786624E-3</c:v>
                </c:pt>
                <c:pt idx="9">
                  <c:v>-1.0000000001157971E-2</c:v>
                </c:pt>
                <c:pt idx="10">
                  <c:v>-1.1581846592889633E-12</c:v>
                </c:pt>
                <c:pt idx="11">
                  <c:v>9.9999999988416022E-3</c:v>
                </c:pt>
                <c:pt idx="12">
                  <c:v>-1.0000000002464038E-2</c:v>
                </c:pt>
                <c:pt idx="13">
                  <c:v>-2.4642510254579975E-12</c:v>
                </c:pt>
                <c:pt idx="14">
                  <c:v>9.9999999975359799E-3</c:v>
                </c:pt>
                <c:pt idx="15">
                  <c:v>-1.0000000003363763E-2</c:v>
                </c:pt>
                <c:pt idx="16">
                  <c:v>-3.3635316754043743E-12</c:v>
                </c:pt>
                <c:pt idx="17">
                  <c:v>9.9999999966362552E-3</c:v>
                </c:pt>
                <c:pt idx="18">
                  <c:v>9.9999999966362552E-3</c:v>
                </c:pt>
                <c:pt idx="19">
                  <c:v>9.9999999966362552E-3</c:v>
                </c:pt>
                <c:pt idx="20">
                  <c:v>9.9999999966362552E-3</c:v>
                </c:pt>
                <c:pt idx="21">
                  <c:v>9.9999999966362552E-3</c:v>
                </c:pt>
                <c:pt idx="22">
                  <c:v>9.9999999966362552E-3</c:v>
                </c:pt>
                <c:pt idx="23">
                  <c:v>9.9999999966362552E-3</c:v>
                </c:pt>
                <c:pt idx="24">
                  <c:v>9.9999999966362552E-3</c:v>
                </c:pt>
                <c:pt idx="25">
                  <c:v>9.9999999966362552E-3</c:v>
                </c:pt>
                <c:pt idx="26">
                  <c:v>9.9999999966362552E-3</c:v>
                </c:pt>
                <c:pt idx="27">
                  <c:v>9.9999999966362552E-3</c:v>
                </c:pt>
                <c:pt idx="28">
                  <c:v>9.9999999966362552E-3</c:v>
                </c:pt>
                <c:pt idx="29">
                  <c:v>9.9999999966362552E-3</c:v>
                </c:pt>
                <c:pt idx="30">
                  <c:v>9.9999999966362552E-3</c:v>
                </c:pt>
                <c:pt idx="31">
                  <c:v>9.9999999966362552E-3</c:v>
                </c:pt>
                <c:pt idx="32">
                  <c:v>9.9999999966362552E-3</c:v>
                </c:pt>
                <c:pt idx="33">
                  <c:v>9.9999999966362552E-3</c:v>
                </c:pt>
                <c:pt idx="34">
                  <c:v>9.9999999966362552E-3</c:v>
                </c:pt>
                <c:pt idx="35">
                  <c:v>9.9999999966362552E-3</c:v>
                </c:pt>
                <c:pt idx="36">
                  <c:v>9.9999999966362552E-3</c:v>
                </c:pt>
                <c:pt idx="37">
                  <c:v>9.9999999966362552E-3</c:v>
                </c:pt>
                <c:pt idx="38">
                  <c:v>9.9999999966362552E-3</c:v>
                </c:pt>
                <c:pt idx="39">
                  <c:v>9.9999999966362552E-3</c:v>
                </c:pt>
                <c:pt idx="40">
                  <c:v>9.9999999966362552E-3</c:v>
                </c:pt>
                <c:pt idx="41">
                  <c:v>9.9999999966362552E-3</c:v>
                </c:pt>
                <c:pt idx="42">
                  <c:v>9.9999999966362552E-3</c:v>
                </c:pt>
                <c:pt idx="43">
                  <c:v>9.9999999966362552E-3</c:v>
                </c:pt>
                <c:pt idx="44">
                  <c:v>9.9999999966362552E-3</c:v>
                </c:pt>
                <c:pt idx="45">
                  <c:v>9.9999999966362552E-3</c:v>
                </c:pt>
                <c:pt idx="46">
                  <c:v>9.9999999966362552E-3</c:v>
                </c:pt>
                <c:pt idx="47">
                  <c:v>9.9999999966362552E-3</c:v>
                </c:pt>
                <c:pt idx="48">
                  <c:v>9.9999999966362552E-3</c:v>
                </c:pt>
                <c:pt idx="49">
                  <c:v>9.9999999966362552E-3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952640"/>
        <c:axId val="227953032"/>
      </c:scatterChart>
      <c:valAx>
        <c:axId val="22795264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7502774694783573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953032"/>
        <c:crosses val="autoZero"/>
        <c:crossBetween val="midCat"/>
      </c:valAx>
      <c:valAx>
        <c:axId val="227953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79608482871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952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first-order linear regression of the multipoint calibration data." title="First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 first-order linear regression of the multipoint calibration data." title="First_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second-order linear regression of the multipoint calibration data." title="Second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second-order linear regression of the multipoint calibration data." title="Second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third-orde linear regression of the multipoint calibration data." title="Third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ahrt shows the residuals from the third-order linear regression of the multipoint calibration data." title="Third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fourth-order linear regression of the multipoint calibration data." title="Fourth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fouth-order linear regression of the multipoint calibration data." title="Fourth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showGridLines="0" tabSelected="1" zoomScale="80" workbookViewId="0"/>
  </sheetViews>
  <sheetFormatPr defaultRowHeight="15" x14ac:dyDescent="0.2"/>
  <cols>
    <col min="1" max="1" width="8.88671875" style="511"/>
    <col min="2" max="2" width="10.5546875" style="511" customWidth="1"/>
    <col min="3" max="3" width="3.44140625" style="511" customWidth="1"/>
    <col min="4" max="4" width="23.77734375" style="511" customWidth="1"/>
    <col min="5" max="5" width="8.88671875" style="511"/>
    <col min="6" max="6" width="12.109375" style="511" customWidth="1"/>
    <col min="7" max="7" width="11.6640625" style="511" customWidth="1"/>
    <col min="8" max="16384" width="8.88671875" style="511"/>
  </cols>
  <sheetData>
    <row r="1" spans="1:7" ht="19.5" thickTop="1" thickBot="1" x14ac:dyDescent="0.3">
      <c r="B1" s="512"/>
      <c r="C1" s="513"/>
      <c r="D1" s="514" t="s">
        <v>292</v>
      </c>
      <c r="E1" s="513"/>
      <c r="F1" s="515"/>
    </row>
    <row r="2" spans="1:7" ht="16.5" thickTop="1" thickBot="1" x14ac:dyDescent="0.25"/>
    <row r="3" spans="1:7" ht="17.25" thickTop="1" thickBot="1" x14ac:dyDescent="0.3">
      <c r="D3" s="516" t="s">
        <v>0</v>
      </c>
      <c r="E3" s="517"/>
    </row>
    <row r="4" spans="1:7" ht="15.75" thickTop="1" x14ac:dyDescent="0.2">
      <c r="D4" s="517"/>
      <c r="E4" s="517"/>
    </row>
    <row r="5" spans="1:7" x14ac:dyDescent="0.2">
      <c r="A5" s="518" t="s">
        <v>1</v>
      </c>
      <c r="E5" s="518"/>
      <c r="F5" s="518"/>
      <c r="G5" s="518"/>
    </row>
    <row r="6" spans="1:7" x14ac:dyDescent="0.2">
      <c r="A6" s="518"/>
      <c r="E6" s="518"/>
      <c r="F6" s="518"/>
      <c r="G6" s="518"/>
    </row>
    <row r="7" spans="1:7" ht="18.75" x14ac:dyDescent="0.35">
      <c r="B7" s="519" t="s">
        <v>2</v>
      </c>
      <c r="C7" s="520" t="s">
        <v>3</v>
      </c>
      <c r="E7" s="518"/>
      <c r="F7" s="518"/>
      <c r="G7" s="518"/>
    </row>
    <row r="8" spans="1:7" ht="20.25" x14ac:dyDescent="0.35">
      <c r="B8" s="521" t="s">
        <v>4</v>
      </c>
      <c r="C8" s="520" t="s">
        <v>5</v>
      </c>
      <c r="E8" s="518"/>
      <c r="F8" s="518"/>
      <c r="G8" s="518"/>
    </row>
    <row r="9" spans="1:7" ht="20.25" x14ac:dyDescent="0.35">
      <c r="B9" s="521" t="s">
        <v>6</v>
      </c>
      <c r="C9" s="520" t="s">
        <v>7</v>
      </c>
      <c r="E9" s="518"/>
      <c r="F9" s="518"/>
      <c r="G9" s="518"/>
    </row>
    <row r="10" spans="1:7" ht="20.25" x14ac:dyDescent="0.35">
      <c r="B10" s="521" t="s">
        <v>8</v>
      </c>
      <c r="C10" s="520" t="s">
        <v>9</v>
      </c>
      <c r="E10" s="518"/>
      <c r="F10" s="518"/>
      <c r="G10" s="518"/>
    </row>
    <row r="11" spans="1:7" ht="15.75" x14ac:dyDescent="0.25">
      <c r="B11" s="521"/>
      <c r="C11" s="520"/>
      <c r="E11" s="518"/>
      <c r="F11" s="518"/>
      <c r="G11" s="518"/>
    </row>
    <row r="12" spans="1:7" ht="15.75" x14ac:dyDescent="0.25">
      <c r="A12" s="522" t="s">
        <v>231</v>
      </c>
      <c r="B12" s="521"/>
      <c r="C12" s="520"/>
      <c r="E12" s="518"/>
      <c r="F12" s="518"/>
      <c r="G12" s="518"/>
    </row>
    <row r="13" spans="1:7" ht="15.75" x14ac:dyDescent="0.25">
      <c r="B13" s="521"/>
      <c r="C13" s="523"/>
      <c r="E13" s="518"/>
      <c r="F13" s="518"/>
      <c r="G13" s="518"/>
    </row>
    <row r="14" spans="1:7" ht="15.75" x14ac:dyDescent="0.25">
      <c r="B14" s="521" t="s">
        <v>10</v>
      </c>
      <c r="C14" s="523"/>
      <c r="E14" s="518"/>
      <c r="F14" s="518"/>
      <c r="G14" s="518"/>
    </row>
    <row r="15" spans="1:7" ht="15.75" x14ac:dyDescent="0.25">
      <c r="B15" s="521"/>
      <c r="C15" s="523" t="s">
        <v>11</v>
      </c>
      <c r="D15" s="511" t="s">
        <v>12</v>
      </c>
      <c r="E15" s="518"/>
      <c r="F15" s="518"/>
      <c r="G15" s="518"/>
    </row>
    <row r="16" spans="1:7" ht="15.75" x14ac:dyDescent="0.25">
      <c r="B16" s="521"/>
      <c r="C16" s="523" t="s">
        <v>13</v>
      </c>
      <c r="D16" s="511" t="s">
        <v>14</v>
      </c>
      <c r="E16" s="518"/>
      <c r="F16" s="518"/>
      <c r="G16" s="518"/>
    </row>
    <row r="17" spans="1:7" ht="15.75" x14ac:dyDescent="0.25">
      <c r="B17" s="521"/>
      <c r="C17" s="524" t="s">
        <v>15</v>
      </c>
      <c r="D17" s="525" t="s">
        <v>16</v>
      </c>
      <c r="E17" s="518"/>
      <c r="F17" s="518"/>
      <c r="G17" s="518"/>
    </row>
    <row r="18" spans="1:7" ht="15.75" x14ac:dyDescent="0.25">
      <c r="B18" s="521"/>
      <c r="C18" s="524"/>
      <c r="D18" s="525"/>
      <c r="E18" s="518"/>
      <c r="F18" s="518"/>
      <c r="G18" s="518"/>
    </row>
    <row r="19" spans="1:7" ht="15.75" x14ac:dyDescent="0.25">
      <c r="A19" s="511" t="s">
        <v>17</v>
      </c>
      <c r="B19" s="521"/>
      <c r="C19" s="524"/>
      <c r="D19" s="525"/>
      <c r="E19" s="518"/>
      <c r="F19" s="518"/>
      <c r="G19" s="518"/>
    </row>
    <row r="20" spans="1:7" ht="15.75" x14ac:dyDescent="0.25">
      <c r="B20" s="521"/>
      <c r="C20" s="524"/>
      <c r="D20" s="525"/>
      <c r="E20" s="518"/>
      <c r="F20" s="518"/>
      <c r="G20" s="518"/>
    </row>
    <row r="21" spans="1:7" ht="15.75" x14ac:dyDescent="0.25">
      <c r="A21" s="526" t="s">
        <v>18</v>
      </c>
      <c r="C21" s="521"/>
      <c r="D21" s="523"/>
      <c r="E21" s="518"/>
      <c r="F21" s="518"/>
      <c r="G21" s="518"/>
    </row>
    <row r="22" spans="1:7" x14ac:dyDescent="0.2">
      <c r="A22" s="517" t="s">
        <v>19</v>
      </c>
    </row>
    <row r="23" spans="1:7" x14ac:dyDescent="0.2">
      <c r="A23" s="517"/>
    </row>
    <row r="24" spans="1:7" x14ac:dyDescent="0.2">
      <c r="A24" s="527" t="s">
        <v>20</v>
      </c>
      <c r="B24" s="517" t="s">
        <v>21</v>
      </c>
    </row>
    <row r="25" spans="1:7" x14ac:dyDescent="0.2">
      <c r="A25" s="527" t="s">
        <v>20</v>
      </c>
      <c r="B25" s="517" t="s">
        <v>22</v>
      </c>
    </row>
    <row r="26" spans="1:7" x14ac:dyDescent="0.2">
      <c r="A26" s="527" t="s">
        <v>20</v>
      </c>
      <c r="B26" s="517" t="s">
        <v>293</v>
      </c>
    </row>
    <row r="27" spans="1:7" x14ac:dyDescent="0.2">
      <c r="A27" s="517"/>
      <c r="B27" s="517" t="s">
        <v>23</v>
      </c>
    </row>
    <row r="28" spans="1:7" ht="15.75" thickBot="1" x14ac:dyDescent="0.25">
      <c r="A28" s="517"/>
      <c r="B28" s="517"/>
    </row>
    <row r="29" spans="1:7" ht="17.25" thickTop="1" thickBot="1" x14ac:dyDescent="0.3">
      <c r="A29" s="517"/>
      <c r="B29" s="517"/>
      <c r="D29" s="516" t="s">
        <v>24</v>
      </c>
    </row>
    <row r="30" spans="1:7" ht="15.75" thickTop="1" x14ac:dyDescent="0.2">
      <c r="A30" s="517"/>
      <c r="B30" s="517"/>
      <c r="C30" s="528"/>
      <c r="D30" s="528"/>
      <c r="E30" s="528"/>
    </row>
    <row r="31" spans="1:7" x14ac:dyDescent="0.2">
      <c r="A31" s="528" t="s">
        <v>25</v>
      </c>
      <c r="B31" s="517"/>
    </row>
    <row r="32" spans="1:7" x14ac:dyDescent="0.2">
      <c r="A32" s="528" t="s">
        <v>26</v>
      </c>
      <c r="B32" s="517"/>
    </row>
    <row r="33" spans="1:5" x14ac:dyDescent="0.2">
      <c r="A33" s="528" t="s">
        <v>27</v>
      </c>
      <c r="B33" s="517"/>
    </row>
    <row r="34" spans="1:5" x14ac:dyDescent="0.2">
      <c r="A34" s="528" t="s">
        <v>28</v>
      </c>
      <c r="B34" s="517"/>
    </row>
    <row r="35" spans="1:5" x14ac:dyDescent="0.2">
      <c r="A35" s="528" t="s">
        <v>29</v>
      </c>
      <c r="B35" s="517"/>
    </row>
    <row r="36" spans="1:5" x14ac:dyDescent="0.2">
      <c r="A36" s="528" t="s">
        <v>30</v>
      </c>
      <c r="B36" s="517"/>
    </row>
    <row r="37" spans="1:5" x14ac:dyDescent="0.2">
      <c r="A37" s="528" t="s">
        <v>31</v>
      </c>
      <c r="B37" s="517"/>
    </row>
    <row r="38" spans="1:5" x14ac:dyDescent="0.2">
      <c r="A38" s="528" t="s">
        <v>32</v>
      </c>
      <c r="B38" s="517"/>
    </row>
    <row r="39" spans="1:5" x14ac:dyDescent="0.2">
      <c r="A39" s="528" t="s">
        <v>33</v>
      </c>
      <c r="C39" s="517"/>
    </row>
    <row r="40" spans="1:5" x14ac:dyDescent="0.2">
      <c r="A40" s="528" t="s">
        <v>34</v>
      </c>
      <c r="C40" s="517"/>
    </row>
    <row r="41" spans="1:5" x14ac:dyDescent="0.2">
      <c r="A41" s="528" t="s">
        <v>35</v>
      </c>
      <c r="C41" s="517"/>
    </row>
    <row r="42" spans="1:5" x14ac:dyDescent="0.2">
      <c r="A42" s="528"/>
      <c r="C42" s="517"/>
    </row>
    <row r="43" spans="1:5" x14ac:dyDescent="0.2">
      <c r="A43" s="528"/>
      <c r="C43" s="517"/>
    </row>
    <row r="44" spans="1:5" ht="15.75" thickBot="1" x14ac:dyDescent="0.25">
      <c r="A44" s="528"/>
      <c r="C44" s="517"/>
    </row>
    <row r="45" spans="1:5" ht="17.25" thickTop="1" thickBot="1" x14ac:dyDescent="0.3">
      <c r="D45" s="516" t="s">
        <v>36</v>
      </c>
      <c r="E45" s="517"/>
    </row>
    <row r="46" spans="1:5" ht="15.75" thickTop="1" x14ac:dyDescent="0.2"/>
    <row r="47" spans="1:5" x14ac:dyDescent="0.2">
      <c r="A47" s="511" t="s">
        <v>37</v>
      </c>
    </row>
    <row r="48" spans="1:5" x14ac:dyDescent="0.2">
      <c r="A48" s="511" t="s">
        <v>38</v>
      </c>
    </row>
    <row r="50" spans="2:7" ht="15.75" x14ac:dyDescent="0.25">
      <c r="B50" s="529" t="s">
        <v>39</v>
      </c>
    </row>
    <row r="51" spans="2:7" ht="15.75" x14ac:dyDescent="0.25">
      <c r="B51" s="529"/>
    </row>
    <row r="52" spans="2:7" ht="15.75" x14ac:dyDescent="0.25">
      <c r="B52" s="529" t="s">
        <v>40</v>
      </c>
    </row>
    <row r="53" spans="2:7" x14ac:dyDescent="0.2">
      <c r="B53" s="525" t="s">
        <v>232</v>
      </c>
    </row>
    <row r="54" spans="2:7" x14ac:dyDescent="0.2">
      <c r="B54" s="525" t="s">
        <v>233</v>
      </c>
    </row>
    <row r="55" spans="2:7" x14ac:dyDescent="0.2">
      <c r="B55" s="525" t="s">
        <v>234</v>
      </c>
    </row>
    <row r="56" spans="2:7" x14ac:dyDescent="0.2">
      <c r="B56" s="525"/>
    </row>
    <row r="57" spans="2:7" ht="15.75" x14ac:dyDescent="0.25">
      <c r="B57" s="530" t="s">
        <v>41</v>
      </c>
      <c r="C57" s="531"/>
      <c r="D57" s="531"/>
      <c r="E57" s="531"/>
      <c r="F57" s="531"/>
      <c r="G57" s="531"/>
    </row>
    <row r="58" spans="2:7" x14ac:dyDescent="0.2">
      <c r="B58" s="532"/>
      <c r="C58" s="531"/>
      <c r="D58" s="531"/>
      <c r="E58" s="531"/>
      <c r="F58" s="531"/>
      <c r="G58" s="531"/>
    </row>
    <row r="59" spans="2:7" x14ac:dyDescent="0.2">
      <c r="B59" s="517"/>
    </row>
    <row r="60" spans="2:7" ht="15.75" x14ac:dyDescent="0.25">
      <c r="B60" s="530" t="s">
        <v>42</v>
      </c>
      <c r="C60" s="531"/>
      <c r="D60" s="531"/>
      <c r="E60" s="531"/>
      <c r="F60" s="531"/>
      <c r="G60" s="531"/>
    </row>
    <row r="61" spans="2:7" x14ac:dyDescent="0.2">
      <c r="B61" s="533" t="s">
        <v>43</v>
      </c>
      <c r="C61" s="531"/>
      <c r="D61" s="531"/>
      <c r="E61" s="531"/>
      <c r="F61" s="531"/>
      <c r="G61" s="531"/>
    </row>
    <row r="62" spans="2:7" x14ac:dyDescent="0.2">
      <c r="B62" s="528"/>
    </row>
    <row r="63" spans="2:7" ht="15.75" x14ac:dyDescent="0.25">
      <c r="B63" s="534" t="s">
        <v>44</v>
      </c>
      <c r="C63" s="535"/>
      <c r="D63" s="535"/>
      <c r="E63" s="535"/>
      <c r="F63" s="535"/>
      <c r="G63" s="535"/>
    </row>
    <row r="64" spans="2:7" x14ac:dyDescent="0.2">
      <c r="B64" s="536" t="s">
        <v>45</v>
      </c>
      <c r="C64" s="535"/>
      <c r="D64" s="535"/>
      <c r="E64" s="535"/>
      <c r="F64" s="535"/>
      <c r="G64" s="535"/>
    </row>
    <row r="65" spans="2:7" x14ac:dyDescent="0.2">
      <c r="B65" s="528"/>
    </row>
    <row r="66" spans="2:7" ht="15.75" x14ac:dyDescent="0.25">
      <c r="B66" s="534" t="s">
        <v>46</v>
      </c>
      <c r="C66" s="535"/>
      <c r="D66" s="535"/>
      <c r="E66" s="535"/>
      <c r="F66" s="535"/>
      <c r="G66" s="535"/>
    </row>
    <row r="67" spans="2:7" x14ac:dyDescent="0.2">
      <c r="B67" s="537" t="s">
        <v>47</v>
      </c>
      <c r="C67" s="535"/>
      <c r="D67" s="535"/>
      <c r="E67" s="535"/>
      <c r="F67" s="535"/>
      <c r="G67" s="535"/>
    </row>
    <row r="68" spans="2:7" x14ac:dyDescent="0.2">
      <c r="B68" s="528"/>
    </row>
    <row r="69" spans="2:7" ht="15.75" x14ac:dyDescent="0.25">
      <c r="B69" s="538" t="s">
        <v>48</v>
      </c>
      <c r="C69" s="539"/>
      <c r="D69" s="539"/>
      <c r="E69" s="539"/>
      <c r="F69" s="539"/>
      <c r="G69" s="539"/>
    </row>
    <row r="70" spans="2:7" x14ac:dyDescent="0.2">
      <c r="B70" s="540" t="s">
        <v>45</v>
      </c>
      <c r="C70" s="539"/>
      <c r="D70" s="539"/>
      <c r="E70" s="539"/>
      <c r="F70" s="539"/>
      <c r="G70" s="539"/>
    </row>
    <row r="71" spans="2:7" x14ac:dyDescent="0.2">
      <c r="B71" s="528"/>
    </row>
    <row r="72" spans="2:7" ht="15.75" x14ac:dyDescent="0.25">
      <c r="B72" s="538" t="s">
        <v>49</v>
      </c>
      <c r="C72" s="539"/>
      <c r="D72" s="539"/>
      <c r="E72" s="539"/>
      <c r="F72" s="539"/>
      <c r="G72" s="539"/>
    </row>
    <row r="73" spans="2:7" x14ac:dyDescent="0.2">
      <c r="B73" s="541" t="s">
        <v>50</v>
      </c>
      <c r="C73" s="539"/>
      <c r="D73" s="539"/>
      <c r="E73" s="539"/>
      <c r="F73" s="539"/>
      <c r="G73" s="539"/>
    </row>
    <row r="74" spans="2:7" x14ac:dyDescent="0.2">
      <c r="B74" s="528"/>
    </row>
    <row r="75" spans="2:7" ht="15.75" x14ac:dyDescent="0.25">
      <c r="B75" s="542" t="s">
        <v>51</v>
      </c>
      <c r="C75" s="543"/>
      <c r="D75" s="543"/>
      <c r="E75" s="543"/>
      <c r="F75" s="543"/>
      <c r="G75" s="543"/>
    </row>
    <row r="76" spans="2:7" x14ac:dyDescent="0.2">
      <c r="B76" s="544" t="s">
        <v>45</v>
      </c>
      <c r="C76" s="543"/>
      <c r="D76" s="543"/>
      <c r="E76" s="543"/>
      <c r="F76" s="543"/>
      <c r="G76" s="543"/>
    </row>
    <row r="77" spans="2:7" x14ac:dyDescent="0.2">
      <c r="B77" s="528"/>
    </row>
    <row r="78" spans="2:7" ht="15.75" x14ac:dyDescent="0.25">
      <c r="B78" s="542" t="s">
        <v>52</v>
      </c>
      <c r="C78" s="543"/>
      <c r="D78" s="543"/>
      <c r="E78" s="543"/>
      <c r="F78" s="543"/>
      <c r="G78" s="543"/>
    </row>
    <row r="79" spans="2:7" x14ac:dyDescent="0.2">
      <c r="B79" s="545" t="s">
        <v>53</v>
      </c>
      <c r="C79" s="543"/>
      <c r="D79" s="543"/>
      <c r="E79" s="543"/>
      <c r="F79" s="543"/>
      <c r="G79" s="543"/>
    </row>
    <row r="80" spans="2:7" x14ac:dyDescent="0.2">
      <c r="B80" s="528"/>
    </row>
    <row r="81" spans="1:5" x14ac:dyDescent="0.2">
      <c r="B81" s="528"/>
    </row>
    <row r="82" spans="1:5" ht="15.75" x14ac:dyDescent="0.25">
      <c r="B82" s="529" t="s">
        <v>54</v>
      </c>
    </row>
    <row r="83" spans="1:5" ht="15.75" thickBot="1" x14ac:dyDescent="0.25">
      <c r="B83" s="517"/>
    </row>
    <row r="84" spans="1:5" ht="17.25" thickTop="1" thickBot="1" x14ac:dyDescent="0.3">
      <c r="D84" s="516" t="s">
        <v>55</v>
      </c>
      <c r="E84" s="517"/>
    </row>
    <row r="85" spans="1:5" ht="15.75" thickTop="1" x14ac:dyDescent="0.2"/>
    <row r="86" spans="1:5" ht="15.75" x14ac:dyDescent="0.25">
      <c r="A86" s="517" t="s">
        <v>236</v>
      </c>
    </row>
    <row r="87" spans="1:5" x14ac:dyDescent="0.2">
      <c r="A87" s="517" t="s">
        <v>56</v>
      </c>
    </row>
    <row r="88" spans="1:5" x14ac:dyDescent="0.2">
      <c r="A88" s="517" t="s">
        <v>57</v>
      </c>
    </row>
    <row r="89" spans="1:5" ht="15.75" x14ac:dyDescent="0.25">
      <c r="A89" s="517" t="s">
        <v>235</v>
      </c>
    </row>
    <row r="90" spans="1:5" ht="15.75" x14ac:dyDescent="0.25">
      <c r="A90" s="517" t="s">
        <v>58</v>
      </c>
    </row>
    <row r="91" spans="1:5" ht="15.75" x14ac:dyDescent="0.25">
      <c r="A91" s="517" t="s">
        <v>59</v>
      </c>
    </row>
    <row r="93" spans="1:5" x14ac:dyDescent="0.2">
      <c r="A93" s="511" t="s">
        <v>60</v>
      </c>
    </row>
    <row r="94" spans="1:5" x14ac:dyDescent="0.2">
      <c r="A94" s="511" t="s">
        <v>61</v>
      </c>
    </row>
    <row r="96" spans="1:5" x14ac:dyDescent="0.2">
      <c r="A96" s="517" t="s">
        <v>62</v>
      </c>
    </row>
    <row r="97" spans="1:6" x14ac:dyDescent="0.2">
      <c r="A97" s="511" t="s">
        <v>63</v>
      </c>
    </row>
    <row r="98" spans="1:6" x14ac:dyDescent="0.2">
      <c r="C98" s="532" t="s">
        <v>64</v>
      </c>
      <c r="D98" s="532"/>
      <c r="E98" s="532"/>
    </row>
    <row r="99" spans="1:6" x14ac:dyDescent="0.2">
      <c r="C99" s="537" t="s">
        <v>65</v>
      </c>
      <c r="D99" s="537"/>
      <c r="E99" s="537"/>
    </row>
    <row r="100" spans="1:6" x14ac:dyDescent="0.2">
      <c r="C100" s="541" t="s">
        <v>66</v>
      </c>
      <c r="D100" s="541"/>
      <c r="E100" s="541"/>
    </row>
    <row r="101" spans="1:6" x14ac:dyDescent="0.2">
      <c r="C101" s="545" t="s">
        <v>67</v>
      </c>
      <c r="D101" s="545"/>
      <c r="E101" s="545"/>
    </row>
    <row r="102" spans="1:6" ht="15.75" thickBot="1" x14ac:dyDescent="0.25">
      <c r="A102" s="546"/>
    </row>
    <row r="103" spans="1:6" ht="17.25" thickTop="1" thickBot="1" x14ac:dyDescent="0.3">
      <c r="D103" s="516" t="s">
        <v>68</v>
      </c>
    </row>
    <row r="104" spans="1:6" ht="15.75" thickTop="1" x14ac:dyDescent="0.2"/>
    <row r="105" spans="1:6" x14ac:dyDescent="0.2">
      <c r="A105" s="525" t="s">
        <v>69</v>
      </c>
      <c r="D105" s="518"/>
      <c r="E105" s="518"/>
      <c r="F105" s="518"/>
    </row>
    <row r="106" spans="1:6" ht="18.75" thickBot="1" x14ac:dyDescent="0.3">
      <c r="A106" s="518"/>
      <c r="B106" s="547"/>
      <c r="C106" s="547"/>
      <c r="D106" s="518"/>
      <c r="E106" s="518"/>
      <c r="F106" s="518"/>
    </row>
    <row r="107" spans="1:6" ht="19.5" thickTop="1" thickBot="1" x14ac:dyDescent="0.3">
      <c r="A107" s="548" t="s">
        <v>70</v>
      </c>
      <c r="D107" s="549" t="s">
        <v>71</v>
      </c>
      <c r="E107" s="518"/>
    </row>
    <row r="108" spans="1:6" ht="15.75" thickTop="1" x14ac:dyDescent="0.2">
      <c r="A108" s="518"/>
      <c r="B108" s="518"/>
      <c r="C108" s="518"/>
      <c r="D108" s="518"/>
      <c r="E108" s="518"/>
    </row>
    <row r="109" spans="1:6" x14ac:dyDescent="0.2">
      <c r="A109" s="526" t="s">
        <v>72</v>
      </c>
      <c r="B109" s="518"/>
      <c r="C109" s="518"/>
      <c r="D109" s="518"/>
      <c r="E109" s="518"/>
    </row>
    <row r="110" spans="1:6" x14ac:dyDescent="0.2">
      <c r="A110" s="518" t="s">
        <v>73</v>
      </c>
      <c r="B110" s="518"/>
      <c r="C110" s="518"/>
      <c r="D110" s="518"/>
      <c r="E110" s="518"/>
    </row>
    <row r="111" spans="1:6" x14ac:dyDescent="0.2">
      <c r="A111" s="518" t="s">
        <v>74</v>
      </c>
      <c r="B111" s="518"/>
      <c r="C111" s="518"/>
      <c r="D111" s="518"/>
      <c r="E111" s="518"/>
    </row>
    <row r="112" spans="1:6" x14ac:dyDescent="0.2">
      <c r="A112" s="526" t="s">
        <v>75</v>
      </c>
      <c r="B112" s="518"/>
      <c r="C112" s="518"/>
      <c r="D112" s="518"/>
    </row>
    <row r="113" spans="1:6" x14ac:dyDescent="0.2">
      <c r="A113" s="526" t="s">
        <v>76</v>
      </c>
      <c r="B113" s="518"/>
      <c r="C113" s="518"/>
      <c r="D113" s="518"/>
    </row>
    <row r="114" spans="1:6" ht="15.75" thickBot="1" x14ac:dyDescent="0.25">
      <c r="A114" s="518"/>
      <c r="B114" s="518"/>
      <c r="C114" s="518"/>
      <c r="D114" s="518"/>
    </row>
    <row r="115" spans="1:6" ht="19.5" thickTop="1" thickBot="1" x14ac:dyDescent="0.3">
      <c r="A115" s="548" t="s">
        <v>77</v>
      </c>
      <c r="D115" s="549" t="s">
        <v>78</v>
      </c>
    </row>
    <row r="116" spans="1:6" ht="15.75" thickTop="1" x14ac:dyDescent="0.2"/>
    <row r="117" spans="1:6" ht="19.5" x14ac:dyDescent="0.35">
      <c r="A117" s="526" t="s">
        <v>79</v>
      </c>
    </row>
    <row r="118" spans="1:6" ht="19.5" x14ac:dyDescent="0.35">
      <c r="A118" s="526" t="s">
        <v>80</v>
      </c>
    </row>
    <row r="119" spans="1:6" ht="18" x14ac:dyDescent="0.2">
      <c r="A119" s="526" t="s">
        <v>81</v>
      </c>
    </row>
    <row r="120" spans="1:6" x14ac:dyDescent="0.2">
      <c r="A120" s="517" t="s">
        <v>82</v>
      </c>
    </row>
    <row r="121" spans="1:6" x14ac:dyDescent="0.2">
      <c r="A121" s="517" t="s">
        <v>83</v>
      </c>
    </row>
    <row r="122" spans="1:6" ht="15.75" thickBot="1" x14ac:dyDescent="0.25"/>
    <row r="123" spans="1:6" ht="19.5" thickTop="1" thickBot="1" x14ac:dyDescent="0.3">
      <c r="A123" s="548" t="s">
        <v>84</v>
      </c>
      <c r="C123" s="550" t="s">
        <v>85</v>
      </c>
      <c r="D123" s="518"/>
      <c r="E123" s="518"/>
      <c r="F123" s="518"/>
    </row>
    <row r="124" spans="1:6" ht="15.75" thickTop="1" x14ac:dyDescent="0.2">
      <c r="A124" s="518"/>
      <c r="B124" s="518"/>
      <c r="C124" s="518"/>
      <c r="D124" s="518"/>
      <c r="E124" s="518"/>
      <c r="F124" s="518"/>
    </row>
    <row r="125" spans="1:6" x14ac:dyDescent="0.2">
      <c r="A125" s="517" t="s">
        <v>86</v>
      </c>
    </row>
    <row r="126" spans="1:6" x14ac:dyDescent="0.2">
      <c r="A126" s="511" t="s">
        <v>87</v>
      </c>
    </row>
    <row r="127" spans="1:6" ht="15.75" thickBot="1" x14ac:dyDescent="0.25">
      <c r="C127" s="546"/>
    </row>
    <row r="128" spans="1:6" ht="19.5" thickTop="1" thickBot="1" x14ac:dyDescent="0.3">
      <c r="A128" s="548" t="s">
        <v>88</v>
      </c>
      <c r="C128" s="550" t="s">
        <v>295</v>
      </c>
      <c r="D128" s="518"/>
    </row>
    <row r="129" spans="1:4" ht="15.75" thickTop="1" x14ac:dyDescent="0.2"/>
    <row r="130" spans="1:4" x14ac:dyDescent="0.2">
      <c r="A130" s="511" t="s">
        <v>228</v>
      </c>
    </row>
    <row r="131" spans="1:4" x14ac:dyDescent="0.2">
      <c r="A131" s="511" t="s">
        <v>229</v>
      </c>
    </row>
    <row r="132" spans="1:4" x14ac:dyDescent="0.2">
      <c r="A132" s="511" t="s">
        <v>230</v>
      </c>
    </row>
    <row r="133" spans="1:4" x14ac:dyDescent="0.2">
      <c r="A133" s="511" t="s">
        <v>315</v>
      </c>
    </row>
    <row r="134" spans="1:4" ht="15.75" thickBot="1" x14ac:dyDescent="0.25"/>
    <row r="135" spans="1:4" ht="19.5" thickTop="1" thickBot="1" x14ac:dyDescent="0.3">
      <c r="A135" s="548" t="s">
        <v>237</v>
      </c>
      <c r="C135" s="550" t="s">
        <v>296</v>
      </c>
      <c r="D135" s="518"/>
    </row>
    <row r="136" spans="1:4" ht="15.75" thickTop="1" x14ac:dyDescent="0.2"/>
    <row r="137" spans="1:4" x14ac:dyDescent="0.2">
      <c r="A137" s="551" t="s">
        <v>300</v>
      </c>
    </row>
    <row r="138" spans="1:4" x14ac:dyDescent="0.2">
      <c r="A138" s="517" t="s">
        <v>297</v>
      </c>
    </row>
    <row r="139" spans="1:4" x14ac:dyDescent="0.2">
      <c r="A139" s="551" t="s">
        <v>301</v>
      </c>
    </row>
    <row r="140" spans="1:4" x14ac:dyDescent="0.2">
      <c r="A140" s="517" t="s">
        <v>302</v>
      </c>
    </row>
    <row r="141" spans="1:4" x14ac:dyDescent="0.2">
      <c r="A141" s="517" t="s">
        <v>303</v>
      </c>
    </row>
    <row r="142" spans="1:4" x14ac:dyDescent="0.2">
      <c r="A142" s="517" t="s">
        <v>298</v>
      </c>
    </row>
    <row r="143" spans="1:4" x14ac:dyDescent="0.2">
      <c r="A143" s="517" t="s">
        <v>299</v>
      </c>
    </row>
    <row r="144" spans="1:4" x14ac:dyDescent="0.2">
      <c r="A144" s="517"/>
    </row>
    <row r="145" spans="1:7" ht="15.75" x14ac:dyDescent="0.25">
      <c r="B145" s="552" t="s">
        <v>304</v>
      </c>
      <c r="C145" s="553" t="s">
        <v>305</v>
      </c>
      <c r="D145" s="554"/>
      <c r="E145" s="555"/>
      <c r="F145" s="555"/>
      <c r="G145" s="556"/>
    </row>
    <row r="146" spans="1:7" ht="15.75" x14ac:dyDescent="0.25">
      <c r="B146" s="557" t="s">
        <v>306</v>
      </c>
      <c r="C146" s="558">
        <v>1</v>
      </c>
      <c r="D146" s="559"/>
      <c r="E146" s="559"/>
      <c r="F146" s="559"/>
      <c r="G146" s="560"/>
    </row>
    <row r="147" spans="1:7" ht="15.75" x14ac:dyDescent="0.25">
      <c r="B147" s="561" t="s">
        <v>307</v>
      </c>
      <c r="C147" s="562">
        <v>2</v>
      </c>
      <c r="D147" s="563"/>
      <c r="E147" s="563"/>
      <c r="F147" s="563"/>
      <c r="G147" s="564"/>
    </row>
    <row r="148" spans="1:7" ht="15.75" x14ac:dyDescent="0.25">
      <c r="B148" s="565" t="s">
        <v>308</v>
      </c>
      <c r="C148" s="566" t="s">
        <v>310</v>
      </c>
      <c r="D148" s="567"/>
      <c r="E148" s="567"/>
      <c r="F148" s="567"/>
      <c r="G148" s="568"/>
    </row>
    <row r="149" spans="1:7" ht="15.75" x14ac:dyDescent="0.25">
      <c r="B149" s="569" t="s">
        <v>309</v>
      </c>
      <c r="C149" s="570" t="s">
        <v>310</v>
      </c>
      <c r="D149" s="571"/>
      <c r="E149" s="571"/>
      <c r="F149" s="571"/>
      <c r="G149" s="572"/>
    </row>
    <row r="151" spans="1:7" x14ac:dyDescent="0.2">
      <c r="A151" s="517" t="s">
        <v>311</v>
      </c>
    </row>
    <row r="152" spans="1:7" x14ac:dyDescent="0.2">
      <c r="A152" s="551" t="s">
        <v>312</v>
      </c>
    </row>
    <row r="153" spans="1:7" x14ac:dyDescent="0.2">
      <c r="A153" s="551" t="s">
        <v>313</v>
      </c>
    </row>
    <row r="154" spans="1:7" x14ac:dyDescent="0.2">
      <c r="A154" s="551" t="s">
        <v>314</v>
      </c>
    </row>
    <row r="156" spans="1:7" x14ac:dyDescent="0.2">
      <c r="A156" s="511" t="s">
        <v>316</v>
      </c>
    </row>
    <row r="157" spans="1:7" x14ac:dyDescent="0.2">
      <c r="A157" s="511" t="s">
        <v>317</v>
      </c>
    </row>
    <row r="158" spans="1:7" x14ac:dyDescent="0.2">
      <c r="A158" s="511" t="s">
        <v>318</v>
      </c>
    </row>
    <row r="160" spans="1:7" x14ac:dyDescent="0.2">
      <c r="A160" s="573" t="s">
        <v>90</v>
      </c>
    </row>
    <row r="161" spans="1:1" x14ac:dyDescent="0.2">
      <c r="A161" s="573" t="s">
        <v>91</v>
      </c>
    </row>
  </sheetData>
  <sheetProtection sheet="1" objects="1"/>
  <phoneticPr fontId="27" type="noConversion"/>
  <pageMargins left="1" right="0.75" top="1" bottom="1" header="0.5" footer="0.5"/>
  <pageSetup scale="73" fitToHeight="3" orientation="portrait" horizontalDpi="4294967293" r:id="rId1"/>
  <headerFooter alignWithMargins="0">
    <oddFooter>&amp;L&amp;F&amp;C&amp;A&amp;R&amp;D</oddFooter>
  </headerFooter>
  <rowBreaks count="1" manualBreakCount="1">
    <brk id="7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252"/>
  <sheetViews>
    <sheetView showGridLines="0" zoomScale="80" workbookViewId="0"/>
  </sheetViews>
  <sheetFormatPr defaultColWidth="8.77734375" defaultRowHeight="18" customHeight="1" x14ac:dyDescent="0.2"/>
  <cols>
    <col min="1" max="1" width="3.77734375" style="2" customWidth="1"/>
    <col min="2" max="2" width="11.33203125" style="2" customWidth="1"/>
    <col min="3" max="3" width="12.5546875" style="2" customWidth="1"/>
    <col min="4" max="4" width="8.77734375" style="2"/>
    <col min="5" max="5" width="12.21875" style="2" customWidth="1"/>
    <col min="6" max="6" width="8.77734375" style="2"/>
    <col min="7" max="7" width="10.33203125" style="2" customWidth="1"/>
    <col min="8" max="16" width="8.77734375" style="2"/>
    <col min="17" max="17" width="10.88671875" style="2" customWidth="1"/>
    <col min="18" max="19" width="10.33203125" style="2" customWidth="1"/>
    <col min="20" max="20" width="8.77734375" style="2"/>
    <col min="21" max="21" width="13.109375" style="2" customWidth="1"/>
    <col min="22" max="23" width="8.77734375" style="2"/>
    <col min="25" max="25" width="12.33203125" bestFit="1" customWidth="1"/>
    <col min="26" max="26" width="12.88671875" bestFit="1" customWidth="1"/>
    <col min="29" max="29" width="10.6640625" customWidth="1"/>
    <col min="30" max="30" width="12.77734375" customWidth="1"/>
    <col min="33" max="33" width="12.5546875" customWidth="1"/>
    <col min="34" max="34" width="11.21875" customWidth="1"/>
    <col min="35" max="36" width="12.77734375" customWidth="1"/>
    <col min="37" max="37" width="12.5546875" customWidth="1"/>
    <col min="38" max="38" width="12.21875" customWidth="1"/>
    <col min="39" max="39" width="12.44140625" customWidth="1"/>
    <col min="40" max="40" width="12.5546875" customWidth="1"/>
    <col min="43" max="51" width="9" customWidth="1"/>
    <col min="52" max="52" width="13" customWidth="1"/>
    <col min="53" max="56" width="9" customWidth="1"/>
    <col min="57" max="57" width="13.109375" customWidth="1"/>
    <col min="58" max="60" width="9" customWidth="1"/>
    <col min="61" max="61" width="11.109375" customWidth="1"/>
    <col min="62" max="62" width="12.5546875" customWidth="1"/>
    <col min="63" max="63" width="13.109375" customWidth="1"/>
    <col min="64" max="66" width="12.5546875" customWidth="1"/>
    <col min="67" max="69" width="16.109375" customWidth="1"/>
    <col min="70" max="70" width="12.5546875" customWidth="1"/>
    <col min="71" max="71" width="16.109375" customWidth="1"/>
    <col min="72" max="72" width="12.5546875" customWidth="1"/>
    <col min="73" max="73" width="9.88671875" customWidth="1"/>
    <col min="74" max="74" width="12.5546875" customWidth="1"/>
    <col min="75" max="75" width="13.109375" customWidth="1"/>
    <col min="76" max="76" width="12.5546875" customWidth="1"/>
    <col min="77" max="77" width="13.109375" customWidth="1"/>
    <col min="78" max="78" width="12.5546875" customWidth="1"/>
    <col min="85" max="86" width="9" customWidth="1"/>
    <col min="87" max="87" width="9.33203125" customWidth="1"/>
    <col min="89" max="89" width="9.33203125" customWidth="1"/>
    <col min="91" max="91" width="9.33203125" customWidth="1"/>
    <col min="93" max="93" width="9.33203125" customWidth="1"/>
    <col min="94" max="94" width="9.88671875" customWidth="1"/>
  </cols>
  <sheetData>
    <row r="1" spans="1:106" ht="18" customHeight="1" x14ac:dyDescent="0.25">
      <c r="A1" s="402" t="s">
        <v>291</v>
      </c>
    </row>
    <row r="2" spans="1:106" ht="18" customHeight="1" thickBot="1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 s="80"/>
      <c r="Q2" s="80"/>
      <c r="R2" s="80"/>
      <c r="S2" s="80"/>
      <c r="T2" s="80"/>
      <c r="U2" s="80"/>
      <c r="V2" s="80"/>
      <c r="W2" s="80"/>
      <c r="X2" s="45"/>
      <c r="Y2" s="45"/>
      <c r="Z2" s="45"/>
      <c r="AA2" s="45"/>
      <c r="AB2" s="45"/>
      <c r="AC2" s="45"/>
      <c r="AD2" s="45"/>
      <c r="AE2" s="45"/>
      <c r="AF2" s="45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281"/>
    </row>
    <row r="3" spans="1:106" s="2" customFormat="1" ht="18" customHeight="1" thickTop="1" thickBot="1" x14ac:dyDescent="0.3">
      <c r="B3" s="29" t="s">
        <v>70</v>
      </c>
      <c r="C3"/>
      <c r="D3" s="30" t="s">
        <v>71</v>
      </c>
      <c r="E3"/>
      <c r="F3"/>
      <c r="G3"/>
      <c r="H3"/>
      <c r="I3"/>
      <c r="J3"/>
      <c r="K3"/>
      <c r="L3"/>
      <c r="M3"/>
      <c r="N3"/>
      <c r="O3"/>
      <c r="P3" s="82" t="s">
        <v>92</v>
      </c>
      <c r="Q3" s="80"/>
      <c r="R3" s="80"/>
      <c r="S3" s="81"/>
      <c r="T3" s="81"/>
      <c r="U3" s="81"/>
      <c r="V3" s="81"/>
      <c r="W3" s="81"/>
      <c r="X3" s="47" t="s">
        <v>93</v>
      </c>
      <c r="Y3" s="45"/>
      <c r="Z3" s="45"/>
      <c r="AA3" s="45"/>
      <c r="AB3" s="45"/>
      <c r="AC3" s="45"/>
      <c r="AD3" s="45"/>
      <c r="AE3" s="45"/>
      <c r="AF3" s="45"/>
      <c r="AG3" s="284" t="s">
        <v>94</v>
      </c>
      <c r="AH3" s="44"/>
      <c r="AI3" s="44"/>
      <c r="AJ3" s="44"/>
      <c r="AK3" s="44"/>
      <c r="AL3" s="44"/>
      <c r="AM3" s="44"/>
      <c r="AN3" s="284" t="s">
        <v>94</v>
      </c>
      <c r="AO3" s="44"/>
      <c r="AP3" s="44"/>
      <c r="AQ3" s="44"/>
      <c r="AR3" s="44"/>
      <c r="AS3" s="44"/>
      <c r="AT3" s="44"/>
      <c r="AU3" s="284" t="s">
        <v>94</v>
      </c>
      <c r="AV3" s="44"/>
      <c r="AW3" s="44"/>
      <c r="AX3" s="44"/>
      <c r="AY3" s="44"/>
      <c r="AZ3" s="44"/>
      <c r="BA3" s="44"/>
      <c r="BB3" s="284" t="s">
        <v>94</v>
      </c>
      <c r="BC3" s="44"/>
      <c r="BD3" s="44"/>
      <c r="BE3" s="44"/>
      <c r="BF3" s="44"/>
      <c r="BG3" s="44"/>
      <c r="BH3" s="44"/>
      <c r="BI3" s="44"/>
      <c r="BJ3" s="105" t="s">
        <v>95</v>
      </c>
      <c r="BK3" s="107"/>
      <c r="BL3" s="107"/>
      <c r="BM3" s="107"/>
      <c r="BN3" s="107"/>
      <c r="BO3" s="107"/>
      <c r="BP3" s="107"/>
      <c r="BQ3" s="105" t="s">
        <v>95</v>
      </c>
      <c r="BR3" s="107"/>
      <c r="BS3" s="107"/>
      <c r="BT3" s="107"/>
      <c r="BU3" s="107"/>
      <c r="BV3" s="107"/>
      <c r="BW3" s="107"/>
      <c r="BX3" s="105" t="s">
        <v>95</v>
      </c>
      <c r="BY3" s="107"/>
      <c r="BZ3" s="107"/>
      <c r="CA3" s="107"/>
      <c r="CB3" s="107"/>
      <c r="CC3" s="107"/>
      <c r="CD3" s="107"/>
      <c r="CE3" s="105" t="s">
        <v>95</v>
      </c>
      <c r="CF3" s="107"/>
      <c r="CG3" s="107"/>
      <c r="CH3" s="107"/>
      <c r="CI3" s="107"/>
      <c r="CJ3" s="107"/>
      <c r="CK3" s="107"/>
      <c r="CL3" s="105" t="s">
        <v>95</v>
      </c>
      <c r="CM3" s="107"/>
      <c r="CN3" s="107"/>
      <c r="CO3" s="107"/>
      <c r="CP3" s="107"/>
      <c r="CQ3" s="107"/>
      <c r="CR3" s="107"/>
      <c r="CS3" s="105" t="s">
        <v>95</v>
      </c>
      <c r="CT3" s="107"/>
      <c r="CU3" s="107"/>
      <c r="CV3" s="107"/>
      <c r="CW3" s="107"/>
      <c r="CX3" s="107"/>
      <c r="CY3" s="107"/>
      <c r="CZ3" s="107"/>
      <c r="DA3" s="107"/>
      <c r="DB3" s="282"/>
    </row>
    <row r="4" spans="1:106" s="2" customFormat="1" ht="18" customHeight="1" thickTop="1" x14ac:dyDescent="0.2">
      <c r="P4" s="80"/>
      <c r="Q4" s="80"/>
      <c r="R4" s="80"/>
      <c r="S4" s="80"/>
      <c r="T4" s="80"/>
      <c r="U4" s="80"/>
      <c r="V4" s="80"/>
      <c r="W4" s="80"/>
      <c r="X4" s="46"/>
      <c r="Y4" s="46"/>
      <c r="Z4" s="46"/>
      <c r="AA4" s="46"/>
      <c r="AB4" s="46"/>
      <c r="AC4" s="46"/>
      <c r="AD4" s="46"/>
      <c r="AE4" s="46"/>
      <c r="AF4" s="46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285"/>
      <c r="BG4" s="285"/>
      <c r="BH4" s="285"/>
      <c r="BI4" s="285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282"/>
    </row>
    <row r="5" spans="1:106" s="2" customFormat="1" ht="18" customHeight="1" x14ac:dyDescent="0.2">
      <c r="B5" s="1" t="s">
        <v>96</v>
      </c>
      <c r="P5" s="80"/>
      <c r="Q5" s="80"/>
      <c r="R5" s="80"/>
      <c r="S5" s="80"/>
      <c r="T5" s="80"/>
      <c r="U5" s="80"/>
      <c r="V5" s="80"/>
      <c r="W5" s="80"/>
      <c r="X5" s="46"/>
      <c r="Y5" s="46"/>
      <c r="Z5" s="46"/>
      <c r="AA5" s="46"/>
      <c r="AB5" s="46"/>
      <c r="AC5" s="46"/>
      <c r="AD5" s="46"/>
      <c r="AE5" s="46"/>
      <c r="AF5" s="46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282"/>
    </row>
    <row r="6" spans="1:106" s="2" customFormat="1" ht="18" customHeight="1" x14ac:dyDescent="0.2">
      <c r="B6" s="2" t="s">
        <v>97</v>
      </c>
      <c r="P6" s="80"/>
      <c r="Q6" s="80"/>
      <c r="R6" s="80"/>
      <c r="S6" s="80"/>
      <c r="T6" s="80"/>
      <c r="U6" s="80"/>
      <c r="V6" s="80"/>
      <c r="W6" s="80"/>
      <c r="X6" s="46"/>
      <c r="Y6" s="46"/>
      <c r="Z6" s="46"/>
      <c r="AA6" s="46"/>
      <c r="AB6" s="46"/>
      <c r="AC6" s="46"/>
      <c r="AD6" s="46"/>
      <c r="AE6" s="46"/>
      <c r="AF6" s="46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282"/>
    </row>
    <row r="7" spans="1:106" s="2" customFormat="1" ht="18" customHeight="1" x14ac:dyDescent="0.2">
      <c r="B7" s="2" t="s">
        <v>98</v>
      </c>
      <c r="P7" s="80"/>
      <c r="Q7" s="80"/>
      <c r="R7" s="80"/>
      <c r="S7" s="80"/>
      <c r="T7" s="80"/>
      <c r="U7" s="80"/>
      <c r="V7" s="80"/>
      <c r="W7" s="80"/>
      <c r="X7" s="46"/>
      <c r="Y7" s="46"/>
      <c r="Z7" s="46"/>
      <c r="AA7" s="46"/>
      <c r="AB7" s="46"/>
      <c r="AC7" s="46"/>
      <c r="AD7" s="46"/>
      <c r="AE7" s="46"/>
      <c r="AF7" s="46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282"/>
    </row>
    <row r="8" spans="1:106" s="2" customFormat="1" ht="18" customHeight="1" x14ac:dyDescent="0.2">
      <c r="B8" s="2" t="s">
        <v>99</v>
      </c>
      <c r="P8" s="80"/>
      <c r="Q8" s="80"/>
      <c r="R8" s="80"/>
      <c r="S8" s="80"/>
      <c r="T8" s="80"/>
      <c r="U8" s="80"/>
      <c r="V8" s="80"/>
      <c r="W8" s="80"/>
      <c r="X8" s="46"/>
      <c r="Y8" s="46"/>
      <c r="Z8" s="46"/>
      <c r="AA8" s="46"/>
      <c r="AB8" s="46"/>
      <c r="AC8" s="46"/>
      <c r="AD8" s="46"/>
      <c r="AE8" s="46"/>
      <c r="AF8" s="46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282"/>
    </row>
    <row r="9" spans="1:106" ht="18" customHeight="1" x14ac:dyDescent="0.2">
      <c r="B9" s="2" t="s">
        <v>100</v>
      </c>
      <c r="P9" s="81"/>
      <c r="Q9" s="81"/>
      <c r="R9" s="81"/>
      <c r="S9" s="81"/>
      <c r="T9" s="81"/>
      <c r="U9" s="81"/>
      <c r="V9" s="81"/>
      <c r="W9" s="81"/>
      <c r="X9" s="45"/>
      <c r="Y9" s="45"/>
      <c r="Z9" s="45"/>
      <c r="AA9" s="45"/>
      <c r="AB9" s="45"/>
      <c r="AC9" s="45"/>
      <c r="AD9" s="45"/>
      <c r="AE9" s="45"/>
      <c r="AF9" s="45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281"/>
    </row>
    <row r="10" spans="1:106" ht="18" customHeight="1" thickBot="1" x14ac:dyDescent="0.25">
      <c r="P10" s="81"/>
      <c r="Q10" s="81"/>
      <c r="R10" s="81"/>
      <c r="S10" s="81"/>
      <c r="T10" s="81"/>
      <c r="U10" s="81"/>
      <c r="V10" s="81"/>
      <c r="W10" s="81"/>
      <c r="X10" s="45"/>
      <c r="Y10" s="45"/>
      <c r="Z10" s="45"/>
      <c r="AA10" s="45"/>
      <c r="AB10" s="45"/>
      <c r="AC10" s="45"/>
      <c r="AD10" s="45"/>
      <c r="AE10" s="45"/>
      <c r="AF10" s="45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281"/>
    </row>
    <row r="11" spans="1:106" ht="18" customHeight="1" thickTop="1" thickBot="1" x14ac:dyDescent="0.4">
      <c r="B11" s="39" t="s">
        <v>101</v>
      </c>
      <c r="C11" s="8" t="s">
        <v>102</v>
      </c>
      <c r="D11" s="8" t="s">
        <v>103</v>
      </c>
      <c r="F11" s="34" t="s">
        <v>104</v>
      </c>
      <c r="G11"/>
      <c r="H11"/>
      <c r="I11"/>
      <c r="J11"/>
      <c r="K11"/>
      <c r="L11"/>
      <c r="M11"/>
      <c r="N11"/>
      <c r="O11"/>
      <c r="P11" s="80" t="s">
        <v>105</v>
      </c>
      <c r="Q11" s="83"/>
      <c r="R11" s="83"/>
      <c r="S11" s="81"/>
      <c r="T11" s="81"/>
      <c r="U11" s="81"/>
      <c r="V11" s="81"/>
      <c r="W11" s="81"/>
      <c r="X11" s="49" t="s">
        <v>106</v>
      </c>
      <c r="Y11" s="46"/>
      <c r="Z11" s="46" t="s">
        <v>105</v>
      </c>
      <c r="AA11" s="48"/>
      <c r="AB11" s="48"/>
      <c r="AC11" s="45"/>
      <c r="AD11" s="45"/>
      <c r="AE11" s="45"/>
      <c r="AF11" s="45"/>
      <c r="AG11" s="286" t="s">
        <v>107</v>
      </c>
      <c r="AH11" s="44"/>
      <c r="AI11" s="285" t="s">
        <v>105</v>
      </c>
      <c r="AJ11" s="278"/>
      <c r="AK11" s="278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109" t="s">
        <v>108</v>
      </c>
      <c r="BK11" s="106"/>
      <c r="BL11" s="107" t="s">
        <v>105</v>
      </c>
      <c r="BM11" s="108"/>
      <c r="BN11" s="108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281"/>
    </row>
    <row r="12" spans="1:106" ht="18" customHeight="1" thickTop="1" x14ac:dyDescent="0.2">
      <c r="B12" s="377">
        <v>1</v>
      </c>
      <c r="C12" s="498">
        <v>0</v>
      </c>
      <c r="D12" s="497">
        <v>0.19</v>
      </c>
      <c r="E12" s="348"/>
      <c r="F12"/>
      <c r="G12"/>
      <c r="H12"/>
      <c r="I12"/>
      <c r="J12"/>
      <c r="K12"/>
      <c r="L12"/>
      <c r="M12"/>
      <c r="N12"/>
      <c r="O12"/>
      <c r="P12" s="84">
        <f>n</f>
        <v>18</v>
      </c>
      <c r="Q12" s="85">
        <f>P13</f>
        <v>45</v>
      </c>
      <c r="R12" s="83"/>
      <c r="S12" s="81"/>
      <c r="T12" s="81"/>
      <c r="U12" s="81"/>
      <c r="V12" s="81"/>
      <c r="W12" s="81"/>
      <c r="X12" s="50">
        <f>C12^2</f>
        <v>0</v>
      </c>
      <c r="Y12" s="48"/>
      <c r="Z12" s="51">
        <f>n</f>
        <v>18</v>
      </c>
      <c r="AA12" s="52">
        <f>Q12</f>
        <v>45</v>
      </c>
      <c r="AB12" s="53">
        <f>Z14</f>
        <v>165</v>
      </c>
      <c r="AC12" s="45"/>
      <c r="AD12" s="45"/>
      <c r="AE12" s="45"/>
      <c r="AF12" s="45"/>
      <c r="AG12" s="287">
        <f>C12^3</f>
        <v>0</v>
      </c>
      <c r="AH12" s="44"/>
      <c r="AI12" s="288">
        <f t="shared" ref="AI12:AK14" si="0">Z12</f>
        <v>18</v>
      </c>
      <c r="AJ12" s="289">
        <f t="shared" si="0"/>
        <v>45</v>
      </c>
      <c r="AK12" s="289">
        <f t="shared" si="0"/>
        <v>165</v>
      </c>
      <c r="AL12" s="290">
        <f>AI15</f>
        <v>675</v>
      </c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110">
        <f>C12^4</f>
        <v>0</v>
      </c>
      <c r="BK12" s="106"/>
      <c r="BL12" s="132">
        <f t="shared" ref="BL12:BM15" si="1">AI12</f>
        <v>18</v>
      </c>
      <c r="BM12" s="133">
        <f t="shared" si="1"/>
        <v>45</v>
      </c>
      <c r="BN12" s="133">
        <f t="shared" ref="BN12:BO15" si="2">AK12</f>
        <v>165</v>
      </c>
      <c r="BO12" s="133">
        <f t="shared" si="2"/>
        <v>675</v>
      </c>
      <c r="BP12" s="125">
        <f>BM15</f>
        <v>2937</v>
      </c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281"/>
    </row>
    <row r="13" spans="1:106" ht="18" customHeight="1" x14ac:dyDescent="0.3">
      <c r="B13" s="378">
        <v>2</v>
      </c>
      <c r="C13" s="349">
        <v>0</v>
      </c>
      <c r="D13" s="347">
        <v>0.2</v>
      </c>
      <c r="E13" s="348"/>
      <c r="F13" s="31" t="s">
        <v>109</v>
      </c>
      <c r="G13" s="32"/>
      <c r="H13" s="33"/>
      <c r="I13"/>
      <c r="J13"/>
      <c r="K13"/>
      <c r="L13"/>
      <c r="M13"/>
      <c r="N13"/>
      <c r="O13"/>
      <c r="P13" s="86">
        <f>SUM(X)</f>
        <v>45</v>
      </c>
      <c r="Q13" s="87">
        <f>SUMPRODUCT(X,X)</f>
        <v>165</v>
      </c>
      <c r="R13" s="83"/>
      <c r="S13" s="81"/>
      <c r="T13" s="81"/>
      <c r="U13" s="81"/>
      <c r="V13" s="81"/>
      <c r="W13" s="81"/>
      <c r="X13" s="54">
        <f>C13^2</f>
        <v>0</v>
      </c>
      <c r="Y13" s="55"/>
      <c r="Z13" s="56">
        <f>P13</f>
        <v>45</v>
      </c>
      <c r="AA13" s="57">
        <f>Q13</f>
        <v>165</v>
      </c>
      <c r="AB13" s="59">
        <f>AA14</f>
        <v>675</v>
      </c>
      <c r="AC13" s="45"/>
      <c r="AD13" s="45"/>
      <c r="AE13" s="45"/>
      <c r="AF13" s="45"/>
      <c r="AG13" s="291">
        <f>C13^3</f>
        <v>0</v>
      </c>
      <c r="AH13" s="44"/>
      <c r="AI13" s="292">
        <f t="shared" si="0"/>
        <v>45</v>
      </c>
      <c r="AJ13" s="227">
        <f t="shared" si="0"/>
        <v>165</v>
      </c>
      <c r="AK13" s="227">
        <f t="shared" si="0"/>
        <v>675</v>
      </c>
      <c r="AL13" s="293">
        <f>AJ15</f>
        <v>2937</v>
      </c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111">
        <f>C13^4</f>
        <v>0</v>
      </c>
      <c r="BK13" s="106"/>
      <c r="BL13" s="127">
        <f t="shared" si="1"/>
        <v>45</v>
      </c>
      <c r="BM13" s="112">
        <f t="shared" si="1"/>
        <v>165</v>
      </c>
      <c r="BN13" s="112">
        <f t="shared" si="2"/>
        <v>675</v>
      </c>
      <c r="BO13" s="112">
        <f t="shared" si="2"/>
        <v>2937</v>
      </c>
      <c r="BP13" s="128">
        <f>BN15</f>
        <v>13275</v>
      </c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281"/>
    </row>
    <row r="14" spans="1:106" ht="18" customHeight="1" thickBot="1" x14ac:dyDescent="0.25">
      <c r="B14" s="378">
        <v>3</v>
      </c>
      <c r="C14" s="349">
        <v>0</v>
      </c>
      <c r="D14" s="347">
        <v>0.21</v>
      </c>
      <c r="E14" s="348"/>
      <c r="F14"/>
      <c r="G14"/>
      <c r="H14"/>
      <c r="I14"/>
      <c r="J14"/>
      <c r="K14"/>
      <c r="L14"/>
      <c r="M14"/>
      <c r="N14"/>
      <c r="O14"/>
      <c r="P14" s="83"/>
      <c r="Q14" s="83"/>
      <c r="R14" s="83"/>
      <c r="S14" s="81"/>
      <c r="T14" s="81"/>
      <c r="U14" s="81"/>
      <c r="V14" s="81"/>
      <c r="W14" s="81"/>
      <c r="X14" s="54">
        <f>C14^2</f>
        <v>0</v>
      </c>
      <c r="Y14" s="48"/>
      <c r="Z14" s="60">
        <f>SUM(X12:X61)</f>
        <v>165</v>
      </c>
      <c r="AA14" s="61">
        <f>SUMPRODUCT(X,X12:X61)</f>
        <v>675</v>
      </c>
      <c r="AB14" s="62">
        <f>SUMPRODUCT(X12:X61,X12:X61)</f>
        <v>2937</v>
      </c>
      <c r="AC14" s="45"/>
      <c r="AD14" s="45"/>
      <c r="AE14" s="45"/>
      <c r="AF14" s="45"/>
      <c r="AG14" s="291">
        <f>C14^3</f>
        <v>0</v>
      </c>
      <c r="AH14" s="44"/>
      <c r="AI14" s="292">
        <f t="shared" si="0"/>
        <v>165</v>
      </c>
      <c r="AJ14" s="227">
        <f t="shared" si="0"/>
        <v>675</v>
      </c>
      <c r="AK14" s="227">
        <f t="shared" si="0"/>
        <v>2937</v>
      </c>
      <c r="AL14" s="293">
        <f>AK15</f>
        <v>13275</v>
      </c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111">
        <f>C14^4</f>
        <v>0</v>
      </c>
      <c r="BK14" s="106"/>
      <c r="BL14" s="127">
        <f t="shared" si="1"/>
        <v>165</v>
      </c>
      <c r="BM14" s="112">
        <f t="shared" si="1"/>
        <v>675</v>
      </c>
      <c r="BN14" s="112">
        <f t="shared" si="2"/>
        <v>2937</v>
      </c>
      <c r="BO14" s="112">
        <f t="shared" si="2"/>
        <v>13275</v>
      </c>
      <c r="BP14" s="128">
        <f>BO15</f>
        <v>61545</v>
      </c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281"/>
    </row>
    <row r="15" spans="1:106" ht="18" customHeight="1" thickTop="1" thickBot="1" x14ac:dyDescent="0.35">
      <c r="B15" s="378">
        <f>IF(C15="","",+B14+1)</f>
        <v>4</v>
      </c>
      <c r="C15" s="349">
        <v>1</v>
      </c>
      <c r="D15" s="347">
        <v>1.1399999999999999</v>
      </c>
      <c r="E15" s="348"/>
      <c r="F15" s="35" t="s">
        <v>110</v>
      </c>
      <c r="G15" s="36"/>
      <c r="H15" s="37"/>
      <c r="I15"/>
      <c r="J15"/>
      <c r="K15"/>
      <c r="L15"/>
      <c r="M15"/>
      <c r="N15"/>
      <c r="O15"/>
      <c r="P15" s="88" t="s">
        <v>111</v>
      </c>
      <c r="Q15" s="83"/>
      <c r="R15" s="83"/>
      <c r="S15" s="81"/>
      <c r="T15" s="81"/>
      <c r="U15" s="81"/>
      <c r="V15" s="81"/>
      <c r="W15" s="81"/>
      <c r="X15" s="63">
        <f t="shared" ref="X15:X61" si="3">IF(C15="","",+C15^2)</f>
        <v>1</v>
      </c>
      <c r="Y15" s="55"/>
      <c r="Z15" s="48"/>
      <c r="AA15" s="48"/>
      <c r="AB15" s="48"/>
      <c r="AC15" s="45"/>
      <c r="AD15" s="45"/>
      <c r="AE15" s="45"/>
      <c r="AF15" s="45"/>
      <c r="AG15" s="294">
        <f t="shared" ref="AG15:AG61" si="4">IF(C15="","",+C15^3)</f>
        <v>1</v>
      </c>
      <c r="AH15" s="44"/>
      <c r="AI15" s="295">
        <f>SUM(xcubed)</f>
        <v>675</v>
      </c>
      <c r="AJ15" s="296">
        <f>SUMPRODUCT(X,xcubed)</f>
        <v>2937</v>
      </c>
      <c r="AK15" s="296">
        <f>SUMPRODUCT(xsquared,xcubed)</f>
        <v>13275</v>
      </c>
      <c r="AL15" s="297">
        <f>SUMPRODUCT(xcubed,xcubed)</f>
        <v>61545</v>
      </c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113">
        <f t="shared" ref="BJ15:BJ61" si="5">IF(C15="","",C15^4)</f>
        <v>1</v>
      </c>
      <c r="BK15" s="106"/>
      <c r="BL15" s="127">
        <f t="shared" si="1"/>
        <v>675</v>
      </c>
      <c r="BM15" s="112">
        <f t="shared" si="1"/>
        <v>2937</v>
      </c>
      <c r="BN15" s="112">
        <f t="shared" si="2"/>
        <v>13275</v>
      </c>
      <c r="BO15" s="112">
        <f t="shared" si="2"/>
        <v>61545</v>
      </c>
      <c r="BP15" s="128">
        <f>BO16</f>
        <v>290475</v>
      </c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281"/>
    </row>
    <row r="16" spans="1:106" ht="18" customHeight="1" thickTop="1" x14ac:dyDescent="0.2">
      <c r="B16" s="378">
        <f t="shared" ref="B16:B31" si="6">IF(C16="","",+B15+1)</f>
        <v>5</v>
      </c>
      <c r="C16" s="349">
        <v>1</v>
      </c>
      <c r="D16" s="347">
        <v>1.1499999999999999</v>
      </c>
      <c r="E16" s="348"/>
      <c r="F16"/>
      <c r="G16"/>
      <c r="H16"/>
      <c r="I16"/>
      <c r="J16"/>
      <c r="K16"/>
      <c r="L16"/>
      <c r="M16"/>
      <c r="N16"/>
      <c r="O16"/>
      <c r="P16" s="89">
        <f>MDETERM(P12:Q13)</f>
        <v>945</v>
      </c>
      <c r="Q16" s="83"/>
      <c r="R16" s="83"/>
      <c r="S16" s="81"/>
      <c r="T16" s="81"/>
      <c r="U16" s="81"/>
      <c r="V16" s="81"/>
      <c r="W16" s="81"/>
      <c r="X16" s="54">
        <f t="shared" si="3"/>
        <v>1</v>
      </c>
      <c r="Y16" s="48"/>
      <c r="Z16" s="46" t="s">
        <v>111</v>
      </c>
      <c r="AA16" s="48"/>
      <c r="AB16" s="48"/>
      <c r="AC16" s="45"/>
      <c r="AD16" s="45"/>
      <c r="AE16" s="45"/>
      <c r="AF16" s="45"/>
      <c r="AG16" s="291">
        <f t="shared" si="4"/>
        <v>1</v>
      </c>
      <c r="AH16" s="44"/>
      <c r="AI16" s="285" t="s">
        <v>111</v>
      </c>
      <c r="AJ16" s="278"/>
      <c r="AK16" s="278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111">
        <f t="shared" si="5"/>
        <v>1</v>
      </c>
      <c r="BK16" s="106"/>
      <c r="BL16" s="129">
        <f>SUM(BJ12:BJ61)</f>
        <v>2937</v>
      </c>
      <c r="BM16" s="130">
        <f>SUMPRODUCT(X,BJ12:BJ61)</f>
        <v>13275</v>
      </c>
      <c r="BN16" s="130">
        <f>SUMPRODUCT(xsquared,BJ12:BJ61)</f>
        <v>61545</v>
      </c>
      <c r="BO16" s="130">
        <f>SUMPRODUCT(xcubed,BJ12:BJ61)</f>
        <v>290475</v>
      </c>
      <c r="BP16" s="131">
        <f>SUMPRODUCT(BJ12:BJ61,BJ12:BJ61)</f>
        <v>1388937</v>
      </c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281"/>
    </row>
    <row r="17" spans="2:106" ht="18" customHeight="1" x14ac:dyDescent="0.2">
      <c r="B17" s="378">
        <f t="shared" si="6"/>
        <v>6</v>
      </c>
      <c r="C17" s="349">
        <v>1</v>
      </c>
      <c r="D17" s="347">
        <v>1.1599999999999999</v>
      </c>
      <c r="E17" s="348"/>
      <c r="F17" t="s">
        <v>112</v>
      </c>
      <c r="G17"/>
      <c r="H17"/>
      <c r="I17"/>
      <c r="J17"/>
      <c r="K17"/>
      <c r="L17"/>
      <c r="M17"/>
      <c r="N17"/>
      <c r="O17"/>
      <c r="P17" s="83"/>
      <c r="Q17" s="83"/>
      <c r="R17" s="83"/>
      <c r="S17" s="81"/>
      <c r="T17" s="81"/>
      <c r="U17" s="81"/>
      <c r="V17" s="81"/>
      <c r="W17" s="81"/>
      <c r="X17" s="54">
        <f t="shared" si="3"/>
        <v>1</v>
      </c>
      <c r="Y17" s="48"/>
      <c r="Z17" s="64">
        <f>MDETERM(Z12:AB14)</f>
        <v>105839.99999999999</v>
      </c>
      <c r="AA17" s="48"/>
      <c r="AB17" s="48"/>
      <c r="AC17" s="45"/>
      <c r="AD17" s="45"/>
      <c r="AE17" s="45"/>
      <c r="AF17" s="45"/>
      <c r="AG17" s="291">
        <f t="shared" si="4"/>
        <v>1</v>
      </c>
      <c r="AH17" s="44"/>
      <c r="AI17" s="298">
        <f>MDETERM(AI12:AL15)</f>
        <v>20575295.999998011</v>
      </c>
      <c r="AJ17" s="278"/>
      <c r="AK17" s="278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111">
        <f t="shared" si="5"/>
        <v>1</v>
      </c>
      <c r="BK17" s="106">
        <v>1</v>
      </c>
      <c r="BL17" s="107">
        <v>2</v>
      </c>
      <c r="BM17" s="107">
        <v>3</v>
      </c>
      <c r="BN17" s="107">
        <v>4</v>
      </c>
      <c r="BO17" s="107">
        <v>5</v>
      </c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281"/>
    </row>
    <row r="18" spans="2:106" ht="18" customHeight="1" x14ac:dyDescent="0.2">
      <c r="B18" s="378">
        <f t="shared" si="6"/>
        <v>7</v>
      </c>
      <c r="C18" s="349">
        <v>2</v>
      </c>
      <c r="D18" s="347">
        <v>1.99</v>
      </c>
      <c r="E18" s="348"/>
      <c r="F18"/>
      <c r="G18"/>
      <c r="H18"/>
      <c r="I18"/>
      <c r="J18"/>
      <c r="K18"/>
      <c r="L18"/>
      <c r="M18"/>
      <c r="N18"/>
      <c r="O18"/>
      <c r="P18" s="80" t="s">
        <v>113</v>
      </c>
      <c r="Q18" s="83"/>
      <c r="R18" s="83"/>
      <c r="S18" s="81"/>
      <c r="T18" s="81"/>
      <c r="U18" s="81"/>
      <c r="V18" s="81"/>
      <c r="W18" s="81"/>
      <c r="X18" s="54">
        <f t="shared" si="3"/>
        <v>4</v>
      </c>
      <c r="Y18" s="48"/>
      <c r="Z18" s="48"/>
      <c r="AA18" s="48"/>
      <c r="AB18" s="48"/>
      <c r="AC18" s="45"/>
      <c r="AD18" s="45"/>
      <c r="AE18" s="45"/>
      <c r="AF18" s="45"/>
      <c r="AG18" s="291">
        <f t="shared" si="4"/>
        <v>8</v>
      </c>
      <c r="AH18" s="44"/>
      <c r="AI18" s="278"/>
      <c r="AJ18" s="44"/>
      <c r="AK18" s="278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111">
        <f t="shared" si="5"/>
        <v>16</v>
      </c>
      <c r="BK18" s="106">
        <v>2</v>
      </c>
      <c r="BL18" s="107" t="s">
        <v>113</v>
      </c>
      <c r="BM18" s="108"/>
      <c r="BN18" s="108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281"/>
    </row>
    <row r="19" spans="2:106" ht="18" customHeight="1" x14ac:dyDescent="0.2">
      <c r="B19" s="378">
        <f t="shared" si="6"/>
        <v>8</v>
      </c>
      <c r="C19" s="349">
        <v>2</v>
      </c>
      <c r="D19" s="347">
        <v>2</v>
      </c>
      <c r="E19" s="348"/>
      <c r="F19"/>
      <c r="G19"/>
      <c r="H19"/>
      <c r="I19"/>
      <c r="J19"/>
      <c r="K19"/>
      <c r="L19"/>
      <c r="M19"/>
      <c r="N19"/>
      <c r="O19"/>
      <c r="P19" s="84">
        <f>Q13/P16</f>
        <v>0.17460317460317459</v>
      </c>
      <c r="Q19" s="85">
        <f>P20</f>
        <v>-4.7619047619047616E-2</v>
      </c>
      <c r="R19" s="83"/>
      <c r="S19" s="81"/>
      <c r="T19" s="81"/>
      <c r="U19" s="81"/>
      <c r="V19" s="81"/>
      <c r="W19" s="81"/>
      <c r="X19" s="54">
        <f t="shared" si="3"/>
        <v>4</v>
      </c>
      <c r="Y19" s="48"/>
      <c r="Z19" s="46" t="s">
        <v>113</v>
      </c>
      <c r="AA19" s="48"/>
      <c r="AB19" s="48"/>
      <c r="AC19" s="45"/>
      <c r="AD19" s="45"/>
      <c r="AE19" s="45"/>
      <c r="AF19" s="45"/>
      <c r="AG19" s="291">
        <f t="shared" si="4"/>
        <v>8</v>
      </c>
      <c r="AH19" s="44"/>
      <c r="AI19" s="285" t="s">
        <v>113</v>
      </c>
      <c r="AJ19" s="278"/>
      <c r="AK19" s="278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111">
        <f t="shared" si="5"/>
        <v>16</v>
      </c>
      <c r="BK19" s="106">
        <v>3</v>
      </c>
      <c r="BL19" s="280">
        <f t="shared" ref="BL19:BP23" si="7">INDEX(MINVERSE($BL$12:$BP$16),$BK17,BK$17)</f>
        <v>0.33201058201059819</v>
      </c>
      <c r="BM19" s="133">
        <f t="shared" si="7"/>
        <v>-0.60626102292782669</v>
      </c>
      <c r="BN19" s="133">
        <f t="shared" si="7"/>
        <v>0.35879629629646365</v>
      </c>
      <c r="BO19" s="133">
        <f t="shared" si="7"/>
        <v>-8.4876543209914168E-2</v>
      </c>
      <c r="BP19" s="125">
        <f t="shared" si="7"/>
        <v>6.9444444444486768E-3</v>
      </c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281"/>
    </row>
    <row r="20" spans="2:106" ht="18" customHeight="1" x14ac:dyDescent="0.2">
      <c r="B20" s="378">
        <f t="shared" si="6"/>
        <v>9</v>
      </c>
      <c r="C20" s="349">
        <v>2</v>
      </c>
      <c r="D20" s="347">
        <v>2.0099999999999998</v>
      </c>
      <c r="E20" s="348"/>
      <c r="F20"/>
      <c r="G20"/>
      <c r="H20"/>
      <c r="I20"/>
      <c r="J20"/>
      <c r="K20"/>
      <c r="L20"/>
      <c r="M20"/>
      <c r="N20"/>
      <c r="O20"/>
      <c r="P20" s="86">
        <f>-Q12/P16</f>
        <v>-4.7619047619047616E-2</v>
      </c>
      <c r="Q20" s="87">
        <f>P12/P16</f>
        <v>1.9047619047619049E-2</v>
      </c>
      <c r="R20" s="83"/>
      <c r="S20" s="81"/>
      <c r="T20" s="81"/>
      <c r="U20" s="81"/>
      <c r="V20" s="81"/>
      <c r="W20" s="81"/>
      <c r="X20" s="54">
        <f t="shared" si="3"/>
        <v>4</v>
      </c>
      <c r="Y20" s="48"/>
      <c r="Z20" s="51">
        <f>(AB14*AA13-AA14*AB13)/Z17</f>
        <v>0.27380952380952384</v>
      </c>
      <c r="AA20" s="52">
        <f>Z21</f>
        <v>-0.19642857142857145</v>
      </c>
      <c r="AB20" s="53">
        <f>Z22</f>
        <v>2.9761904761904767E-2</v>
      </c>
      <c r="AC20" s="45"/>
      <c r="AD20" s="45"/>
      <c r="AE20" s="45"/>
      <c r="AF20" s="45"/>
      <c r="AG20" s="291">
        <f t="shared" si="4"/>
        <v>8</v>
      </c>
      <c r="AH20" s="44"/>
      <c r="AI20" s="299">
        <f>INDEX(MINVERSE($AI$12:$AL$15),1,1)</f>
        <v>0.32010582010582767</v>
      </c>
      <c r="AJ20" s="289">
        <f>INDEX(MINVERSE($AI$12:$AL$15),1,2)</f>
        <v>-0.40784832451501912</v>
      </c>
      <c r="AK20" s="289">
        <f>INDEX(MINVERSE($AI$12:$AL$15),1,3)</f>
        <v>0.14550264550266043</v>
      </c>
      <c r="AL20" s="290">
        <f>INDEX(MINVERSE($AI$12:$AL$15),1,4)</f>
        <v>-1.5432098765433895E-2</v>
      </c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111">
        <f t="shared" si="5"/>
        <v>16</v>
      </c>
      <c r="BK20" s="106">
        <v>4</v>
      </c>
      <c r="BL20" s="127">
        <f t="shared" si="7"/>
        <v>-0.60626102292772333</v>
      </c>
      <c r="BM20" s="112">
        <f t="shared" si="7"/>
        <v>4.5146237507342653</v>
      </c>
      <c r="BN20" s="112">
        <f t="shared" si="7"/>
        <v>-4.1280864197523623</v>
      </c>
      <c r="BO20" s="112">
        <f t="shared" si="7"/>
        <v>1.2278806584359618</v>
      </c>
      <c r="BP20" s="128">
        <f t="shared" si="7"/>
        <v>-0.11574074074071533</v>
      </c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281"/>
    </row>
    <row r="21" spans="2:106" ht="18" customHeight="1" x14ac:dyDescent="0.2">
      <c r="B21" s="378">
        <f t="shared" si="6"/>
        <v>10</v>
      </c>
      <c r="C21" s="349">
        <v>3</v>
      </c>
      <c r="D21" s="347">
        <v>2.74</v>
      </c>
      <c r="E21" s="348"/>
      <c r="F21"/>
      <c r="G21"/>
      <c r="H21"/>
      <c r="I21"/>
      <c r="J21"/>
      <c r="K21"/>
      <c r="L21"/>
      <c r="M21"/>
      <c r="N21"/>
      <c r="O21"/>
      <c r="P21" s="83"/>
      <c r="Q21" s="83"/>
      <c r="R21" s="83"/>
      <c r="S21" s="81"/>
      <c r="T21" s="81"/>
      <c r="U21" s="81"/>
      <c r="V21" s="81"/>
      <c r="W21" s="81"/>
      <c r="X21" s="54">
        <f t="shared" si="3"/>
        <v>9</v>
      </c>
      <c r="Y21" s="48"/>
      <c r="Z21" s="56">
        <f>(AA14*AB12-AA12*AB14)/Z17</f>
        <v>-0.19642857142857145</v>
      </c>
      <c r="AA21" s="57">
        <f>(Z12*AB14-Z14*AB12)/Z17</f>
        <v>0.24226190476190479</v>
      </c>
      <c r="AB21" s="59">
        <f>AA22</f>
        <v>-4.4642857142857151E-2</v>
      </c>
      <c r="AC21" s="45"/>
      <c r="AD21" s="45"/>
      <c r="AE21" s="45"/>
      <c r="AF21" s="45"/>
      <c r="AG21" s="291">
        <f t="shared" si="4"/>
        <v>27</v>
      </c>
      <c r="AH21" s="44"/>
      <c r="AI21" s="292">
        <f>INDEX(MINVERSE($AI$12:$AL$15),2,1)</f>
        <v>-0.4078483245150214</v>
      </c>
      <c r="AJ21" s="227">
        <f>INDEX(MINVERSE($AI$12:$AL$15),2,2)</f>
        <v>1.2077454438566648</v>
      </c>
      <c r="AK21" s="227">
        <f>INDEX(MINVERSE($AI$12:$AL$15),2,3)</f>
        <v>-0.57319223985896273</v>
      </c>
      <c r="AL21" s="293">
        <f>INDEX(MINVERSE($AI$12:$AL$15),2,4)</f>
        <v>7.0473251028813758E-2</v>
      </c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111">
        <f t="shared" si="5"/>
        <v>81</v>
      </c>
      <c r="BK21" s="106">
        <v>5</v>
      </c>
      <c r="BL21" s="127">
        <f t="shared" si="7"/>
        <v>0.35879629629630572</v>
      </c>
      <c r="BM21" s="112">
        <f t="shared" si="7"/>
        <v>-4.1280864197521332</v>
      </c>
      <c r="BN21" s="112">
        <f t="shared" si="7"/>
        <v>4.1197916666655541</v>
      </c>
      <c r="BO21" s="112">
        <f t="shared" si="7"/>
        <v>-1.2827932098761718</v>
      </c>
      <c r="BP21" s="128">
        <f t="shared" si="7"/>
        <v>0.12442129629625885</v>
      </c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281"/>
    </row>
    <row r="22" spans="2:106" ht="18" customHeight="1" x14ac:dyDescent="0.2">
      <c r="B22" s="378">
        <f t="shared" si="6"/>
        <v>11</v>
      </c>
      <c r="C22" s="349">
        <v>3</v>
      </c>
      <c r="D22" s="347">
        <v>2.75</v>
      </c>
      <c r="E22" s="348"/>
      <c r="F22"/>
      <c r="G22"/>
      <c r="H22"/>
      <c r="I22"/>
      <c r="J22"/>
      <c r="K22"/>
      <c r="L22"/>
      <c r="M22"/>
      <c r="N22"/>
      <c r="O22"/>
      <c r="P22" s="90" t="s">
        <v>114</v>
      </c>
      <c r="Q22" s="83"/>
      <c r="R22" s="83"/>
      <c r="S22" s="81"/>
      <c r="T22" s="81"/>
      <c r="U22" s="81"/>
      <c r="V22" s="81"/>
      <c r="W22" s="81"/>
      <c r="X22" s="54">
        <f t="shared" si="3"/>
        <v>9</v>
      </c>
      <c r="Y22" s="48"/>
      <c r="Z22" s="60">
        <f>(AA12*AB13-AA13*AB12)/Z17</f>
        <v>2.9761904761904767E-2</v>
      </c>
      <c r="AA22" s="61">
        <f>(Z13*AB12-Z12*AB13)/Z17</f>
        <v>-4.4642857142857151E-2</v>
      </c>
      <c r="AB22" s="62">
        <f>(Z12*AA13-Z13*AA12)/Z17</f>
        <v>8.9285714285714298E-3</v>
      </c>
      <c r="AC22" s="45"/>
      <c r="AD22" s="45"/>
      <c r="AE22" s="45"/>
      <c r="AF22" s="45"/>
      <c r="AG22" s="291">
        <f t="shared" si="4"/>
        <v>27</v>
      </c>
      <c r="AH22" s="44"/>
      <c r="AI22" s="292">
        <f>INDEX(MINVERSE($AI$12:$AL$15),3,1)</f>
        <v>0.14550264550266107</v>
      </c>
      <c r="AJ22" s="227">
        <f>INDEX(MINVERSE($AI$12:$AL$15),3,2)</f>
        <v>-0.57319223985896295</v>
      </c>
      <c r="AK22" s="227">
        <f>INDEX(MINVERSE($AI$12:$AL$15),3,3)</f>
        <v>0.29828042328045218</v>
      </c>
      <c r="AL22" s="293">
        <f>INDEX(MINVERSE($AI$12:$AL$15),3,4)</f>
        <v>-3.858024691358395E-2</v>
      </c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111">
        <f t="shared" si="5"/>
        <v>81</v>
      </c>
      <c r="BK22" s="106"/>
      <c r="BL22" s="127">
        <f t="shared" si="7"/>
        <v>-8.4876543209875657E-2</v>
      </c>
      <c r="BM22" s="112">
        <f t="shared" si="7"/>
        <v>1.2278806584358581</v>
      </c>
      <c r="BN22" s="112">
        <f t="shared" si="7"/>
        <v>-1.2827932098761341</v>
      </c>
      <c r="BO22" s="112">
        <f t="shared" si="7"/>
        <v>0.41023662551426776</v>
      </c>
      <c r="BP22" s="128">
        <f t="shared" si="7"/>
        <v>-4.0509259259245638E-2</v>
      </c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281"/>
    </row>
    <row r="23" spans="2:106" ht="18" customHeight="1" x14ac:dyDescent="0.2">
      <c r="B23" s="378">
        <f t="shared" si="6"/>
        <v>12</v>
      </c>
      <c r="C23" s="349">
        <v>3</v>
      </c>
      <c r="D23" s="347">
        <v>2.76</v>
      </c>
      <c r="E23" s="348"/>
      <c r="F23"/>
      <c r="G23"/>
      <c r="H23"/>
      <c r="I23"/>
      <c r="J23"/>
      <c r="K23"/>
      <c r="L23"/>
      <c r="M23"/>
      <c r="N23"/>
      <c r="O23"/>
      <c r="P23" s="91">
        <f>SUM(Y)</f>
        <v>40.35</v>
      </c>
      <c r="Q23" s="83"/>
      <c r="R23" s="83"/>
      <c r="S23" s="81"/>
      <c r="T23" s="81"/>
      <c r="U23" s="81"/>
      <c r="V23" s="81"/>
      <c r="W23" s="81"/>
      <c r="X23" s="54">
        <f t="shared" si="3"/>
        <v>9</v>
      </c>
      <c r="Y23" s="48"/>
      <c r="Z23" s="48"/>
      <c r="AA23" s="48"/>
      <c r="AB23" s="48"/>
      <c r="AC23" s="45"/>
      <c r="AD23" s="45"/>
      <c r="AE23" s="45"/>
      <c r="AF23" s="45"/>
      <c r="AG23" s="291">
        <f t="shared" si="4"/>
        <v>27</v>
      </c>
      <c r="AH23" s="44"/>
      <c r="AI23" s="295">
        <f>INDEX(MINVERSE($AI$12:$AL$15),4,1)</f>
        <v>-1.5432098765434096E-2</v>
      </c>
      <c r="AJ23" s="296">
        <f>INDEX(MINVERSE($AI$12:$AL$15),4,2)</f>
        <v>7.0473251028813827E-2</v>
      </c>
      <c r="AK23" s="296">
        <f>INDEX(MINVERSE($AI$12:$AL$15),4,3)</f>
        <v>-3.8580246913583957E-2</v>
      </c>
      <c r="AL23" s="297">
        <f>INDEX(MINVERSE($AI$12:$AL$15),4,4)</f>
        <v>5.1440329218111758E-3</v>
      </c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111">
        <f t="shared" si="5"/>
        <v>81</v>
      </c>
      <c r="BK23" s="106"/>
      <c r="BL23" s="129">
        <f t="shared" si="7"/>
        <v>6.9444444444441292E-3</v>
      </c>
      <c r="BM23" s="130">
        <f t="shared" si="7"/>
        <v>-0.11574074074070259</v>
      </c>
      <c r="BN23" s="130">
        <f t="shared" si="7"/>
        <v>0.12442129629625279</v>
      </c>
      <c r="BO23" s="130">
        <f t="shared" si="7"/>
        <v>-4.0509259259244888E-2</v>
      </c>
      <c r="BP23" s="131">
        <f t="shared" si="7"/>
        <v>4.0509259259244841E-3</v>
      </c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281"/>
    </row>
    <row r="24" spans="2:106" ht="18" customHeight="1" x14ac:dyDescent="0.2">
      <c r="B24" s="378">
        <f t="shared" si="6"/>
        <v>13</v>
      </c>
      <c r="C24" s="349">
        <v>4</v>
      </c>
      <c r="D24" s="347">
        <v>3.39</v>
      </c>
      <c r="E24" s="348"/>
      <c r="F24"/>
      <c r="G24"/>
      <c r="H24"/>
      <c r="I24"/>
      <c r="J24"/>
      <c r="K24"/>
      <c r="L24"/>
      <c r="M24"/>
      <c r="N24"/>
      <c r="O24"/>
      <c r="P24" s="92">
        <f>SUMPRODUCT(X,Y)</f>
        <v>140.25</v>
      </c>
      <c r="Q24" s="83"/>
      <c r="R24" s="83"/>
      <c r="S24" s="81"/>
      <c r="T24" s="81"/>
      <c r="U24" s="81"/>
      <c r="V24" s="81"/>
      <c r="W24" s="81"/>
      <c r="X24" s="54">
        <f t="shared" si="3"/>
        <v>16</v>
      </c>
      <c r="Y24" s="48"/>
      <c r="Z24" s="46" t="s">
        <v>114</v>
      </c>
      <c r="AA24" s="48"/>
      <c r="AB24" s="48"/>
      <c r="AC24" s="45"/>
      <c r="AD24" s="45"/>
      <c r="AE24" s="45"/>
      <c r="AF24" s="45"/>
      <c r="AG24" s="291">
        <f t="shared" si="4"/>
        <v>64</v>
      </c>
      <c r="AH24" s="44"/>
      <c r="AI24" s="285" t="s">
        <v>114</v>
      </c>
      <c r="AJ24" s="278"/>
      <c r="AK24" s="278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111">
        <f t="shared" si="5"/>
        <v>256</v>
      </c>
      <c r="BK24" s="106"/>
      <c r="BL24" s="108"/>
      <c r="BM24" s="108"/>
      <c r="BN24" s="108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281"/>
    </row>
    <row r="25" spans="2:106" ht="18" customHeight="1" x14ac:dyDescent="0.2">
      <c r="B25" s="378">
        <f t="shared" si="6"/>
        <v>14</v>
      </c>
      <c r="C25" s="349">
        <v>4</v>
      </c>
      <c r="D25" s="347">
        <v>3.4</v>
      </c>
      <c r="E25" s="348"/>
      <c r="F25"/>
      <c r="G25"/>
      <c r="H25"/>
      <c r="I25"/>
      <c r="J25"/>
      <c r="K25"/>
      <c r="L25"/>
      <c r="M25"/>
      <c r="N25"/>
      <c r="O25"/>
      <c r="P25" s="83"/>
      <c r="Q25" s="83"/>
      <c r="R25" s="83"/>
      <c r="S25" s="81"/>
      <c r="T25" s="81"/>
      <c r="U25" s="81"/>
      <c r="V25" s="81"/>
      <c r="W25" s="81"/>
      <c r="X25" s="54">
        <f t="shared" si="3"/>
        <v>16</v>
      </c>
      <c r="Y25" s="48"/>
      <c r="Z25" s="50">
        <f>P23</f>
        <v>40.35</v>
      </c>
      <c r="AA25" s="48"/>
      <c r="AB25" s="48"/>
      <c r="AC25" s="45"/>
      <c r="AD25" s="45"/>
      <c r="AE25" s="45"/>
      <c r="AF25" s="45"/>
      <c r="AG25" s="291">
        <f t="shared" si="4"/>
        <v>64</v>
      </c>
      <c r="AH25" s="44"/>
      <c r="AI25" s="287">
        <f>Z25</f>
        <v>40.35</v>
      </c>
      <c r="AJ25" s="278"/>
      <c r="AK25" s="278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111">
        <f t="shared" si="5"/>
        <v>256</v>
      </c>
      <c r="BK25" s="106"/>
      <c r="BL25" s="107" t="s">
        <v>114</v>
      </c>
      <c r="BM25" s="108"/>
      <c r="BN25" s="107" t="s">
        <v>115</v>
      </c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281"/>
    </row>
    <row r="26" spans="2:106" ht="18" customHeight="1" x14ac:dyDescent="0.2">
      <c r="B26" s="378">
        <f t="shared" si="6"/>
        <v>15</v>
      </c>
      <c r="C26" s="349">
        <v>4</v>
      </c>
      <c r="D26" s="347">
        <v>3.41</v>
      </c>
      <c r="E26" s="348"/>
      <c r="F26"/>
      <c r="G26"/>
      <c r="H26"/>
      <c r="I26"/>
      <c r="J26"/>
      <c r="K26"/>
      <c r="L26"/>
      <c r="M26"/>
      <c r="N26"/>
      <c r="O26"/>
      <c r="P26" s="80" t="s">
        <v>115</v>
      </c>
      <c r="Q26" s="83"/>
      <c r="R26" s="80" t="s">
        <v>116</v>
      </c>
      <c r="S26" s="81"/>
      <c r="T26" s="81"/>
      <c r="U26" s="81"/>
      <c r="V26" s="81"/>
      <c r="W26" s="81"/>
      <c r="X26" s="54">
        <f t="shared" si="3"/>
        <v>16</v>
      </c>
      <c r="Y26" s="48"/>
      <c r="Z26" s="54">
        <f>P24</f>
        <v>140.25</v>
      </c>
      <c r="AA26" s="48"/>
      <c r="AB26" s="48"/>
      <c r="AC26" s="45"/>
      <c r="AD26" s="45"/>
      <c r="AE26" s="45"/>
      <c r="AF26" s="45"/>
      <c r="AG26" s="291">
        <f t="shared" si="4"/>
        <v>64</v>
      </c>
      <c r="AH26" s="44"/>
      <c r="AI26" s="291">
        <f>Z26</f>
        <v>140.25</v>
      </c>
      <c r="AJ26" s="278"/>
      <c r="AK26" s="278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111">
        <f t="shared" si="5"/>
        <v>256</v>
      </c>
      <c r="BK26" s="106"/>
      <c r="BL26" s="110">
        <f>AI25</f>
        <v>40.35</v>
      </c>
      <c r="BM26" s="108"/>
      <c r="BN26" s="110">
        <f>SUMPRODUCT($BL$26:$BL$30,BL19:BL23)</f>
        <v>0.19999999999991758</v>
      </c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281"/>
    </row>
    <row r="27" spans="2:106" ht="18" customHeight="1" x14ac:dyDescent="0.3">
      <c r="B27" s="378">
        <f t="shared" si="6"/>
        <v>16</v>
      </c>
      <c r="C27" s="349">
        <v>5</v>
      </c>
      <c r="D27" s="347">
        <v>3.94</v>
      </c>
      <c r="E27" s="348"/>
      <c r="F27"/>
      <c r="G27"/>
      <c r="H27"/>
      <c r="I27"/>
      <c r="J27"/>
      <c r="K27"/>
      <c r="L27"/>
      <c r="M27"/>
      <c r="N27"/>
      <c r="O27"/>
      <c r="P27" s="91">
        <f>SUMPRODUCT(P19:P20,$P$23:$P$24)</f>
        <v>0.36666666666666714</v>
      </c>
      <c r="Q27" s="93"/>
      <c r="R27" s="94">
        <f>P27</f>
        <v>0.36666666666666714</v>
      </c>
      <c r="S27" s="95">
        <f>P28</f>
        <v>0.75000000000000022</v>
      </c>
      <c r="T27" s="81"/>
      <c r="U27" s="81"/>
      <c r="V27" s="81"/>
      <c r="W27" s="81"/>
      <c r="X27" s="54">
        <f t="shared" si="3"/>
        <v>25</v>
      </c>
      <c r="Y27" s="48"/>
      <c r="Z27" s="65">
        <f>SUMPRODUCT(Y,X12:X61)</f>
        <v>561.15</v>
      </c>
      <c r="AA27" s="48"/>
      <c r="AB27" s="48"/>
      <c r="AC27" s="45"/>
      <c r="AD27" s="45"/>
      <c r="AE27" s="45"/>
      <c r="AF27" s="45"/>
      <c r="AG27" s="291">
        <f t="shared" si="4"/>
        <v>125</v>
      </c>
      <c r="AH27" s="44"/>
      <c r="AI27" s="291">
        <f>Z27</f>
        <v>561.15</v>
      </c>
      <c r="AJ27" s="278"/>
      <c r="AK27" s="278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111">
        <f t="shared" si="5"/>
        <v>625</v>
      </c>
      <c r="BK27" s="106"/>
      <c r="BL27" s="111">
        <f>AI26</f>
        <v>140.25</v>
      </c>
      <c r="BM27" s="108"/>
      <c r="BN27" s="111">
        <f>SUMPRODUCT($BL$26:$BL$30,BM19:BM23)</f>
        <v>1</v>
      </c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281"/>
    </row>
    <row r="28" spans="2:106" ht="18" customHeight="1" x14ac:dyDescent="0.2">
      <c r="B28" s="378">
        <f t="shared" si="6"/>
        <v>17</v>
      </c>
      <c r="C28" s="349">
        <v>5</v>
      </c>
      <c r="D28" s="347">
        <v>3.95</v>
      </c>
      <c r="E28" s="348"/>
      <c r="F28"/>
      <c r="G28"/>
      <c r="H28"/>
      <c r="I28"/>
      <c r="J28"/>
      <c r="K28"/>
      <c r="L28"/>
      <c r="M28"/>
      <c r="N28"/>
      <c r="O28"/>
      <c r="P28" s="92">
        <f>SUMPRODUCT(Q19:Q20,$P$23:$P$24)</f>
        <v>0.75000000000000022</v>
      </c>
      <c r="Q28" s="83"/>
      <c r="R28" s="83"/>
      <c r="S28" s="81"/>
      <c r="T28" s="81"/>
      <c r="U28" s="81"/>
      <c r="V28" s="81"/>
      <c r="W28" s="81"/>
      <c r="X28" s="54">
        <f t="shared" si="3"/>
        <v>25</v>
      </c>
      <c r="Y28" s="48"/>
      <c r="Z28" s="48"/>
      <c r="AA28" s="48"/>
      <c r="AB28" s="48"/>
      <c r="AC28" s="45"/>
      <c r="AD28" s="45"/>
      <c r="AE28" s="45"/>
      <c r="AF28" s="45"/>
      <c r="AG28" s="291">
        <f t="shared" si="4"/>
        <v>125</v>
      </c>
      <c r="AH28" s="44"/>
      <c r="AI28" s="300">
        <f>SUMPRODUCT(Y,xcubed)</f>
        <v>2408.25</v>
      </c>
      <c r="AJ28" s="278"/>
      <c r="AK28" s="278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111">
        <f t="shared" si="5"/>
        <v>625</v>
      </c>
      <c r="BK28" s="106"/>
      <c r="BL28" s="111">
        <f>AI27</f>
        <v>561.15</v>
      </c>
      <c r="BM28" s="108"/>
      <c r="BN28" s="111">
        <f>SUMPRODUCT($BL$26:$BL$30,BN19:BN23)</f>
        <v>-5.0000000000181899E-2</v>
      </c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281"/>
    </row>
    <row r="29" spans="2:106" ht="18" customHeight="1" x14ac:dyDescent="0.2">
      <c r="B29" s="378">
        <f t="shared" si="6"/>
        <v>18</v>
      </c>
      <c r="C29" s="349">
        <v>5</v>
      </c>
      <c r="D29" s="347">
        <v>3.96</v>
      </c>
      <c r="E29" s="348"/>
      <c r="F29"/>
      <c r="G29"/>
      <c r="H29"/>
      <c r="I29"/>
      <c r="J29"/>
      <c r="K29"/>
      <c r="L29"/>
      <c r="M29"/>
      <c r="N29"/>
      <c r="O29"/>
      <c r="P29" s="83"/>
      <c r="Q29" s="83"/>
      <c r="R29" s="83"/>
      <c r="S29" s="81"/>
      <c r="T29" s="81"/>
      <c r="U29" s="81"/>
      <c r="V29" s="81"/>
      <c r="W29" s="81"/>
      <c r="X29" s="54">
        <f t="shared" si="3"/>
        <v>25</v>
      </c>
      <c r="Y29" s="48"/>
      <c r="Z29" s="46" t="s">
        <v>115</v>
      </c>
      <c r="AA29" s="48"/>
      <c r="AB29" s="46" t="s">
        <v>116</v>
      </c>
      <c r="AC29" s="45"/>
      <c r="AD29" s="45"/>
      <c r="AE29" s="45"/>
      <c r="AF29" s="45"/>
      <c r="AG29" s="291">
        <f t="shared" si="4"/>
        <v>125</v>
      </c>
      <c r="AH29" s="44"/>
      <c r="AI29" s="285" t="s">
        <v>115</v>
      </c>
      <c r="AJ29" s="278"/>
      <c r="AK29" s="278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111">
        <f t="shared" si="5"/>
        <v>625</v>
      </c>
      <c r="BK29" s="106"/>
      <c r="BL29" s="111">
        <f>AI28</f>
        <v>2408.25</v>
      </c>
      <c r="BM29" s="108"/>
      <c r="BN29" s="111">
        <f>SUMPRODUCT($BL$26:$BL$30,BO19:BO23)</f>
        <v>1.7053025658242404E-13</v>
      </c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281"/>
    </row>
    <row r="30" spans="2:106" ht="18" customHeight="1" x14ac:dyDescent="0.3">
      <c r="B30" s="378" t="str">
        <f t="shared" si="6"/>
        <v/>
      </c>
      <c r="C30" s="349"/>
      <c r="D30" s="347"/>
      <c r="E30" s="348"/>
      <c r="F30"/>
      <c r="G30"/>
      <c r="H30"/>
      <c r="I30"/>
      <c r="J30"/>
      <c r="K30"/>
      <c r="L30"/>
      <c r="M30"/>
      <c r="N30"/>
      <c r="O30"/>
      <c r="P30" s="90" t="s">
        <v>117</v>
      </c>
      <c r="Q30" s="83"/>
      <c r="R30" s="83"/>
      <c r="S30" s="81"/>
      <c r="T30" s="81"/>
      <c r="U30" s="81"/>
      <c r="V30" s="81"/>
      <c r="W30" s="81"/>
      <c r="X30" s="54" t="str">
        <f t="shared" si="3"/>
        <v/>
      </c>
      <c r="Y30" s="48"/>
      <c r="Z30" s="50">
        <f>SUMPRODUCT($Z$25:$Z$27,Z20:Z22)</f>
        <v>0.20000000000000284</v>
      </c>
      <c r="AA30" s="55"/>
      <c r="AB30" s="79">
        <f>Z30</f>
        <v>0.20000000000000284</v>
      </c>
      <c r="AC30" s="66">
        <f>Z31</f>
        <v>1</v>
      </c>
      <c r="AD30" s="67">
        <f>Z32</f>
        <v>-4.9999999999999822E-2</v>
      </c>
      <c r="AE30" s="45"/>
      <c r="AF30" s="45"/>
      <c r="AG30" s="291" t="str">
        <f t="shared" si="4"/>
        <v/>
      </c>
      <c r="AH30" s="44"/>
      <c r="AI30" s="287">
        <f>SUMPRODUCT($AI$25:$AI$28,AI20:AI23)</f>
        <v>0.19999999999998863</v>
      </c>
      <c r="AJ30" s="301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111" t="str">
        <f t="shared" si="5"/>
        <v/>
      </c>
      <c r="BK30" s="106"/>
      <c r="BL30" s="115">
        <f>SUMPRODUCT(Y,BJ12:BJ61)</f>
        <v>10785.15</v>
      </c>
      <c r="BM30" s="108"/>
      <c r="BN30" s="115">
        <f>SUMPRODUCT($BL$26:$BL$30,BP19:BP23)</f>
        <v>-2.1316282072803006E-14</v>
      </c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281"/>
    </row>
    <row r="31" spans="2:106" ht="18" customHeight="1" x14ac:dyDescent="0.2">
      <c r="B31" s="378" t="str">
        <f t="shared" si="6"/>
        <v/>
      </c>
      <c r="C31" s="349"/>
      <c r="D31" s="347"/>
      <c r="E31" s="348"/>
      <c r="F31"/>
      <c r="G31"/>
      <c r="H31"/>
      <c r="I31"/>
      <c r="J31"/>
      <c r="K31"/>
      <c r="L31"/>
      <c r="M31"/>
      <c r="N31"/>
      <c r="O31"/>
      <c r="P31" s="89">
        <f>SUMPRODUCT(Y,Y)</f>
        <v>120.26370000000001</v>
      </c>
      <c r="Q31" s="83"/>
      <c r="R31" s="83"/>
      <c r="S31" s="81"/>
      <c r="T31" s="81"/>
      <c r="U31" s="81"/>
      <c r="V31" s="81"/>
      <c r="W31" s="81"/>
      <c r="X31" s="54" t="str">
        <f t="shared" si="3"/>
        <v/>
      </c>
      <c r="Y31" s="48"/>
      <c r="Z31" s="54">
        <f>SUMPRODUCT($Z$25:$Z$27,AA20:AA22)</f>
        <v>1</v>
      </c>
      <c r="AA31" s="48"/>
      <c r="AB31" s="48"/>
      <c r="AC31" s="45"/>
      <c r="AD31" s="45"/>
      <c r="AE31" s="45"/>
      <c r="AF31" s="45"/>
      <c r="AG31" s="291" t="str">
        <f t="shared" si="4"/>
        <v/>
      </c>
      <c r="AH31" s="44"/>
      <c r="AI31" s="291">
        <f>SUMPRODUCT($AI$25:$AI$28,AJ20:AJ23)</f>
        <v>1.0000000000001137</v>
      </c>
      <c r="AJ31" s="302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111" t="str">
        <f t="shared" si="5"/>
        <v/>
      </c>
      <c r="BK31" s="106"/>
      <c r="BL31" s="116"/>
      <c r="BM31" s="116"/>
      <c r="BN31" s="108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281"/>
    </row>
    <row r="32" spans="2:106" ht="18" customHeight="1" x14ac:dyDescent="0.2">
      <c r="B32" s="378" t="str">
        <f t="shared" ref="B32:B47" si="8">IF(C32="","",+B31+1)</f>
        <v/>
      </c>
      <c r="C32" s="349"/>
      <c r="D32" s="347"/>
      <c r="E32" s="348"/>
      <c r="F32"/>
      <c r="G32"/>
      <c r="H32"/>
      <c r="I32"/>
      <c r="J32"/>
      <c r="K32"/>
      <c r="L32"/>
      <c r="M32"/>
      <c r="N32"/>
      <c r="O32"/>
      <c r="P32" s="83"/>
      <c r="Q32" s="83"/>
      <c r="R32" s="83"/>
      <c r="S32" s="81"/>
      <c r="T32" s="81"/>
      <c r="U32" s="81"/>
      <c r="V32" s="81"/>
      <c r="W32" s="81"/>
      <c r="X32" s="54" t="str">
        <f t="shared" si="3"/>
        <v/>
      </c>
      <c r="Y32" s="48"/>
      <c r="Z32" s="65">
        <f>SUMPRODUCT($Z$25:$Z$27,AB20:AB22)</f>
        <v>-4.9999999999999822E-2</v>
      </c>
      <c r="AA32" s="48"/>
      <c r="AB32" s="48"/>
      <c r="AC32" s="45"/>
      <c r="AD32" s="45"/>
      <c r="AE32" s="45"/>
      <c r="AF32" s="45"/>
      <c r="AG32" s="291" t="str">
        <f t="shared" si="4"/>
        <v/>
      </c>
      <c r="AH32" s="44"/>
      <c r="AI32" s="291">
        <f>SUMPRODUCT($AI$25:$AI$28,AK20:AK23)</f>
        <v>-4.9999999999997158E-2</v>
      </c>
      <c r="AJ32" s="302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111" t="str">
        <f t="shared" si="5"/>
        <v/>
      </c>
      <c r="BK32" s="106"/>
      <c r="BL32" s="116"/>
      <c r="BM32" s="116"/>
      <c r="BN32" s="108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281"/>
    </row>
    <row r="33" spans="2:106" ht="18" customHeight="1" x14ac:dyDescent="0.2">
      <c r="B33" s="378" t="str">
        <f t="shared" si="8"/>
        <v/>
      </c>
      <c r="C33" s="349"/>
      <c r="D33" s="347"/>
      <c r="E33" s="348"/>
      <c r="F33"/>
      <c r="G33"/>
      <c r="H33"/>
      <c r="I33"/>
      <c r="J33"/>
      <c r="K33"/>
      <c r="L33"/>
      <c r="M33"/>
      <c r="N33"/>
      <c r="O33"/>
      <c r="P33" s="80" t="s">
        <v>118</v>
      </c>
      <c r="Q33" s="83"/>
      <c r="R33" s="83"/>
      <c r="S33" s="81"/>
      <c r="T33" s="81"/>
      <c r="U33" s="81"/>
      <c r="V33" s="81"/>
      <c r="W33" s="81"/>
      <c r="X33" s="54" t="str">
        <f t="shared" si="3"/>
        <v/>
      </c>
      <c r="Y33" s="48"/>
      <c r="Z33" s="48"/>
      <c r="AA33" s="48"/>
      <c r="AB33" s="48"/>
      <c r="AC33" s="45"/>
      <c r="AD33" s="45"/>
      <c r="AE33" s="45"/>
      <c r="AF33" s="45"/>
      <c r="AG33" s="291" t="str">
        <f t="shared" si="4"/>
        <v/>
      </c>
      <c r="AH33" s="44"/>
      <c r="AI33" s="300">
        <f>SUMPRODUCT($AI$25:$AI$28,AL20:AL23)</f>
        <v>3.5527136788005009E-15</v>
      </c>
      <c r="AJ33" s="302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111" t="str">
        <f t="shared" si="5"/>
        <v/>
      </c>
      <c r="BK33" s="106"/>
      <c r="BL33" s="116"/>
      <c r="BM33" s="116"/>
      <c r="BN33" s="108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281"/>
    </row>
    <row r="34" spans="2:106" ht="18" customHeight="1" x14ac:dyDescent="0.2">
      <c r="B34" s="378" t="str">
        <f t="shared" si="8"/>
        <v/>
      </c>
      <c r="C34" s="349"/>
      <c r="D34" s="347"/>
      <c r="E34" s="348"/>
      <c r="F34"/>
      <c r="G34"/>
      <c r="H34"/>
      <c r="I34"/>
      <c r="J34"/>
      <c r="K34"/>
      <c r="L34"/>
      <c r="M34"/>
      <c r="N34"/>
      <c r="O34"/>
      <c r="P34" s="96">
        <f>n-2</f>
        <v>16</v>
      </c>
      <c r="Q34" s="83"/>
      <c r="R34" s="83"/>
      <c r="S34" s="81"/>
      <c r="T34" s="81"/>
      <c r="U34" s="81"/>
      <c r="V34" s="81"/>
      <c r="W34" s="81"/>
      <c r="X34" s="54" t="str">
        <f t="shared" si="3"/>
        <v/>
      </c>
      <c r="Y34" s="48"/>
      <c r="Z34" s="46" t="s">
        <v>119</v>
      </c>
      <c r="AA34" s="48"/>
      <c r="AB34" s="48"/>
      <c r="AC34" s="45"/>
      <c r="AD34" s="45"/>
      <c r="AE34" s="45"/>
      <c r="AF34" s="45"/>
      <c r="AG34" s="291" t="str">
        <f t="shared" si="4"/>
        <v/>
      </c>
      <c r="AH34" s="44"/>
      <c r="AI34" s="285" t="s">
        <v>119</v>
      </c>
      <c r="AJ34" s="302"/>
      <c r="AK34" s="278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111" t="str">
        <f t="shared" si="5"/>
        <v/>
      </c>
      <c r="BK34" s="106"/>
      <c r="BL34" s="107" t="s">
        <v>119</v>
      </c>
      <c r="BM34" s="116"/>
      <c r="BN34" s="108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281"/>
    </row>
    <row r="35" spans="2:106" ht="18" customHeight="1" x14ac:dyDescent="0.2">
      <c r="B35" s="378" t="str">
        <f t="shared" si="8"/>
        <v/>
      </c>
      <c r="C35" s="349"/>
      <c r="D35" s="347"/>
      <c r="E35" s="348"/>
      <c r="F35"/>
      <c r="G35"/>
      <c r="H35"/>
      <c r="I35"/>
      <c r="J35"/>
      <c r="K35"/>
      <c r="L35"/>
      <c r="M35"/>
      <c r="N35"/>
      <c r="O35"/>
      <c r="P35" s="83"/>
      <c r="Q35" s="83"/>
      <c r="R35" s="83"/>
      <c r="S35" s="81"/>
      <c r="T35" s="81"/>
      <c r="U35" s="81"/>
      <c r="V35" s="81"/>
      <c r="W35" s="81"/>
      <c r="X35" s="54" t="str">
        <f t="shared" si="3"/>
        <v/>
      </c>
      <c r="Y35" s="48"/>
      <c r="Z35" s="68">
        <f>TINV(0.05,df-1)</f>
        <v>2.1314495455597742</v>
      </c>
      <c r="AA35" s="48"/>
      <c r="AB35" s="48"/>
      <c r="AC35" s="45"/>
      <c r="AD35" s="45"/>
      <c r="AE35" s="45"/>
      <c r="AF35" s="45"/>
      <c r="AG35" s="291" t="str">
        <f t="shared" si="4"/>
        <v/>
      </c>
      <c r="AH35" s="44"/>
      <c r="AI35" s="303">
        <f>TINV(0.05,df-2)</f>
        <v>2.1447866879178044</v>
      </c>
      <c r="AJ35" s="302"/>
      <c r="AK35" s="278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111" t="str">
        <f t="shared" si="5"/>
        <v/>
      </c>
      <c r="BK35" s="106"/>
      <c r="BL35" s="117">
        <f>TINV(0.05,df-3)</f>
        <v>2.1603686564627926</v>
      </c>
      <c r="BM35" s="116"/>
      <c r="BN35" s="108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281"/>
    </row>
    <row r="36" spans="2:106" ht="18" customHeight="1" x14ac:dyDescent="0.2">
      <c r="B36" s="378" t="str">
        <f t="shared" si="8"/>
        <v/>
      </c>
      <c r="C36" s="349"/>
      <c r="D36" s="347"/>
      <c r="E36" s="348"/>
      <c r="F36"/>
      <c r="G36"/>
      <c r="H36"/>
      <c r="I36"/>
      <c r="J36"/>
      <c r="K36"/>
      <c r="L36"/>
      <c r="M36"/>
      <c r="N36"/>
      <c r="O36"/>
      <c r="P36" s="80" t="s">
        <v>120</v>
      </c>
      <c r="Q36" s="83"/>
      <c r="R36" s="83"/>
      <c r="S36" s="81"/>
      <c r="T36" s="81"/>
      <c r="U36" s="81"/>
      <c r="V36" s="81"/>
      <c r="W36" s="81"/>
      <c r="X36" s="54" t="str">
        <f t="shared" si="3"/>
        <v/>
      </c>
      <c r="Y36" s="48"/>
      <c r="Z36" s="48"/>
      <c r="AA36" s="48"/>
      <c r="AB36" s="48"/>
      <c r="AC36" s="45"/>
      <c r="AD36" s="45"/>
      <c r="AE36" s="45"/>
      <c r="AF36" s="45"/>
      <c r="AG36" s="291" t="str">
        <f t="shared" si="4"/>
        <v/>
      </c>
      <c r="AH36" s="44"/>
      <c r="AI36" s="278"/>
      <c r="AJ36" s="302"/>
      <c r="AK36" s="30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111" t="str">
        <f t="shared" si="5"/>
        <v/>
      </c>
      <c r="BK36" s="106"/>
      <c r="BL36" s="108"/>
      <c r="BM36" s="116"/>
      <c r="BN36" s="118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281"/>
    </row>
    <row r="37" spans="2:106" ht="18" customHeight="1" x14ac:dyDescent="0.2">
      <c r="B37" s="378" t="str">
        <f t="shared" si="8"/>
        <v/>
      </c>
      <c r="C37" s="349"/>
      <c r="D37" s="347"/>
      <c r="E37" s="348"/>
      <c r="F37"/>
      <c r="G37"/>
      <c r="H37"/>
      <c r="I37"/>
      <c r="J37"/>
      <c r="K37"/>
      <c r="L37"/>
      <c r="M37"/>
      <c r="N37"/>
      <c r="O37"/>
      <c r="P37" s="89">
        <f>TINV(0.05,df)</f>
        <v>2.119905299221255</v>
      </c>
      <c r="Q37" s="83"/>
      <c r="R37" s="83"/>
      <c r="S37" s="81"/>
      <c r="T37" s="81"/>
      <c r="U37" s="81"/>
      <c r="V37" s="81"/>
      <c r="W37" s="81"/>
      <c r="X37" s="54" t="str">
        <f t="shared" si="3"/>
        <v/>
      </c>
      <c r="Y37" s="48"/>
      <c r="Z37" s="46" t="s">
        <v>121</v>
      </c>
      <c r="AA37" s="48"/>
      <c r="AB37" s="48"/>
      <c r="AC37" s="45"/>
      <c r="AD37" s="45"/>
      <c r="AE37" s="45"/>
      <c r="AF37" s="45"/>
      <c r="AG37" s="291" t="str">
        <f t="shared" si="4"/>
        <v/>
      </c>
      <c r="AH37" s="44"/>
      <c r="AI37" s="285" t="s">
        <v>121</v>
      </c>
      <c r="AJ37" s="302"/>
      <c r="AK37" s="278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111" t="str">
        <f t="shared" si="5"/>
        <v/>
      </c>
      <c r="BK37" s="106"/>
      <c r="BL37" s="107" t="s">
        <v>121</v>
      </c>
      <c r="BM37" s="116"/>
      <c r="BN37" s="108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281"/>
    </row>
    <row r="38" spans="2:106" ht="18" customHeight="1" x14ac:dyDescent="0.2">
      <c r="B38" s="378" t="str">
        <f t="shared" si="8"/>
        <v/>
      </c>
      <c r="C38" s="349"/>
      <c r="D38" s="347"/>
      <c r="E38" s="348"/>
      <c r="F38"/>
      <c r="G38"/>
      <c r="H38"/>
      <c r="I38"/>
      <c r="J38"/>
      <c r="K38"/>
      <c r="L38"/>
      <c r="M38"/>
      <c r="N38"/>
      <c r="O38"/>
      <c r="P38" s="83"/>
      <c r="Q38" s="83"/>
      <c r="R38" s="83"/>
      <c r="S38" s="81"/>
      <c r="T38" s="81"/>
      <c r="U38" s="81"/>
      <c r="V38" s="81"/>
      <c r="W38" s="81"/>
      <c r="X38" s="54" t="str">
        <f t="shared" si="3"/>
        <v/>
      </c>
      <c r="Y38" s="48"/>
      <c r="Z38" s="64">
        <f>SUMPRODUCT(Z25:Z27,Z30:Z32)</f>
        <v>120.26250000000022</v>
      </c>
      <c r="AA38" s="48"/>
      <c r="AB38" s="48"/>
      <c r="AC38" s="45"/>
      <c r="AD38" s="45"/>
      <c r="AE38" s="45"/>
      <c r="AF38" s="45"/>
      <c r="AG38" s="291" t="str">
        <f t="shared" si="4"/>
        <v/>
      </c>
      <c r="AH38" s="44"/>
      <c r="AI38" s="298">
        <f>SUMPRODUCT(AI25:AI28,AI30:AI33)</f>
        <v>120.26250000002564</v>
      </c>
      <c r="AJ38" s="278"/>
      <c r="AK38" s="278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111" t="str">
        <f t="shared" si="5"/>
        <v/>
      </c>
      <c r="BK38" s="106"/>
      <c r="BL38" s="58">
        <f>SUMPRODUCT(BL26:BL30,BN26:BN30)</f>
        <v>120.26250000007538</v>
      </c>
      <c r="BM38" s="108"/>
      <c r="BN38" s="108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281"/>
    </row>
    <row r="39" spans="2:106" ht="18" customHeight="1" x14ac:dyDescent="0.2">
      <c r="B39" s="378" t="str">
        <f t="shared" si="8"/>
        <v/>
      </c>
      <c r="C39" s="349"/>
      <c r="D39" s="347"/>
      <c r="E39" s="348"/>
      <c r="F39"/>
      <c r="G39"/>
      <c r="H39"/>
      <c r="I39"/>
      <c r="J39"/>
      <c r="K39"/>
      <c r="L39"/>
      <c r="M39"/>
      <c r="N39"/>
      <c r="O39"/>
      <c r="P39" s="90" t="s">
        <v>121</v>
      </c>
      <c r="Q39" s="83"/>
      <c r="R39" s="83"/>
      <c r="S39" s="81"/>
      <c r="T39" s="81"/>
      <c r="U39" s="81"/>
      <c r="V39" s="81"/>
      <c r="W39" s="81"/>
      <c r="X39" s="54" t="str">
        <f t="shared" si="3"/>
        <v/>
      </c>
      <c r="Y39" s="48"/>
      <c r="Z39" s="48"/>
      <c r="AA39" s="48"/>
      <c r="AB39" s="48"/>
      <c r="AC39" s="45"/>
      <c r="AD39" s="45"/>
      <c r="AE39" s="45"/>
      <c r="AF39" s="45"/>
      <c r="AG39" s="291" t="str">
        <f t="shared" si="4"/>
        <v/>
      </c>
      <c r="AH39" s="44"/>
      <c r="AI39" s="278"/>
      <c r="AJ39" s="278"/>
      <c r="AK39" s="30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111" t="str">
        <f t="shared" si="5"/>
        <v/>
      </c>
      <c r="BK39" s="106"/>
      <c r="BL39" s="108"/>
      <c r="BM39" s="108"/>
      <c r="BN39" s="118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281"/>
    </row>
    <row r="40" spans="2:106" ht="18" customHeight="1" x14ac:dyDescent="0.2">
      <c r="B40" s="378" t="str">
        <f t="shared" si="8"/>
        <v/>
      </c>
      <c r="C40" s="349"/>
      <c r="D40" s="347"/>
      <c r="E40" s="348"/>
      <c r="F40"/>
      <c r="G40"/>
      <c r="H40"/>
      <c r="I40"/>
      <c r="J40"/>
      <c r="K40"/>
      <c r="L40"/>
      <c r="M40"/>
      <c r="N40"/>
      <c r="O40"/>
      <c r="P40" s="89">
        <f>SUMPRODUCT(P27:P28,P23:P24)</f>
        <v>119.98250000000004</v>
      </c>
      <c r="Q40" s="83"/>
      <c r="R40" s="83"/>
      <c r="S40" s="81"/>
      <c r="T40" s="81"/>
      <c r="U40" s="81"/>
      <c r="V40" s="81"/>
      <c r="W40" s="81"/>
      <c r="X40" s="54" t="str">
        <f t="shared" si="3"/>
        <v/>
      </c>
      <c r="Y40" s="48"/>
      <c r="Z40" s="46" t="s">
        <v>122</v>
      </c>
      <c r="AA40" s="48"/>
      <c r="AB40" s="48"/>
      <c r="AC40" s="45"/>
      <c r="AD40" s="45"/>
      <c r="AE40" s="45"/>
      <c r="AF40" s="45"/>
      <c r="AG40" s="291" t="str">
        <f t="shared" si="4"/>
        <v/>
      </c>
      <c r="AH40" s="44"/>
      <c r="AI40" s="285" t="s">
        <v>122</v>
      </c>
      <c r="AJ40" s="278"/>
      <c r="AK40" s="278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111" t="str">
        <f t="shared" si="5"/>
        <v/>
      </c>
      <c r="BK40" s="106"/>
      <c r="BL40" s="107" t="s">
        <v>122</v>
      </c>
      <c r="BM40" s="108"/>
      <c r="BN40" s="108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281"/>
    </row>
    <row r="41" spans="2:106" ht="18" customHeight="1" x14ac:dyDescent="0.2">
      <c r="B41" s="378" t="str">
        <f t="shared" si="8"/>
        <v/>
      </c>
      <c r="C41" s="349"/>
      <c r="D41" s="347"/>
      <c r="E41" s="348"/>
      <c r="F41"/>
      <c r="G41"/>
      <c r="H41"/>
      <c r="I41"/>
      <c r="J41"/>
      <c r="K41"/>
      <c r="L41"/>
      <c r="M41"/>
      <c r="N41"/>
      <c r="O41"/>
      <c r="P41" s="83"/>
      <c r="Q41" s="83"/>
      <c r="R41" s="83"/>
      <c r="S41" s="81"/>
      <c r="T41" s="81"/>
      <c r="U41" s="81"/>
      <c r="V41" s="81"/>
      <c r="W41" s="81"/>
      <c r="X41" s="54" t="str">
        <f t="shared" si="3"/>
        <v/>
      </c>
      <c r="Y41" s="48"/>
      <c r="Z41" s="64">
        <f>Z38-SUM(Y)^2/n</f>
        <v>29.8112500000002</v>
      </c>
      <c r="AA41" s="48"/>
      <c r="AB41" s="48"/>
      <c r="AC41" s="45"/>
      <c r="AD41" s="45"/>
      <c r="AE41" s="45"/>
      <c r="AF41" s="45"/>
      <c r="AG41" s="291" t="str">
        <f t="shared" si="4"/>
        <v/>
      </c>
      <c r="AH41" s="44"/>
      <c r="AI41" s="298">
        <f>AI38-SUM(Y)^2/n</f>
        <v>29.811250000025623</v>
      </c>
      <c r="AJ41" s="278"/>
      <c r="AK41" s="278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111" t="str">
        <f t="shared" si="5"/>
        <v/>
      </c>
      <c r="BK41" s="106"/>
      <c r="BL41" s="58">
        <f>BL38-SUM(Y)^2/n</f>
        <v>29.811250000075361</v>
      </c>
      <c r="BM41" s="108"/>
      <c r="BN41" s="108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281"/>
    </row>
    <row r="42" spans="2:106" ht="18" customHeight="1" x14ac:dyDescent="0.2">
      <c r="B42" s="378" t="str">
        <f t="shared" si="8"/>
        <v/>
      </c>
      <c r="C42" s="349"/>
      <c r="D42" s="347"/>
      <c r="E42" s="348"/>
      <c r="F42"/>
      <c r="G42"/>
      <c r="H42"/>
      <c r="I42"/>
      <c r="J42"/>
      <c r="K42"/>
      <c r="L42"/>
      <c r="M42"/>
      <c r="N42"/>
      <c r="O42"/>
      <c r="P42" s="90" t="s">
        <v>122</v>
      </c>
      <c r="Q42" s="83"/>
      <c r="R42" s="83"/>
      <c r="S42" s="81"/>
      <c r="T42" s="81"/>
      <c r="U42" s="81"/>
      <c r="V42" s="81"/>
      <c r="W42" s="81"/>
      <c r="X42" s="54" t="str">
        <f t="shared" si="3"/>
        <v/>
      </c>
      <c r="Y42" s="48"/>
      <c r="Z42" s="48"/>
      <c r="AA42" s="48"/>
      <c r="AB42" s="48"/>
      <c r="AC42" s="45"/>
      <c r="AD42" s="45"/>
      <c r="AE42" s="45"/>
      <c r="AF42" s="45"/>
      <c r="AG42" s="291" t="str">
        <f t="shared" si="4"/>
        <v/>
      </c>
      <c r="AH42" s="44"/>
      <c r="AI42" s="278"/>
      <c r="AJ42" s="278"/>
      <c r="AK42" s="285" t="s">
        <v>116</v>
      </c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111" t="str">
        <f t="shared" si="5"/>
        <v/>
      </c>
      <c r="BK42" s="106"/>
      <c r="BL42" s="108"/>
      <c r="BM42" s="108"/>
      <c r="BN42" s="107" t="s">
        <v>116</v>
      </c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281"/>
    </row>
    <row r="43" spans="2:106" ht="18" customHeight="1" x14ac:dyDescent="0.2">
      <c r="B43" s="378" t="str">
        <f t="shared" si="8"/>
        <v/>
      </c>
      <c r="C43" s="349"/>
      <c r="D43" s="347"/>
      <c r="E43" s="348"/>
      <c r="F43"/>
      <c r="G43"/>
      <c r="H43"/>
      <c r="I43"/>
      <c r="J43"/>
      <c r="K43"/>
      <c r="L43"/>
      <c r="M43"/>
      <c r="N43"/>
      <c r="O43"/>
      <c r="P43" s="89">
        <f>P40-SUM(Y)^2/n</f>
        <v>29.531250000000028</v>
      </c>
      <c r="Q43" s="83"/>
      <c r="R43" s="83"/>
      <c r="S43" s="81"/>
      <c r="T43" s="81"/>
      <c r="U43" s="81"/>
      <c r="V43" s="81"/>
      <c r="W43" s="81"/>
      <c r="X43" s="54" t="str">
        <f t="shared" si="3"/>
        <v/>
      </c>
      <c r="Y43" s="48"/>
      <c r="Z43" s="46" t="s">
        <v>123</v>
      </c>
      <c r="AA43" s="48"/>
      <c r="AB43" s="48"/>
      <c r="AC43" s="45"/>
      <c r="AD43" s="45"/>
      <c r="AE43" s="45"/>
      <c r="AF43" s="45"/>
      <c r="AG43" s="291" t="str">
        <f t="shared" si="4"/>
        <v/>
      </c>
      <c r="AH43" s="44"/>
      <c r="AI43" s="285" t="s">
        <v>123</v>
      </c>
      <c r="AJ43" s="278"/>
      <c r="AK43" s="305">
        <f>AI30</f>
        <v>0.19999999999998863</v>
      </c>
      <c r="AL43" s="306">
        <f>AI31</f>
        <v>1.0000000000001137</v>
      </c>
      <c r="AM43" s="306">
        <f>AI32</f>
        <v>-4.9999999999997158E-2</v>
      </c>
      <c r="AN43" s="307">
        <f>AI33</f>
        <v>3.5527136788005009E-15</v>
      </c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111" t="str">
        <f t="shared" si="5"/>
        <v/>
      </c>
      <c r="BK43" s="106"/>
      <c r="BL43" s="107" t="s">
        <v>123</v>
      </c>
      <c r="BM43" s="108"/>
      <c r="BN43" s="119">
        <f>BN26</f>
        <v>0.19999999999991758</v>
      </c>
      <c r="BO43" s="120">
        <f>BN27</f>
        <v>1</v>
      </c>
      <c r="BP43" s="120">
        <f>BN28</f>
        <v>-5.0000000000181899E-2</v>
      </c>
      <c r="BQ43" s="120">
        <f>BN29</f>
        <v>1.7053025658242404E-13</v>
      </c>
      <c r="BR43" s="121">
        <f>BN30</f>
        <v>-2.1316282072803006E-14</v>
      </c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281"/>
    </row>
    <row r="44" spans="2:106" ht="18" customHeight="1" x14ac:dyDescent="0.2">
      <c r="B44" s="378" t="str">
        <f t="shared" si="8"/>
        <v/>
      </c>
      <c r="C44" s="349"/>
      <c r="D44" s="347"/>
      <c r="E44" s="348"/>
      <c r="F44"/>
      <c r="G44"/>
      <c r="H44"/>
      <c r="I44"/>
      <c r="J44"/>
      <c r="K44"/>
      <c r="L44"/>
      <c r="M44"/>
      <c r="N44"/>
      <c r="O44"/>
      <c r="P44" s="83"/>
      <c r="Q44" s="83"/>
      <c r="R44" s="83"/>
      <c r="S44" s="81"/>
      <c r="T44" s="81"/>
      <c r="U44" s="81"/>
      <c r="V44" s="81"/>
      <c r="W44" s="81"/>
      <c r="X44" s="54" t="str">
        <f t="shared" si="3"/>
        <v/>
      </c>
      <c r="Y44" s="48"/>
      <c r="Z44" s="64">
        <f>P31-Z38</f>
        <v>1.1999999997982513E-3</v>
      </c>
      <c r="AA44" s="48"/>
      <c r="AB44" s="48"/>
      <c r="AC44" s="45"/>
      <c r="AD44" s="45"/>
      <c r="AE44" s="45"/>
      <c r="AF44" s="45"/>
      <c r="AG44" s="291" t="str">
        <f t="shared" si="4"/>
        <v/>
      </c>
      <c r="AH44" s="44"/>
      <c r="AI44" s="298">
        <f>P31-AI38</f>
        <v>1.1999999743750323E-3</v>
      </c>
      <c r="AJ44" s="278"/>
      <c r="AK44" s="278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111" t="str">
        <f t="shared" si="5"/>
        <v/>
      </c>
      <c r="BK44" s="106"/>
      <c r="BL44" s="58">
        <f>P31-BL38</f>
        <v>1.1999999246370407E-3</v>
      </c>
      <c r="BM44" s="108"/>
      <c r="BN44" s="108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281"/>
    </row>
    <row r="45" spans="2:106" ht="18" customHeight="1" x14ac:dyDescent="0.2">
      <c r="B45" s="378" t="str">
        <f t="shared" si="8"/>
        <v/>
      </c>
      <c r="C45" s="349"/>
      <c r="D45" s="347"/>
      <c r="E45" s="348"/>
      <c r="F45"/>
      <c r="G45"/>
      <c r="H45"/>
      <c r="I45"/>
      <c r="J45"/>
      <c r="K45"/>
      <c r="L45"/>
      <c r="M45"/>
      <c r="N45"/>
      <c r="O45"/>
      <c r="P45" s="80" t="s">
        <v>123</v>
      </c>
      <c r="Q45" s="83"/>
      <c r="R45" s="83"/>
      <c r="S45" s="81"/>
      <c r="T45" s="81"/>
      <c r="U45" s="81"/>
      <c r="V45" s="81"/>
      <c r="W45" s="81"/>
      <c r="X45" s="54" t="str">
        <f t="shared" si="3"/>
        <v/>
      </c>
      <c r="Y45" s="48"/>
      <c r="Z45" s="48"/>
      <c r="AA45" s="48"/>
      <c r="AB45" s="48"/>
      <c r="AC45" s="45"/>
      <c r="AD45" s="45"/>
      <c r="AE45" s="45"/>
      <c r="AF45" s="45"/>
      <c r="AG45" s="291" t="str">
        <f t="shared" si="4"/>
        <v/>
      </c>
      <c r="AH45" s="44"/>
      <c r="AI45" s="278"/>
      <c r="AJ45" s="278"/>
      <c r="AK45" s="278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111" t="str">
        <f t="shared" si="5"/>
        <v/>
      </c>
      <c r="BK45" s="106"/>
      <c r="BL45" s="108"/>
      <c r="BM45" s="108"/>
      <c r="BN45" s="108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281"/>
    </row>
    <row r="46" spans="2:106" ht="18" customHeight="1" x14ac:dyDescent="0.2">
      <c r="B46" s="378" t="str">
        <f t="shared" si="8"/>
        <v/>
      </c>
      <c r="C46" s="349"/>
      <c r="D46" s="347"/>
      <c r="E46" s="348"/>
      <c r="F46"/>
      <c r="G46"/>
      <c r="H46"/>
      <c r="I46"/>
      <c r="J46"/>
      <c r="K46"/>
      <c r="L46"/>
      <c r="M46"/>
      <c r="N46"/>
      <c r="O46"/>
      <c r="P46" s="89">
        <f>P31-P40</f>
        <v>0.28119999999996992</v>
      </c>
      <c r="Q46" s="83"/>
      <c r="R46" s="83"/>
      <c r="S46" s="81"/>
      <c r="T46" s="81"/>
      <c r="U46" s="81"/>
      <c r="V46" s="81"/>
      <c r="W46" s="81"/>
      <c r="X46" s="54" t="str">
        <f t="shared" si="3"/>
        <v/>
      </c>
      <c r="Y46" s="48"/>
      <c r="Z46" s="49" t="s">
        <v>124</v>
      </c>
      <c r="AA46" s="45"/>
      <c r="AB46" s="45"/>
      <c r="AC46" s="45"/>
      <c r="AD46" s="45"/>
      <c r="AE46" s="45"/>
      <c r="AF46" s="45"/>
      <c r="AG46" s="291" t="str">
        <f t="shared" si="4"/>
        <v/>
      </c>
      <c r="AH46" s="44"/>
      <c r="AI46" s="286" t="s">
        <v>124</v>
      </c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111" t="str">
        <f t="shared" si="5"/>
        <v/>
      </c>
      <c r="BK46" s="106"/>
      <c r="BL46" s="109" t="s">
        <v>124</v>
      </c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281"/>
    </row>
    <row r="47" spans="2:106" ht="18" customHeight="1" x14ac:dyDescent="0.2">
      <c r="B47" s="378" t="str">
        <f t="shared" si="8"/>
        <v/>
      </c>
      <c r="C47" s="349"/>
      <c r="D47" s="347"/>
      <c r="E47" s="348"/>
      <c r="F47"/>
      <c r="G47"/>
      <c r="H47"/>
      <c r="I47"/>
      <c r="J47"/>
      <c r="K47"/>
      <c r="L47"/>
      <c r="M47"/>
      <c r="N47"/>
      <c r="O47"/>
      <c r="P47" s="83"/>
      <c r="Q47" s="83"/>
      <c r="R47" s="83"/>
      <c r="S47" s="81"/>
      <c r="T47" s="81"/>
      <c r="U47" s="81"/>
      <c r="V47" s="81"/>
      <c r="W47" s="81"/>
      <c r="X47" s="54" t="str">
        <f t="shared" si="3"/>
        <v/>
      </c>
      <c r="Y47" s="48"/>
      <c r="Z47" s="64">
        <f>Z44/(df-1)</f>
        <v>7.9999999986550086E-5</v>
      </c>
      <c r="AA47" s="45"/>
      <c r="AB47" s="45"/>
      <c r="AC47" s="45"/>
      <c r="AD47" s="45"/>
      <c r="AE47" s="45"/>
      <c r="AF47" s="45"/>
      <c r="AG47" s="291" t="str">
        <f t="shared" si="4"/>
        <v/>
      </c>
      <c r="AH47" s="44"/>
      <c r="AI47" s="298">
        <f>AI44/(df-2)</f>
        <v>8.5714283883930875E-5</v>
      </c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111" t="str">
        <f t="shared" si="5"/>
        <v/>
      </c>
      <c r="BK47" s="106"/>
      <c r="BL47" s="58">
        <f>BL44/(df-3)</f>
        <v>9.2307686510541593E-5</v>
      </c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281"/>
    </row>
    <row r="48" spans="2:106" ht="18" customHeight="1" x14ac:dyDescent="0.2">
      <c r="B48" s="378" t="str">
        <f t="shared" ref="B48:B61" si="9">IF(C48="","",+B47+1)</f>
        <v/>
      </c>
      <c r="C48" s="349"/>
      <c r="D48" s="347"/>
      <c r="E48" s="348"/>
      <c r="F48"/>
      <c r="G48"/>
      <c r="H48"/>
      <c r="I48"/>
      <c r="J48"/>
      <c r="K48"/>
      <c r="L48"/>
      <c r="M48"/>
      <c r="N48"/>
      <c r="O48"/>
      <c r="P48" s="97" t="s">
        <v>124</v>
      </c>
      <c r="Q48" s="83"/>
      <c r="R48" s="83"/>
      <c r="S48" s="81"/>
      <c r="T48" s="81"/>
      <c r="U48" s="81"/>
      <c r="V48" s="81"/>
      <c r="W48" s="81"/>
      <c r="X48" s="54" t="str">
        <f t="shared" si="3"/>
        <v/>
      </c>
      <c r="Y48" s="48"/>
      <c r="Z48" s="45"/>
      <c r="AA48" s="45"/>
      <c r="AB48" s="45"/>
      <c r="AC48" s="45"/>
      <c r="AD48" s="45"/>
      <c r="AE48" s="45"/>
      <c r="AF48" s="45"/>
      <c r="AG48" s="291" t="str">
        <f t="shared" si="4"/>
        <v/>
      </c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111" t="str">
        <f t="shared" si="5"/>
        <v/>
      </c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281"/>
    </row>
    <row r="49" spans="2:106" ht="18" customHeight="1" x14ac:dyDescent="0.2">
      <c r="B49" s="378" t="str">
        <f t="shared" si="9"/>
        <v/>
      </c>
      <c r="C49" s="349"/>
      <c r="D49" s="347"/>
      <c r="E49" s="348"/>
      <c r="F49"/>
      <c r="G49"/>
      <c r="H49"/>
      <c r="I49"/>
      <c r="J49"/>
      <c r="K49"/>
      <c r="L49"/>
      <c r="M49"/>
      <c r="N49"/>
      <c r="O49"/>
      <c r="P49" s="89">
        <f>P46/df</f>
        <v>1.757499999999812E-2</v>
      </c>
      <c r="Q49" s="83"/>
      <c r="R49" s="83"/>
      <c r="S49" s="81"/>
      <c r="T49" s="81"/>
      <c r="U49" s="81"/>
      <c r="V49" s="81"/>
      <c r="W49" s="81"/>
      <c r="X49" s="54" t="str">
        <f t="shared" si="3"/>
        <v/>
      </c>
      <c r="Y49" s="48"/>
      <c r="Z49" s="69" t="s">
        <v>125</v>
      </c>
      <c r="AA49" s="48"/>
      <c r="AB49" s="48"/>
      <c r="AC49" s="45"/>
      <c r="AD49" s="45"/>
      <c r="AE49" s="45"/>
      <c r="AF49" s="45"/>
      <c r="AG49" s="291" t="str">
        <f t="shared" si="4"/>
        <v/>
      </c>
      <c r="AH49" s="44"/>
      <c r="AI49" s="308" t="s">
        <v>125</v>
      </c>
      <c r="AJ49" s="278"/>
      <c r="AK49" s="278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111" t="str">
        <f t="shared" si="5"/>
        <v/>
      </c>
      <c r="BK49" s="106"/>
      <c r="BL49" s="122" t="s">
        <v>125</v>
      </c>
      <c r="BM49" s="108"/>
      <c r="BN49" s="108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281"/>
    </row>
    <row r="50" spans="2:106" ht="18" customHeight="1" x14ac:dyDescent="0.2">
      <c r="B50" s="378" t="str">
        <f t="shared" si="9"/>
        <v/>
      </c>
      <c r="C50" s="349"/>
      <c r="D50" s="347"/>
      <c r="E50" s="348"/>
      <c r="F50"/>
      <c r="G50"/>
      <c r="H50"/>
      <c r="I50"/>
      <c r="J50"/>
      <c r="K50"/>
      <c r="L50"/>
      <c r="M50"/>
      <c r="N50"/>
      <c r="O50"/>
      <c r="P50" s="83"/>
      <c r="Q50" s="83"/>
      <c r="R50" s="83"/>
      <c r="S50" s="81"/>
      <c r="T50" s="81"/>
      <c r="U50" s="81"/>
      <c r="V50" s="81"/>
      <c r="W50" s="81"/>
      <c r="X50" s="54" t="str">
        <f t="shared" si="3"/>
        <v/>
      </c>
      <c r="Y50" s="48"/>
      <c r="Z50" s="64">
        <f>FINV(0.05,df,df-1)</f>
        <v>2.3848750436598887</v>
      </c>
      <c r="AA50" s="48"/>
      <c r="AB50" s="48"/>
      <c r="AC50" s="45"/>
      <c r="AD50" s="45"/>
      <c r="AE50" s="45"/>
      <c r="AF50" s="45"/>
      <c r="AG50" s="291" t="str">
        <f t="shared" si="4"/>
        <v/>
      </c>
      <c r="AH50" s="44"/>
      <c r="AI50" s="298">
        <f>FINV(0.05,df-1,df-2)</f>
        <v>2.4630031048756633</v>
      </c>
      <c r="AJ50" s="278"/>
      <c r="AK50" s="278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111" t="str">
        <f t="shared" si="5"/>
        <v/>
      </c>
      <c r="BK50" s="106"/>
      <c r="BL50" s="58">
        <f>FINV(0.05,df-2,df-3)</f>
        <v>2.5536187919216391</v>
      </c>
      <c r="BM50" s="108"/>
      <c r="BN50" s="108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281"/>
    </row>
    <row r="51" spans="2:106" ht="18" customHeight="1" x14ac:dyDescent="0.2">
      <c r="B51" s="378" t="str">
        <f t="shared" si="9"/>
        <v/>
      </c>
      <c r="C51" s="349"/>
      <c r="D51" s="347"/>
      <c r="E51" s="348"/>
      <c r="F51"/>
      <c r="G51"/>
      <c r="H51"/>
      <c r="I51"/>
      <c r="J51"/>
      <c r="K51"/>
      <c r="L51"/>
      <c r="M51"/>
      <c r="N51"/>
      <c r="O51"/>
      <c r="P51" s="80" t="s">
        <v>126</v>
      </c>
      <c r="Q51" s="83"/>
      <c r="R51" s="83"/>
      <c r="S51" s="81"/>
      <c r="T51" s="81"/>
      <c r="U51" s="81"/>
      <c r="V51" s="81"/>
      <c r="W51" s="81"/>
      <c r="X51" s="54" t="str">
        <f t="shared" si="3"/>
        <v/>
      </c>
      <c r="Y51" s="48"/>
      <c r="Z51" s="48"/>
      <c r="AA51" s="48"/>
      <c r="AB51" s="48"/>
      <c r="AC51" s="45"/>
      <c r="AD51" s="45"/>
      <c r="AE51" s="45"/>
      <c r="AF51" s="45"/>
      <c r="AG51" s="291" t="str">
        <f t="shared" si="4"/>
        <v/>
      </c>
      <c r="AH51" s="44"/>
      <c r="AI51" s="278"/>
      <c r="AJ51" s="278"/>
      <c r="AK51" s="278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111" t="str">
        <f t="shared" si="5"/>
        <v/>
      </c>
      <c r="BK51" s="106"/>
      <c r="BL51" s="108"/>
      <c r="BM51" s="108"/>
      <c r="BN51" s="108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281"/>
    </row>
    <row r="52" spans="2:106" ht="18" customHeight="1" x14ac:dyDescent="0.2">
      <c r="B52" s="378" t="str">
        <f t="shared" si="9"/>
        <v/>
      </c>
      <c r="C52" s="13"/>
      <c r="D52" s="6"/>
      <c r="F52"/>
      <c r="G52"/>
      <c r="H52"/>
      <c r="I52"/>
      <c r="J52"/>
      <c r="K52"/>
      <c r="L52"/>
      <c r="M52"/>
      <c r="N52"/>
      <c r="O52"/>
      <c r="P52" s="84">
        <f>$P$49*P19</f>
        <v>3.0686507936504652E-3</v>
      </c>
      <c r="Q52" s="85">
        <f>$P$49*Q19</f>
        <v>-8.3690476190467235E-4</v>
      </c>
      <c r="R52" s="83"/>
      <c r="S52" s="81"/>
      <c r="T52" s="81"/>
      <c r="U52" s="81"/>
      <c r="V52" s="81"/>
      <c r="W52" s="81"/>
      <c r="X52" s="54" t="str">
        <f t="shared" si="3"/>
        <v/>
      </c>
      <c r="Y52" s="48"/>
      <c r="Z52" s="46" t="s">
        <v>127</v>
      </c>
      <c r="AA52" s="48"/>
      <c r="AB52" s="48"/>
      <c r="AC52" s="45"/>
      <c r="AD52" s="45"/>
      <c r="AE52" s="45"/>
      <c r="AF52" s="45"/>
      <c r="AG52" s="291" t="str">
        <f t="shared" si="4"/>
        <v/>
      </c>
      <c r="AH52" s="44"/>
      <c r="AI52" s="285" t="s">
        <v>127</v>
      </c>
      <c r="AJ52" s="278"/>
      <c r="AK52" s="278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111" t="str">
        <f t="shared" si="5"/>
        <v/>
      </c>
      <c r="BK52" s="106"/>
      <c r="BL52" s="107" t="s">
        <v>127</v>
      </c>
      <c r="BM52" s="108"/>
      <c r="BN52" s="108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281"/>
    </row>
    <row r="53" spans="2:106" ht="18" customHeight="1" x14ac:dyDescent="0.2">
      <c r="B53" s="378" t="str">
        <f t="shared" si="9"/>
        <v/>
      </c>
      <c r="C53" s="13"/>
      <c r="D53" s="6"/>
      <c r="F53"/>
      <c r="G53"/>
      <c r="H53"/>
      <c r="I53"/>
      <c r="J53"/>
      <c r="K53"/>
      <c r="L53"/>
      <c r="M53"/>
      <c r="N53"/>
      <c r="O53"/>
      <c r="P53" s="86">
        <f>$P$49*P20</f>
        <v>-8.3690476190467235E-4</v>
      </c>
      <c r="Q53" s="87">
        <f>$P$49*Q20</f>
        <v>3.3476190476186898E-4</v>
      </c>
      <c r="R53" s="83"/>
      <c r="S53" s="83"/>
      <c r="T53" s="81"/>
      <c r="U53" s="81"/>
      <c r="V53" s="81"/>
      <c r="W53" s="81"/>
      <c r="X53" s="54" t="str">
        <f t="shared" si="3"/>
        <v/>
      </c>
      <c r="Y53" s="48"/>
      <c r="Z53" s="64">
        <f>P49/Z47</f>
        <v>219.68750003691122</v>
      </c>
      <c r="AA53" s="48"/>
      <c r="AB53" s="48"/>
      <c r="AC53" s="45"/>
      <c r="AD53" s="45"/>
      <c r="AE53" s="45"/>
      <c r="AF53" s="45"/>
      <c r="AG53" s="291" t="str">
        <f t="shared" si="4"/>
        <v/>
      </c>
      <c r="AH53" s="44"/>
      <c r="AI53" s="298">
        <f>Z47/AI47</f>
        <v>0.93333335310694854</v>
      </c>
      <c r="AJ53" s="278"/>
      <c r="AK53" s="278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111" t="str">
        <f t="shared" si="5"/>
        <v/>
      </c>
      <c r="BK53" s="106"/>
      <c r="BL53" s="58">
        <f>AI47/BL47</f>
        <v>0.92857146705916249</v>
      </c>
      <c r="BM53" s="108"/>
      <c r="BN53" s="108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281"/>
    </row>
    <row r="54" spans="2:106" ht="18" customHeight="1" x14ac:dyDescent="0.2">
      <c r="B54" s="378" t="str">
        <f t="shared" si="9"/>
        <v/>
      </c>
      <c r="C54" s="13"/>
      <c r="D54" s="6"/>
      <c r="F54"/>
      <c r="G54"/>
      <c r="H54"/>
      <c r="I54"/>
      <c r="J54"/>
      <c r="K54"/>
      <c r="L54"/>
      <c r="M54"/>
      <c r="N54"/>
      <c r="O54"/>
      <c r="P54" s="83"/>
      <c r="Q54" s="83"/>
      <c r="R54" s="83"/>
      <c r="S54" s="81"/>
      <c r="T54" s="81"/>
      <c r="U54" s="81"/>
      <c r="V54" s="81"/>
      <c r="W54" s="81"/>
      <c r="X54" s="54" t="str">
        <f t="shared" si="3"/>
        <v/>
      </c>
      <c r="Y54" s="48"/>
      <c r="Z54" s="48"/>
      <c r="AA54" s="48"/>
      <c r="AB54" s="48"/>
      <c r="AC54" s="45"/>
      <c r="AD54" s="45"/>
      <c r="AE54" s="45"/>
      <c r="AF54" s="45"/>
      <c r="AG54" s="291" t="str">
        <f t="shared" si="4"/>
        <v/>
      </c>
      <c r="AH54" s="44"/>
      <c r="AI54" s="278"/>
      <c r="AJ54" s="278"/>
      <c r="AK54" s="278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111" t="str">
        <f t="shared" si="5"/>
        <v/>
      </c>
      <c r="BK54" s="106"/>
      <c r="BL54" s="108"/>
      <c r="BM54" s="108"/>
      <c r="BN54" s="108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281"/>
    </row>
    <row r="55" spans="2:106" ht="18" customHeight="1" x14ac:dyDescent="0.3">
      <c r="B55" s="378" t="str">
        <f t="shared" si="9"/>
        <v/>
      </c>
      <c r="C55" s="13"/>
      <c r="D55" s="6"/>
      <c r="F55"/>
      <c r="G55"/>
      <c r="H55"/>
      <c r="I55"/>
      <c r="J55"/>
      <c r="K55"/>
      <c r="L55"/>
      <c r="M55"/>
      <c r="N55"/>
      <c r="O55"/>
      <c r="P55" s="97" t="s">
        <v>128</v>
      </c>
      <c r="Q55" s="93"/>
      <c r="R55" s="83"/>
      <c r="S55" s="81"/>
      <c r="T55" s="81"/>
      <c r="U55" s="81"/>
      <c r="V55" s="81"/>
      <c r="W55" s="81"/>
      <c r="X55" s="54" t="str">
        <f t="shared" si="3"/>
        <v/>
      </c>
      <c r="Y55" s="48"/>
      <c r="Z55" s="69" t="s">
        <v>129</v>
      </c>
      <c r="AA55" s="48"/>
      <c r="AB55" s="48"/>
      <c r="AC55" s="45"/>
      <c r="AD55" s="45"/>
      <c r="AE55" s="45"/>
      <c r="AF55" s="45"/>
      <c r="AG55" s="291" t="str">
        <f t="shared" si="4"/>
        <v/>
      </c>
      <c r="AH55" s="44"/>
      <c r="AI55" s="308" t="s">
        <v>129</v>
      </c>
      <c r="AJ55" s="278"/>
      <c r="AK55" s="278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111" t="str">
        <f t="shared" si="5"/>
        <v/>
      </c>
      <c r="BK55" s="106"/>
      <c r="BL55" s="122" t="s">
        <v>129</v>
      </c>
      <c r="BM55" s="108"/>
      <c r="BN55" s="108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281"/>
    </row>
    <row r="56" spans="2:106" ht="18" customHeight="1" x14ac:dyDescent="0.2">
      <c r="B56" s="378" t="str">
        <f t="shared" si="9"/>
        <v/>
      </c>
      <c r="C56" s="13"/>
      <c r="D56" s="6"/>
      <c r="F56"/>
      <c r="G56"/>
      <c r="H56"/>
      <c r="I56"/>
      <c r="J56"/>
      <c r="K56"/>
      <c r="L56"/>
      <c r="M56"/>
      <c r="N56"/>
      <c r="O56"/>
      <c r="P56" s="96">
        <f>COUNT(X)</f>
        <v>18</v>
      </c>
      <c r="Q56" s="83"/>
      <c r="R56" s="83"/>
      <c r="S56" s="81"/>
      <c r="T56" s="81"/>
      <c r="U56" s="81"/>
      <c r="V56" s="81"/>
      <c r="W56" s="81"/>
      <c r="X56" s="54" t="str">
        <f t="shared" si="3"/>
        <v/>
      </c>
      <c r="Y56" s="48"/>
      <c r="Z56" s="70" t="str">
        <f>IF(Z53&gt;Z50,"Q","L")</f>
        <v>Q</v>
      </c>
      <c r="AA56" s="48"/>
      <c r="AB56" s="48"/>
      <c r="AC56" s="48"/>
      <c r="AD56" s="45"/>
      <c r="AE56" s="45"/>
      <c r="AF56" s="45"/>
      <c r="AG56" s="291" t="str">
        <f t="shared" si="4"/>
        <v/>
      </c>
      <c r="AH56" s="44"/>
      <c r="AI56" s="309" t="str">
        <f>IF(AI53&gt;AI50,"Cubic","Quadratic")</f>
        <v>Quadratic</v>
      </c>
      <c r="AJ56" s="278"/>
      <c r="AK56" s="278"/>
      <c r="AL56" s="278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111" t="str">
        <f t="shared" si="5"/>
        <v/>
      </c>
      <c r="BK56" s="106"/>
      <c r="BL56" s="123" t="str">
        <f>IF(BL53&gt;BL50,"Quartic","Cubic")</f>
        <v>Cubic</v>
      </c>
      <c r="BM56" s="108"/>
      <c r="BN56" s="108"/>
      <c r="BO56" s="108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281"/>
    </row>
    <row r="57" spans="2:106" ht="18" customHeight="1" x14ac:dyDescent="0.2">
      <c r="B57" s="378" t="str">
        <f t="shared" si="9"/>
        <v/>
      </c>
      <c r="C57" s="13"/>
      <c r="D57" s="6"/>
      <c r="F57"/>
      <c r="G57"/>
      <c r="H57"/>
      <c r="I57"/>
      <c r="J57"/>
      <c r="K57"/>
      <c r="L57"/>
      <c r="M57"/>
      <c r="N57"/>
      <c r="O57"/>
      <c r="P57" s="83"/>
      <c r="Q57" s="83"/>
      <c r="R57" s="83"/>
      <c r="S57" s="81"/>
      <c r="T57" s="81"/>
      <c r="U57" s="81"/>
      <c r="V57" s="81"/>
      <c r="W57" s="81"/>
      <c r="X57" s="54" t="str">
        <f t="shared" si="3"/>
        <v/>
      </c>
      <c r="Y57" s="48"/>
      <c r="Z57" s="48"/>
      <c r="AA57" s="48"/>
      <c r="AB57" s="48"/>
      <c r="AC57" s="45"/>
      <c r="AD57" s="48"/>
      <c r="AE57" s="45"/>
      <c r="AF57" s="45"/>
      <c r="AG57" s="291" t="str">
        <f t="shared" si="4"/>
        <v/>
      </c>
      <c r="AH57" s="44"/>
      <c r="AI57" s="278"/>
      <c r="AJ57" s="278"/>
      <c r="AK57" s="278"/>
      <c r="AL57" s="44"/>
      <c r="AM57" s="278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111" t="str">
        <f t="shared" si="5"/>
        <v/>
      </c>
      <c r="BK57" s="106"/>
      <c r="BL57" s="108"/>
      <c r="BM57" s="108"/>
      <c r="BN57" s="108"/>
      <c r="BO57" s="106"/>
      <c r="BP57" s="108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281"/>
    </row>
    <row r="58" spans="2:106" ht="18" customHeight="1" x14ac:dyDescent="0.2">
      <c r="B58" s="378" t="str">
        <f t="shared" si="9"/>
        <v/>
      </c>
      <c r="C58" s="13"/>
      <c r="D58" s="6"/>
      <c r="F58"/>
      <c r="G58"/>
      <c r="H58"/>
      <c r="I58"/>
      <c r="J58"/>
      <c r="K58"/>
      <c r="L58"/>
      <c r="M58"/>
      <c r="N58"/>
      <c r="O58"/>
      <c r="P58" s="83"/>
      <c r="Q58" s="83"/>
      <c r="R58" s="83"/>
      <c r="S58" s="81"/>
      <c r="T58" s="81"/>
      <c r="U58" s="81"/>
      <c r="V58" s="81"/>
      <c r="W58" s="81"/>
      <c r="X58" s="54" t="str">
        <f t="shared" si="3"/>
        <v/>
      </c>
      <c r="Y58" s="48"/>
      <c r="Z58" s="46" t="s">
        <v>126</v>
      </c>
      <c r="AA58" s="48"/>
      <c r="AB58" s="48"/>
      <c r="AC58" s="45"/>
      <c r="AD58" s="45"/>
      <c r="AE58" s="45"/>
      <c r="AF58" s="45"/>
      <c r="AG58" s="291" t="str">
        <f t="shared" si="4"/>
        <v/>
      </c>
      <c r="AH58" s="44"/>
      <c r="AI58" s="285" t="s">
        <v>126</v>
      </c>
      <c r="AJ58" s="278"/>
      <c r="AK58" s="278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111" t="str">
        <f t="shared" si="5"/>
        <v/>
      </c>
      <c r="BK58" s="106"/>
      <c r="BL58" s="107" t="s">
        <v>126</v>
      </c>
      <c r="BM58" s="108"/>
      <c r="BN58" s="108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281"/>
    </row>
    <row r="59" spans="2:106" ht="18" customHeight="1" x14ac:dyDescent="0.2">
      <c r="B59" s="378" t="str">
        <f t="shared" si="9"/>
        <v/>
      </c>
      <c r="C59" s="13"/>
      <c r="D59" s="6"/>
      <c r="F59"/>
      <c r="G59"/>
      <c r="H59"/>
      <c r="I59"/>
      <c r="J59"/>
      <c r="K59"/>
      <c r="L59"/>
      <c r="M59"/>
      <c r="N59"/>
      <c r="O59"/>
      <c r="P59" s="83"/>
      <c r="Q59" s="83"/>
      <c r="R59" s="83"/>
      <c r="S59" s="81"/>
      <c r="T59" s="81"/>
      <c r="U59" s="81"/>
      <c r="V59" s="81"/>
      <c r="W59" s="81"/>
      <c r="X59" s="54" t="str">
        <f t="shared" si="3"/>
        <v/>
      </c>
      <c r="Y59" s="48"/>
      <c r="Z59" s="51">
        <f t="shared" ref="Z59:AB61" si="10">$Z$47*Z20</f>
        <v>2.1904761901079193E-5</v>
      </c>
      <c r="AA59" s="52">
        <f t="shared" si="10"/>
        <v>-1.5714285711643769E-5</v>
      </c>
      <c r="AB59" s="53">
        <f t="shared" si="10"/>
        <v>2.3809523805520861E-6</v>
      </c>
      <c r="AC59" s="45"/>
      <c r="AD59" s="45"/>
      <c r="AE59" s="45"/>
      <c r="AF59" s="45"/>
      <c r="AG59" s="291" t="str">
        <f t="shared" si="4"/>
        <v/>
      </c>
      <c r="AH59" s="44"/>
      <c r="AI59" s="288">
        <f t="shared" ref="AI59:AL62" si="11">$Z$47*AI20</f>
        <v>2.5608465604160817E-5</v>
      </c>
      <c r="AJ59" s="289">
        <f t="shared" si="11"/>
        <v>-3.2627865955716006E-5</v>
      </c>
      <c r="AK59" s="289">
        <f t="shared" si="11"/>
        <v>1.1640211638255835E-5</v>
      </c>
      <c r="AL59" s="290">
        <f t="shared" si="11"/>
        <v>-1.2345679010271511E-6</v>
      </c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111" t="str">
        <f t="shared" si="5"/>
        <v/>
      </c>
      <c r="BK59" s="106"/>
      <c r="BL59" s="132">
        <f t="shared" ref="BL59:BP63" si="12">$BL$47*BL19</f>
        <v>3.0647128722416759E-5</v>
      </c>
      <c r="BM59" s="133">
        <f t="shared" si="12"/>
        <v>-5.5962552447982092E-5</v>
      </c>
      <c r="BN59" s="133">
        <f t="shared" si="12"/>
        <v>3.3119656039677361E-5</v>
      </c>
      <c r="BO59" s="133">
        <f t="shared" si="12"/>
        <v>-7.8347573427191941E-6</v>
      </c>
      <c r="BP59" s="125">
        <f t="shared" si="12"/>
        <v>6.4102560076804066E-7</v>
      </c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281"/>
    </row>
    <row r="60" spans="2:106" ht="18" customHeight="1" x14ac:dyDescent="0.2">
      <c r="B60" s="378" t="str">
        <f t="shared" si="9"/>
        <v/>
      </c>
      <c r="C60" s="13"/>
      <c r="D60" s="6"/>
      <c r="F60"/>
      <c r="G60"/>
      <c r="H60"/>
      <c r="I60"/>
      <c r="J60"/>
      <c r="K60"/>
      <c r="L60"/>
      <c r="M60"/>
      <c r="N60"/>
      <c r="O60"/>
      <c r="P60" s="81"/>
      <c r="Q60" s="81"/>
      <c r="R60" s="81"/>
      <c r="S60" s="81"/>
      <c r="T60" s="81"/>
      <c r="U60" s="81"/>
      <c r="V60" s="81"/>
      <c r="W60" s="81"/>
      <c r="X60" s="54" t="str">
        <f t="shared" si="3"/>
        <v/>
      </c>
      <c r="Y60" s="48"/>
      <c r="Z60" s="56">
        <f t="shared" si="10"/>
        <v>-1.5714285711643769E-5</v>
      </c>
      <c r="AA60" s="57">
        <f t="shared" si="10"/>
        <v>1.9380952377693982E-5</v>
      </c>
      <c r="AB60" s="59">
        <f t="shared" si="10"/>
        <v>-3.5714285708281296E-6</v>
      </c>
      <c r="AC60" s="45"/>
      <c r="AD60" s="45"/>
      <c r="AE60" s="45"/>
      <c r="AF60" s="45"/>
      <c r="AG60" s="291" t="str">
        <f t="shared" si="4"/>
        <v/>
      </c>
      <c r="AH60" s="44"/>
      <c r="AI60" s="292">
        <f t="shared" si="11"/>
        <v>-3.2627865955716189E-5</v>
      </c>
      <c r="AJ60" s="227">
        <f t="shared" si="11"/>
        <v>9.6619635492289113E-5</v>
      </c>
      <c r="AK60" s="227">
        <f t="shared" si="11"/>
        <v>-4.5855379181007631E-5</v>
      </c>
      <c r="AL60" s="293">
        <f t="shared" si="11"/>
        <v>5.6378600813572414E-6</v>
      </c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111" t="str">
        <f t="shared" si="5"/>
        <v/>
      </c>
      <c r="BK60" s="106"/>
      <c r="BL60" s="127">
        <f t="shared" si="12"/>
        <v>-5.5962552447972552E-5</v>
      </c>
      <c r="BM60" s="112">
        <f t="shared" si="12"/>
        <v>4.1673447389582404E-4</v>
      </c>
      <c r="BN60" s="112">
        <f t="shared" si="12"/>
        <v>-3.8105410712292509E-4</v>
      </c>
      <c r="BO60" s="112">
        <f t="shared" si="12"/>
        <v>1.1334282289126416E-4</v>
      </c>
      <c r="BP60" s="128">
        <f t="shared" si="12"/>
        <v>-1.068376001279182E-5</v>
      </c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281"/>
    </row>
    <row r="61" spans="2:106" ht="18" customHeight="1" thickBot="1" x14ac:dyDescent="0.25">
      <c r="B61" s="379" t="str">
        <f t="shared" si="9"/>
        <v/>
      </c>
      <c r="C61" s="14"/>
      <c r="D61" s="7"/>
      <c r="F61"/>
      <c r="G61"/>
      <c r="H61"/>
      <c r="I61"/>
      <c r="J61"/>
      <c r="K61"/>
      <c r="L61"/>
      <c r="M61"/>
      <c r="N61"/>
      <c r="O61"/>
      <c r="P61" s="81"/>
      <c r="Q61" s="81"/>
      <c r="R61" s="81"/>
      <c r="S61" s="81"/>
      <c r="T61" s="81"/>
      <c r="U61" s="81"/>
      <c r="V61" s="81"/>
      <c r="W61" s="81"/>
      <c r="X61" s="65" t="str">
        <f t="shared" si="3"/>
        <v/>
      </c>
      <c r="Y61" s="48"/>
      <c r="Z61" s="60">
        <f t="shared" si="10"/>
        <v>2.3809523805520861E-6</v>
      </c>
      <c r="AA61" s="61">
        <f t="shared" si="10"/>
        <v>-3.5714285708281296E-6</v>
      </c>
      <c r="AB61" s="62">
        <f t="shared" si="10"/>
        <v>7.142857141656259E-7</v>
      </c>
      <c r="AC61" s="45"/>
      <c r="AD61" s="45"/>
      <c r="AE61" s="45"/>
      <c r="AF61" s="45"/>
      <c r="AG61" s="300" t="str">
        <f t="shared" si="4"/>
        <v/>
      </c>
      <c r="AH61" s="44"/>
      <c r="AI61" s="292">
        <f t="shared" si="11"/>
        <v>1.1640211638255888E-5</v>
      </c>
      <c r="AJ61" s="227">
        <f t="shared" si="11"/>
        <v>-4.5855379181007652E-5</v>
      </c>
      <c r="AK61" s="227">
        <f t="shared" si="11"/>
        <v>2.3862433858424328E-5</v>
      </c>
      <c r="AL61" s="293">
        <f t="shared" si="11"/>
        <v>-3.0864197525678152E-6</v>
      </c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115" t="str">
        <f t="shared" si="5"/>
        <v/>
      </c>
      <c r="BK61" s="106"/>
      <c r="BL61" s="127">
        <f t="shared" si="12"/>
        <v>3.3119656039662786E-5</v>
      </c>
      <c r="BM61" s="112">
        <f t="shared" si="12"/>
        <v>-3.8105410712290395E-4</v>
      </c>
      <c r="BN61" s="112">
        <f t="shared" si="12"/>
        <v>3.8028843765530561E-4</v>
      </c>
      <c r="BO61" s="112">
        <f t="shared" si="12"/>
        <v>-1.1841167347510106E-4</v>
      </c>
      <c r="BP61" s="128">
        <f t="shared" si="12"/>
        <v>1.1485042013750271E-5</v>
      </c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281"/>
    </row>
    <row r="62" spans="2:106" ht="18" customHeight="1" thickTop="1" thickBot="1" x14ac:dyDescent="0.25">
      <c r="P62" s="80"/>
      <c r="Q62" s="80"/>
      <c r="R62" s="80"/>
      <c r="S62" s="80"/>
      <c r="T62" s="80"/>
      <c r="U62" s="80"/>
      <c r="V62" s="80"/>
      <c r="W62" s="80"/>
      <c r="X62" s="45"/>
      <c r="Y62" s="45"/>
      <c r="Z62" s="45"/>
      <c r="AA62" s="45"/>
      <c r="AB62" s="45"/>
      <c r="AC62" s="45"/>
      <c r="AD62" s="45"/>
      <c r="AE62" s="45"/>
      <c r="AF62" s="45"/>
      <c r="AG62" s="44"/>
      <c r="AH62" s="44"/>
      <c r="AI62" s="295">
        <f t="shared" si="11"/>
        <v>-1.2345679010271672E-6</v>
      </c>
      <c r="AJ62" s="296">
        <f t="shared" si="11"/>
        <v>5.6378600813572474E-6</v>
      </c>
      <c r="AK62" s="296">
        <f t="shared" si="11"/>
        <v>-3.0864197525678156E-6</v>
      </c>
      <c r="AL62" s="297">
        <f t="shared" si="11"/>
        <v>4.1152263367570724E-7</v>
      </c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106"/>
      <c r="BK62" s="106"/>
      <c r="BL62" s="127">
        <f t="shared" si="12"/>
        <v>-7.8347573427156399E-6</v>
      </c>
      <c r="BM62" s="112">
        <f t="shared" si="12"/>
        <v>1.1334282289125459E-4</v>
      </c>
      <c r="BN62" s="112">
        <f t="shared" si="12"/>
        <v>-1.1841167347509758E-4</v>
      </c>
      <c r="BO62" s="112">
        <f t="shared" si="12"/>
        <v>3.786799382311348E-5</v>
      </c>
      <c r="BP62" s="128">
        <f t="shared" si="12"/>
        <v>-3.7393160044767008E-6</v>
      </c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281"/>
    </row>
    <row r="63" spans="2:106" ht="18" customHeight="1" thickTop="1" thickBot="1" x14ac:dyDescent="0.3">
      <c r="B63" s="29" t="s">
        <v>77</v>
      </c>
      <c r="C63"/>
      <c r="D63" s="30" t="s">
        <v>78</v>
      </c>
      <c r="E63"/>
      <c r="F63"/>
      <c r="G63"/>
      <c r="H63"/>
      <c r="I63"/>
      <c r="J63"/>
      <c r="K63"/>
      <c r="L63"/>
      <c r="M63"/>
      <c r="N63"/>
      <c r="O63"/>
      <c r="P63" s="80"/>
      <c r="Q63" s="80"/>
      <c r="R63" s="80"/>
      <c r="S63" s="80"/>
      <c r="T63" s="80"/>
      <c r="U63" s="80"/>
      <c r="V63" s="80"/>
      <c r="W63" s="80"/>
      <c r="X63" s="45"/>
      <c r="Y63" s="45"/>
      <c r="Z63" s="45"/>
      <c r="AA63" s="45"/>
      <c r="AB63" s="45"/>
      <c r="AC63" s="45"/>
      <c r="AD63" s="45"/>
      <c r="AE63" s="45"/>
      <c r="AF63" s="45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106"/>
      <c r="BK63" s="106"/>
      <c r="BL63" s="129">
        <f t="shared" si="12"/>
        <v>6.4102560076762085E-7</v>
      </c>
      <c r="BM63" s="130">
        <f t="shared" si="12"/>
        <v>-1.0683760012790645E-5</v>
      </c>
      <c r="BN63" s="130">
        <f t="shared" si="12"/>
        <v>1.1485042013749712E-5</v>
      </c>
      <c r="BO63" s="130">
        <f t="shared" si="12"/>
        <v>-3.7393160044766313E-6</v>
      </c>
      <c r="BP63" s="131">
        <f t="shared" si="12"/>
        <v>3.7393160044766273E-7</v>
      </c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281"/>
    </row>
    <row r="64" spans="2:106" ht="18" customHeight="1" thickTop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80"/>
      <c r="Q64" s="80"/>
      <c r="R64" s="80"/>
      <c r="S64" s="80"/>
      <c r="T64" s="80"/>
      <c r="U64" s="80"/>
      <c r="V64" s="80"/>
      <c r="W64" s="80"/>
      <c r="X64" s="45"/>
      <c r="Y64" s="45"/>
      <c r="Z64" s="45"/>
      <c r="AA64" s="45"/>
      <c r="AB64" s="45"/>
      <c r="AC64" s="45"/>
      <c r="AD64" s="45"/>
      <c r="AE64" s="45"/>
      <c r="AF64" s="45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281"/>
    </row>
    <row r="65" spans="2:105" ht="18" customHeight="1" x14ac:dyDescent="0.35">
      <c r="B65" s="1" t="s">
        <v>130</v>
      </c>
      <c r="C65"/>
      <c r="D65"/>
      <c r="E65"/>
      <c r="F65"/>
      <c r="G65"/>
      <c r="H65"/>
      <c r="I65"/>
      <c r="J65"/>
      <c r="K65"/>
      <c r="L65"/>
      <c r="M65"/>
      <c r="N65"/>
      <c r="O65"/>
      <c r="P65" s="80"/>
      <c r="Q65" s="80"/>
      <c r="R65" s="80"/>
      <c r="S65" s="80"/>
      <c r="T65" s="80"/>
      <c r="U65" s="80"/>
      <c r="V65" s="80"/>
      <c r="W65" s="80"/>
      <c r="X65" s="45"/>
      <c r="Y65" s="45"/>
      <c r="Z65" s="45"/>
      <c r="AA65" s="45"/>
      <c r="AB65" s="45"/>
      <c r="AC65" s="45"/>
      <c r="AD65" s="45"/>
      <c r="AE65" s="45"/>
      <c r="AF65" s="45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</row>
    <row r="66" spans="2:105" ht="18" customHeight="1" x14ac:dyDescent="0.2">
      <c r="B66" s="1" t="s">
        <v>131</v>
      </c>
      <c r="C66"/>
      <c r="D66"/>
      <c r="E66"/>
      <c r="F66"/>
      <c r="G66"/>
      <c r="H66"/>
      <c r="I66"/>
      <c r="J66"/>
      <c r="K66"/>
      <c r="L66"/>
      <c r="M66"/>
      <c r="N66"/>
      <c r="O66"/>
      <c r="P66" s="80"/>
      <c r="Q66" s="80"/>
      <c r="R66" s="80"/>
      <c r="S66" s="80"/>
      <c r="T66" s="80"/>
      <c r="U66" s="80"/>
      <c r="V66" s="80"/>
      <c r="W66" s="80"/>
      <c r="X66" s="45"/>
      <c r="Y66" s="45"/>
      <c r="Z66" s="45"/>
      <c r="AA66" s="45"/>
      <c r="AB66" s="45"/>
      <c r="AC66" s="45"/>
      <c r="AD66" s="45"/>
      <c r="AE66" s="45"/>
      <c r="AF66" s="45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</row>
    <row r="67" spans="2:105" ht="18" customHeight="1" x14ac:dyDescent="0.25">
      <c r="B67" s="1" t="s">
        <v>132</v>
      </c>
      <c r="C67"/>
      <c r="D67"/>
      <c r="E67"/>
      <c r="F67"/>
      <c r="G67"/>
      <c r="H67"/>
      <c r="I67"/>
      <c r="J67"/>
      <c r="K67"/>
      <c r="L67"/>
      <c r="M67"/>
      <c r="N67"/>
      <c r="O67"/>
      <c r="P67" s="80"/>
      <c r="Q67" s="80"/>
      <c r="R67" s="80"/>
      <c r="S67" s="80"/>
      <c r="T67" s="80"/>
      <c r="U67" s="80"/>
      <c r="V67" s="80"/>
      <c r="W67" s="80"/>
      <c r="X67" s="45"/>
      <c r="Y67" s="45"/>
      <c r="Z67" s="45"/>
      <c r="AA67" s="45"/>
      <c r="AB67" s="45"/>
      <c r="AC67" s="45"/>
      <c r="AD67" s="45"/>
      <c r="AE67" s="45"/>
      <c r="AF67" s="45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</row>
    <row r="68" spans="2:105" ht="18" customHeight="1" x14ac:dyDescent="0.2">
      <c r="B68" s="1"/>
      <c r="C68"/>
      <c r="D68"/>
      <c r="E68"/>
      <c r="F68"/>
      <c r="G68" s="2" t="s">
        <v>133</v>
      </c>
      <c r="H68"/>
      <c r="I68"/>
      <c r="J68"/>
      <c r="K68"/>
      <c r="L68"/>
      <c r="M68"/>
      <c r="N68"/>
      <c r="O68"/>
      <c r="P68" s="80"/>
      <c r="Q68" s="80"/>
      <c r="R68" s="80"/>
      <c r="S68" s="80"/>
      <c r="T68" s="80"/>
      <c r="U68" s="80"/>
      <c r="V68" s="80"/>
      <c r="W68" s="80"/>
      <c r="X68" s="45"/>
      <c r="Y68" s="45"/>
      <c r="Z68" s="45"/>
      <c r="AA68" s="45"/>
      <c r="AB68" s="45"/>
      <c r="AC68" s="45"/>
      <c r="AD68" s="45"/>
      <c r="AE68" s="45"/>
      <c r="AF68" s="45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</row>
    <row r="69" spans="2:105" ht="18" customHeight="1" x14ac:dyDescent="0.2">
      <c r="B69" s="194" t="s">
        <v>134</v>
      </c>
      <c r="C69" s="195"/>
      <c r="D69" s="196" t="s">
        <v>135</v>
      </c>
      <c r="E69" s="197"/>
      <c r="G69" s="2" t="s">
        <v>136</v>
      </c>
      <c r="P69" s="80"/>
      <c r="Q69" s="80"/>
      <c r="R69" s="80"/>
      <c r="S69" s="80"/>
      <c r="T69" s="80"/>
      <c r="U69" s="80"/>
      <c r="V69" s="80"/>
      <c r="W69" s="80"/>
      <c r="X69" s="45"/>
      <c r="Y69" s="45"/>
      <c r="Z69" s="45"/>
      <c r="AA69" s="45"/>
      <c r="AB69" s="45"/>
      <c r="AC69" s="45"/>
      <c r="AD69" s="45"/>
      <c r="AE69" s="45"/>
      <c r="AF69" s="45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</row>
    <row r="70" spans="2:105" ht="18" customHeight="1" x14ac:dyDescent="0.2">
      <c r="B70" s="198" t="s">
        <v>137</v>
      </c>
      <c r="C70" s="199" t="s">
        <v>138</v>
      </c>
      <c r="D70" s="200" t="s">
        <v>139</v>
      </c>
      <c r="E70" s="201" t="s">
        <v>140</v>
      </c>
      <c r="G70" s="2" t="s">
        <v>141</v>
      </c>
      <c r="P70" s="80"/>
      <c r="Q70" s="80"/>
      <c r="R70" s="80"/>
      <c r="S70" s="80"/>
      <c r="T70" s="80"/>
      <c r="U70" s="80"/>
      <c r="V70" s="80"/>
      <c r="W70" s="80"/>
      <c r="X70" s="45"/>
      <c r="Y70" s="45"/>
      <c r="Z70" s="45"/>
      <c r="AA70" s="45"/>
      <c r="AB70" s="45"/>
      <c r="AC70" s="45"/>
      <c r="AD70" s="45"/>
      <c r="AE70" s="45"/>
      <c r="AF70" s="45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</row>
    <row r="71" spans="2:105" ht="18" customHeight="1" x14ac:dyDescent="0.35">
      <c r="B71" s="202" t="s">
        <v>142</v>
      </c>
      <c r="C71" s="350">
        <f>P27</f>
        <v>0.36666666666666714</v>
      </c>
      <c r="D71" s="351">
        <f>$C71-t*SQRT($P$52)</f>
        <v>0.24923365599609437</v>
      </c>
      <c r="E71" s="352">
        <f>$C71+t*SQRT($P$52)</f>
        <v>0.48409967733723991</v>
      </c>
      <c r="P71" s="80"/>
      <c r="Q71" s="80"/>
      <c r="R71" s="80"/>
      <c r="S71" s="80"/>
      <c r="T71" s="80"/>
      <c r="U71" s="80"/>
      <c r="V71" s="80"/>
      <c r="W71" s="80"/>
      <c r="X71" s="45"/>
      <c r="Y71" s="45"/>
      <c r="Z71" s="45"/>
      <c r="AA71" s="45"/>
      <c r="AB71" s="45"/>
      <c r="AC71" s="45"/>
      <c r="AD71" s="45"/>
      <c r="AE71" s="45"/>
      <c r="AF71" s="45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</row>
    <row r="72" spans="2:105" ht="18" customHeight="1" x14ac:dyDescent="0.35">
      <c r="B72" s="202" t="s">
        <v>143</v>
      </c>
      <c r="C72" s="350">
        <f>P28</f>
        <v>0.75000000000000022</v>
      </c>
      <c r="D72" s="351">
        <f>$C72-t*SQRT($Q$53)</f>
        <v>0.71121315312660083</v>
      </c>
      <c r="E72" s="352">
        <f>$C72+t*SQRT($Q$53)</f>
        <v>0.78878684687339962</v>
      </c>
      <c r="G72" s="2" t="s">
        <v>144</v>
      </c>
      <c r="P72" s="80"/>
      <c r="Q72" s="80"/>
      <c r="R72" s="80"/>
      <c r="S72" s="80"/>
      <c r="T72" s="80"/>
      <c r="U72" s="80"/>
      <c r="V72" s="80"/>
      <c r="W72" s="80"/>
      <c r="X72" s="45"/>
      <c r="Y72" s="45"/>
      <c r="Z72" s="45"/>
      <c r="AA72" s="45"/>
      <c r="AB72" s="45"/>
      <c r="AC72" s="45"/>
      <c r="AD72" s="45"/>
      <c r="AE72" s="45"/>
      <c r="AF72" s="45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</row>
    <row r="73" spans="2:105" ht="18" customHeight="1" x14ac:dyDescent="0.25">
      <c r="B73" s="202" t="s">
        <v>145</v>
      </c>
      <c r="C73" s="350">
        <f>P49</f>
        <v>1.757499999999812E-2</v>
      </c>
      <c r="D73" s="351">
        <f>df*C73/CHIINV(0.025,df)</f>
        <v>9.7485380814526807E-3</v>
      </c>
      <c r="E73" s="352">
        <f>df*C73/CHIINV(0.975,df)</f>
        <v>4.0708405274152114E-2</v>
      </c>
      <c r="G73" s="2" t="s">
        <v>146</v>
      </c>
      <c r="P73" s="80"/>
      <c r="Q73" s="80"/>
      <c r="R73" s="80"/>
      <c r="S73" s="80"/>
      <c r="T73" s="80"/>
      <c r="U73" s="80"/>
      <c r="V73" s="80"/>
      <c r="W73" s="80"/>
      <c r="X73" s="45"/>
      <c r="Y73" s="45"/>
      <c r="Z73" s="45"/>
      <c r="AA73" s="45"/>
      <c r="AB73" s="45"/>
      <c r="AC73" s="45"/>
      <c r="AD73" s="45"/>
      <c r="AE73" s="45"/>
      <c r="AF73" s="45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</row>
    <row r="74" spans="2:105" ht="18" customHeight="1" x14ac:dyDescent="0.25">
      <c r="B74" s="203" t="s">
        <v>147</v>
      </c>
      <c r="C74" s="353">
        <f>SQRT(C73)</f>
        <v>0.13257073583562143</v>
      </c>
      <c r="D74" s="354">
        <f>SQRT(D73)</f>
        <v>9.8734685300823646E-2</v>
      </c>
      <c r="E74" s="355">
        <f>SQRT(E73)</f>
        <v>0.20176324064148085</v>
      </c>
      <c r="G74" s="2" t="s">
        <v>148</v>
      </c>
      <c r="P74" s="80"/>
      <c r="Q74" s="80"/>
      <c r="R74" s="80"/>
      <c r="S74" s="80"/>
      <c r="T74" s="80"/>
      <c r="U74" s="80"/>
      <c r="V74" s="80"/>
      <c r="W74" s="80"/>
      <c r="X74" s="45"/>
      <c r="Y74" s="45"/>
      <c r="Z74" s="45"/>
      <c r="AA74" s="45"/>
      <c r="AB74" s="45"/>
      <c r="AC74" s="45"/>
      <c r="AD74" s="45"/>
      <c r="AE74" s="45"/>
      <c r="AF74" s="45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</row>
    <row r="75" spans="2:105" ht="18" customHeight="1" x14ac:dyDescent="0.25">
      <c r="B75" s="204" t="s">
        <v>149</v>
      </c>
      <c r="C75" s="205">
        <f>P34</f>
        <v>16</v>
      </c>
      <c r="G75" s="2" t="s">
        <v>150</v>
      </c>
      <c r="P75" s="80"/>
      <c r="Q75" s="80"/>
      <c r="R75" s="80"/>
      <c r="S75" s="80"/>
      <c r="T75" s="80"/>
      <c r="U75" s="80"/>
      <c r="V75" s="80"/>
      <c r="W75" s="80"/>
      <c r="X75" s="45"/>
      <c r="Y75" s="45"/>
      <c r="Z75" s="45"/>
      <c r="AA75" s="45"/>
      <c r="AB75" s="45"/>
      <c r="AC75" s="45"/>
      <c r="AD75" s="45"/>
      <c r="AE75" s="45"/>
      <c r="AF75" s="45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</row>
    <row r="76" spans="2:105" ht="18" customHeight="1" x14ac:dyDescent="0.25">
      <c r="B76" s="203" t="s">
        <v>151</v>
      </c>
      <c r="C76" s="355">
        <f>t</f>
        <v>2.119905299221255</v>
      </c>
      <c r="G76" s="2" t="s">
        <v>152</v>
      </c>
      <c r="P76" s="80"/>
      <c r="Q76" s="80"/>
      <c r="R76" s="80"/>
      <c r="S76" s="80"/>
      <c r="T76" s="80"/>
      <c r="U76" s="80"/>
      <c r="V76" s="80"/>
      <c r="W76" s="80"/>
      <c r="X76" s="45"/>
      <c r="Y76" s="45"/>
      <c r="Z76" s="45"/>
      <c r="AA76" s="45"/>
      <c r="AB76" s="45"/>
      <c r="AC76" s="45"/>
      <c r="AD76" s="45"/>
      <c r="AE76" s="45"/>
      <c r="AF76" s="45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</row>
    <row r="77" spans="2:105" ht="18" customHeight="1" x14ac:dyDescent="0.2">
      <c r="P77" s="80"/>
      <c r="Q77" s="80"/>
      <c r="R77" s="80"/>
      <c r="S77" s="80"/>
      <c r="T77" s="80"/>
      <c r="U77" s="80"/>
      <c r="V77" s="80"/>
      <c r="W77" s="80"/>
      <c r="X77" s="45"/>
      <c r="Y77" s="45"/>
      <c r="Z77" s="45"/>
      <c r="AA77" s="45"/>
      <c r="AB77" s="45"/>
      <c r="AC77" s="45"/>
      <c r="AD77" s="45"/>
      <c r="AE77" s="45"/>
      <c r="AF77" s="45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</row>
    <row r="78" spans="2:105" ht="18" customHeight="1" x14ac:dyDescent="0.2">
      <c r="B78" s="206" t="s">
        <v>153</v>
      </c>
      <c r="C78" s="207"/>
      <c r="D78" s="208" t="s">
        <v>135</v>
      </c>
      <c r="E78" s="209"/>
      <c r="G78" s="2" t="s">
        <v>154</v>
      </c>
      <c r="P78" s="80"/>
      <c r="Q78" s="80"/>
      <c r="R78" s="80"/>
      <c r="S78" s="80"/>
      <c r="T78" s="80"/>
      <c r="U78" s="80"/>
      <c r="V78" s="80"/>
      <c r="W78" s="80"/>
      <c r="X78" s="45"/>
      <c r="Y78" s="45"/>
      <c r="Z78" s="45"/>
      <c r="AA78" s="45"/>
      <c r="AB78" s="45"/>
      <c r="AC78" s="45"/>
      <c r="AD78" s="45"/>
      <c r="AE78" s="45"/>
      <c r="AF78" s="45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</row>
    <row r="79" spans="2:105" ht="18" customHeight="1" x14ac:dyDescent="0.2">
      <c r="B79" s="210" t="s">
        <v>137</v>
      </c>
      <c r="C79" s="211" t="s">
        <v>138</v>
      </c>
      <c r="D79" s="212" t="s">
        <v>139</v>
      </c>
      <c r="E79" s="213" t="s">
        <v>140</v>
      </c>
      <c r="G79" s="2" t="s">
        <v>155</v>
      </c>
      <c r="P79" s="80"/>
      <c r="Q79" s="80"/>
      <c r="R79" s="80"/>
      <c r="S79" s="80"/>
      <c r="T79" s="80"/>
      <c r="U79" s="80"/>
      <c r="V79" s="80"/>
      <c r="W79" s="80"/>
      <c r="X79" s="45"/>
      <c r="Y79" s="45"/>
      <c r="Z79" s="45"/>
      <c r="AA79" s="45"/>
      <c r="AB79" s="45"/>
      <c r="AC79" s="45"/>
      <c r="AD79" s="45"/>
      <c r="AE79" s="45"/>
      <c r="AF79" s="45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</row>
    <row r="80" spans="2:105" ht="18" customHeight="1" x14ac:dyDescent="0.35">
      <c r="B80" s="214" t="s">
        <v>142</v>
      </c>
      <c r="C80" s="356">
        <f>Z30</f>
        <v>0.20000000000000284</v>
      </c>
      <c r="D80" s="357">
        <f>$C80-$C$86*$Z$59</f>
        <v>0.1999533111052032</v>
      </c>
      <c r="E80" s="358">
        <f>$C80+$C$86*$Z$59</f>
        <v>0.20004668889480248</v>
      </c>
      <c r="G80" s="2" t="s">
        <v>156</v>
      </c>
      <c r="P80" s="80"/>
      <c r="Q80" s="80"/>
      <c r="R80" s="80"/>
      <c r="S80" s="80"/>
      <c r="T80" s="80"/>
      <c r="U80" s="80"/>
      <c r="V80" s="80"/>
      <c r="W80" s="80"/>
      <c r="X80" s="45"/>
      <c r="Y80" s="45"/>
      <c r="Z80" s="45"/>
      <c r="AA80" s="45"/>
      <c r="AB80" s="45"/>
      <c r="AC80" s="45"/>
      <c r="AD80" s="45"/>
      <c r="AE80" s="45"/>
      <c r="AF80" s="45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</row>
    <row r="81" spans="2:105" ht="18" customHeight="1" x14ac:dyDescent="0.35">
      <c r="B81" s="214" t="s">
        <v>143</v>
      </c>
      <c r="C81" s="356">
        <f>Z31</f>
        <v>1</v>
      </c>
      <c r="D81" s="357">
        <f>$C81-$C$86*$AA$60</f>
        <v>0.99995869047786201</v>
      </c>
      <c r="E81" s="358">
        <f>$C81+$C$86*$AA$60</f>
        <v>1.0000413095221379</v>
      </c>
      <c r="G81" s="2" t="s">
        <v>157</v>
      </c>
      <c r="P81" s="80"/>
      <c r="Q81" s="80"/>
      <c r="R81" s="80"/>
      <c r="S81" s="80"/>
      <c r="T81" s="80"/>
      <c r="U81" s="80"/>
      <c r="V81" s="80"/>
      <c r="W81" s="80"/>
      <c r="X81" s="45"/>
      <c r="Y81" s="45"/>
      <c r="Z81" s="45"/>
      <c r="AA81" s="45"/>
      <c r="AB81" s="45"/>
      <c r="AC81" s="45"/>
      <c r="AD81" s="45"/>
      <c r="AE81" s="45"/>
      <c r="AF81" s="45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</row>
    <row r="82" spans="2:105" ht="18" customHeight="1" x14ac:dyDescent="0.35">
      <c r="B82" s="214" t="s">
        <v>158</v>
      </c>
      <c r="C82" s="356">
        <f>Z32</f>
        <v>-4.9999999999999822E-2</v>
      </c>
      <c r="D82" s="357">
        <f>$C82-$C$86*$AB$61</f>
        <v>-5.0001522463960682E-2</v>
      </c>
      <c r="E82" s="358">
        <f>$C82+$C$86*$AB$61</f>
        <v>-4.9998477536038963E-2</v>
      </c>
      <c r="G82" s="2" t="s">
        <v>159</v>
      </c>
      <c r="P82" s="80"/>
      <c r="Q82" s="80"/>
      <c r="R82" s="80"/>
      <c r="S82" s="80"/>
      <c r="T82" s="80"/>
      <c r="U82" s="80"/>
      <c r="V82" s="80"/>
      <c r="W82" s="80"/>
      <c r="X82" s="45"/>
      <c r="Y82" s="45"/>
      <c r="Z82" s="45"/>
      <c r="AA82" s="45"/>
      <c r="AB82" s="45"/>
      <c r="AC82" s="45"/>
      <c r="AD82" s="45"/>
      <c r="AE82" s="45"/>
      <c r="AF82" s="45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</row>
    <row r="83" spans="2:105" ht="18" customHeight="1" x14ac:dyDescent="0.25">
      <c r="B83" s="214" t="s">
        <v>145</v>
      </c>
      <c r="C83" s="356">
        <f>Z47</f>
        <v>7.9999999986550086E-5</v>
      </c>
      <c r="D83" s="357">
        <f>(df-1)*C83/CHIINV(0.024,df-1)</f>
        <v>4.3430309669804579E-5</v>
      </c>
      <c r="E83" s="358">
        <f>(df-1)*C83/CHIINV(0.975,df-1)</f>
        <v>1.916278496375635E-4</v>
      </c>
      <c r="P83" s="80"/>
      <c r="Q83" s="80"/>
      <c r="R83" s="80"/>
      <c r="S83" s="80"/>
      <c r="T83" s="80"/>
      <c r="U83" s="80"/>
      <c r="V83" s="80"/>
      <c r="W83" s="80"/>
      <c r="X83" s="45"/>
      <c r="Y83" s="45"/>
      <c r="Z83" s="45"/>
      <c r="AA83" s="45"/>
      <c r="AB83" s="45"/>
      <c r="AC83" s="45"/>
      <c r="AD83" s="45"/>
      <c r="AE83" s="45"/>
      <c r="AF83" s="45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</row>
    <row r="84" spans="2:105" ht="18" customHeight="1" x14ac:dyDescent="0.25">
      <c r="B84" s="215" t="s">
        <v>147</v>
      </c>
      <c r="C84" s="359">
        <f>SQRT(C83)</f>
        <v>8.9442719092472853E-3</v>
      </c>
      <c r="D84" s="360">
        <f>SQRT(D83)</f>
        <v>6.5901676511151506E-3</v>
      </c>
      <c r="E84" s="361">
        <f>SQRT(E83)</f>
        <v>1.3842971127527626E-2</v>
      </c>
      <c r="G84" s="2" t="s">
        <v>160</v>
      </c>
      <c r="P84" s="80"/>
      <c r="Q84" s="80"/>
      <c r="R84" s="80"/>
      <c r="S84" s="80"/>
      <c r="T84" s="80"/>
      <c r="U84" s="80"/>
      <c r="V84" s="80"/>
      <c r="W84" s="80"/>
      <c r="X84" s="45"/>
      <c r="Y84" s="45"/>
      <c r="Z84" s="45"/>
      <c r="AA84" s="45"/>
      <c r="AB84" s="45"/>
      <c r="AC84" s="45"/>
      <c r="AD84" s="45"/>
      <c r="AE84" s="45"/>
      <c r="AF84" s="45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</row>
    <row r="85" spans="2:105" ht="18" customHeight="1" x14ac:dyDescent="0.25">
      <c r="B85" s="216" t="s">
        <v>149</v>
      </c>
      <c r="C85" s="217">
        <f>df-1</f>
        <v>15</v>
      </c>
      <c r="G85" s="2" t="s">
        <v>161</v>
      </c>
      <c r="P85" s="80"/>
      <c r="Q85" s="80"/>
      <c r="R85" s="80"/>
      <c r="S85" s="80"/>
      <c r="T85" s="80"/>
      <c r="U85" s="80"/>
      <c r="V85" s="80"/>
      <c r="W85" s="80"/>
      <c r="X85" s="45"/>
      <c r="Y85" s="45"/>
      <c r="Z85" s="45"/>
      <c r="AA85" s="45"/>
      <c r="AB85" s="45"/>
      <c r="AC85" s="45"/>
      <c r="AD85" s="45"/>
      <c r="AE85" s="45"/>
      <c r="AF85" s="45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</row>
    <row r="86" spans="2:105" ht="18" customHeight="1" x14ac:dyDescent="0.25">
      <c r="B86" s="215" t="s">
        <v>151</v>
      </c>
      <c r="C86" s="361">
        <f>Z35</f>
        <v>2.1314495455597742</v>
      </c>
      <c r="G86" s="2" t="s">
        <v>162</v>
      </c>
      <c r="P86" s="80"/>
      <c r="Q86" s="80"/>
      <c r="R86" s="80"/>
      <c r="S86" s="80"/>
      <c r="T86" s="80"/>
      <c r="U86" s="80"/>
      <c r="V86" s="80"/>
      <c r="W86" s="80"/>
      <c r="X86" s="45"/>
      <c r="Y86" s="45"/>
      <c r="Z86" s="45"/>
      <c r="AA86" s="45"/>
      <c r="AB86" s="45"/>
      <c r="AC86" s="45"/>
      <c r="AD86" s="45"/>
      <c r="AE86" s="45"/>
      <c r="AF86" s="45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6"/>
      <c r="CY86" s="106"/>
      <c r="CZ86" s="106"/>
      <c r="DA86" s="106"/>
    </row>
    <row r="87" spans="2:105" ht="18" customHeight="1" x14ac:dyDescent="0.2">
      <c r="G87" s="2" t="s">
        <v>163</v>
      </c>
      <c r="P87" s="80"/>
      <c r="Q87" s="80"/>
      <c r="R87" s="80"/>
      <c r="S87" s="80"/>
      <c r="T87" s="80"/>
      <c r="U87" s="80"/>
      <c r="V87" s="80"/>
      <c r="W87" s="80"/>
      <c r="X87" s="45"/>
      <c r="Y87" s="45"/>
      <c r="Z87" s="45"/>
      <c r="AA87" s="45"/>
      <c r="AB87" s="45"/>
      <c r="AC87" s="45"/>
      <c r="AD87" s="45"/>
      <c r="AE87" s="45"/>
      <c r="AF87" s="45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</row>
    <row r="88" spans="2:105" ht="18" customHeight="1" x14ac:dyDescent="0.2">
      <c r="B88" s="2" t="s">
        <v>164</v>
      </c>
      <c r="P88" s="80"/>
      <c r="Q88" s="80"/>
      <c r="R88" s="80"/>
      <c r="S88" s="80"/>
      <c r="T88" s="80"/>
      <c r="U88" s="80"/>
      <c r="V88" s="80"/>
      <c r="W88" s="80"/>
      <c r="X88" s="45"/>
      <c r="Y88" s="45"/>
      <c r="Z88" s="45"/>
      <c r="AA88" s="45"/>
      <c r="AB88" s="45"/>
      <c r="AC88" s="45"/>
      <c r="AD88" s="45"/>
      <c r="AE88" s="45"/>
      <c r="AF88" s="45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</row>
    <row r="89" spans="2:105" ht="18" customHeight="1" x14ac:dyDescent="0.2">
      <c r="B89" s="4" t="s">
        <v>165</v>
      </c>
      <c r="C89" s="376">
        <f>Z53</f>
        <v>219.68750003691122</v>
      </c>
      <c r="P89" s="80"/>
      <c r="Q89" s="80"/>
      <c r="R89" s="80"/>
      <c r="S89" s="80"/>
      <c r="T89" s="80"/>
      <c r="U89" s="80"/>
      <c r="V89" s="80"/>
      <c r="W89" s="80"/>
      <c r="X89" s="45"/>
      <c r="Y89" s="45"/>
      <c r="Z89" s="45"/>
      <c r="AA89" s="45"/>
      <c r="AB89" s="45"/>
      <c r="AC89" s="45"/>
      <c r="AD89" s="45"/>
      <c r="AE89" s="45"/>
      <c r="AF89" s="45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</row>
    <row r="90" spans="2:105" ht="18" customHeight="1" x14ac:dyDescent="0.2">
      <c r="B90" s="4" t="s">
        <v>166</v>
      </c>
      <c r="C90" s="374">
        <f>Z50</f>
        <v>2.3848750436598887</v>
      </c>
      <c r="D90" s="1" t="s">
        <v>167</v>
      </c>
      <c r="P90" s="80"/>
      <c r="Q90" s="80"/>
      <c r="R90" s="80"/>
      <c r="S90" s="80"/>
      <c r="T90" s="80"/>
      <c r="U90" s="80"/>
      <c r="V90" s="80"/>
      <c r="W90" s="80"/>
      <c r="X90" s="45"/>
      <c r="Y90" s="45"/>
      <c r="Z90" s="45"/>
      <c r="AA90" s="45"/>
      <c r="AB90" s="45"/>
      <c r="AC90" s="45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</row>
    <row r="91" spans="2:105" ht="18" customHeight="1" x14ac:dyDescent="0.2">
      <c r="B91" s="11" t="str">
        <f>B152</f>
        <v>The quadratic model produces a significantly smaller overall uncertainty of fit.</v>
      </c>
      <c r="P91" s="80"/>
      <c r="Q91" s="80"/>
      <c r="R91" s="80"/>
      <c r="S91" s="80"/>
      <c r="T91" s="80"/>
      <c r="U91" s="80"/>
      <c r="V91" s="80"/>
      <c r="W91" s="80"/>
      <c r="X91" s="45"/>
      <c r="Y91" s="45"/>
      <c r="Z91" s="45"/>
      <c r="AA91" s="45"/>
      <c r="AB91" s="45"/>
      <c r="AC91" s="45"/>
      <c r="AD91" s="45"/>
      <c r="AE91" s="45"/>
      <c r="AF91" s="45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6"/>
      <c r="CZ91" s="106"/>
      <c r="DA91" s="106"/>
    </row>
    <row r="92" spans="2:105" ht="18" customHeight="1" x14ac:dyDescent="0.2">
      <c r="B92" s="11" t="str">
        <f>B153</f>
        <v>The quadratic model appears to be the better choice.</v>
      </c>
      <c r="P92" s="80"/>
      <c r="Q92" s="80"/>
      <c r="R92" s="80"/>
      <c r="S92" s="80"/>
      <c r="T92" s="80"/>
      <c r="U92" s="80"/>
      <c r="V92" s="80"/>
      <c r="W92" s="80"/>
      <c r="X92" s="45"/>
      <c r="Y92" s="45"/>
      <c r="Z92" s="45"/>
      <c r="AA92" s="45"/>
      <c r="AB92" s="45"/>
      <c r="AC92" s="45"/>
      <c r="AD92" s="45"/>
      <c r="AE92" s="45"/>
      <c r="AF92" s="45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</row>
    <row r="93" spans="2:105" ht="18" customHeight="1" x14ac:dyDescent="0.2">
      <c r="B93" s="4"/>
      <c r="P93" s="80"/>
      <c r="Q93" s="80"/>
      <c r="R93" s="80"/>
      <c r="S93" s="80"/>
      <c r="T93" s="80"/>
      <c r="U93" s="80"/>
      <c r="V93" s="80"/>
      <c r="W93" s="80"/>
      <c r="X93" s="45"/>
      <c r="Y93" s="45"/>
      <c r="Z93" s="45"/>
      <c r="AA93" s="45"/>
      <c r="AB93" s="45"/>
      <c r="AC93" s="45"/>
      <c r="AD93" s="45"/>
      <c r="AE93" s="45"/>
      <c r="AF93" s="45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</row>
    <row r="94" spans="2:105" ht="18" customHeight="1" x14ac:dyDescent="0.2">
      <c r="B94" s="2" t="s">
        <v>168</v>
      </c>
      <c r="P94" s="80"/>
      <c r="Q94" s="80"/>
      <c r="R94" s="80"/>
      <c r="S94" s="80"/>
      <c r="T94" s="80"/>
      <c r="U94" s="80"/>
      <c r="V94" s="80"/>
      <c r="W94" s="80"/>
      <c r="X94" s="45"/>
      <c r="Y94" s="45"/>
      <c r="Z94" s="45"/>
      <c r="AA94" s="45"/>
      <c r="AB94" s="45"/>
      <c r="AC94" s="45"/>
      <c r="AD94" s="45"/>
      <c r="AE94" s="45"/>
      <c r="AF94" s="45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</row>
    <row r="95" spans="2:105" ht="18" customHeight="1" x14ac:dyDescent="0.2">
      <c r="B95" s="1" t="s">
        <v>169</v>
      </c>
      <c r="P95" s="80"/>
      <c r="Q95" s="80"/>
      <c r="R95" s="80"/>
      <c r="S95" s="80"/>
      <c r="T95" s="80"/>
      <c r="U95" s="80"/>
      <c r="V95" s="80"/>
      <c r="W95" s="80"/>
      <c r="X95" s="45"/>
      <c r="Y95" s="45"/>
      <c r="Z95" s="45"/>
      <c r="AA95" s="45"/>
      <c r="AB95" s="45"/>
      <c r="AC95" s="45"/>
      <c r="AD95" s="45"/>
      <c r="AE95" s="45"/>
      <c r="AF95" s="45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</row>
    <row r="96" spans="2:105" ht="18" customHeight="1" x14ac:dyDescent="0.25">
      <c r="B96" s="1" t="s">
        <v>170</v>
      </c>
      <c r="P96" s="80"/>
      <c r="Q96" s="80"/>
      <c r="R96" s="80"/>
      <c r="S96" s="80"/>
      <c r="T96" s="80"/>
      <c r="U96" s="80"/>
      <c r="V96" s="80"/>
      <c r="W96" s="80"/>
      <c r="X96" s="45"/>
      <c r="Y96" s="45"/>
      <c r="Z96" s="45"/>
      <c r="AA96" s="45"/>
      <c r="AB96" s="45"/>
      <c r="AC96" s="45"/>
      <c r="AD96" s="45"/>
      <c r="AE96" s="45"/>
      <c r="AF96" s="45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</row>
    <row r="97" spans="2:105" ht="18" customHeight="1" x14ac:dyDescent="0.2">
      <c r="P97" s="80"/>
      <c r="Q97" s="80"/>
      <c r="R97" s="80"/>
      <c r="S97" s="80"/>
      <c r="T97" s="80"/>
      <c r="U97" s="80"/>
      <c r="V97" s="80"/>
      <c r="W97" s="80"/>
      <c r="X97" s="45"/>
      <c r="Y97" s="45"/>
      <c r="Z97" s="45"/>
      <c r="AA97" s="45"/>
      <c r="AB97" s="45"/>
      <c r="AC97" s="45"/>
      <c r="AD97" s="45"/>
      <c r="AE97" s="45"/>
      <c r="AF97" s="45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</row>
    <row r="98" spans="2:105" ht="18" customHeight="1" x14ac:dyDescent="0.2">
      <c r="B98" s="218" t="s">
        <v>171</v>
      </c>
      <c r="C98" s="219"/>
      <c r="D98" s="220" t="s">
        <v>135</v>
      </c>
      <c r="E98" s="221"/>
      <c r="G98" s="2" t="s">
        <v>172</v>
      </c>
      <c r="P98" s="80"/>
      <c r="Q98" s="80"/>
      <c r="R98" s="80"/>
      <c r="S98" s="80"/>
      <c r="T98" s="80"/>
      <c r="U98" s="80"/>
      <c r="V98" s="80"/>
      <c r="W98" s="80"/>
      <c r="X98" s="45"/>
      <c r="Y98" s="45"/>
      <c r="Z98" s="45"/>
      <c r="AA98" s="45"/>
      <c r="AB98" s="45"/>
      <c r="AC98" s="45"/>
      <c r="AD98" s="45"/>
      <c r="AE98" s="45"/>
      <c r="AF98" s="45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</row>
    <row r="99" spans="2:105" ht="18" customHeight="1" x14ac:dyDescent="0.2">
      <c r="B99" s="222" t="s">
        <v>137</v>
      </c>
      <c r="C99" s="223" t="s">
        <v>138</v>
      </c>
      <c r="D99" s="224" t="s">
        <v>139</v>
      </c>
      <c r="E99" s="225" t="s">
        <v>140</v>
      </c>
      <c r="G99" s="2" t="s">
        <v>173</v>
      </c>
      <c r="P99" s="80"/>
      <c r="Q99" s="80"/>
      <c r="R99" s="80"/>
      <c r="S99" s="80"/>
      <c r="T99" s="80"/>
      <c r="U99" s="80"/>
      <c r="V99" s="80"/>
      <c r="W99" s="80"/>
      <c r="X99" s="45"/>
      <c r="Y99" s="45"/>
      <c r="Z99" s="45"/>
      <c r="AA99" s="45"/>
      <c r="AB99" s="45"/>
      <c r="AC99" s="45"/>
      <c r="AD99" s="45"/>
      <c r="AE99" s="45"/>
      <c r="AF99" s="45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</row>
    <row r="100" spans="2:105" ht="18" customHeight="1" x14ac:dyDescent="0.35">
      <c r="B100" s="226" t="s">
        <v>142</v>
      </c>
      <c r="C100" s="362">
        <f>AI30</f>
        <v>0.19999999999998863</v>
      </c>
      <c r="D100" s="363">
        <f>C100-AI35*SQRT(AI59)</f>
        <v>0.18914634821413528</v>
      </c>
      <c r="E100" s="364">
        <f>2*C100-D100</f>
        <v>0.21085365178584198</v>
      </c>
      <c r="P100" s="80"/>
      <c r="Q100" s="80"/>
      <c r="R100" s="80"/>
      <c r="S100" s="80"/>
      <c r="T100" s="80"/>
      <c r="U100" s="80"/>
      <c r="V100" s="80"/>
      <c r="W100" s="80"/>
      <c r="X100" s="45"/>
      <c r="Y100" s="45"/>
      <c r="Z100" s="45"/>
      <c r="AA100" s="45"/>
      <c r="AB100" s="45"/>
      <c r="AC100" s="45"/>
      <c r="AD100" s="45"/>
      <c r="AE100" s="45"/>
      <c r="AF100" s="45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</row>
    <row r="101" spans="2:105" ht="18" customHeight="1" x14ac:dyDescent="0.35">
      <c r="B101" s="226" t="s">
        <v>143</v>
      </c>
      <c r="C101" s="362">
        <f>AI31</f>
        <v>1.0000000000001137</v>
      </c>
      <c r="D101" s="363">
        <f>C101-AI35*SQRT(AJ60)</f>
        <v>0.97891775758367572</v>
      </c>
      <c r="E101" s="364">
        <f>2*C101-D101</f>
        <v>1.0210822424165515</v>
      </c>
      <c r="P101" s="80"/>
      <c r="Q101" s="80"/>
      <c r="R101" s="80"/>
      <c r="S101" s="80"/>
      <c r="T101" s="80"/>
      <c r="U101" s="80"/>
      <c r="V101" s="80"/>
      <c r="W101" s="80"/>
      <c r="X101" s="45"/>
      <c r="Y101" s="45"/>
      <c r="Z101" s="45"/>
      <c r="AA101" s="45"/>
      <c r="AB101" s="45"/>
      <c r="AC101" s="45"/>
      <c r="AD101" s="45"/>
      <c r="AE101" s="45"/>
      <c r="AF101" s="45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106"/>
      <c r="CY101" s="106"/>
      <c r="CZ101" s="106"/>
      <c r="DA101" s="106"/>
    </row>
    <row r="102" spans="2:105" ht="18" customHeight="1" x14ac:dyDescent="0.35">
      <c r="B102" s="226" t="s">
        <v>158</v>
      </c>
      <c r="C102" s="362">
        <f>AI32</f>
        <v>-4.9999999999997158E-2</v>
      </c>
      <c r="D102" s="363">
        <f>C102-AI35*SQRT(AK61)</f>
        <v>-6.0477109291459885E-2</v>
      </c>
      <c r="E102" s="364">
        <f>2*C102-D102</f>
        <v>-3.9522890708534431E-2</v>
      </c>
      <c r="P102" s="80"/>
      <c r="Q102" s="80"/>
      <c r="R102" s="80"/>
      <c r="S102" s="80"/>
      <c r="T102" s="80"/>
      <c r="U102" s="80"/>
      <c r="V102" s="80"/>
      <c r="W102" s="80"/>
      <c r="X102" s="45"/>
      <c r="Y102" s="45"/>
      <c r="Z102" s="45"/>
      <c r="AA102" s="45"/>
      <c r="AB102" s="45"/>
      <c r="AC102" s="45"/>
      <c r="AD102" s="45"/>
      <c r="AE102" s="45"/>
      <c r="AF102" s="45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  <c r="BV102" s="106"/>
      <c r="BW102" s="106"/>
      <c r="BX102" s="106"/>
      <c r="BY102" s="106"/>
      <c r="BZ102" s="106"/>
      <c r="CA102" s="106"/>
      <c r="CB102" s="106"/>
      <c r="CC102" s="106"/>
      <c r="CD102" s="106"/>
      <c r="CE102" s="106"/>
      <c r="CF102" s="106"/>
      <c r="CG102" s="106"/>
      <c r="CH102" s="106"/>
      <c r="CI102" s="106"/>
      <c r="CJ102" s="106"/>
      <c r="CK102" s="106"/>
      <c r="CL102" s="106"/>
      <c r="CM102" s="106"/>
      <c r="CN102" s="106"/>
      <c r="CO102" s="106"/>
      <c r="CP102" s="106"/>
      <c r="CQ102" s="106"/>
      <c r="CR102" s="106"/>
      <c r="CS102" s="106"/>
      <c r="CT102" s="106"/>
      <c r="CU102" s="106"/>
      <c r="CV102" s="106"/>
      <c r="CW102" s="106"/>
      <c r="CX102" s="106"/>
      <c r="CY102" s="106"/>
      <c r="CZ102" s="106"/>
      <c r="DA102" s="106"/>
    </row>
    <row r="103" spans="2:105" ht="18" customHeight="1" x14ac:dyDescent="0.35">
      <c r="B103" s="226" t="s">
        <v>174</v>
      </c>
      <c r="C103" s="362">
        <f>AI33</f>
        <v>3.5527136788005009E-15</v>
      </c>
      <c r="D103" s="363">
        <f>C103-AI35*SQRT(AL62)</f>
        <v>-1.3758813016849297E-3</v>
      </c>
      <c r="E103" s="364">
        <f>2*C103-D103</f>
        <v>1.3758813016920351E-3</v>
      </c>
      <c r="P103" s="80"/>
      <c r="Q103" s="80"/>
      <c r="R103" s="80"/>
      <c r="S103" s="80"/>
      <c r="T103" s="80"/>
      <c r="U103" s="80"/>
      <c r="V103" s="80"/>
      <c r="W103" s="80"/>
      <c r="X103" s="45"/>
      <c r="Y103" s="45"/>
      <c r="Z103" s="45"/>
      <c r="AA103" s="45"/>
      <c r="AB103" s="45"/>
      <c r="AC103" s="45"/>
      <c r="AD103" s="45"/>
      <c r="AE103" s="45"/>
      <c r="AF103" s="45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6"/>
      <c r="CS103" s="106"/>
      <c r="CT103" s="106"/>
      <c r="CU103" s="106"/>
      <c r="CV103" s="106"/>
      <c r="CW103" s="106"/>
      <c r="CX103" s="106"/>
      <c r="CY103" s="106"/>
      <c r="CZ103" s="106"/>
      <c r="DA103" s="106"/>
    </row>
    <row r="104" spans="2:105" ht="18" customHeight="1" x14ac:dyDescent="0.25">
      <c r="B104" s="226" t="s">
        <v>145</v>
      </c>
      <c r="C104" s="362">
        <f>AI47</f>
        <v>8.5714283883930875E-5</v>
      </c>
      <c r="D104" s="363">
        <f>C106*C104/CHIINV(0.024,C106)</f>
        <v>4.5700676817090572E-5</v>
      </c>
      <c r="E104" s="364">
        <f>C106*C104/CHIINV(0.975,C106)</f>
        <v>2.1319210642119988E-4</v>
      </c>
      <c r="P104" s="80"/>
      <c r="Q104" s="80"/>
      <c r="R104" s="80"/>
      <c r="S104" s="80"/>
      <c r="T104" s="80"/>
      <c r="U104" s="80"/>
      <c r="V104" s="80"/>
      <c r="W104" s="80"/>
      <c r="X104" s="45"/>
      <c r="Y104" s="45"/>
      <c r="Z104" s="45"/>
      <c r="AA104" s="45"/>
      <c r="AB104" s="45"/>
      <c r="AC104" s="45"/>
      <c r="AD104" s="45"/>
      <c r="AE104" s="45"/>
      <c r="AF104" s="45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  <c r="BV104" s="106"/>
      <c r="BW104" s="106"/>
      <c r="BX104" s="106"/>
      <c r="BY104" s="106"/>
      <c r="BZ104" s="106"/>
      <c r="CA104" s="106"/>
      <c r="CB104" s="106"/>
      <c r="CC104" s="106"/>
      <c r="CD104" s="106"/>
      <c r="CE104" s="106"/>
      <c r="CF104" s="106"/>
      <c r="CG104" s="106"/>
      <c r="CH104" s="106"/>
      <c r="CI104" s="106"/>
      <c r="CJ104" s="106"/>
      <c r="CK104" s="106"/>
      <c r="CL104" s="106"/>
      <c r="CM104" s="106"/>
      <c r="CN104" s="106"/>
      <c r="CO104" s="106"/>
      <c r="CP104" s="106"/>
      <c r="CQ104" s="106"/>
      <c r="CR104" s="106"/>
      <c r="CS104" s="106"/>
      <c r="CT104" s="106"/>
      <c r="CU104" s="106"/>
      <c r="CV104" s="106"/>
      <c r="CW104" s="106"/>
      <c r="CX104" s="106"/>
      <c r="CY104" s="106"/>
      <c r="CZ104" s="106"/>
      <c r="DA104" s="106"/>
    </row>
    <row r="105" spans="2:105" ht="18" customHeight="1" x14ac:dyDescent="0.25">
      <c r="B105" s="228" t="s">
        <v>147</v>
      </c>
      <c r="C105" s="365">
        <f>SQRT(C104)</f>
        <v>9.2582008988750554E-3</v>
      </c>
      <c r="D105" s="366">
        <f>SQRT(D104)</f>
        <v>6.760227571398064E-3</v>
      </c>
      <c r="E105" s="367">
        <f>SQRT(E104)</f>
        <v>1.4601099493572389E-2</v>
      </c>
      <c r="P105" s="80"/>
      <c r="Q105" s="80"/>
      <c r="R105" s="80"/>
      <c r="S105" s="80"/>
      <c r="T105" s="80"/>
      <c r="U105" s="80"/>
      <c r="V105" s="80"/>
      <c r="W105" s="80"/>
      <c r="X105" s="45"/>
      <c r="Y105" s="45"/>
      <c r="Z105" s="45"/>
      <c r="AA105" s="45"/>
      <c r="AB105" s="45"/>
      <c r="AC105" s="45"/>
      <c r="AD105" s="45"/>
      <c r="AE105" s="45"/>
      <c r="AF105" s="45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  <c r="BV105" s="106"/>
      <c r="BW105" s="106"/>
      <c r="BX105" s="106"/>
      <c r="BY105" s="106"/>
      <c r="BZ105" s="106"/>
      <c r="CA105" s="106"/>
      <c r="CB105" s="106"/>
      <c r="CC105" s="106"/>
      <c r="CD105" s="106"/>
      <c r="CE105" s="106"/>
      <c r="CF105" s="106"/>
      <c r="CG105" s="106"/>
      <c r="CH105" s="106"/>
      <c r="CI105" s="106"/>
      <c r="CJ105" s="106"/>
      <c r="CK105" s="106"/>
      <c r="CL105" s="106"/>
      <c r="CM105" s="106"/>
      <c r="CN105" s="106"/>
      <c r="CO105" s="106"/>
      <c r="CP105" s="106"/>
      <c r="CQ105" s="106"/>
      <c r="CR105" s="106"/>
      <c r="CS105" s="106"/>
      <c r="CT105" s="106"/>
      <c r="CU105" s="106"/>
      <c r="CV105" s="106"/>
      <c r="CW105" s="106"/>
      <c r="CX105" s="106"/>
      <c r="CY105" s="106"/>
      <c r="CZ105" s="106"/>
      <c r="DA105" s="106"/>
    </row>
    <row r="106" spans="2:105" ht="18" customHeight="1" x14ac:dyDescent="0.25">
      <c r="B106" s="229" t="s">
        <v>149</v>
      </c>
      <c r="C106" s="230">
        <f>n-4</f>
        <v>14</v>
      </c>
      <c r="P106" s="80"/>
      <c r="Q106" s="80"/>
      <c r="R106" s="80"/>
      <c r="S106" s="80"/>
      <c r="T106" s="80"/>
      <c r="U106" s="80"/>
      <c r="V106" s="80"/>
      <c r="W106" s="80"/>
      <c r="X106" s="45"/>
      <c r="Y106" s="45"/>
      <c r="Z106" s="45"/>
      <c r="AA106" s="45"/>
      <c r="AB106" s="45"/>
      <c r="AC106" s="45"/>
      <c r="AD106" s="45"/>
      <c r="AE106" s="45"/>
      <c r="AF106" s="45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I106" s="106"/>
      <c r="CJ106" s="106"/>
      <c r="CK106" s="106"/>
      <c r="CL106" s="106"/>
      <c r="CM106" s="106"/>
      <c r="CN106" s="106"/>
      <c r="CO106" s="106"/>
      <c r="CP106" s="106"/>
      <c r="CQ106" s="106"/>
      <c r="CR106" s="106"/>
      <c r="CS106" s="106"/>
      <c r="CT106" s="106"/>
      <c r="CU106" s="106"/>
      <c r="CV106" s="106"/>
      <c r="CW106" s="106"/>
      <c r="CX106" s="106"/>
      <c r="CY106" s="106"/>
      <c r="CZ106" s="106"/>
      <c r="DA106" s="106"/>
    </row>
    <row r="107" spans="2:105" ht="18" customHeight="1" x14ac:dyDescent="0.25">
      <c r="B107" s="228" t="s">
        <v>151</v>
      </c>
      <c r="C107" s="367">
        <f>AI35</f>
        <v>2.1447866879178044</v>
      </c>
      <c r="P107" s="80"/>
      <c r="Q107" s="80"/>
      <c r="R107" s="80"/>
      <c r="S107" s="80"/>
      <c r="T107" s="80"/>
      <c r="U107" s="80"/>
      <c r="V107" s="80"/>
      <c r="W107" s="80"/>
      <c r="X107" s="45"/>
      <c r="Y107" s="45"/>
      <c r="Z107" s="45"/>
      <c r="AA107" s="45"/>
      <c r="AB107" s="45"/>
      <c r="AC107" s="45"/>
      <c r="AD107" s="45"/>
      <c r="AE107" s="45"/>
      <c r="AF107" s="45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  <c r="BV107" s="106"/>
      <c r="BW107" s="106"/>
      <c r="BX107" s="106"/>
      <c r="BY107" s="106"/>
      <c r="BZ107" s="106"/>
      <c r="CA107" s="106"/>
      <c r="CB107" s="106"/>
      <c r="CC107" s="106"/>
      <c r="CD107" s="106"/>
      <c r="CE107" s="106"/>
      <c r="CF107" s="106"/>
      <c r="CG107" s="106"/>
      <c r="CH107" s="106"/>
      <c r="CI107" s="106"/>
      <c r="CJ107" s="106"/>
      <c r="CK107" s="106"/>
      <c r="CL107" s="106"/>
      <c r="CM107" s="106"/>
      <c r="CN107" s="106"/>
      <c r="CO107" s="106"/>
      <c r="CP107" s="106"/>
      <c r="CQ107" s="106"/>
      <c r="CR107" s="106"/>
      <c r="CS107" s="106"/>
      <c r="CT107" s="106"/>
      <c r="CU107" s="106"/>
      <c r="CV107" s="106"/>
      <c r="CW107" s="106"/>
      <c r="CX107" s="106"/>
      <c r="CY107" s="106"/>
      <c r="CZ107" s="106"/>
      <c r="DA107" s="106"/>
    </row>
    <row r="108" spans="2:105" ht="18" customHeight="1" x14ac:dyDescent="0.2">
      <c r="P108" s="80"/>
      <c r="Q108" s="80"/>
      <c r="R108" s="80"/>
      <c r="S108" s="80"/>
      <c r="T108" s="80"/>
      <c r="U108" s="80"/>
      <c r="V108" s="80"/>
      <c r="W108" s="80"/>
      <c r="X108" s="45"/>
      <c r="Y108" s="45"/>
      <c r="Z108" s="45"/>
      <c r="AA108" s="45"/>
      <c r="AB108" s="45"/>
      <c r="AC108" s="45"/>
      <c r="AD108" s="45"/>
      <c r="AE108" s="45"/>
      <c r="AF108" s="45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  <c r="CP108" s="106"/>
      <c r="CQ108" s="106"/>
      <c r="CR108" s="106"/>
      <c r="CS108" s="106"/>
      <c r="CT108" s="106"/>
      <c r="CU108" s="106"/>
      <c r="CV108" s="106"/>
      <c r="CW108" s="106"/>
      <c r="CX108" s="106"/>
      <c r="CY108" s="106"/>
      <c r="CZ108" s="106"/>
      <c r="DA108" s="106"/>
    </row>
    <row r="109" spans="2:105" ht="18" customHeight="1" x14ac:dyDescent="0.2">
      <c r="B109" s="2" t="s">
        <v>175</v>
      </c>
      <c r="P109" s="80"/>
      <c r="Q109" s="80"/>
      <c r="R109" s="80"/>
      <c r="S109" s="80"/>
      <c r="T109" s="80"/>
      <c r="U109" s="80"/>
      <c r="V109" s="80"/>
      <c r="W109" s="80"/>
      <c r="X109" s="45"/>
      <c r="Y109" s="45"/>
      <c r="Z109" s="45"/>
      <c r="AA109" s="45"/>
      <c r="AB109" s="45"/>
      <c r="AC109" s="45"/>
      <c r="AD109" s="45"/>
      <c r="AE109" s="45"/>
      <c r="AF109" s="45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6"/>
      <c r="CE109" s="106"/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  <c r="CP109" s="106"/>
      <c r="CQ109" s="106"/>
      <c r="CR109" s="106"/>
      <c r="CS109" s="106"/>
      <c r="CT109" s="106"/>
      <c r="CU109" s="106"/>
      <c r="CV109" s="106"/>
      <c r="CW109" s="106"/>
      <c r="CX109" s="106"/>
      <c r="CY109" s="106"/>
      <c r="CZ109" s="106"/>
      <c r="DA109" s="106"/>
    </row>
    <row r="110" spans="2:105" ht="18" customHeight="1" x14ac:dyDescent="0.2">
      <c r="B110" s="4" t="s">
        <v>165</v>
      </c>
      <c r="C110" s="374">
        <f>(C83/C104)</f>
        <v>0.93333335310694854</v>
      </c>
      <c r="P110" s="80"/>
      <c r="Q110" s="80"/>
      <c r="R110" s="80"/>
      <c r="S110" s="80"/>
      <c r="T110" s="80"/>
      <c r="U110" s="80"/>
      <c r="V110" s="80"/>
      <c r="W110" s="80"/>
      <c r="X110" s="45"/>
      <c r="Y110" s="45"/>
      <c r="Z110" s="45"/>
      <c r="AA110" s="45"/>
      <c r="AB110" s="45"/>
      <c r="AC110" s="45"/>
      <c r="AD110" s="45"/>
      <c r="AE110" s="45"/>
      <c r="AF110" s="45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106"/>
      <c r="CX110" s="106"/>
      <c r="CY110" s="106"/>
      <c r="CZ110" s="106"/>
      <c r="DA110" s="106"/>
    </row>
    <row r="111" spans="2:105" ht="18" customHeight="1" x14ac:dyDescent="0.2">
      <c r="B111" s="4" t="s">
        <v>166</v>
      </c>
      <c r="C111" s="374">
        <f>AI50</f>
        <v>2.4630031048756633</v>
      </c>
      <c r="D111" s="1" t="s">
        <v>167</v>
      </c>
      <c r="P111" s="80"/>
      <c r="Q111" s="80"/>
      <c r="R111" s="80"/>
      <c r="S111" s="80"/>
      <c r="T111" s="80"/>
      <c r="U111" s="80"/>
      <c r="V111" s="80"/>
      <c r="W111" s="80"/>
      <c r="X111" s="45"/>
      <c r="Y111" s="45"/>
      <c r="Z111" s="45"/>
      <c r="AA111" s="45"/>
      <c r="AB111" s="45"/>
      <c r="AC111" s="45"/>
      <c r="AD111" s="45"/>
      <c r="AE111" s="45"/>
      <c r="AF111" s="45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X111" s="106"/>
      <c r="CY111" s="106"/>
      <c r="CZ111" s="106"/>
      <c r="DA111" s="106"/>
    </row>
    <row r="112" spans="2:105" ht="18" customHeight="1" x14ac:dyDescent="0.2">
      <c r="B112" s="9" t="str">
        <f>IF(C110&gt;C111,"The cubic model produces a significantly smaller overall uncertainty of fit.","The overall uncertainties of fit are not significantly different at the 5% level.")</f>
        <v>The overall uncertainties of fit are not significantly different at the 5% level.</v>
      </c>
      <c r="P112" s="80"/>
      <c r="Q112" s="80"/>
      <c r="R112" s="80"/>
      <c r="S112" s="80"/>
      <c r="T112" s="80"/>
      <c r="U112" s="80"/>
      <c r="V112" s="80"/>
      <c r="W112" s="80"/>
      <c r="X112" s="45"/>
      <c r="Y112" s="45"/>
      <c r="Z112" s="45"/>
      <c r="AA112" s="45"/>
      <c r="AB112" s="45"/>
      <c r="AC112" s="45"/>
      <c r="AD112" s="45"/>
      <c r="AE112" s="45"/>
      <c r="AF112" s="45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</row>
    <row r="113" spans="2:105" ht="18" customHeight="1" x14ac:dyDescent="0.2">
      <c r="B113" s="9" t="str">
        <f>IF(C110&gt;C111,"The cubic model appears to be a better choice than quadratic.","The quadratic model appears to be a better choice than cubic.")</f>
        <v>The quadratic model appears to be a better choice than cubic.</v>
      </c>
      <c r="P113" s="80"/>
      <c r="Q113" s="80"/>
      <c r="R113" s="80"/>
      <c r="S113" s="80"/>
      <c r="T113" s="80"/>
      <c r="U113" s="80"/>
      <c r="V113" s="80"/>
      <c r="W113" s="80"/>
      <c r="X113" s="45"/>
      <c r="Y113" s="45"/>
      <c r="Z113" s="45"/>
      <c r="AA113" s="45"/>
      <c r="AB113" s="45"/>
      <c r="AC113" s="45"/>
      <c r="AD113" s="45"/>
      <c r="AE113" s="45"/>
      <c r="AF113" s="45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X113" s="106"/>
      <c r="CY113" s="106"/>
      <c r="CZ113" s="106"/>
      <c r="DA113" s="106"/>
    </row>
    <row r="114" spans="2:105" ht="18" customHeight="1" x14ac:dyDescent="0.2">
      <c r="P114" s="80"/>
      <c r="Q114" s="80"/>
      <c r="R114" s="80"/>
      <c r="S114" s="80"/>
      <c r="T114" s="80"/>
      <c r="U114" s="80"/>
      <c r="V114" s="80"/>
      <c r="W114" s="80"/>
      <c r="X114" s="45"/>
      <c r="Y114" s="45"/>
      <c r="Z114" s="45"/>
      <c r="AA114" s="45"/>
      <c r="AB114" s="45"/>
      <c r="AC114" s="45"/>
      <c r="AD114" s="45"/>
      <c r="AE114" s="45"/>
      <c r="AF114" s="45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6"/>
      <c r="CW114" s="106"/>
      <c r="CX114" s="106"/>
      <c r="CY114" s="106"/>
      <c r="CZ114" s="106"/>
      <c r="DA114" s="106"/>
    </row>
    <row r="115" spans="2:105" ht="18" customHeight="1" x14ac:dyDescent="0.2">
      <c r="B115" s="231" t="s">
        <v>176</v>
      </c>
      <c r="C115" s="232"/>
      <c r="D115" s="233" t="s">
        <v>135</v>
      </c>
      <c r="E115" s="234"/>
      <c r="P115" s="80"/>
      <c r="Q115" s="80"/>
      <c r="R115" s="80"/>
      <c r="S115" s="80"/>
      <c r="T115" s="80"/>
      <c r="U115" s="80"/>
      <c r="V115" s="80"/>
      <c r="W115" s="80"/>
      <c r="X115" s="45"/>
      <c r="Y115" s="45"/>
      <c r="Z115" s="45"/>
      <c r="AA115" s="45"/>
      <c r="AB115" s="45"/>
      <c r="AC115" s="45"/>
      <c r="AD115" s="45"/>
      <c r="AE115" s="45"/>
      <c r="AF115" s="45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  <c r="CV115" s="106"/>
      <c r="CW115" s="106"/>
      <c r="CX115" s="106"/>
      <c r="CY115" s="106"/>
      <c r="CZ115" s="106"/>
      <c r="DA115" s="106"/>
    </row>
    <row r="116" spans="2:105" ht="18" customHeight="1" x14ac:dyDescent="0.2">
      <c r="B116" s="235" t="s">
        <v>137</v>
      </c>
      <c r="C116" s="236" t="s">
        <v>138</v>
      </c>
      <c r="D116" s="237" t="s">
        <v>139</v>
      </c>
      <c r="E116" s="238" t="s">
        <v>140</v>
      </c>
      <c r="P116" s="80"/>
      <c r="Q116" s="80"/>
      <c r="R116" s="80"/>
      <c r="S116" s="80"/>
      <c r="T116" s="80"/>
      <c r="U116" s="80"/>
      <c r="V116" s="80"/>
      <c r="W116" s="80"/>
      <c r="X116" s="45"/>
      <c r="Y116" s="45"/>
      <c r="Z116" s="45"/>
      <c r="AA116" s="45"/>
      <c r="AB116" s="45"/>
      <c r="AC116" s="45"/>
      <c r="AD116" s="45"/>
      <c r="AE116" s="45"/>
      <c r="AF116" s="45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</row>
    <row r="117" spans="2:105" ht="18" customHeight="1" x14ac:dyDescent="0.35">
      <c r="B117" s="239" t="s">
        <v>142</v>
      </c>
      <c r="C117" s="368">
        <f>BN26</f>
        <v>0.19999999999991758</v>
      </c>
      <c r="D117" s="369">
        <f>C117-$C$125*SQRT(BL59)</f>
        <v>0.18804023175698639</v>
      </c>
      <c r="E117" s="370">
        <f>2*C117-D117</f>
        <v>0.21195976824284876</v>
      </c>
      <c r="P117" s="80"/>
      <c r="Q117" s="80"/>
      <c r="R117" s="80"/>
      <c r="S117" s="80"/>
      <c r="T117" s="80"/>
      <c r="U117" s="80"/>
      <c r="V117" s="80"/>
      <c r="W117" s="80"/>
      <c r="X117" s="45"/>
      <c r="Y117" s="45"/>
      <c r="Z117" s="45"/>
      <c r="AA117" s="45"/>
      <c r="AB117" s="45"/>
      <c r="AC117" s="45"/>
      <c r="AD117" s="45"/>
      <c r="AE117" s="45"/>
      <c r="AF117" s="45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  <c r="CV117" s="106"/>
      <c r="CW117" s="106"/>
      <c r="CX117" s="106"/>
      <c r="CY117" s="106"/>
      <c r="CZ117" s="106"/>
      <c r="DA117" s="106"/>
    </row>
    <row r="118" spans="2:105" ht="18" customHeight="1" x14ac:dyDescent="0.35">
      <c r="B118" s="239" t="s">
        <v>143</v>
      </c>
      <c r="C118" s="368">
        <f>BN27</f>
        <v>1</v>
      </c>
      <c r="D118" s="369">
        <f>C118-$C$125*SQRT(BM60)</f>
        <v>0.95589807138380145</v>
      </c>
      <c r="E118" s="370">
        <f>2*C118-D118</f>
        <v>1.0441019286161985</v>
      </c>
      <c r="P118" s="80"/>
      <c r="Q118" s="80"/>
      <c r="R118" s="80"/>
      <c r="S118" s="80"/>
      <c r="T118" s="80"/>
      <c r="U118" s="80"/>
      <c r="V118" s="80"/>
      <c r="W118" s="80"/>
      <c r="X118" s="45"/>
      <c r="Y118" s="45"/>
      <c r="Z118" s="45"/>
      <c r="AA118" s="45"/>
      <c r="AB118" s="45"/>
      <c r="AC118" s="45"/>
      <c r="AD118" s="45"/>
      <c r="AE118" s="45"/>
      <c r="AF118" s="45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  <c r="BV118" s="106"/>
      <c r="BW118" s="106"/>
      <c r="BX118" s="106"/>
      <c r="BY118" s="106"/>
      <c r="BZ118" s="106"/>
      <c r="CA118" s="106"/>
      <c r="CB118" s="106"/>
      <c r="CC118" s="106"/>
      <c r="CD118" s="106"/>
      <c r="CE118" s="106"/>
      <c r="CF118" s="106"/>
      <c r="CG118" s="106"/>
      <c r="CH118" s="106"/>
      <c r="CI118" s="106"/>
      <c r="CJ118" s="106"/>
      <c r="CK118" s="106"/>
      <c r="CL118" s="106"/>
      <c r="CM118" s="106"/>
      <c r="CN118" s="106"/>
      <c r="CO118" s="106"/>
      <c r="CP118" s="106"/>
      <c r="CQ118" s="106"/>
      <c r="CR118" s="106"/>
      <c r="CS118" s="106"/>
      <c r="CT118" s="106"/>
      <c r="CU118" s="106"/>
      <c r="CV118" s="106"/>
      <c r="CW118" s="106"/>
      <c r="CX118" s="106"/>
      <c r="CY118" s="106"/>
      <c r="CZ118" s="106"/>
      <c r="DA118" s="106"/>
    </row>
    <row r="119" spans="2:105" ht="18" customHeight="1" x14ac:dyDescent="0.35">
      <c r="B119" s="239" t="s">
        <v>158</v>
      </c>
      <c r="C119" s="368">
        <f>BN28</f>
        <v>-5.0000000000181899E-2</v>
      </c>
      <c r="D119" s="369">
        <f>C119-$C$125*SQRT(BN61)</f>
        <v>-9.2129317965497115E-2</v>
      </c>
      <c r="E119" s="370">
        <f>2*C119-D119</f>
        <v>-7.8706820348666828E-3</v>
      </c>
      <c r="P119" s="80"/>
      <c r="Q119" s="80"/>
      <c r="R119" s="80"/>
      <c r="S119" s="80"/>
      <c r="T119" s="80"/>
      <c r="U119" s="80"/>
      <c r="V119" s="80"/>
      <c r="W119" s="80"/>
      <c r="X119" s="45"/>
      <c r="Y119" s="45"/>
      <c r="Z119" s="45"/>
      <c r="AA119" s="45"/>
      <c r="AB119" s="45"/>
      <c r="AC119" s="45"/>
      <c r="AD119" s="45"/>
      <c r="AE119" s="45"/>
      <c r="AF119" s="45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  <c r="BV119" s="106"/>
      <c r="BW119" s="106"/>
      <c r="BX119" s="106"/>
      <c r="BY119" s="106"/>
      <c r="BZ119" s="106"/>
      <c r="CA119" s="106"/>
      <c r="CB119" s="106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  <c r="CV119" s="106"/>
      <c r="CW119" s="106"/>
      <c r="CX119" s="106"/>
      <c r="CY119" s="106"/>
      <c r="CZ119" s="106"/>
      <c r="DA119" s="106"/>
    </row>
    <row r="120" spans="2:105" ht="18" customHeight="1" x14ac:dyDescent="0.35">
      <c r="B120" s="239" t="s">
        <v>174</v>
      </c>
      <c r="C120" s="368">
        <f>BN29</f>
        <v>1.7053025658242404E-13</v>
      </c>
      <c r="D120" s="369">
        <f>C120-$C$125*SQRT(BO62)</f>
        <v>-1.3294255358445814E-2</v>
      </c>
      <c r="E120" s="370">
        <f>2*C120-D120</f>
        <v>1.3294255358786875E-2</v>
      </c>
      <c r="P120" s="80"/>
      <c r="Q120" s="80"/>
      <c r="R120" s="80"/>
      <c r="S120" s="80"/>
      <c r="T120" s="80"/>
      <c r="U120" s="80"/>
      <c r="V120" s="80"/>
      <c r="W120" s="80"/>
      <c r="X120" s="45"/>
      <c r="Y120" s="45"/>
      <c r="Z120" s="45"/>
      <c r="AA120" s="45"/>
      <c r="AB120" s="45"/>
      <c r="AC120" s="45"/>
      <c r="AD120" s="45"/>
      <c r="AE120" s="45"/>
      <c r="AF120" s="45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  <c r="CV120" s="106"/>
      <c r="CW120" s="106"/>
      <c r="CX120" s="106"/>
      <c r="CY120" s="106"/>
      <c r="CZ120" s="106"/>
      <c r="DA120" s="106"/>
    </row>
    <row r="121" spans="2:105" ht="18" customHeight="1" x14ac:dyDescent="0.35">
      <c r="B121" s="239" t="s">
        <v>177</v>
      </c>
      <c r="C121" s="368">
        <f>BN30</f>
        <v>-2.1316282072803006E-14</v>
      </c>
      <c r="D121" s="369">
        <f>C121-$C$125*SQRT(BP63)</f>
        <v>-1.3210642860459268E-3</v>
      </c>
      <c r="E121" s="370">
        <f>2*C121-D121</f>
        <v>1.3210642860032942E-3</v>
      </c>
      <c r="P121" s="80"/>
      <c r="Q121" s="80"/>
      <c r="R121" s="80"/>
      <c r="S121" s="80"/>
      <c r="T121" s="80"/>
      <c r="U121" s="80"/>
      <c r="V121" s="80"/>
      <c r="W121" s="80"/>
      <c r="X121" s="45"/>
      <c r="Y121" s="45"/>
      <c r="Z121" s="45"/>
      <c r="AA121" s="45"/>
      <c r="AB121" s="45"/>
      <c r="AC121" s="45"/>
      <c r="AD121" s="45"/>
      <c r="AE121" s="45"/>
      <c r="AF121" s="45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  <c r="BY121" s="106"/>
      <c r="BZ121" s="106"/>
      <c r="CA121" s="106"/>
      <c r="CB121" s="106"/>
      <c r="CC121" s="106"/>
      <c r="CD121" s="106"/>
      <c r="CE121" s="106"/>
      <c r="CF121" s="106"/>
      <c r="CG121" s="106"/>
      <c r="CH121" s="106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106"/>
      <c r="CU121" s="106"/>
      <c r="CV121" s="106"/>
      <c r="CW121" s="106"/>
      <c r="CX121" s="106"/>
      <c r="CY121" s="106"/>
      <c r="CZ121" s="106"/>
      <c r="DA121" s="106"/>
    </row>
    <row r="122" spans="2:105" ht="18" customHeight="1" x14ac:dyDescent="0.25">
      <c r="B122" s="239" t="s">
        <v>145</v>
      </c>
      <c r="C122" s="368">
        <f>BL47</f>
        <v>9.2307686510541593E-5</v>
      </c>
      <c r="D122" s="369">
        <f>C124*C122/CHIINV(0.024,C124)</f>
        <v>4.8248680972274354E-5</v>
      </c>
      <c r="E122" s="370">
        <f>C124*C122/CHIINV(0.975,C124)</f>
        <v>2.3958069418860317E-4</v>
      </c>
      <c r="P122" s="80"/>
      <c r="Q122" s="80"/>
      <c r="R122" s="80"/>
      <c r="S122" s="80"/>
      <c r="T122" s="80"/>
      <c r="U122" s="80"/>
      <c r="V122" s="80"/>
      <c r="W122" s="80"/>
      <c r="X122" s="45"/>
      <c r="Y122" s="45"/>
      <c r="Z122" s="45"/>
      <c r="AA122" s="45"/>
      <c r="AB122" s="45"/>
      <c r="AC122" s="45"/>
      <c r="AD122" s="45"/>
      <c r="AE122" s="45"/>
      <c r="AF122" s="45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6"/>
      <c r="CS122" s="106"/>
      <c r="CT122" s="106"/>
      <c r="CU122" s="106"/>
      <c r="CV122" s="106"/>
      <c r="CW122" s="106"/>
      <c r="CX122" s="106"/>
      <c r="CY122" s="106"/>
      <c r="CZ122" s="106"/>
      <c r="DA122" s="106"/>
    </row>
    <row r="123" spans="2:105" ht="18" customHeight="1" x14ac:dyDescent="0.25">
      <c r="B123" s="240" t="s">
        <v>147</v>
      </c>
      <c r="C123" s="371">
        <f>C122^0.5</f>
        <v>9.6076889266119344E-3</v>
      </c>
      <c r="D123" s="372">
        <f>D122^0.5</f>
        <v>6.946127048382743E-3</v>
      </c>
      <c r="E123" s="373">
        <f>E122^0.5</f>
        <v>1.5478394431871904E-2</v>
      </c>
      <c r="P123" s="80"/>
      <c r="Q123" s="80"/>
      <c r="R123" s="80"/>
      <c r="S123" s="80"/>
      <c r="T123" s="80"/>
      <c r="U123" s="80"/>
      <c r="V123" s="80"/>
      <c r="W123" s="80"/>
      <c r="X123" s="45"/>
      <c r="Y123" s="45"/>
      <c r="Z123" s="45"/>
      <c r="AA123" s="45"/>
      <c r="AB123" s="45"/>
      <c r="AC123" s="45"/>
      <c r="AD123" s="45"/>
      <c r="AE123" s="45"/>
      <c r="AF123" s="45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</row>
    <row r="124" spans="2:105" ht="18" customHeight="1" x14ac:dyDescent="0.25">
      <c r="B124" s="241" t="s">
        <v>149</v>
      </c>
      <c r="C124" s="114">
        <f>n-5</f>
        <v>13</v>
      </c>
      <c r="P124" s="80"/>
      <c r="Q124" s="80"/>
      <c r="R124" s="80"/>
      <c r="S124" s="80"/>
      <c r="T124" s="80"/>
      <c r="U124" s="80"/>
      <c r="V124" s="80"/>
      <c r="W124" s="80"/>
      <c r="X124" s="45"/>
      <c r="Y124" s="45"/>
      <c r="Z124" s="45"/>
      <c r="AA124" s="45"/>
      <c r="AB124" s="45"/>
      <c r="AC124" s="45"/>
      <c r="AD124" s="45"/>
      <c r="AE124" s="45"/>
      <c r="AF124" s="45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  <c r="BV124" s="106"/>
      <c r="BW124" s="106"/>
      <c r="BX124" s="106"/>
      <c r="BY124" s="106"/>
      <c r="BZ124" s="106"/>
      <c r="CA124" s="106"/>
      <c r="CB124" s="106"/>
      <c r="CC124" s="106"/>
      <c r="CD124" s="106"/>
      <c r="CE124" s="106"/>
      <c r="CF124" s="106"/>
      <c r="CG124" s="106"/>
      <c r="CH124" s="106"/>
      <c r="CI124" s="106"/>
      <c r="CJ124" s="106"/>
      <c r="CK124" s="106"/>
      <c r="CL124" s="106"/>
      <c r="CM124" s="106"/>
      <c r="CN124" s="106"/>
      <c r="CO124" s="106"/>
      <c r="CP124" s="106"/>
      <c r="CQ124" s="106"/>
      <c r="CR124" s="106"/>
      <c r="CS124" s="106"/>
      <c r="CT124" s="106"/>
      <c r="CU124" s="106"/>
      <c r="CV124" s="106"/>
      <c r="CW124" s="106"/>
      <c r="CX124" s="106"/>
      <c r="CY124" s="106"/>
      <c r="CZ124" s="106"/>
      <c r="DA124" s="106"/>
    </row>
    <row r="125" spans="2:105" ht="18" customHeight="1" x14ac:dyDescent="0.25">
      <c r="B125" s="240" t="s">
        <v>151</v>
      </c>
      <c r="C125" s="373">
        <f>BL35</f>
        <v>2.1603686564627926</v>
      </c>
      <c r="P125" s="80"/>
      <c r="Q125" s="80"/>
      <c r="R125" s="80"/>
      <c r="S125" s="80"/>
      <c r="T125" s="80"/>
      <c r="U125" s="80"/>
      <c r="V125" s="80"/>
      <c r="W125" s="80"/>
      <c r="X125" s="45"/>
      <c r="Y125" s="45"/>
      <c r="Z125" s="45"/>
      <c r="AA125" s="45"/>
      <c r="AB125" s="45"/>
      <c r="AC125" s="45"/>
      <c r="AD125" s="45"/>
      <c r="AE125" s="45"/>
      <c r="AF125" s="45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  <c r="BV125" s="106"/>
      <c r="BW125" s="106"/>
      <c r="BX125" s="106"/>
      <c r="BY125" s="106"/>
      <c r="BZ125" s="106"/>
      <c r="CA125" s="106"/>
      <c r="CB125" s="106"/>
      <c r="CC125" s="106"/>
      <c r="CD125" s="106"/>
      <c r="CE125" s="106"/>
      <c r="CF125" s="106"/>
      <c r="CG125" s="106"/>
      <c r="CH125" s="106"/>
      <c r="CI125" s="106"/>
      <c r="CJ125" s="106"/>
      <c r="CK125" s="106"/>
      <c r="CL125" s="106"/>
      <c r="CM125" s="106"/>
      <c r="CN125" s="106"/>
      <c r="CO125" s="106"/>
      <c r="CP125" s="106"/>
      <c r="CQ125" s="106"/>
      <c r="CR125" s="106"/>
      <c r="CS125" s="106"/>
      <c r="CT125" s="106"/>
      <c r="CU125" s="106"/>
      <c r="CV125" s="106"/>
      <c r="CW125" s="106"/>
      <c r="CX125" s="106"/>
      <c r="CY125" s="106"/>
      <c r="CZ125" s="106"/>
      <c r="DA125" s="106"/>
    </row>
    <row r="126" spans="2:105" ht="18" customHeight="1" x14ac:dyDescent="0.2">
      <c r="P126" s="80"/>
      <c r="Q126" s="80"/>
      <c r="R126" s="80"/>
      <c r="S126" s="80"/>
      <c r="T126" s="80"/>
      <c r="U126" s="80"/>
      <c r="V126" s="80"/>
      <c r="W126" s="80"/>
      <c r="X126" s="45"/>
      <c r="Y126" s="45"/>
      <c r="Z126" s="45"/>
      <c r="AA126" s="45"/>
      <c r="AB126" s="45"/>
      <c r="AC126" s="45"/>
      <c r="AD126" s="45"/>
      <c r="AE126" s="45"/>
      <c r="AF126" s="45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  <c r="BW126" s="106"/>
      <c r="BX126" s="106"/>
      <c r="BY126" s="106"/>
      <c r="BZ126" s="106"/>
      <c r="CA126" s="106"/>
      <c r="CB126" s="106"/>
      <c r="CC126" s="106"/>
      <c r="CD126" s="106"/>
      <c r="CE126" s="106"/>
      <c r="CF126" s="106"/>
      <c r="CG126" s="106"/>
      <c r="CH126" s="106"/>
      <c r="CI126" s="106"/>
      <c r="CJ126" s="106"/>
      <c r="CK126" s="106"/>
      <c r="CL126" s="106"/>
      <c r="CM126" s="106"/>
      <c r="CN126" s="106"/>
      <c r="CO126" s="106"/>
      <c r="CP126" s="106"/>
      <c r="CQ126" s="106"/>
      <c r="CR126" s="106"/>
      <c r="CS126" s="106"/>
      <c r="CT126" s="106"/>
      <c r="CU126" s="106"/>
      <c r="CV126" s="106"/>
      <c r="CW126" s="106"/>
      <c r="CX126" s="106"/>
      <c r="CY126" s="106"/>
      <c r="CZ126" s="106"/>
      <c r="DA126" s="106"/>
    </row>
    <row r="127" spans="2:105" ht="18" customHeight="1" x14ac:dyDescent="0.2">
      <c r="B127" s="2" t="s">
        <v>175</v>
      </c>
      <c r="P127" s="80"/>
      <c r="Q127" s="80"/>
      <c r="R127" s="80"/>
      <c r="S127" s="80"/>
      <c r="T127" s="80"/>
      <c r="U127" s="80"/>
      <c r="V127" s="80"/>
      <c r="W127" s="80"/>
      <c r="X127" s="45"/>
      <c r="Y127" s="45"/>
      <c r="Z127" s="45"/>
      <c r="AA127" s="45"/>
      <c r="AB127" s="45"/>
      <c r="AC127" s="45"/>
      <c r="AD127" s="45"/>
      <c r="AE127" s="45"/>
      <c r="AF127" s="45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6"/>
      <c r="CI127" s="106"/>
      <c r="CJ127" s="106"/>
      <c r="CK127" s="106"/>
      <c r="CL127" s="106"/>
      <c r="CM127" s="106"/>
      <c r="CN127" s="106"/>
      <c r="CO127" s="106"/>
      <c r="CP127" s="106"/>
      <c r="CQ127" s="106"/>
      <c r="CR127" s="106"/>
      <c r="CS127" s="106"/>
      <c r="CT127" s="106"/>
      <c r="CU127" s="106"/>
      <c r="CV127" s="106"/>
      <c r="CW127" s="106"/>
      <c r="CX127" s="106"/>
      <c r="CY127" s="106"/>
      <c r="CZ127" s="106"/>
      <c r="DA127" s="106"/>
    </row>
    <row r="128" spans="2:105" ht="18" customHeight="1" x14ac:dyDescent="0.2">
      <c r="B128" s="4" t="s">
        <v>178</v>
      </c>
      <c r="C128" s="374">
        <f>(C104/C122)</f>
        <v>0.92857146705916249</v>
      </c>
      <c r="P128" s="80"/>
      <c r="Q128" s="80"/>
      <c r="R128" s="80"/>
      <c r="S128" s="80"/>
      <c r="T128" s="80"/>
      <c r="U128" s="80"/>
      <c r="V128" s="80"/>
      <c r="W128" s="80"/>
      <c r="X128" s="45"/>
      <c r="Y128" s="45"/>
      <c r="Z128" s="45"/>
      <c r="AA128" s="45"/>
      <c r="AB128" s="45"/>
      <c r="AC128" s="45"/>
      <c r="AD128" s="45"/>
      <c r="AE128" s="45"/>
      <c r="AF128" s="45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  <c r="BV128" s="106"/>
      <c r="BW128" s="106"/>
      <c r="BX128" s="106"/>
      <c r="BY128" s="106"/>
      <c r="BZ128" s="106"/>
      <c r="CA128" s="106"/>
      <c r="CB128" s="106"/>
      <c r="CC128" s="106"/>
      <c r="CD128" s="106"/>
      <c r="CE128" s="106"/>
      <c r="CF128" s="106"/>
      <c r="CG128" s="106"/>
      <c r="CH128" s="106"/>
      <c r="CI128" s="106"/>
      <c r="CJ128" s="106"/>
      <c r="CK128" s="106"/>
      <c r="CL128" s="106"/>
      <c r="CM128" s="106"/>
      <c r="CN128" s="106"/>
      <c r="CO128" s="106"/>
      <c r="CP128" s="106"/>
      <c r="CQ128" s="106"/>
      <c r="CR128" s="106"/>
      <c r="CS128" s="106"/>
      <c r="CT128" s="106"/>
      <c r="CU128" s="106"/>
      <c r="CV128" s="106"/>
      <c r="CW128" s="106"/>
      <c r="CX128" s="106"/>
      <c r="CY128" s="106"/>
      <c r="CZ128" s="106"/>
      <c r="DA128" s="106"/>
    </row>
    <row r="129" spans="2:105" ht="18" customHeight="1" x14ac:dyDescent="0.2">
      <c r="B129" s="4" t="s">
        <v>166</v>
      </c>
      <c r="C129" s="374">
        <f>BL50</f>
        <v>2.5536187919216391</v>
      </c>
      <c r="D129" s="1" t="s">
        <v>167</v>
      </c>
      <c r="P129" s="80"/>
      <c r="Q129" s="80"/>
      <c r="R129" s="80"/>
      <c r="S129" s="80"/>
      <c r="T129" s="80"/>
      <c r="U129" s="80"/>
      <c r="V129" s="80"/>
      <c r="W129" s="80"/>
      <c r="X129" s="45"/>
      <c r="Y129" s="45"/>
      <c r="Z129" s="45"/>
      <c r="AA129" s="45"/>
      <c r="AB129" s="45"/>
      <c r="AC129" s="45"/>
      <c r="AD129" s="45"/>
      <c r="AE129" s="45"/>
      <c r="AF129" s="45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  <c r="BV129" s="106"/>
      <c r="BW129" s="106"/>
      <c r="BX129" s="106"/>
      <c r="BY129" s="106"/>
      <c r="BZ129" s="106"/>
      <c r="CA129" s="106"/>
      <c r="CB129" s="106"/>
      <c r="CC129" s="106"/>
      <c r="CD129" s="106"/>
      <c r="CE129" s="106"/>
      <c r="CF129" s="106"/>
      <c r="CG129" s="106"/>
      <c r="CH129" s="106"/>
      <c r="CI129" s="106"/>
      <c r="CJ129" s="106"/>
      <c r="CK129" s="106"/>
      <c r="CL129" s="106"/>
      <c r="CM129" s="106"/>
      <c r="CN129" s="106"/>
      <c r="CO129" s="106"/>
      <c r="CP129" s="106"/>
      <c r="CQ129" s="106"/>
      <c r="CR129" s="106"/>
      <c r="CS129" s="106"/>
      <c r="CT129" s="106"/>
      <c r="CU129" s="106"/>
      <c r="CV129" s="106"/>
      <c r="CW129" s="106"/>
      <c r="CX129" s="106"/>
      <c r="CY129" s="106"/>
      <c r="CZ129" s="106"/>
      <c r="DA129" s="106"/>
    </row>
    <row r="130" spans="2:105" ht="18" customHeight="1" x14ac:dyDescent="0.2">
      <c r="B130" s="9" t="str">
        <f>IF(C128&gt;C129,"The quartic model produces a significantly smaller overall uncertainty of fit.","The overall uncertainties of fit are not significantly different at the 5% level.")</f>
        <v>The overall uncertainties of fit are not significantly different at the 5% level.</v>
      </c>
      <c r="P130" s="80"/>
      <c r="Q130" s="80"/>
      <c r="R130" s="80"/>
      <c r="S130" s="80"/>
      <c r="T130" s="80"/>
      <c r="U130" s="80"/>
      <c r="V130" s="80"/>
      <c r="W130" s="80"/>
      <c r="X130" s="45"/>
      <c r="Y130" s="45"/>
      <c r="Z130" s="45"/>
      <c r="AA130" s="45"/>
      <c r="AB130" s="45"/>
      <c r="AC130" s="45"/>
      <c r="AD130" s="45"/>
      <c r="AE130" s="45"/>
      <c r="AF130" s="45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  <c r="BV130" s="106"/>
      <c r="BW130" s="106"/>
      <c r="BX130" s="106"/>
      <c r="BY130" s="106"/>
      <c r="BZ130" s="106"/>
      <c r="CA130" s="106"/>
      <c r="CB130" s="106"/>
      <c r="CC130" s="106"/>
      <c r="CD130" s="106"/>
      <c r="CE130" s="106"/>
      <c r="CF130" s="106"/>
      <c r="CG130" s="106"/>
      <c r="CH130" s="106"/>
      <c r="CI130" s="106"/>
      <c r="CJ130" s="106"/>
      <c r="CK130" s="106"/>
      <c r="CL130" s="106"/>
      <c r="CM130" s="106"/>
      <c r="CN130" s="106"/>
      <c r="CO130" s="106"/>
      <c r="CP130" s="106"/>
      <c r="CQ130" s="106"/>
      <c r="CR130" s="106"/>
      <c r="CS130" s="106"/>
      <c r="CT130" s="106"/>
      <c r="CU130" s="106"/>
      <c r="CV130" s="106"/>
      <c r="CW130" s="106"/>
      <c r="CX130" s="106"/>
      <c r="CY130" s="106"/>
      <c r="CZ130" s="106"/>
      <c r="DA130" s="106"/>
    </row>
    <row r="131" spans="2:105" ht="18" customHeight="1" x14ac:dyDescent="0.2">
      <c r="B131" s="9" t="str">
        <f>IF(C128&gt;C129,"The quartic model appears to be a better choice than cubic.","The cubic model appears to be a better choice than quartic.")</f>
        <v>The cubic model appears to be a better choice than quartic.</v>
      </c>
      <c r="P131" s="80"/>
      <c r="Q131" s="80"/>
      <c r="R131" s="80"/>
      <c r="S131" s="80"/>
      <c r="T131" s="80"/>
      <c r="U131" s="80"/>
      <c r="V131" s="80"/>
      <c r="W131" s="80"/>
      <c r="X131" s="45"/>
      <c r="Y131" s="45"/>
      <c r="Z131" s="45"/>
      <c r="AA131" s="45"/>
      <c r="AB131" s="45"/>
      <c r="AC131" s="45"/>
      <c r="AD131" s="45"/>
      <c r="AE131" s="45"/>
      <c r="AF131" s="45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  <c r="BV131" s="106"/>
      <c r="BW131" s="106"/>
      <c r="BX131" s="106"/>
      <c r="BY131" s="106"/>
      <c r="BZ131" s="106"/>
      <c r="CA131" s="106"/>
      <c r="CB131" s="106"/>
      <c r="CC131" s="106"/>
      <c r="CD131" s="106"/>
      <c r="CE131" s="106"/>
      <c r="CF131" s="106"/>
      <c r="CG131" s="106"/>
      <c r="CH131" s="106"/>
      <c r="CI131" s="106"/>
      <c r="CJ131" s="106"/>
      <c r="CK131" s="106"/>
      <c r="CL131" s="106"/>
      <c r="CM131" s="106"/>
      <c r="CN131" s="106"/>
      <c r="CO131" s="106"/>
      <c r="CP131" s="106"/>
      <c r="CQ131" s="106"/>
      <c r="CR131" s="106"/>
      <c r="CS131" s="106"/>
      <c r="CT131" s="106"/>
      <c r="CU131" s="106"/>
      <c r="CV131" s="106"/>
      <c r="CW131" s="106"/>
      <c r="CX131" s="106"/>
      <c r="CY131" s="106"/>
      <c r="CZ131" s="106"/>
      <c r="DA131" s="106"/>
    </row>
    <row r="132" spans="2:105" ht="18" customHeight="1" x14ac:dyDescent="0.2">
      <c r="P132" s="80"/>
      <c r="Q132" s="80"/>
      <c r="R132" s="80"/>
      <c r="S132" s="80"/>
      <c r="T132" s="80"/>
      <c r="U132" s="80"/>
      <c r="V132" s="80"/>
      <c r="W132" s="80"/>
      <c r="X132" s="45"/>
      <c r="Y132" s="45"/>
      <c r="Z132" s="45"/>
      <c r="AA132" s="45"/>
      <c r="AB132" s="45"/>
      <c r="AC132" s="45"/>
      <c r="AD132" s="45"/>
      <c r="AE132" s="45"/>
      <c r="AF132" s="45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  <c r="BV132" s="106"/>
      <c r="BW132" s="106"/>
      <c r="BX132" s="106"/>
      <c r="BY132" s="106"/>
      <c r="BZ132" s="106"/>
      <c r="CA132" s="106"/>
      <c r="CB132" s="106"/>
      <c r="CC132" s="106"/>
      <c r="CD132" s="106"/>
      <c r="CE132" s="106"/>
      <c r="CF132" s="106"/>
      <c r="CG132" s="106"/>
      <c r="CH132" s="106"/>
      <c r="CI132" s="106"/>
      <c r="CJ132" s="106"/>
      <c r="CK132" s="106"/>
      <c r="CL132" s="106"/>
      <c r="CM132" s="106"/>
      <c r="CN132" s="106"/>
      <c r="CO132" s="106"/>
      <c r="CP132" s="106"/>
      <c r="CQ132" s="106"/>
      <c r="CR132" s="106"/>
      <c r="CS132" s="106"/>
      <c r="CT132" s="106"/>
      <c r="CU132" s="106"/>
      <c r="CV132" s="106"/>
      <c r="CW132" s="106"/>
      <c r="CX132" s="106"/>
      <c r="CY132" s="106"/>
      <c r="CZ132" s="106"/>
      <c r="DA132" s="106"/>
    </row>
    <row r="133" spans="2:105" ht="18" customHeight="1" thickBot="1" x14ac:dyDescent="0.25">
      <c r="P133" s="80"/>
      <c r="Q133" s="80"/>
      <c r="R133" s="80"/>
      <c r="S133" s="80"/>
      <c r="T133" s="80"/>
      <c r="U133" s="80"/>
      <c r="V133" s="80"/>
      <c r="W133" s="80"/>
      <c r="X133" s="45"/>
      <c r="Y133" s="45"/>
      <c r="Z133" s="45"/>
      <c r="AA133" s="45"/>
      <c r="AB133" s="45"/>
      <c r="AC133" s="45"/>
      <c r="AD133" s="45"/>
      <c r="AE133" s="45"/>
      <c r="AF133" s="45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  <c r="BV133" s="106"/>
      <c r="BW133" s="106"/>
      <c r="BX133" s="106"/>
      <c r="BY133" s="106"/>
      <c r="BZ133" s="106"/>
      <c r="CA133" s="106"/>
      <c r="CB133" s="106"/>
      <c r="CC133" s="106"/>
      <c r="CD133" s="106"/>
      <c r="CE133" s="106"/>
      <c r="CF133" s="106"/>
      <c r="CG133" s="106"/>
      <c r="CH133" s="106"/>
      <c r="CI133" s="106"/>
      <c r="CJ133" s="106"/>
      <c r="CK133" s="106"/>
      <c r="CL133" s="106"/>
      <c r="CM133" s="106"/>
      <c r="CN133" s="106"/>
      <c r="CO133" s="106"/>
      <c r="CP133" s="106"/>
      <c r="CQ133" s="106"/>
      <c r="CR133" s="106"/>
      <c r="CS133" s="106"/>
      <c r="CT133" s="106"/>
      <c r="CU133" s="106"/>
      <c r="CV133" s="106"/>
      <c r="CW133" s="106"/>
      <c r="CX133" s="106"/>
      <c r="CY133" s="106"/>
      <c r="CZ133" s="106"/>
      <c r="DA133" s="106"/>
    </row>
    <row r="134" spans="2:105" ht="18" customHeight="1" thickTop="1" thickBot="1" x14ac:dyDescent="0.3">
      <c r="B134" s="29" t="s">
        <v>84</v>
      </c>
      <c r="C134"/>
      <c r="D134" s="30" t="s">
        <v>85</v>
      </c>
      <c r="P134" s="80"/>
      <c r="Q134" s="80"/>
      <c r="R134" s="80"/>
      <c r="S134" s="80"/>
      <c r="T134" s="80"/>
      <c r="U134" s="80"/>
      <c r="V134" s="80"/>
      <c r="W134" s="80"/>
      <c r="X134" s="45"/>
      <c r="Y134" s="45"/>
      <c r="Z134" s="45"/>
      <c r="AA134" s="45"/>
      <c r="AB134" s="45"/>
      <c r="AC134" s="45"/>
      <c r="AD134" s="45"/>
      <c r="AE134" s="45"/>
      <c r="AF134" s="45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  <c r="BV134" s="106"/>
      <c r="BW134" s="106"/>
      <c r="BX134" s="106"/>
      <c r="BY134" s="106"/>
      <c r="BZ134" s="106"/>
      <c r="CA134" s="106"/>
      <c r="CB134" s="106"/>
      <c r="CC134" s="106"/>
      <c r="CD134" s="106"/>
      <c r="CE134" s="106"/>
      <c r="CF134" s="106"/>
      <c r="CG134" s="106"/>
      <c r="CH134" s="106"/>
      <c r="CI134" s="106"/>
      <c r="CJ134" s="106"/>
      <c r="CK134" s="106"/>
      <c r="CL134" s="106"/>
      <c r="CM134" s="106"/>
      <c r="CN134" s="106"/>
      <c r="CO134" s="106"/>
      <c r="CP134" s="106"/>
      <c r="CQ134" s="106"/>
      <c r="CR134" s="106"/>
      <c r="CS134" s="106"/>
      <c r="CT134" s="106"/>
      <c r="CU134" s="106"/>
      <c r="CV134" s="106"/>
      <c r="CW134" s="106"/>
      <c r="CX134" s="106"/>
      <c r="CY134" s="106"/>
      <c r="CZ134" s="106"/>
      <c r="DA134" s="106"/>
    </row>
    <row r="135" spans="2:105" ht="18" customHeight="1" thickTop="1" x14ac:dyDescent="0.2">
      <c r="P135" s="80"/>
      <c r="Q135" s="80"/>
      <c r="R135" s="80"/>
      <c r="S135" s="80"/>
      <c r="T135" s="80"/>
      <c r="U135" s="80"/>
      <c r="V135" s="80"/>
      <c r="W135" s="80"/>
      <c r="X135" s="45"/>
      <c r="Y135" s="45"/>
      <c r="Z135" s="45"/>
      <c r="AA135" s="45"/>
      <c r="AB135" s="45"/>
      <c r="AC135" s="45"/>
      <c r="AD135" s="45"/>
      <c r="AE135" s="45"/>
      <c r="AF135" s="45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  <c r="BW135" s="106"/>
      <c r="BX135" s="106"/>
      <c r="BY135" s="106"/>
      <c r="BZ135" s="106"/>
      <c r="CA135" s="106"/>
      <c r="CB135" s="106"/>
      <c r="CC135" s="106"/>
      <c r="CD135" s="106"/>
      <c r="CE135" s="106"/>
      <c r="CF135" s="106"/>
      <c r="CG135" s="106"/>
      <c r="CH135" s="106"/>
      <c r="CI135" s="106"/>
      <c r="CJ135" s="106"/>
      <c r="CK135" s="106"/>
      <c r="CL135" s="106"/>
      <c r="CM135" s="106"/>
      <c r="CN135" s="106"/>
      <c r="CO135" s="106"/>
      <c r="CP135" s="106"/>
      <c r="CQ135" s="106"/>
      <c r="CR135" s="106"/>
      <c r="CS135" s="106"/>
      <c r="CT135" s="106"/>
      <c r="CU135" s="106"/>
      <c r="CV135" s="106"/>
      <c r="CW135" s="106"/>
      <c r="CX135" s="106"/>
      <c r="CY135" s="106"/>
      <c r="CZ135" s="106"/>
      <c r="DA135" s="106"/>
    </row>
    <row r="136" spans="2:105" ht="18" customHeight="1" x14ac:dyDescent="0.25">
      <c r="B136" s="1" t="s">
        <v>179</v>
      </c>
      <c r="P136" s="80"/>
      <c r="Q136" s="80"/>
      <c r="R136" s="80"/>
      <c r="S136" s="80"/>
      <c r="T136" s="80"/>
      <c r="U136" s="80"/>
      <c r="V136" s="80"/>
      <c r="W136" s="80"/>
      <c r="X136" s="45"/>
      <c r="Y136" s="45"/>
      <c r="Z136" s="45"/>
      <c r="AA136" s="45"/>
      <c r="AB136" s="45"/>
      <c r="AC136" s="45"/>
      <c r="AD136" s="45"/>
      <c r="AE136" s="45"/>
      <c r="AF136" s="45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  <c r="BV136" s="106"/>
      <c r="BW136" s="106"/>
      <c r="BX136" s="106"/>
      <c r="BY136" s="106"/>
      <c r="BZ136" s="106"/>
      <c r="CA136" s="106"/>
      <c r="CB136" s="106"/>
      <c r="CC136" s="106"/>
      <c r="CD136" s="106"/>
      <c r="CE136" s="106"/>
      <c r="CF136" s="106"/>
      <c r="CG136" s="106"/>
      <c r="CH136" s="106"/>
      <c r="CI136" s="106"/>
      <c r="CJ136" s="106"/>
      <c r="CK136" s="106"/>
      <c r="CL136" s="106"/>
      <c r="CM136" s="106"/>
      <c r="CN136" s="106"/>
      <c r="CO136" s="106"/>
      <c r="CP136" s="106"/>
      <c r="CQ136" s="106"/>
      <c r="CR136" s="106"/>
      <c r="CS136" s="106"/>
      <c r="CT136" s="106"/>
      <c r="CU136" s="106"/>
      <c r="CV136" s="106"/>
      <c r="CW136" s="106"/>
      <c r="CX136" s="106"/>
      <c r="CY136" s="106"/>
      <c r="CZ136" s="106"/>
      <c r="DA136" s="106"/>
    </row>
    <row r="137" spans="2:105" ht="18" customHeight="1" x14ac:dyDescent="0.2">
      <c r="B137" s="1" t="s">
        <v>180</v>
      </c>
      <c r="P137" s="80"/>
      <c r="Q137" s="80"/>
      <c r="R137" s="80"/>
      <c r="S137" s="80"/>
      <c r="T137" s="80"/>
      <c r="U137" s="80"/>
      <c r="V137" s="80"/>
      <c r="W137" s="80"/>
      <c r="X137" s="45"/>
      <c r="Y137" s="45"/>
      <c r="Z137" s="45"/>
      <c r="AA137" s="45"/>
      <c r="AB137" s="45"/>
      <c r="AC137" s="45"/>
      <c r="AD137" s="45"/>
      <c r="AE137" s="45"/>
      <c r="AF137" s="45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/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  <c r="CV137" s="106"/>
      <c r="CW137" s="106"/>
      <c r="CX137" s="106"/>
      <c r="CY137" s="106"/>
      <c r="CZ137" s="106"/>
      <c r="DA137" s="106"/>
    </row>
    <row r="138" spans="2:105" ht="18" customHeight="1" x14ac:dyDescent="0.25">
      <c r="B138" s="1" t="s">
        <v>181</v>
      </c>
      <c r="P138" s="80"/>
      <c r="Q138" s="80"/>
      <c r="R138" s="80"/>
      <c r="S138" s="80"/>
      <c r="T138" s="80"/>
      <c r="U138" s="80"/>
      <c r="V138" s="80"/>
      <c r="W138" s="80"/>
      <c r="X138" s="45"/>
      <c r="Y138" s="45"/>
      <c r="Z138" s="45"/>
      <c r="AA138" s="45"/>
      <c r="AB138" s="45"/>
      <c r="AC138" s="45"/>
      <c r="AD138" s="45"/>
      <c r="AE138" s="45"/>
      <c r="AF138" s="45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  <c r="BV138" s="106"/>
      <c r="BW138" s="106"/>
      <c r="BX138" s="106"/>
      <c r="BY138" s="106"/>
      <c r="BZ138" s="106"/>
      <c r="CA138" s="106"/>
      <c r="CB138" s="106"/>
      <c r="CC138" s="106"/>
      <c r="CD138" s="106"/>
      <c r="CE138" s="106"/>
      <c r="CF138" s="106"/>
      <c r="CG138" s="106"/>
      <c r="CH138" s="106"/>
      <c r="CI138" s="106"/>
      <c r="CJ138" s="106"/>
      <c r="CK138" s="106"/>
      <c r="CL138" s="106"/>
      <c r="CM138" s="106"/>
      <c r="CN138" s="106"/>
      <c r="CO138" s="106"/>
      <c r="CP138" s="106"/>
      <c r="CQ138" s="106"/>
      <c r="CR138" s="106"/>
      <c r="CS138" s="106"/>
      <c r="CT138" s="106"/>
      <c r="CU138" s="106"/>
      <c r="CV138" s="106"/>
      <c r="CW138" s="106"/>
      <c r="CX138" s="106"/>
      <c r="CY138" s="106"/>
      <c r="CZ138" s="106"/>
      <c r="DA138" s="106"/>
    </row>
    <row r="139" spans="2:105" ht="18" customHeight="1" x14ac:dyDescent="0.2">
      <c r="B139" s="19" t="s">
        <v>182</v>
      </c>
      <c r="C139" s="20"/>
      <c r="D139" s="20"/>
      <c r="E139" s="20"/>
      <c r="F139" s="20"/>
      <c r="G139" s="20"/>
      <c r="P139" s="80"/>
      <c r="Q139" s="80"/>
      <c r="R139" s="80"/>
      <c r="S139" s="80"/>
      <c r="T139" s="80"/>
      <c r="U139" s="80"/>
      <c r="V139" s="80"/>
      <c r="W139" s="80"/>
      <c r="X139" s="45"/>
      <c r="Y139" s="45"/>
      <c r="Z139" s="45"/>
      <c r="AA139" s="45"/>
      <c r="AB139" s="45"/>
      <c r="AC139" s="45"/>
      <c r="AD139" s="45"/>
      <c r="AE139" s="45"/>
      <c r="AF139" s="45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106"/>
      <c r="CM139" s="106"/>
      <c r="CN139" s="106"/>
      <c r="CO139" s="106"/>
      <c r="CP139" s="106"/>
      <c r="CQ139" s="106"/>
      <c r="CR139" s="106"/>
      <c r="CS139" s="106"/>
      <c r="CT139" s="106"/>
      <c r="CU139" s="106"/>
      <c r="CV139" s="106"/>
      <c r="CW139" s="106"/>
      <c r="CX139" s="106"/>
      <c r="CY139" s="106"/>
      <c r="CZ139" s="106"/>
      <c r="DA139" s="106"/>
    </row>
    <row r="140" spans="2:105" ht="18" customHeight="1" x14ac:dyDescent="0.2">
      <c r="B140" s="19" t="s">
        <v>183</v>
      </c>
      <c r="C140" s="20"/>
      <c r="D140" s="20"/>
      <c r="E140" s="20"/>
      <c r="F140" s="20"/>
      <c r="G140" s="20"/>
      <c r="P140" s="80"/>
      <c r="Q140" s="80"/>
      <c r="R140" s="80"/>
      <c r="S140" s="80"/>
      <c r="T140" s="80"/>
      <c r="U140" s="80"/>
      <c r="V140" s="80"/>
      <c r="W140" s="80"/>
      <c r="X140" s="45"/>
      <c r="Y140" s="45"/>
      <c r="Z140" s="45"/>
      <c r="AA140" s="45"/>
      <c r="AB140" s="45"/>
      <c r="AC140" s="45"/>
      <c r="AD140" s="45"/>
      <c r="AE140" s="45"/>
      <c r="AF140" s="45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  <c r="BV140" s="106"/>
      <c r="BW140" s="106"/>
      <c r="BX140" s="106"/>
      <c r="BY140" s="106"/>
      <c r="BZ140" s="106"/>
      <c r="CA140" s="106"/>
      <c r="CB140" s="106"/>
      <c r="CC140" s="106"/>
      <c r="CD140" s="106"/>
      <c r="CE140" s="106"/>
      <c r="CF140" s="106"/>
      <c r="CG140" s="106"/>
      <c r="CH140" s="106"/>
      <c r="CI140" s="106"/>
      <c r="CJ140" s="106"/>
      <c r="CK140" s="106"/>
      <c r="CL140" s="106"/>
      <c r="CM140" s="106"/>
      <c r="CN140" s="106"/>
      <c r="CO140" s="106"/>
      <c r="CP140" s="106"/>
      <c r="CQ140" s="106"/>
      <c r="CR140" s="106"/>
      <c r="CS140" s="106"/>
      <c r="CT140" s="106"/>
      <c r="CU140" s="106"/>
      <c r="CV140" s="106"/>
      <c r="CW140" s="106"/>
      <c r="CX140" s="106"/>
      <c r="CY140" s="106"/>
      <c r="CZ140" s="106"/>
      <c r="DA140" s="106"/>
    </row>
    <row r="141" spans="2:105" ht="18" customHeight="1" x14ac:dyDescent="0.25">
      <c r="B141" s="38" t="s">
        <v>184</v>
      </c>
      <c r="P141" s="80"/>
      <c r="Q141" s="80"/>
      <c r="R141" s="80"/>
      <c r="S141" s="80"/>
      <c r="T141" s="80"/>
      <c r="U141" s="80"/>
      <c r="V141" s="80"/>
      <c r="W141" s="80"/>
      <c r="X141" s="45"/>
      <c r="Y141" s="45"/>
      <c r="Z141" s="45"/>
      <c r="AA141" s="45"/>
      <c r="AB141" s="45"/>
      <c r="AC141" s="45"/>
      <c r="AD141" s="45"/>
      <c r="AE141" s="45"/>
      <c r="AF141" s="45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I141" s="106"/>
      <c r="CJ141" s="106"/>
      <c r="CK141" s="106"/>
      <c r="CL141" s="106"/>
      <c r="CM141" s="106"/>
      <c r="CN141" s="106"/>
      <c r="CO141" s="106"/>
      <c r="CP141" s="106"/>
      <c r="CQ141" s="106"/>
      <c r="CR141" s="106"/>
      <c r="CS141" s="106"/>
      <c r="CT141" s="106"/>
      <c r="CU141" s="106"/>
      <c r="CV141" s="106"/>
      <c r="CW141" s="106"/>
      <c r="CX141" s="106"/>
      <c r="CY141" s="106"/>
      <c r="CZ141" s="106"/>
      <c r="DA141" s="106"/>
    </row>
    <row r="142" spans="2:105" ht="18" customHeight="1" x14ac:dyDescent="0.2">
      <c r="B142" s="1" t="s">
        <v>185</v>
      </c>
      <c r="P142" s="80"/>
      <c r="Q142" s="80"/>
      <c r="R142" s="80"/>
      <c r="S142" s="80"/>
      <c r="T142" s="80"/>
      <c r="U142" s="80"/>
      <c r="V142" s="80"/>
      <c r="W142" s="80"/>
      <c r="X142" s="45"/>
      <c r="Y142" s="45"/>
      <c r="Z142" s="45"/>
      <c r="AA142" s="45"/>
      <c r="AB142" s="45"/>
      <c r="AC142" s="45"/>
      <c r="AD142" s="45"/>
      <c r="AE142" s="45"/>
      <c r="AF142" s="45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  <c r="CX142" s="106"/>
      <c r="CY142" s="106"/>
      <c r="CZ142" s="106"/>
      <c r="DA142" s="106"/>
    </row>
    <row r="143" spans="2:105" ht="18" customHeight="1" x14ac:dyDescent="0.25">
      <c r="B143" s="1" t="s">
        <v>186</v>
      </c>
      <c r="P143" s="80"/>
      <c r="Q143" s="80"/>
      <c r="R143" s="80"/>
      <c r="S143" s="80"/>
      <c r="T143" s="80"/>
      <c r="U143" s="80"/>
      <c r="V143" s="80"/>
      <c r="W143" s="80"/>
      <c r="X143" s="45"/>
      <c r="Y143" s="45"/>
      <c r="Z143" s="45"/>
      <c r="AA143" s="45"/>
      <c r="AB143" s="45"/>
      <c r="AC143" s="45"/>
      <c r="AD143" s="45"/>
      <c r="AE143" s="45"/>
      <c r="AF143" s="45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  <c r="BV143" s="106"/>
      <c r="BW143" s="106"/>
      <c r="BX143" s="106"/>
      <c r="BY143" s="106"/>
      <c r="BZ143" s="106"/>
      <c r="CA143" s="106"/>
      <c r="CB143" s="106"/>
      <c r="CC143" s="106"/>
      <c r="CD143" s="106"/>
      <c r="CE143" s="106"/>
      <c r="CF143" s="106"/>
      <c r="CG143" s="106"/>
      <c r="CH143" s="106"/>
      <c r="CI143" s="106"/>
      <c r="CJ143" s="106"/>
      <c r="CK143" s="106"/>
      <c r="CL143" s="106"/>
      <c r="CM143" s="106"/>
      <c r="CN143" s="106"/>
      <c r="CO143" s="106"/>
      <c r="CP143" s="106"/>
      <c r="CQ143" s="106"/>
      <c r="CR143" s="106"/>
      <c r="CS143" s="106"/>
      <c r="CT143" s="106"/>
      <c r="CU143" s="106"/>
      <c r="CV143" s="106"/>
      <c r="CW143" s="106"/>
      <c r="CX143" s="106"/>
      <c r="CY143" s="106"/>
      <c r="CZ143" s="106"/>
      <c r="DA143" s="106"/>
    </row>
    <row r="144" spans="2:105" ht="18" customHeight="1" x14ac:dyDescent="0.25">
      <c r="B144" s="1" t="s">
        <v>187</v>
      </c>
      <c r="P144" s="80"/>
      <c r="Q144" s="80"/>
      <c r="R144" s="80"/>
      <c r="S144" s="80"/>
      <c r="T144" s="80"/>
      <c r="U144" s="80"/>
      <c r="V144" s="80"/>
      <c r="W144" s="80"/>
      <c r="X144" s="45"/>
      <c r="Y144" s="45"/>
      <c r="Z144" s="45"/>
      <c r="AA144" s="45"/>
      <c r="AB144" s="45"/>
      <c r="AC144" s="45"/>
      <c r="AD144" s="45"/>
      <c r="AE144" s="45"/>
      <c r="AF144" s="45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  <c r="BV144" s="106"/>
      <c r="BW144" s="106"/>
      <c r="BX144" s="106"/>
      <c r="BY144" s="106"/>
      <c r="BZ144" s="106"/>
      <c r="CA144" s="106"/>
      <c r="CB144" s="106"/>
      <c r="CC144" s="106"/>
      <c r="CD144" s="106"/>
      <c r="CE144" s="106"/>
      <c r="CF144" s="106"/>
      <c r="CG144" s="106"/>
      <c r="CH144" s="106"/>
      <c r="CI144" s="106"/>
      <c r="CJ144" s="106"/>
      <c r="CK144" s="106"/>
      <c r="CL144" s="106"/>
      <c r="CM144" s="106"/>
      <c r="CN144" s="106"/>
      <c r="CO144" s="106"/>
      <c r="CP144" s="106"/>
      <c r="CQ144" s="106"/>
      <c r="CR144" s="106"/>
      <c r="CS144" s="106"/>
      <c r="CT144" s="106"/>
      <c r="CU144" s="106"/>
      <c r="CV144" s="106"/>
      <c r="CW144" s="106"/>
      <c r="CX144" s="106"/>
      <c r="CY144" s="106"/>
      <c r="CZ144" s="106"/>
      <c r="DA144" s="106"/>
    </row>
    <row r="145" spans="2:106" ht="18" customHeight="1" x14ac:dyDescent="0.25">
      <c r="B145" s="1" t="s">
        <v>188</v>
      </c>
      <c r="P145" s="80"/>
      <c r="Q145" s="80"/>
      <c r="R145" s="80"/>
      <c r="S145" s="80"/>
      <c r="T145" s="80"/>
      <c r="U145" s="80"/>
      <c r="V145" s="80"/>
      <c r="W145" s="80"/>
      <c r="X145" s="45"/>
      <c r="Y145" s="45"/>
      <c r="Z145" s="45"/>
      <c r="AA145" s="45"/>
      <c r="AB145" s="45"/>
      <c r="AC145" s="45"/>
      <c r="AD145" s="45"/>
      <c r="AE145" s="45"/>
      <c r="AF145" s="45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  <c r="BV145" s="106"/>
      <c r="BW145" s="106"/>
      <c r="BX145" s="106"/>
      <c r="BY145" s="106"/>
      <c r="BZ145" s="106"/>
      <c r="CA145" s="106"/>
      <c r="CB145" s="106"/>
      <c r="CC145" s="106"/>
      <c r="CD145" s="106"/>
      <c r="CE145" s="106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  <c r="CP145" s="106"/>
      <c r="CQ145" s="106"/>
      <c r="CR145" s="106"/>
      <c r="CS145" s="106"/>
      <c r="CT145" s="106"/>
      <c r="CU145" s="106"/>
      <c r="CV145" s="106"/>
      <c r="CW145" s="106"/>
      <c r="CX145" s="106"/>
      <c r="CY145" s="106"/>
      <c r="CZ145" s="106"/>
      <c r="DA145" s="106"/>
    </row>
    <row r="146" spans="2:106" ht="18" customHeight="1" x14ac:dyDescent="0.2">
      <c r="B146" s="2" t="s">
        <v>189</v>
      </c>
      <c r="P146" s="80"/>
      <c r="Q146" s="80"/>
      <c r="R146" s="80"/>
      <c r="S146" s="80"/>
      <c r="T146" s="80"/>
      <c r="U146" s="80"/>
      <c r="V146" s="80"/>
      <c r="W146" s="80"/>
      <c r="X146" s="45"/>
      <c r="Y146" s="45"/>
      <c r="Z146" s="45"/>
      <c r="AA146" s="45"/>
      <c r="AB146" s="45"/>
      <c r="AC146" s="45"/>
      <c r="AD146" s="45"/>
      <c r="AE146" s="45"/>
      <c r="AF146" s="45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  <c r="BV146" s="106"/>
      <c r="BW146" s="106"/>
      <c r="BX146" s="106"/>
      <c r="BY146" s="106"/>
      <c r="BZ146" s="106"/>
      <c r="CA146" s="106"/>
      <c r="CB146" s="106"/>
      <c r="CC146" s="106"/>
      <c r="CD146" s="106"/>
      <c r="CE146" s="106"/>
      <c r="CF146" s="106"/>
      <c r="CG146" s="106"/>
      <c r="CH146" s="106"/>
      <c r="CI146" s="106"/>
      <c r="CJ146" s="106"/>
      <c r="CK146" s="106"/>
      <c r="CL146" s="106"/>
      <c r="CM146" s="106"/>
      <c r="CN146" s="106"/>
      <c r="CO146" s="106"/>
      <c r="CP146" s="106"/>
      <c r="CQ146" s="106"/>
      <c r="CR146" s="106"/>
      <c r="CS146" s="106"/>
      <c r="CT146" s="106"/>
      <c r="CU146" s="106"/>
      <c r="CV146" s="106"/>
      <c r="CW146" s="106"/>
      <c r="CX146" s="106"/>
      <c r="CY146" s="106"/>
      <c r="CZ146" s="106"/>
      <c r="DA146" s="106"/>
    </row>
    <row r="147" spans="2:106" ht="18" customHeight="1" x14ac:dyDescent="0.25">
      <c r="B147" s="1" t="s">
        <v>190</v>
      </c>
      <c r="P147" s="80"/>
      <c r="Q147" s="80"/>
      <c r="R147" s="80"/>
      <c r="S147" s="80"/>
      <c r="T147" s="80"/>
      <c r="U147" s="80"/>
      <c r="V147" s="80"/>
      <c r="W147" s="80"/>
      <c r="X147" s="45"/>
      <c r="Y147" s="45"/>
      <c r="Z147" s="45"/>
      <c r="AA147" s="45"/>
      <c r="AB147" s="45"/>
      <c r="AC147" s="45"/>
      <c r="AD147" s="45"/>
      <c r="AE147" s="45"/>
      <c r="AF147" s="45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  <c r="BV147" s="106"/>
      <c r="BW147" s="106"/>
      <c r="BX147" s="106"/>
      <c r="BY147" s="106"/>
      <c r="BZ147" s="106"/>
      <c r="CA147" s="106"/>
      <c r="CB147" s="106"/>
      <c r="CC147" s="106"/>
      <c r="CD147" s="106"/>
      <c r="CE147" s="106"/>
      <c r="CF147" s="106"/>
      <c r="CG147" s="106"/>
      <c r="CH147" s="106"/>
      <c r="CI147" s="106"/>
      <c r="CJ147" s="106"/>
      <c r="CK147" s="106"/>
      <c r="CL147" s="106"/>
      <c r="CM147" s="106"/>
      <c r="CN147" s="106"/>
      <c r="CO147" s="106"/>
      <c r="CP147" s="106"/>
      <c r="CQ147" s="106"/>
      <c r="CR147" s="106"/>
      <c r="CS147" s="106"/>
      <c r="CT147" s="106"/>
      <c r="CU147" s="106"/>
      <c r="CV147" s="106"/>
      <c r="CW147" s="106"/>
      <c r="CX147" s="106"/>
      <c r="CY147" s="106"/>
      <c r="CZ147" s="106"/>
      <c r="DA147" s="106"/>
    </row>
    <row r="148" spans="2:106" ht="18" customHeight="1" x14ac:dyDescent="0.2">
      <c r="B148" s="1" t="s">
        <v>191</v>
      </c>
      <c r="H148" s="20"/>
      <c r="I148" s="20"/>
      <c r="J148" s="20"/>
      <c r="K148" s="20"/>
      <c r="L148" s="20"/>
      <c r="M148" s="20"/>
      <c r="N148" s="20"/>
      <c r="O148" s="20"/>
      <c r="P148" s="80"/>
      <c r="Q148" s="80"/>
      <c r="R148" s="80"/>
      <c r="S148" s="80"/>
      <c r="T148" s="80"/>
      <c r="U148" s="80"/>
      <c r="V148" s="80"/>
      <c r="W148" s="80"/>
      <c r="X148" s="45"/>
      <c r="Y148" s="45"/>
      <c r="Z148" s="45"/>
      <c r="AA148" s="45"/>
      <c r="AB148" s="45"/>
      <c r="AC148" s="45"/>
      <c r="AD148" s="45"/>
      <c r="AE148" s="45"/>
      <c r="AF148" s="45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  <c r="BV148" s="106"/>
      <c r="BW148" s="106"/>
      <c r="BX148" s="106"/>
      <c r="BY148" s="106"/>
      <c r="BZ148" s="106"/>
      <c r="CA148" s="106"/>
      <c r="CB148" s="106"/>
      <c r="CC148" s="106"/>
      <c r="CD148" s="106"/>
      <c r="CE148" s="106"/>
      <c r="CF148" s="106"/>
      <c r="CG148" s="106"/>
      <c r="CH148" s="106"/>
      <c r="CI148" s="106"/>
      <c r="CJ148" s="106"/>
      <c r="CK148" s="106"/>
      <c r="CL148" s="106"/>
      <c r="CM148" s="106"/>
      <c r="CN148" s="106"/>
      <c r="CO148" s="106"/>
      <c r="CP148" s="106"/>
      <c r="CQ148" s="106"/>
      <c r="CR148" s="106"/>
      <c r="CS148" s="106"/>
      <c r="CT148" s="106"/>
      <c r="CU148" s="106"/>
      <c r="CV148" s="106"/>
      <c r="CW148" s="106"/>
      <c r="CX148" s="106"/>
      <c r="CY148" s="106"/>
      <c r="CZ148" s="106"/>
      <c r="DA148" s="106"/>
    </row>
    <row r="149" spans="2:106" ht="18" customHeight="1" x14ac:dyDescent="0.2">
      <c r="H149" s="20"/>
      <c r="I149" s="20"/>
      <c r="J149" s="20"/>
      <c r="K149" s="20"/>
      <c r="L149" s="20"/>
      <c r="M149" s="20"/>
      <c r="N149" s="20"/>
      <c r="O149" s="20"/>
      <c r="P149" s="80"/>
      <c r="Q149" s="80"/>
      <c r="R149" s="80"/>
      <c r="S149" s="80"/>
      <c r="T149" s="80"/>
      <c r="U149" s="80"/>
      <c r="V149" s="80"/>
      <c r="W149" s="80"/>
      <c r="X149" s="45"/>
      <c r="Y149" s="45"/>
      <c r="Z149" s="45"/>
      <c r="AA149" s="45"/>
      <c r="AB149" s="45"/>
      <c r="AC149" s="45"/>
      <c r="AD149" s="45"/>
      <c r="AE149" s="45"/>
      <c r="AF149" s="45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  <c r="BV149" s="106"/>
      <c r="BW149" s="106"/>
      <c r="BX149" s="106"/>
      <c r="BY149" s="106"/>
      <c r="BZ149" s="106"/>
      <c r="CA149" s="106"/>
      <c r="CB149" s="106"/>
      <c r="CC149" s="106"/>
      <c r="CD149" s="106"/>
      <c r="CE149" s="106"/>
      <c r="CF149" s="106"/>
      <c r="CG149" s="106"/>
      <c r="CH149" s="106"/>
      <c r="CI149" s="106"/>
      <c r="CJ149" s="106"/>
      <c r="CK149" s="106"/>
      <c r="CL149" s="106"/>
      <c r="CM149" s="106"/>
      <c r="CN149" s="106"/>
      <c r="CO149" s="106"/>
      <c r="CP149" s="106"/>
      <c r="CQ149" s="106"/>
      <c r="CR149" s="106"/>
      <c r="CS149" s="106"/>
      <c r="CT149" s="106"/>
      <c r="CU149" s="106"/>
      <c r="CV149" s="106"/>
      <c r="CW149" s="106"/>
      <c r="CX149" s="106"/>
      <c r="CY149" s="106"/>
      <c r="CZ149" s="106"/>
      <c r="DA149" s="106"/>
    </row>
    <row r="150" spans="2:106" ht="18" customHeight="1" x14ac:dyDescent="0.2">
      <c r="B150" s="4" t="s">
        <v>192</v>
      </c>
      <c r="C150" s="375">
        <f>Z53</f>
        <v>219.68750003691122</v>
      </c>
      <c r="E150" s="4" t="s">
        <v>193</v>
      </c>
      <c r="F150" s="10">
        <f>FDIST(C150,df,df-1)</f>
        <v>7.5191220143459225E-15</v>
      </c>
      <c r="P150" s="80"/>
      <c r="Q150" s="80"/>
      <c r="R150" s="80"/>
      <c r="S150" s="80"/>
      <c r="T150" s="80"/>
      <c r="U150" s="80"/>
      <c r="V150" s="80"/>
      <c r="W150" s="80"/>
      <c r="X150" s="45"/>
      <c r="Y150" s="45"/>
      <c r="Z150" s="45"/>
      <c r="AA150" s="45"/>
      <c r="AB150" s="45"/>
      <c r="AC150" s="45"/>
      <c r="AD150" s="45"/>
      <c r="AE150" s="45"/>
      <c r="AF150" s="45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  <c r="BV150" s="106"/>
      <c r="BW150" s="106"/>
      <c r="BX150" s="106"/>
      <c r="BY150" s="106"/>
      <c r="BZ150" s="106"/>
      <c r="CA150" s="106"/>
      <c r="CB150" s="106"/>
      <c r="CC150" s="106"/>
      <c r="CD150" s="106"/>
      <c r="CE150" s="106"/>
      <c r="CF150" s="106"/>
      <c r="CG150" s="106"/>
      <c r="CH150" s="106"/>
      <c r="CI150" s="106"/>
      <c r="CJ150" s="106"/>
      <c r="CK150" s="106"/>
      <c r="CL150" s="106"/>
      <c r="CM150" s="106"/>
      <c r="CN150" s="106"/>
      <c r="CO150" s="106"/>
      <c r="CP150" s="106"/>
      <c r="CQ150" s="106"/>
      <c r="CR150" s="106"/>
      <c r="CS150" s="106"/>
      <c r="CT150" s="106"/>
      <c r="CU150" s="106"/>
      <c r="CV150" s="106"/>
      <c r="CW150" s="106"/>
      <c r="CX150" s="106"/>
      <c r="CY150" s="106"/>
      <c r="CZ150" s="106"/>
      <c r="DA150" s="106"/>
    </row>
    <row r="151" spans="2:106" ht="18" customHeight="1" x14ac:dyDescent="0.2">
      <c r="P151" s="80"/>
      <c r="Q151" s="80"/>
      <c r="R151" s="80"/>
      <c r="S151" s="80"/>
      <c r="T151" s="80"/>
      <c r="U151" s="80"/>
      <c r="V151" s="80"/>
      <c r="W151" s="80"/>
      <c r="X151" s="45"/>
      <c r="Y151" s="45"/>
      <c r="Z151" s="45"/>
      <c r="AA151" s="45"/>
      <c r="AB151" s="45"/>
      <c r="AC151" s="45"/>
      <c r="AD151" s="45"/>
      <c r="AE151" s="45"/>
      <c r="AF151" s="45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  <c r="BV151" s="106"/>
      <c r="BW151" s="106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  <c r="CP151" s="106"/>
      <c r="CQ151" s="106"/>
      <c r="CR151" s="106"/>
      <c r="CS151" s="106"/>
      <c r="CT151" s="106"/>
      <c r="CU151" s="106"/>
      <c r="CV151" s="106"/>
      <c r="CW151" s="106"/>
      <c r="CX151" s="106"/>
      <c r="CY151" s="106"/>
      <c r="CZ151" s="106"/>
      <c r="DA151" s="106"/>
    </row>
    <row r="152" spans="2:106" ht="18" customHeight="1" x14ac:dyDescent="0.2">
      <c r="B152" s="9" t="str">
        <f>IF(Z53&gt;Z50,"The quadratic model produces a significantly smaller overall uncertainty of fit.","The overall uncertainties of fit are not significantly different at the 5% level.")</f>
        <v>The quadratic model produces a significantly smaller overall uncertainty of fit.</v>
      </c>
      <c r="P152" s="80"/>
      <c r="Q152" s="80"/>
      <c r="R152" s="80"/>
      <c r="S152" s="80"/>
      <c r="T152" s="80"/>
      <c r="U152" s="80"/>
      <c r="V152" s="80"/>
      <c r="W152" s="80"/>
      <c r="X152" s="45"/>
      <c r="Y152" s="45"/>
      <c r="Z152" s="45"/>
      <c r="AA152" s="45"/>
      <c r="AB152" s="45"/>
      <c r="AC152" s="45"/>
      <c r="AD152" s="45"/>
      <c r="AE152" s="45"/>
      <c r="AF152" s="45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  <c r="BV152" s="106"/>
      <c r="BW152" s="106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  <c r="CP152" s="106"/>
      <c r="CQ152" s="106"/>
      <c r="CR152" s="106"/>
      <c r="CS152" s="106"/>
      <c r="CT152" s="106"/>
      <c r="CU152" s="106"/>
      <c r="CV152" s="106"/>
      <c r="CW152" s="106"/>
      <c r="CX152" s="106"/>
      <c r="CY152" s="106"/>
      <c r="CZ152" s="106"/>
      <c r="DA152" s="106"/>
    </row>
    <row r="153" spans="2:106" ht="18" customHeight="1" x14ac:dyDescent="0.2">
      <c r="B153" s="9" t="str">
        <f>IF(Z53&gt;Z50,"The quadratic model appears to be the better choice.","The linear model appears to be the better choice.")</f>
        <v>The quadratic model appears to be the better choice.</v>
      </c>
      <c r="P153" s="80"/>
      <c r="Q153" s="80"/>
      <c r="R153" s="80"/>
      <c r="S153" s="80"/>
      <c r="T153" s="80"/>
      <c r="U153" s="80"/>
      <c r="V153" s="80"/>
      <c r="W153" s="80"/>
      <c r="X153" s="45"/>
      <c r="Y153" s="45"/>
      <c r="Z153" s="45"/>
      <c r="AA153" s="45"/>
      <c r="AB153" s="45"/>
      <c r="AC153" s="45"/>
      <c r="AD153" s="45"/>
      <c r="AE153" s="45"/>
      <c r="AF153" s="45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  <c r="CV153" s="106"/>
      <c r="CW153" s="106"/>
      <c r="CX153" s="106"/>
      <c r="CY153" s="106"/>
      <c r="CZ153" s="106"/>
      <c r="DA153" s="106"/>
    </row>
    <row r="154" spans="2:106" ht="18" customHeight="1" x14ac:dyDescent="0.25">
      <c r="P154" s="80"/>
      <c r="Q154" s="80"/>
      <c r="R154" s="80"/>
      <c r="S154" s="80"/>
      <c r="T154" s="80"/>
      <c r="U154" s="80"/>
      <c r="V154" s="80"/>
      <c r="W154" s="80"/>
      <c r="X154" s="45"/>
      <c r="Y154" s="45"/>
      <c r="Z154" s="45"/>
      <c r="AA154" s="45"/>
      <c r="AB154" s="45"/>
      <c r="AC154" s="45"/>
      <c r="AD154" s="45"/>
      <c r="AE154" s="45"/>
      <c r="AF154" s="45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105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  <c r="CV154" s="106"/>
      <c r="CW154" s="106"/>
      <c r="CX154" s="106"/>
      <c r="CY154" s="106"/>
      <c r="CZ154" s="106"/>
      <c r="DA154" s="106"/>
    </row>
    <row r="155" spans="2:106" ht="18" customHeight="1" thickBot="1" x14ac:dyDescent="0.3">
      <c r="B155" s="1"/>
      <c r="P155" s="80"/>
      <c r="Q155" s="80"/>
      <c r="R155" s="80"/>
      <c r="S155" s="80"/>
      <c r="T155" s="80"/>
      <c r="U155" s="80"/>
      <c r="V155" s="80"/>
      <c r="W155" s="80"/>
      <c r="X155" s="45"/>
      <c r="Y155" s="45"/>
      <c r="Z155" s="45"/>
      <c r="AA155" s="45"/>
      <c r="AB155" s="45"/>
      <c r="AC155" s="45"/>
      <c r="AD155" s="45"/>
      <c r="AE155" s="45"/>
      <c r="AF155" s="45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105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  <c r="BV155" s="106"/>
      <c r="BW155" s="106"/>
      <c r="BX155" s="106"/>
      <c r="BY155" s="106"/>
      <c r="BZ155" s="106"/>
      <c r="CA155" s="106"/>
      <c r="CB155" s="106"/>
      <c r="CC155" s="106"/>
      <c r="CD155" s="106"/>
      <c r="CE155" s="106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  <c r="CP155" s="106"/>
      <c r="CQ155" s="106"/>
      <c r="CR155" s="106"/>
      <c r="CS155" s="106"/>
      <c r="CT155" s="106"/>
      <c r="CU155" s="106"/>
      <c r="CV155" s="106"/>
      <c r="CW155" s="106"/>
      <c r="CX155" s="106"/>
      <c r="CY155" s="106"/>
      <c r="CZ155" s="106"/>
      <c r="DA155" s="106"/>
    </row>
    <row r="156" spans="2:106" ht="18" customHeight="1" thickTop="1" thickBot="1" x14ac:dyDescent="0.3">
      <c r="B156" s="29" t="s">
        <v>88</v>
      </c>
      <c r="C156"/>
      <c r="D156" s="30" t="s">
        <v>294</v>
      </c>
      <c r="P156" s="29" t="s">
        <v>88</v>
      </c>
      <c r="Q156" s="81"/>
      <c r="R156" s="276" t="s">
        <v>294</v>
      </c>
      <c r="S156" s="80"/>
      <c r="T156" s="80"/>
      <c r="U156" s="80"/>
      <c r="V156" s="80"/>
      <c r="W156" s="80"/>
      <c r="X156" s="29" t="s">
        <v>88</v>
      </c>
      <c r="Y156" s="45"/>
      <c r="Z156" s="279" t="s">
        <v>294</v>
      </c>
      <c r="AA156" s="45"/>
      <c r="AB156" s="45"/>
      <c r="AC156" s="45"/>
      <c r="AD156" s="45"/>
      <c r="AE156" s="45"/>
      <c r="AF156" s="45"/>
      <c r="AG156" s="435"/>
      <c r="AH156" s="390"/>
      <c r="AI156" s="310"/>
      <c r="AJ156" s="390"/>
      <c r="AK156" s="390"/>
      <c r="AL156" s="390"/>
      <c r="AM156" s="390"/>
      <c r="AN156" s="390"/>
      <c r="AO156" s="390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283" t="s">
        <v>88</v>
      </c>
      <c r="BK156" s="106"/>
      <c r="BL156" s="277" t="s">
        <v>89</v>
      </c>
      <c r="BM156" s="106"/>
      <c r="BN156" s="106"/>
      <c r="BO156" s="106"/>
      <c r="BP156" s="106"/>
      <c r="BQ156" s="106"/>
      <c r="BR156" s="106"/>
      <c r="BS156" s="106"/>
      <c r="BT156" s="106"/>
      <c r="BU156" s="106"/>
      <c r="BV156" s="106"/>
      <c r="BW156" s="106"/>
      <c r="BX156" s="106"/>
      <c r="BY156" s="106"/>
      <c r="BZ156" s="106"/>
      <c r="CA156" s="106"/>
      <c r="CB156" s="106"/>
      <c r="CC156" s="106"/>
      <c r="CD156" s="106"/>
      <c r="CE156" s="106"/>
      <c r="CF156" s="106"/>
      <c r="CG156" s="106"/>
      <c r="CH156" s="106"/>
      <c r="CI156" s="106"/>
      <c r="CJ156" s="106"/>
      <c r="CK156" s="106"/>
      <c r="CL156" s="106"/>
      <c r="CM156" s="106"/>
      <c r="CN156" s="106"/>
      <c r="CO156" s="106"/>
      <c r="CP156" s="106"/>
      <c r="CQ156" s="106"/>
      <c r="CR156" s="106"/>
      <c r="CS156" s="106"/>
      <c r="CT156" s="106"/>
      <c r="CU156" s="106"/>
      <c r="CV156" s="106"/>
      <c r="CW156" s="106"/>
      <c r="CX156" s="106"/>
      <c r="CY156" s="106"/>
      <c r="CZ156" s="106"/>
      <c r="DA156" s="106"/>
      <c r="DB156" s="281"/>
    </row>
    <row r="157" spans="2:106" ht="18" customHeight="1" thickTop="1" x14ac:dyDescent="0.2">
      <c r="P157" s="80"/>
      <c r="Q157" s="80"/>
      <c r="R157" s="80"/>
      <c r="S157" s="80"/>
      <c r="T157" s="80"/>
      <c r="U157" s="80"/>
      <c r="V157" s="80"/>
      <c r="W157" s="80"/>
      <c r="X157" s="45"/>
      <c r="Y157" s="45"/>
      <c r="Z157" s="45"/>
      <c r="AA157" s="45"/>
      <c r="AB157" s="45"/>
      <c r="AC157" s="45"/>
      <c r="AD157" s="45"/>
      <c r="AE157" s="45"/>
      <c r="AF157" s="45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  <c r="BV157" s="106"/>
      <c r="BW157" s="106"/>
      <c r="BX157" s="106"/>
      <c r="BY157" s="106"/>
      <c r="BZ157" s="106"/>
      <c r="CA157" s="106"/>
      <c r="CB157" s="106"/>
      <c r="CC157" s="106"/>
      <c r="CD157" s="106"/>
      <c r="CE157" s="106"/>
      <c r="CF157" s="106"/>
      <c r="CG157" s="106"/>
      <c r="CH157" s="106"/>
      <c r="CI157" s="106"/>
      <c r="CJ157" s="106"/>
      <c r="CK157" s="106"/>
      <c r="CL157" s="106"/>
      <c r="CM157" s="106"/>
      <c r="CN157" s="106"/>
      <c r="CO157" s="106"/>
      <c r="CP157" s="106"/>
      <c r="CQ157" s="106"/>
      <c r="CR157" s="106"/>
      <c r="CS157" s="106"/>
      <c r="CT157" s="106"/>
      <c r="CU157" s="106"/>
      <c r="CV157" s="106"/>
      <c r="CW157" s="106"/>
      <c r="CX157" s="106"/>
      <c r="CY157" s="106"/>
      <c r="CZ157" s="106"/>
      <c r="DA157" s="106"/>
      <c r="DB157" s="281"/>
    </row>
    <row r="158" spans="2:106" ht="18" customHeight="1" x14ac:dyDescent="0.2">
      <c r="B158" s="2" t="s">
        <v>227</v>
      </c>
      <c r="P158" s="80"/>
      <c r="Q158" s="80"/>
      <c r="R158" s="80"/>
      <c r="S158" s="80"/>
      <c r="T158" s="80"/>
      <c r="U158" s="80"/>
      <c r="V158" s="80"/>
      <c r="W158" s="80"/>
      <c r="X158" s="45"/>
      <c r="Y158" s="45"/>
      <c r="Z158" s="45"/>
      <c r="AA158" s="45"/>
      <c r="AB158" s="45"/>
      <c r="AC158" s="45"/>
      <c r="AD158" s="45"/>
      <c r="AE158" s="45"/>
      <c r="AF158" s="45"/>
      <c r="AG158" s="390"/>
      <c r="AH158" s="390"/>
      <c r="AI158" s="390"/>
      <c r="AJ158" s="390"/>
      <c r="AK158" s="390"/>
      <c r="AL158" s="390"/>
      <c r="AM158" s="390"/>
      <c r="AN158" s="390"/>
      <c r="AO158" s="390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  <c r="CV158" s="106"/>
      <c r="CW158" s="106"/>
      <c r="CX158" s="106"/>
      <c r="CY158" s="106"/>
      <c r="CZ158" s="106"/>
      <c r="DA158" s="106"/>
      <c r="DB158" s="281"/>
    </row>
    <row r="159" spans="2:106" ht="18" customHeight="1" x14ac:dyDescent="0.25">
      <c r="B159" s="1" t="s">
        <v>225</v>
      </c>
      <c r="P159" s="82" t="s">
        <v>92</v>
      </c>
      <c r="Q159" s="80"/>
      <c r="R159" s="80"/>
      <c r="S159" s="80"/>
      <c r="T159" s="80"/>
      <c r="U159" s="80"/>
      <c r="V159" s="80"/>
      <c r="W159" s="80"/>
      <c r="X159" s="47" t="s">
        <v>93</v>
      </c>
      <c r="Y159" s="45"/>
      <c r="Z159" s="45"/>
      <c r="AA159" s="45"/>
      <c r="AB159" s="45"/>
      <c r="AC159" s="45"/>
      <c r="AD159" s="45"/>
      <c r="AE159" s="45"/>
      <c r="AF159" s="45"/>
      <c r="AG159" s="453"/>
      <c r="AH159" s="390"/>
      <c r="AI159" s="390"/>
      <c r="AJ159" s="390"/>
      <c r="AK159" s="390"/>
      <c r="AL159" s="390"/>
      <c r="AM159" s="390"/>
      <c r="AN159" s="390"/>
      <c r="AO159" s="390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105" t="s">
        <v>95</v>
      </c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  <c r="BV159" s="106"/>
      <c r="BW159" s="106"/>
      <c r="BX159" s="106"/>
      <c r="BY159" s="106"/>
      <c r="BZ159" s="106"/>
      <c r="CA159" s="106"/>
      <c r="CB159" s="106"/>
      <c r="CC159" s="106"/>
      <c r="CD159" s="106"/>
      <c r="CE159" s="106"/>
      <c r="CF159" s="106"/>
      <c r="CG159" s="106"/>
      <c r="CH159" s="106"/>
      <c r="CI159" s="106"/>
      <c r="CJ159" s="106"/>
      <c r="CK159" s="106"/>
      <c r="CL159" s="106"/>
      <c r="CM159" s="106"/>
      <c r="CN159" s="106"/>
      <c r="CO159" s="106"/>
      <c r="CP159" s="106"/>
      <c r="CQ159" s="106"/>
      <c r="CR159" s="106"/>
      <c r="CS159" s="106"/>
      <c r="CT159" s="106"/>
      <c r="CU159" s="106"/>
      <c r="CV159" s="106"/>
      <c r="CW159" s="106"/>
      <c r="CX159" s="106"/>
      <c r="CY159" s="106"/>
      <c r="CZ159" s="106"/>
      <c r="DA159" s="106"/>
      <c r="DB159" s="281"/>
    </row>
    <row r="160" spans="2:106" ht="18" customHeight="1" thickBot="1" x14ac:dyDescent="0.25">
      <c r="P160" s="80"/>
      <c r="Q160" s="80"/>
      <c r="R160" s="80"/>
      <c r="S160" s="80"/>
      <c r="T160" s="80"/>
      <c r="U160" s="80"/>
      <c r="V160" s="80"/>
      <c r="W160" s="80"/>
      <c r="X160" s="45"/>
      <c r="Y160" s="45"/>
      <c r="Z160" s="45"/>
      <c r="AA160" s="45"/>
      <c r="AB160" s="45"/>
      <c r="AC160" s="45"/>
      <c r="AD160" s="45"/>
      <c r="AE160" s="45"/>
      <c r="AF160" s="45"/>
      <c r="AG160" s="390"/>
      <c r="AH160" s="390"/>
      <c r="AI160" s="390"/>
      <c r="AJ160" s="390"/>
      <c r="AK160" s="390"/>
      <c r="AL160" s="390"/>
      <c r="AM160" s="390"/>
      <c r="AN160" s="390"/>
      <c r="AO160" s="390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109" t="s">
        <v>11</v>
      </c>
      <c r="BK160" s="109" t="s">
        <v>194</v>
      </c>
      <c r="BL160" s="109" t="s">
        <v>195</v>
      </c>
      <c r="BM160" s="124" t="s">
        <v>196</v>
      </c>
      <c r="BN160" s="381" t="s">
        <v>226</v>
      </c>
      <c r="BO160" s="106"/>
      <c r="BP160" s="106"/>
      <c r="BQ160" s="106"/>
      <c r="BR160" s="106"/>
      <c r="BS160" s="106"/>
      <c r="BT160" s="106"/>
      <c r="BU160" s="106"/>
      <c r="BV160" s="106"/>
      <c r="BW160" s="106"/>
      <c r="BX160" s="106"/>
      <c r="BY160" s="106"/>
      <c r="BZ160" s="106"/>
      <c r="CA160" s="106"/>
      <c r="CB160" s="106"/>
      <c r="CC160" s="106"/>
      <c r="CD160" s="106"/>
      <c r="CE160" s="106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  <c r="CP160" s="106"/>
      <c r="CQ160" s="106"/>
      <c r="CR160" s="106"/>
      <c r="CS160" s="106"/>
      <c r="CT160" s="106"/>
      <c r="CU160" s="106"/>
      <c r="CV160" s="106"/>
      <c r="CW160" s="106"/>
      <c r="CX160" s="106"/>
      <c r="CY160" s="106"/>
      <c r="CZ160" s="106"/>
      <c r="DA160" s="106"/>
      <c r="DB160" s="281"/>
    </row>
    <row r="161" spans="2:106" ht="18" customHeight="1" thickTop="1" thickBot="1" x14ac:dyDescent="0.25">
      <c r="C161" s="4" t="s">
        <v>224</v>
      </c>
      <c r="D161" s="12">
        <v>0.1</v>
      </c>
      <c r="P161" s="98" t="s">
        <v>11</v>
      </c>
      <c r="Q161" s="98" t="s">
        <v>194</v>
      </c>
      <c r="R161" s="97" t="s">
        <v>195</v>
      </c>
      <c r="S161" s="98" t="s">
        <v>196</v>
      </c>
      <c r="T161" s="98" t="s">
        <v>226</v>
      </c>
      <c r="U161" s="80"/>
      <c r="V161" s="80"/>
      <c r="W161" s="80"/>
      <c r="X161" s="49" t="s">
        <v>11</v>
      </c>
      <c r="Y161" s="49" t="s">
        <v>194</v>
      </c>
      <c r="Z161" s="49" t="s">
        <v>195</v>
      </c>
      <c r="AA161" s="71" t="s">
        <v>196</v>
      </c>
      <c r="AB161" s="78" t="s">
        <v>226</v>
      </c>
      <c r="AC161" s="45"/>
      <c r="AD161" s="45"/>
      <c r="AE161" s="45"/>
      <c r="AF161" s="45"/>
      <c r="AG161" s="311"/>
      <c r="AH161" s="311"/>
      <c r="AI161" s="311"/>
      <c r="AJ161" s="441"/>
      <c r="AK161" s="443"/>
      <c r="AL161" s="390"/>
      <c r="AM161" s="390"/>
      <c r="AN161" s="390"/>
      <c r="AO161" s="390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110">
        <v>1</v>
      </c>
      <c r="BK161" s="120">
        <f>SUMPRODUCT(BJ161:BJ165,BN26:BN30)</f>
        <v>0.29949999999991589</v>
      </c>
      <c r="BL161" s="110">
        <f>SUMPRODUCT($BJ$161:$BJ$165,BL59:BL63)</f>
        <v>2.5374299383233493E-5</v>
      </c>
      <c r="BM161" s="121">
        <f>SUMPRODUCT(BJ161:BJ165,BL161:BL165)</f>
        <v>2.3564882162389819E-5</v>
      </c>
      <c r="BN161" s="58">
        <f>TINV(0.1,df-3)</f>
        <v>1.7709333959868729</v>
      </c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I161" s="106"/>
      <c r="CJ161" s="106"/>
      <c r="CK161" s="106"/>
      <c r="CL161" s="106"/>
      <c r="CM161" s="106"/>
      <c r="CN161" s="106"/>
      <c r="CO161" s="106"/>
      <c r="CP161" s="106"/>
      <c r="CQ161" s="106"/>
      <c r="CR161" s="106"/>
      <c r="CS161" s="106"/>
      <c r="CT161" s="106"/>
      <c r="CU161" s="106"/>
      <c r="CV161" s="106"/>
      <c r="CW161" s="106"/>
      <c r="CX161" s="106"/>
      <c r="CY161" s="106"/>
      <c r="CZ161" s="106"/>
      <c r="DA161" s="106"/>
      <c r="DB161" s="281"/>
    </row>
    <row r="162" spans="2:106" ht="18" customHeight="1" thickTop="1" x14ac:dyDescent="0.2">
      <c r="P162" s="91">
        <v>1</v>
      </c>
      <c r="Q162" s="89">
        <f>SUMPRODUCT(P162:P163,P27:P28)</f>
        <v>0.44166666666666715</v>
      </c>
      <c r="R162" s="91">
        <f>SUMPRODUCT($P$162:$P$163,P52:P53)</f>
        <v>2.984960317459998E-3</v>
      </c>
      <c r="S162" s="89">
        <f>SUMPRODUCT(P162:P163,R162:R163)</f>
        <v>2.9046174603171494E-3</v>
      </c>
      <c r="T162" s="89">
        <f>TINV(0.1,df)</f>
        <v>1.7458836762762506</v>
      </c>
      <c r="U162" s="81"/>
      <c r="V162" s="81"/>
      <c r="W162" s="81"/>
      <c r="X162" s="50">
        <v>1</v>
      </c>
      <c r="Y162" s="64">
        <f>SUMPRODUCT(X162:X164,Z30:Z32)</f>
        <v>0.29950000000000282</v>
      </c>
      <c r="Z162" s="50">
        <f>SUMPRODUCT($X$162:$X$164,Z59:Z61)</f>
        <v>2.0357142853720337E-5</v>
      </c>
      <c r="AA162" s="64">
        <f>SUMPRODUCT(X162:X164,Z162:Z164)</f>
        <v>1.8996261901568181E-5</v>
      </c>
      <c r="AB162" s="64">
        <f>TINV(0.1,df-1)</f>
        <v>1.7530503556925723</v>
      </c>
      <c r="AC162" s="45"/>
      <c r="AD162" s="45"/>
      <c r="AE162" s="45"/>
      <c r="AF162" s="45"/>
      <c r="AG162" s="227"/>
      <c r="AH162" s="227"/>
      <c r="AI162" s="227"/>
      <c r="AJ162" s="227"/>
      <c r="AK162" s="227"/>
      <c r="AL162" s="390"/>
      <c r="AM162" s="390"/>
      <c r="AN162" s="390"/>
      <c r="AO162" s="390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111">
        <f>conc</f>
        <v>0.1</v>
      </c>
      <c r="BK162" s="108"/>
      <c r="BL162" s="111">
        <f>SUMPRODUCT($BJ$161:$BJ$165,BM59:BM63)</f>
        <v>-1.7987371682738751E-5</v>
      </c>
      <c r="BM162" s="106"/>
      <c r="BN162" s="380"/>
      <c r="BO162" s="106"/>
      <c r="BP162" s="106"/>
      <c r="BQ162" s="106"/>
      <c r="BR162" s="106"/>
      <c r="BS162" s="106"/>
      <c r="BT162" s="106"/>
      <c r="BU162" s="106"/>
      <c r="BV162" s="106"/>
      <c r="BW162" s="106"/>
      <c r="BX162" s="106"/>
      <c r="BY162" s="106"/>
      <c r="BZ162" s="106"/>
      <c r="CA162" s="106"/>
      <c r="CB162" s="106"/>
      <c r="CC162" s="106"/>
      <c r="CD162" s="106"/>
      <c r="CE162" s="106"/>
      <c r="CF162" s="106"/>
      <c r="CG162" s="106"/>
      <c r="CH162" s="106"/>
      <c r="CI162" s="106"/>
      <c r="CJ162" s="106"/>
      <c r="CK162" s="106"/>
      <c r="CL162" s="106"/>
      <c r="CM162" s="106"/>
      <c r="CN162" s="106"/>
      <c r="CO162" s="106"/>
      <c r="CP162" s="106"/>
      <c r="CQ162" s="106"/>
      <c r="CR162" s="106"/>
      <c r="CS162" s="106"/>
      <c r="CT162" s="106"/>
      <c r="CU162" s="106"/>
      <c r="CV162" s="106"/>
      <c r="CW162" s="106"/>
      <c r="CX162" s="106"/>
      <c r="CY162" s="106"/>
      <c r="CZ162" s="106"/>
      <c r="DA162" s="106"/>
      <c r="DB162" s="281"/>
    </row>
    <row r="163" spans="2:106" ht="18" customHeight="1" x14ac:dyDescent="0.2">
      <c r="B163" s="2" t="s">
        <v>282</v>
      </c>
      <c r="C163" s="5"/>
      <c r="D163" s="382"/>
      <c r="P163" s="92">
        <f>conc</f>
        <v>0.1</v>
      </c>
      <c r="Q163" s="83"/>
      <c r="R163" s="92">
        <f>SUMPRODUCT($P$162:$P$163,Q52:Q53)</f>
        <v>-8.034285714284855E-4</v>
      </c>
      <c r="S163" s="81"/>
      <c r="T163" s="83"/>
      <c r="U163" s="83"/>
      <c r="V163" s="83"/>
      <c r="W163" s="83"/>
      <c r="X163" s="54">
        <f>conc</f>
        <v>0.1</v>
      </c>
      <c r="Y163" s="48"/>
      <c r="Z163" s="54">
        <f>SUMPRODUCT($X$162:$X$164,AA59:AA61)</f>
        <v>-1.3811904759582652E-5</v>
      </c>
      <c r="AA163" s="45"/>
      <c r="AB163" s="45"/>
      <c r="AC163" s="45"/>
      <c r="AD163" s="45"/>
      <c r="AE163" s="45"/>
      <c r="AF163" s="45"/>
      <c r="AG163" s="227"/>
      <c r="AH163" s="227"/>
      <c r="AI163" s="227"/>
      <c r="AJ163" s="390"/>
      <c r="AK163" s="390"/>
      <c r="AL163" s="390"/>
      <c r="AM163" s="390"/>
      <c r="AN163" s="390"/>
      <c r="AO163" s="390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111">
        <f>conc^2</f>
        <v>1.0000000000000002E-2</v>
      </c>
      <c r="BK163" s="108"/>
      <c r="BL163" s="111">
        <f>SUMPRODUCT($BJ$161:$BJ$165,BN59:BN63)</f>
        <v>-1.3001334653358174E-6</v>
      </c>
      <c r="BM163" s="106"/>
      <c r="BN163" s="106"/>
      <c r="BO163" s="106"/>
      <c r="BP163" s="106"/>
      <c r="BQ163" s="106"/>
      <c r="BR163" s="106"/>
      <c r="BS163" s="106"/>
      <c r="BT163" s="106"/>
      <c r="BU163" s="106"/>
      <c r="BV163" s="106"/>
      <c r="BW163" s="106"/>
      <c r="BX163" s="106"/>
      <c r="BY163" s="106"/>
      <c r="BZ163" s="106"/>
      <c r="CA163" s="106"/>
      <c r="CB163" s="106"/>
      <c r="CC163" s="106"/>
      <c r="CD163" s="106"/>
      <c r="CE163" s="106"/>
      <c r="CF163" s="106"/>
      <c r="CG163" s="106"/>
      <c r="CH163" s="106"/>
      <c r="CI163" s="106"/>
      <c r="CJ163" s="106"/>
      <c r="CK163" s="106"/>
      <c r="CL163" s="106"/>
      <c r="CM163" s="106"/>
      <c r="CN163" s="106"/>
      <c r="CO163" s="106"/>
      <c r="CP163" s="106"/>
      <c r="CQ163" s="106"/>
      <c r="CR163" s="106"/>
      <c r="CS163" s="106"/>
      <c r="CT163" s="106"/>
      <c r="CU163" s="106"/>
      <c r="CV163" s="106"/>
      <c r="CW163" s="106"/>
      <c r="CX163" s="106"/>
      <c r="CY163" s="106"/>
      <c r="CZ163" s="106"/>
      <c r="DA163" s="106"/>
      <c r="DB163" s="281"/>
    </row>
    <row r="164" spans="2:106" ht="18" customHeight="1" x14ac:dyDescent="0.2">
      <c r="B164" s="2" t="s">
        <v>283</v>
      </c>
      <c r="C164" s="5"/>
      <c r="D164" s="382"/>
      <c r="P164" s="83"/>
      <c r="Q164" s="83"/>
      <c r="R164" s="83"/>
      <c r="S164" s="83"/>
      <c r="T164" s="83"/>
      <c r="U164" s="83"/>
      <c r="V164" s="83"/>
      <c r="W164" s="83"/>
      <c r="X164" s="65">
        <f>conc^2</f>
        <v>1.0000000000000002E-2</v>
      </c>
      <c r="Y164" s="48"/>
      <c r="Z164" s="65">
        <f>SUMPRODUCT($X$162:$X$164,AB59:AB61)</f>
        <v>2.0309523806109295E-6</v>
      </c>
      <c r="AA164" s="45"/>
      <c r="AB164" s="45"/>
      <c r="AC164" s="45"/>
      <c r="AD164" s="45"/>
      <c r="AE164" s="45"/>
      <c r="AF164" s="45"/>
      <c r="AG164" s="227"/>
      <c r="AH164" s="227"/>
      <c r="AI164" s="227"/>
      <c r="AJ164" s="390"/>
      <c r="AK164" s="390"/>
      <c r="AL164" s="390"/>
      <c r="AM164" s="390"/>
      <c r="AN164" s="390"/>
      <c r="AO164" s="390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111">
        <f>conc^3</f>
        <v>1.0000000000000002E-3</v>
      </c>
      <c r="BK164" s="106"/>
      <c r="BL164" s="111">
        <f>SUMPRODUCT($BJ$161:$BJ$165,BO59:BO63)</f>
        <v>2.3529022738788785E-6</v>
      </c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  <c r="CQ164" s="106"/>
      <c r="CR164" s="106"/>
      <c r="CS164" s="106"/>
      <c r="CT164" s="106"/>
      <c r="CU164" s="106"/>
      <c r="CV164" s="106"/>
      <c r="CW164" s="106"/>
      <c r="CX164" s="106"/>
      <c r="CY164" s="106"/>
      <c r="CZ164" s="106"/>
      <c r="DA164" s="106"/>
      <c r="DB164" s="281"/>
    </row>
    <row r="165" spans="2:106" ht="18" customHeight="1" x14ac:dyDescent="0.25">
      <c r="C165" s="5"/>
      <c r="D165" s="382"/>
      <c r="P165" s="82"/>
      <c r="Q165" s="80"/>
      <c r="R165" s="80"/>
      <c r="S165" s="81"/>
      <c r="T165" s="83"/>
      <c r="U165" s="83"/>
      <c r="V165" s="83"/>
      <c r="W165" s="83"/>
      <c r="X165" s="45"/>
      <c r="Y165" s="45"/>
      <c r="Z165" s="45"/>
      <c r="AA165" s="45"/>
      <c r="AB165" s="45"/>
      <c r="AC165" s="45"/>
      <c r="AD165" s="45"/>
      <c r="AE165" s="45"/>
      <c r="AF165" s="45"/>
      <c r="AG165" s="227"/>
      <c r="AH165" s="390"/>
      <c r="AI165" s="227"/>
      <c r="AJ165" s="390"/>
      <c r="AK165" s="390"/>
      <c r="AL165" s="390"/>
      <c r="AM165" s="390"/>
      <c r="AN165" s="390"/>
      <c r="AO165" s="390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115">
        <f>conc^4</f>
        <v>1.0000000000000005E-4</v>
      </c>
      <c r="BK165" s="106"/>
      <c r="BL165" s="115">
        <f>SUMPRODUCT($BJ$161:$BJ$165,BP59:BP63)</f>
        <v>-3.1620190321807065E-7</v>
      </c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6"/>
      <c r="CD165" s="106"/>
      <c r="CE165" s="106"/>
      <c r="CF165" s="106"/>
      <c r="CG165" s="106"/>
      <c r="CH165" s="106"/>
      <c r="CI165" s="106"/>
      <c r="CJ165" s="106"/>
      <c r="CK165" s="106"/>
      <c r="CL165" s="106"/>
      <c r="CM165" s="106"/>
      <c r="CN165" s="106"/>
      <c r="CO165" s="106"/>
      <c r="CP165" s="106"/>
      <c r="CQ165" s="106"/>
      <c r="CR165" s="106"/>
      <c r="CS165" s="106"/>
      <c r="CT165" s="106"/>
      <c r="CU165" s="106"/>
      <c r="CV165" s="106"/>
      <c r="CW165" s="106"/>
      <c r="CX165" s="106"/>
      <c r="CY165" s="106"/>
      <c r="CZ165" s="106"/>
      <c r="DA165" s="106"/>
      <c r="DB165" s="281"/>
    </row>
    <row r="166" spans="2:106" ht="18" customHeight="1" x14ac:dyDescent="0.2">
      <c r="C166" s="5"/>
      <c r="D166" s="375">
        <f>IF(p="Q",Y173,Q173)</f>
        <v>0.28205769850340057</v>
      </c>
      <c r="P166" s="80"/>
      <c r="Q166" s="80"/>
      <c r="R166" s="80"/>
      <c r="S166" s="81"/>
      <c r="T166" s="81"/>
      <c r="U166" s="81"/>
      <c r="V166" s="81"/>
      <c r="W166" s="81"/>
      <c r="X166" s="45"/>
      <c r="Y166" s="45"/>
      <c r="Z166" s="45"/>
      <c r="AA166" s="45"/>
      <c r="AB166" s="45"/>
      <c r="AC166" s="45"/>
      <c r="AD166" s="45"/>
      <c r="AE166" s="45"/>
      <c r="AF166" s="45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  <c r="BV166" s="106"/>
      <c r="BW166" s="106"/>
      <c r="BX166" s="106"/>
      <c r="BY166" s="106"/>
      <c r="BZ166" s="106"/>
      <c r="CA166" s="106"/>
      <c r="CB166" s="106"/>
      <c r="CC166" s="106"/>
      <c r="CD166" s="106"/>
      <c r="CE166" s="106"/>
      <c r="CF166" s="106"/>
      <c r="CG166" s="106"/>
      <c r="CH166" s="106"/>
      <c r="CI166" s="106"/>
      <c r="CJ166" s="106"/>
      <c r="CK166" s="106"/>
      <c r="CL166" s="106"/>
      <c r="CM166" s="106"/>
      <c r="CN166" s="106"/>
      <c r="CO166" s="106"/>
      <c r="CP166" s="106"/>
      <c r="CQ166" s="106"/>
      <c r="CR166" s="106"/>
      <c r="CS166" s="106"/>
      <c r="CT166" s="106"/>
      <c r="CU166" s="106"/>
      <c r="CV166" s="106"/>
      <c r="CW166" s="106"/>
      <c r="CX166" s="106"/>
      <c r="CY166" s="106"/>
      <c r="CZ166" s="106"/>
      <c r="DA166" s="106"/>
      <c r="DB166" s="281"/>
    </row>
    <row r="167" spans="2:106" ht="18" customHeight="1" x14ac:dyDescent="0.2">
      <c r="C167" s="5"/>
      <c r="D167" s="382"/>
      <c r="P167" s="80"/>
      <c r="Q167" s="80"/>
      <c r="R167" s="80"/>
      <c r="S167" s="81"/>
      <c r="T167" s="81"/>
      <c r="U167" s="81"/>
      <c r="V167" s="81"/>
      <c r="W167" s="81"/>
      <c r="X167" s="45"/>
      <c r="Y167" s="45"/>
      <c r="Z167" s="45"/>
      <c r="AA167" s="45"/>
      <c r="AB167" s="45"/>
      <c r="AC167" s="45"/>
      <c r="AD167" s="45"/>
      <c r="AE167" s="45"/>
      <c r="AF167" s="45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  <c r="BV167" s="106"/>
      <c r="BW167" s="106"/>
      <c r="BX167" s="106"/>
      <c r="BY167" s="106"/>
      <c r="BZ167" s="106"/>
      <c r="CA167" s="106"/>
      <c r="CB167" s="106"/>
      <c r="CC167" s="106"/>
      <c r="CD167" s="106"/>
      <c r="CE167" s="106"/>
      <c r="CF167" s="106"/>
      <c r="CG167" s="106"/>
      <c r="CH167" s="106"/>
      <c r="CI167" s="106"/>
      <c r="CJ167" s="106"/>
      <c r="CK167" s="106"/>
      <c r="CL167" s="106"/>
      <c r="CM167" s="106"/>
      <c r="CN167" s="106"/>
      <c r="CO167" s="106"/>
      <c r="CP167" s="106"/>
      <c r="CQ167" s="106"/>
      <c r="CR167" s="106"/>
      <c r="CS167" s="106"/>
      <c r="CT167" s="106"/>
      <c r="CU167" s="106"/>
      <c r="CV167" s="106"/>
      <c r="CW167" s="106"/>
      <c r="CX167" s="106"/>
      <c r="CY167" s="106"/>
      <c r="CZ167" s="106"/>
      <c r="DA167" s="106"/>
      <c r="DB167" s="281"/>
    </row>
    <row r="168" spans="2:106" ht="18" customHeight="1" x14ac:dyDescent="0.2">
      <c r="P168" s="80"/>
      <c r="Q168" s="80"/>
      <c r="R168" s="80"/>
      <c r="S168" s="81"/>
      <c r="T168" s="81"/>
      <c r="U168" s="81"/>
      <c r="V168" s="81"/>
      <c r="W168" s="81"/>
      <c r="X168" s="45"/>
      <c r="Y168" s="45"/>
      <c r="Z168" s="45"/>
      <c r="AA168" s="45"/>
      <c r="AB168" s="45"/>
      <c r="AC168" s="45"/>
      <c r="AD168" s="45"/>
      <c r="AE168" s="45"/>
      <c r="AF168" s="45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  <c r="BV168" s="106"/>
      <c r="BW168" s="106"/>
      <c r="BX168" s="106"/>
      <c r="BY168" s="106"/>
      <c r="BZ168" s="106"/>
      <c r="CA168" s="106"/>
      <c r="CB168" s="106"/>
      <c r="CC168" s="106"/>
      <c r="CD168" s="106"/>
      <c r="CE168" s="106"/>
      <c r="CF168" s="106"/>
      <c r="CG168" s="106"/>
      <c r="CH168" s="106"/>
      <c r="CI168" s="106"/>
      <c r="CJ168" s="106"/>
      <c r="CK168" s="106"/>
      <c r="CL168" s="106"/>
      <c r="CM168" s="106"/>
      <c r="CN168" s="106"/>
      <c r="CO168" s="106"/>
      <c r="CP168" s="106"/>
      <c r="CQ168" s="106"/>
      <c r="CR168" s="106"/>
      <c r="CS168" s="106"/>
      <c r="CT168" s="106"/>
      <c r="CU168" s="106"/>
      <c r="CV168" s="106"/>
      <c r="CW168" s="106"/>
      <c r="CX168" s="106"/>
      <c r="CY168" s="106"/>
      <c r="CZ168" s="106"/>
      <c r="DA168" s="106"/>
      <c r="DB168" s="281"/>
    </row>
    <row r="169" spans="2:106" ht="18" customHeight="1" x14ac:dyDescent="0.2">
      <c r="P169" s="80"/>
      <c r="Q169" s="80"/>
      <c r="R169" s="80"/>
      <c r="S169" s="81"/>
      <c r="T169" s="81"/>
      <c r="U169" s="81"/>
      <c r="V169" s="81"/>
      <c r="W169" s="81"/>
      <c r="X169" s="45"/>
      <c r="Y169" s="45"/>
      <c r="Z169" s="45"/>
      <c r="AA169" s="45"/>
      <c r="AB169" s="45"/>
      <c r="AC169" s="45"/>
      <c r="AD169" s="45"/>
      <c r="AE169" s="45"/>
      <c r="AF169" s="45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6"/>
      <c r="CJ169" s="106"/>
      <c r="CK169" s="106"/>
      <c r="CL169" s="106"/>
      <c r="CM169" s="106"/>
      <c r="CN169" s="106"/>
      <c r="CO169" s="106"/>
      <c r="CP169" s="106"/>
      <c r="CQ169" s="106"/>
      <c r="CR169" s="106"/>
      <c r="CS169" s="106"/>
      <c r="CT169" s="106"/>
      <c r="CU169" s="106"/>
      <c r="CV169" s="106"/>
      <c r="CW169" s="106"/>
      <c r="CX169" s="106"/>
      <c r="CY169" s="106"/>
      <c r="CZ169" s="106"/>
      <c r="DA169" s="106"/>
      <c r="DB169" s="281"/>
    </row>
    <row r="170" spans="2:106" ht="18" customHeight="1" x14ac:dyDescent="0.2">
      <c r="P170" s="80"/>
      <c r="Q170" s="80"/>
      <c r="R170" s="80"/>
      <c r="S170" s="81"/>
      <c r="T170" s="81"/>
      <c r="U170" s="81"/>
      <c r="V170" s="81"/>
      <c r="W170" s="81"/>
      <c r="X170" s="45"/>
      <c r="Y170" s="45"/>
      <c r="Z170" s="45"/>
      <c r="AA170" s="45"/>
      <c r="AB170" s="45"/>
      <c r="AC170" s="45"/>
      <c r="AD170" s="45"/>
      <c r="AE170" s="45"/>
      <c r="AF170" s="45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  <c r="BV170" s="106"/>
      <c r="BW170" s="106"/>
      <c r="BX170" s="106"/>
      <c r="BY170" s="106"/>
      <c r="BZ170" s="106"/>
      <c r="CA170" s="106"/>
      <c r="CB170" s="106"/>
      <c r="CC170" s="106"/>
      <c r="CD170" s="106"/>
      <c r="CE170" s="106"/>
      <c r="CF170" s="106"/>
      <c r="CG170" s="106"/>
      <c r="CH170" s="106"/>
      <c r="CI170" s="106"/>
      <c r="CJ170" s="106"/>
      <c r="CK170" s="106"/>
      <c r="CL170" s="106"/>
      <c r="CM170" s="106"/>
      <c r="CN170" s="106"/>
      <c r="CO170" s="106"/>
      <c r="CP170" s="106"/>
      <c r="CQ170" s="106"/>
      <c r="CR170" s="106"/>
      <c r="CS170" s="106"/>
      <c r="CT170" s="106"/>
      <c r="CU170" s="106"/>
      <c r="CV170" s="106"/>
      <c r="CW170" s="106"/>
      <c r="CX170" s="106"/>
      <c r="CY170" s="106"/>
      <c r="CZ170" s="106"/>
      <c r="DA170" s="106"/>
      <c r="DB170" s="281"/>
    </row>
    <row r="171" spans="2:106" ht="18" customHeight="1" x14ac:dyDescent="0.2">
      <c r="P171" s="99" t="s">
        <v>273</v>
      </c>
      <c r="Q171" s="100"/>
      <c r="R171" s="383"/>
      <c r="S171" s="384"/>
      <c r="T171" s="385"/>
      <c r="U171" s="81"/>
      <c r="V171" s="81"/>
      <c r="W171" s="81"/>
      <c r="X171" s="72" t="s">
        <v>273</v>
      </c>
      <c r="Y171" s="73"/>
      <c r="Z171" s="52"/>
      <c r="AA171" s="399"/>
      <c r="AB171" s="77"/>
      <c r="AC171" s="45"/>
      <c r="AD171" s="45"/>
      <c r="AE171" s="45"/>
      <c r="AF171" s="45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0"/>
      <c r="AS171" s="390"/>
      <c r="AT171" s="390"/>
      <c r="AU171" s="390"/>
      <c r="AV171" s="390"/>
      <c r="AW171" s="390"/>
      <c r="AX171" s="390"/>
      <c r="AY171" s="390"/>
      <c r="AZ171" s="390"/>
      <c r="BA171" s="390"/>
      <c r="BB171" s="390"/>
      <c r="BC171" s="390"/>
      <c r="BD171" s="390"/>
      <c r="BE171" s="390"/>
      <c r="BF171" s="390"/>
      <c r="BG171" s="390"/>
      <c r="BH171" s="390"/>
      <c r="BI171" s="390"/>
      <c r="BJ171" s="391"/>
      <c r="BK171" s="391"/>
      <c r="BL171" s="391"/>
      <c r="BM171" s="391"/>
      <c r="BN171" s="391"/>
      <c r="BO171" s="391"/>
      <c r="BP171" s="391"/>
      <c r="BQ171" s="391"/>
      <c r="BR171" s="391"/>
      <c r="BS171" s="391"/>
      <c r="BT171" s="391"/>
      <c r="BU171" s="391"/>
      <c r="BV171" s="391"/>
      <c r="BW171" s="391"/>
      <c r="BX171" s="391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  <c r="CK171" s="106"/>
      <c r="CL171" s="106"/>
      <c r="CM171" s="106"/>
      <c r="CN171" s="106"/>
      <c r="CO171" s="106"/>
      <c r="CP171" s="106"/>
      <c r="CQ171" s="106"/>
      <c r="CR171" s="106"/>
      <c r="CS171" s="106"/>
      <c r="CT171" s="106"/>
      <c r="CU171" s="106"/>
      <c r="CV171" s="106"/>
      <c r="CW171" s="106"/>
      <c r="CX171" s="106"/>
      <c r="CY171" s="106"/>
      <c r="CZ171" s="106"/>
      <c r="DA171" s="106"/>
      <c r="DB171" s="281"/>
    </row>
    <row r="172" spans="2:106" ht="18" customHeight="1" x14ac:dyDescent="0.2">
      <c r="C172" s="5"/>
      <c r="D172" s="382"/>
      <c r="P172" s="101" t="s">
        <v>197</v>
      </c>
      <c r="Q172" s="102" t="s">
        <v>198</v>
      </c>
      <c r="R172" s="102" t="s">
        <v>199</v>
      </c>
      <c r="S172" s="386"/>
      <c r="T172" s="387"/>
      <c r="U172" s="81"/>
      <c r="V172" s="81"/>
      <c r="W172" s="81"/>
      <c r="X172" s="74" t="s">
        <v>197</v>
      </c>
      <c r="Y172" s="75" t="s">
        <v>198</v>
      </c>
      <c r="Z172" s="75" t="s">
        <v>199</v>
      </c>
      <c r="AA172" s="398"/>
      <c r="AB172" s="76"/>
      <c r="AC172" s="45"/>
      <c r="AD172" s="45"/>
      <c r="AE172" s="45"/>
      <c r="AF172" s="45"/>
      <c r="AG172" s="392"/>
      <c r="AH172" s="393"/>
      <c r="AI172" s="227"/>
      <c r="AJ172" s="394"/>
      <c r="AK172" s="394"/>
      <c r="AL172" s="390"/>
      <c r="AM172" s="390"/>
      <c r="AN172" s="390"/>
      <c r="AO172" s="390"/>
      <c r="AP172" s="390"/>
      <c r="AQ172" s="390"/>
      <c r="AR172" s="390"/>
      <c r="AS172" s="390"/>
      <c r="AT172" s="390"/>
      <c r="AU172" s="390"/>
      <c r="AV172" s="390"/>
      <c r="AW172" s="390"/>
      <c r="AX172" s="390"/>
      <c r="AY172" s="390"/>
      <c r="AZ172" s="390"/>
      <c r="BA172" s="390"/>
      <c r="BB172" s="390"/>
      <c r="BC172" s="390"/>
      <c r="BD172" s="390"/>
      <c r="BE172" s="390"/>
      <c r="BF172" s="390"/>
      <c r="BG172" s="390"/>
      <c r="BH172" s="390"/>
      <c r="BI172" s="390"/>
      <c r="BJ172" s="395"/>
      <c r="BK172" s="396"/>
      <c r="BL172" s="112"/>
      <c r="BM172" s="397"/>
      <c r="BN172" s="391"/>
      <c r="BO172" s="391"/>
      <c r="BP172" s="391"/>
      <c r="BQ172" s="391"/>
      <c r="BR172" s="391"/>
      <c r="BS172" s="391"/>
      <c r="BT172" s="391"/>
      <c r="BU172" s="391"/>
      <c r="BV172" s="391"/>
      <c r="BW172" s="391"/>
      <c r="BX172" s="391"/>
      <c r="BY172" s="106"/>
      <c r="BZ172" s="106"/>
      <c r="CA172" s="106"/>
      <c r="CB172" s="106"/>
      <c r="CC172" s="106"/>
      <c r="CD172" s="106"/>
      <c r="CE172" s="106"/>
      <c r="CF172" s="106"/>
      <c r="CG172" s="106"/>
      <c r="CH172" s="106"/>
      <c r="CI172" s="106"/>
      <c r="CJ172" s="106"/>
      <c r="CK172" s="106"/>
      <c r="CL172" s="106"/>
      <c r="CM172" s="106"/>
      <c r="CN172" s="106"/>
      <c r="CO172" s="106"/>
      <c r="CP172" s="106"/>
      <c r="CQ172" s="106"/>
      <c r="CR172" s="106"/>
      <c r="CS172" s="106"/>
      <c r="CT172" s="106"/>
      <c r="CU172" s="106"/>
      <c r="CV172" s="106"/>
      <c r="CW172" s="106"/>
      <c r="CX172" s="106"/>
      <c r="CY172" s="106"/>
      <c r="CZ172" s="106"/>
      <c r="DA172" s="106"/>
      <c r="DB172" s="281"/>
    </row>
    <row r="173" spans="2:106" ht="18" customHeight="1" thickBot="1" x14ac:dyDescent="0.25">
      <c r="C173" s="5"/>
      <c r="D173" s="382"/>
      <c r="P173" s="86">
        <f>Q162</f>
        <v>0.44166666666666715</v>
      </c>
      <c r="Q173" s="104">
        <f>$P$173-T162*SQRT($S$162+P49)</f>
        <v>0.19181846693708424</v>
      </c>
      <c r="R173" s="104">
        <f>$P$173+T162*SQRT($S$162+P49)</f>
        <v>0.69151486639625004</v>
      </c>
      <c r="S173" s="388"/>
      <c r="T173" s="389"/>
      <c r="U173" s="81"/>
      <c r="V173" s="81"/>
      <c r="W173" s="81"/>
      <c r="X173" s="60">
        <f>Y162</f>
        <v>0.29950000000000282</v>
      </c>
      <c r="Y173" s="61">
        <f>$X$173-AB162*SQRT($AA$162+Z47)</f>
        <v>0.28205769850340057</v>
      </c>
      <c r="Z173" s="61">
        <f>$X$173+AB162*SQRT($AA$162+Z47)</f>
        <v>0.31694230149660507</v>
      </c>
      <c r="AA173" s="400"/>
      <c r="AB173" s="401"/>
      <c r="AC173" s="45"/>
      <c r="AD173" s="45"/>
      <c r="AE173" s="45"/>
      <c r="AF173" s="45"/>
      <c r="AG173" s="311"/>
      <c r="AH173" s="311"/>
      <c r="AI173" s="311"/>
      <c r="AJ173" s="394"/>
      <c r="AK173" s="394"/>
      <c r="AL173" s="390"/>
      <c r="AM173" s="390"/>
      <c r="AN173" s="390"/>
      <c r="AO173" s="390"/>
      <c r="AP173" s="390"/>
      <c r="AQ173" s="390"/>
      <c r="AR173" s="390"/>
      <c r="AS173" s="390"/>
      <c r="AT173" s="390"/>
      <c r="AU173" s="390"/>
      <c r="AV173" s="390"/>
      <c r="AW173" s="390"/>
      <c r="AX173" s="390"/>
      <c r="AY173" s="390"/>
      <c r="AZ173" s="390"/>
      <c r="BA173" s="390"/>
      <c r="BB173" s="390"/>
      <c r="BC173" s="390"/>
      <c r="BD173" s="390"/>
      <c r="BE173" s="390"/>
      <c r="BF173" s="390"/>
      <c r="BG173" s="390"/>
      <c r="BH173" s="390"/>
      <c r="BI173" s="390"/>
      <c r="BJ173" s="126"/>
      <c r="BK173" s="126"/>
      <c r="BL173" s="126"/>
      <c r="BM173" s="397"/>
      <c r="BN173" s="391"/>
      <c r="BO173" s="391"/>
      <c r="BP173" s="391"/>
      <c r="BQ173" s="391"/>
      <c r="BR173" s="391"/>
      <c r="BS173" s="391"/>
      <c r="BT173" s="391"/>
      <c r="BU173" s="391"/>
      <c r="BV173" s="391"/>
      <c r="BW173" s="391"/>
      <c r="BX173" s="391"/>
      <c r="BY173" s="106"/>
      <c r="BZ173" s="106"/>
      <c r="CA173" s="106"/>
      <c r="CB173" s="106"/>
      <c r="CC173" s="106"/>
      <c r="CD173" s="106"/>
      <c r="CE173" s="106"/>
      <c r="CF173" s="106"/>
      <c r="CG173" s="106"/>
      <c r="CH173" s="106"/>
      <c r="CI173" s="106"/>
      <c r="CJ173" s="106"/>
      <c r="CK173" s="106"/>
      <c r="CL173" s="106"/>
      <c r="CM173" s="106"/>
      <c r="CN173" s="106"/>
      <c r="CO173" s="106"/>
      <c r="CP173" s="106"/>
      <c r="CQ173" s="106"/>
      <c r="CR173" s="106"/>
      <c r="CS173" s="106"/>
      <c r="CT173" s="106"/>
      <c r="CU173" s="106"/>
      <c r="CV173" s="106"/>
      <c r="CW173" s="106"/>
      <c r="CX173" s="106"/>
      <c r="CY173" s="106"/>
      <c r="CZ173" s="106"/>
      <c r="DA173" s="106"/>
      <c r="DB173" s="281"/>
    </row>
    <row r="174" spans="2:106" ht="18" customHeight="1" thickTop="1" thickBot="1" x14ac:dyDescent="0.3">
      <c r="B174" s="29" t="s">
        <v>237</v>
      </c>
      <c r="C174"/>
      <c r="D174" s="30" t="s">
        <v>290</v>
      </c>
      <c r="P174" s="103"/>
      <c r="Q174" s="103"/>
      <c r="R174" s="103"/>
      <c r="S174" s="81"/>
      <c r="T174" s="81"/>
      <c r="U174" s="81"/>
      <c r="V174" s="81"/>
      <c r="W174" s="81"/>
      <c r="X174" s="57"/>
      <c r="Y174" s="57"/>
      <c r="Z174" s="57"/>
      <c r="AA174" s="398"/>
      <c r="AB174" s="398"/>
      <c r="AC174" s="45"/>
      <c r="AD174" s="45"/>
      <c r="AE174" s="45"/>
      <c r="AF174" s="45"/>
      <c r="AG174" s="227"/>
      <c r="AH174" s="227"/>
      <c r="AI174" s="227"/>
      <c r="AJ174" s="394"/>
      <c r="AK174" s="394"/>
      <c r="AL174" s="390"/>
      <c r="AM174" s="390"/>
      <c r="AN174" s="390"/>
      <c r="AO174" s="390"/>
      <c r="AP174" s="390"/>
      <c r="AQ174" s="390"/>
      <c r="AR174" s="390"/>
      <c r="AS174" s="390"/>
      <c r="AT174" s="390"/>
      <c r="AU174" s="390"/>
      <c r="AV174" s="390"/>
      <c r="AW174" s="390"/>
      <c r="AX174" s="390"/>
      <c r="AY174" s="390"/>
      <c r="AZ174" s="390"/>
      <c r="BA174" s="390"/>
      <c r="BB174" s="390"/>
      <c r="BC174" s="390"/>
      <c r="BD174" s="390"/>
      <c r="BE174" s="390"/>
      <c r="BF174" s="390"/>
      <c r="BG174" s="390"/>
      <c r="BH174" s="390"/>
      <c r="BI174" s="390"/>
      <c r="BJ174" s="112"/>
      <c r="BK174" s="112"/>
      <c r="BL174" s="112"/>
      <c r="BM174" s="397"/>
      <c r="BN174" s="397"/>
      <c r="BO174" s="391"/>
      <c r="BP174" s="391"/>
      <c r="BQ174" s="391"/>
      <c r="BR174" s="391"/>
      <c r="BS174" s="391"/>
      <c r="BT174" s="391"/>
      <c r="BU174" s="391"/>
      <c r="BV174" s="391"/>
      <c r="BW174" s="391"/>
      <c r="BX174" s="391"/>
      <c r="BY174" s="106"/>
      <c r="BZ174" s="106"/>
      <c r="CA174" s="106"/>
      <c r="CB174" s="106"/>
      <c r="CC174" s="106"/>
      <c r="CD174" s="106"/>
      <c r="CE174" s="106"/>
      <c r="CF174" s="106"/>
      <c r="CG174" s="106"/>
      <c r="CH174" s="106"/>
      <c r="CI174" s="106"/>
      <c r="CJ174" s="106"/>
      <c r="CK174" s="106"/>
      <c r="CL174" s="106"/>
      <c r="CM174" s="106"/>
      <c r="CN174" s="106"/>
      <c r="CO174" s="106"/>
      <c r="CP174" s="106"/>
      <c r="CQ174" s="106"/>
      <c r="CR174" s="106"/>
      <c r="CS174" s="106"/>
      <c r="CT174" s="106"/>
      <c r="CU174" s="106"/>
      <c r="CV174" s="106"/>
      <c r="CW174" s="106"/>
      <c r="CX174" s="106"/>
      <c r="CY174" s="106"/>
      <c r="CZ174" s="106"/>
      <c r="DA174" s="106"/>
      <c r="DB174" s="281"/>
    </row>
    <row r="175" spans="2:106" ht="18" customHeight="1" thickTop="1" x14ac:dyDescent="0.25">
      <c r="C175" s="5"/>
      <c r="D175" s="30" t="s">
        <v>239</v>
      </c>
      <c r="P175" s="80"/>
      <c r="Q175" s="80"/>
      <c r="R175" s="80"/>
      <c r="S175" s="81"/>
      <c r="T175" s="81"/>
      <c r="U175" s="81"/>
      <c r="V175" s="81"/>
      <c r="W175" s="81"/>
      <c r="X175" s="45"/>
      <c r="Y175" s="45"/>
      <c r="Z175" s="45"/>
      <c r="AA175" s="45"/>
      <c r="AB175" s="45"/>
      <c r="AC175" s="45"/>
      <c r="AD175" s="45"/>
      <c r="AE175" s="45"/>
      <c r="AF175" s="45"/>
      <c r="AG175" s="390"/>
      <c r="AH175" s="390"/>
      <c r="AI175" s="390"/>
      <c r="AJ175" s="390"/>
      <c r="AK175" s="390"/>
      <c r="AL175" s="390"/>
      <c r="AM175" s="390"/>
      <c r="AN175" s="390"/>
      <c r="AO175" s="390"/>
      <c r="AP175" s="390"/>
      <c r="AQ175" s="390"/>
      <c r="AR175" s="390"/>
      <c r="AS175" s="390"/>
      <c r="AT175" s="390"/>
      <c r="AU175" s="390"/>
      <c r="AV175" s="390"/>
      <c r="AW175" s="390"/>
      <c r="AX175" s="390"/>
      <c r="AY175" s="390"/>
      <c r="AZ175" s="390"/>
      <c r="BA175" s="390"/>
      <c r="BB175" s="390"/>
      <c r="BC175" s="390"/>
      <c r="BD175" s="390"/>
      <c r="BE175" s="390"/>
      <c r="BF175" s="390"/>
      <c r="BG175" s="390"/>
      <c r="BH175" s="390"/>
      <c r="BI175" s="390"/>
      <c r="BJ175" s="391"/>
      <c r="BK175" s="391"/>
      <c r="BL175" s="391"/>
      <c r="BM175" s="391"/>
      <c r="BN175" s="391"/>
      <c r="BO175" s="391"/>
      <c r="BP175" s="391"/>
      <c r="BQ175" s="391"/>
      <c r="BR175" s="391"/>
      <c r="BS175" s="391"/>
      <c r="BT175" s="391"/>
      <c r="BU175" s="391"/>
      <c r="BV175" s="391"/>
      <c r="BW175" s="391"/>
      <c r="BX175" s="391"/>
      <c r="BY175" s="106"/>
      <c r="BZ175" s="106"/>
      <c r="CA175" s="106"/>
      <c r="CB175" s="106"/>
      <c r="CC175" s="106"/>
      <c r="CD175" s="106"/>
      <c r="CE175" s="106"/>
      <c r="CF175" s="106"/>
      <c r="CG175" s="106"/>
      <c r="CH175" s="106"/>
      <c r="CI175" s="106"/>
      <c r="CJ175" s="106"/>
      <c r="CK175" s="106"/>
      <c r="CL175" s="106"/>
      <c r="CM175" s="106"/>
      <c r="CN175" s="106"/>
      <c r="CO175" s="106"/>
      <c r="CP175" s="106"/>
      <c r="CQ175" s="106"/>
      <c r="CR175" s="106"/>
      <c r="CS175" s="106"/>
      <c r="CT175" s="106"/>
      <c r="CU175" s="106"/>
      <c r="CV175" s="106"/>
      <c r="CW175" s="106"/>
      <c r="CX175" s="106"/>
      <c r="CY175" s="106"/>
      <c r="CZ175" s="106"/>
      <c r="DA175" s="106"/>
      <c r="DB175" s="281"/>
    </row>
    <row r="176" spans="2:106" ht="18" customHeight="1" thickBot="1" x14ac:dyDescent="0.25">
      <c r="P176" s="80"/>
      <c r="Q176" s="80"/>
      <c r="R176" s="80"/>
      <c r="S176" s="81"/>
      <c r="T176" s="81"/>
      <c r="U176" s="81"/>
      <c r="V176" s="81"/>
      <c r="W176" s="81"/>
      <c r="X176" s="45"/>
      <c r="Y176" s="45"/>
      <c r="Z176" s="45"/>
      <c r="AA176" s="45"/>
      <c r="AB176" s="45"/>
      <c r="AC176" s="45"/>
      <c r="AD176" s="45"/>
      <c r="AE176" s="45"/>
      <c r="AF176" s="45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  <c r="BV176" s="106"/>
      <c r="BW176" s="106"/>
      <c r="BX176" s="106"/>
      <c r="BY176" s="106"/>
      <c r="BZ176" s="106"/>
      <c r="CA176" s="106"/>
      <c r="CB176" s="106"/>
      <c r="CC176" s="106"/>
      <c r="CD176" s="106"/>
      <c r="CE176" s="106"/>
      <c r="CF176" s="106"/>
      <c r="CG176" s="106"/>
      <c r="CH176" s="106"/>
      <c r="CI176" s="106"/>
      <c r="CJ176" s="106"/>
      <c r="CK176" s="106"/>
      <c r="CL176" s="106"/>
      <c r="CM176" s="106"/>
      <c r="CN176" s="106"/>
      <c r="CO176" s="106"/>
      <c r="CP176" s="106"/>
      <c r="CQ176" s="106"/>
      <c r="CR176" s="106"/>
      <c r="CS176" s="106"/>
      <c r="CT176" s="106"/>
      <c r="CU176" s="106"/>
      <c r="CV176" s="106"/>
      <c r="CW176" s="106"/>
      <c r="CX176" s="106"/>
      <c r="CY176" s="106"/>
      <c r="CZ176" s="106"/>
      <c r="DA176" s="106"/>
      <c r="DB176" s="281"/>
    </row>
    <row r="177" spans="2:106" ht="18" customHeight="1" thickTop="1" thickBot="1" x14ac:dyDescent="0.3">
      <c r="B177" s="2" t="s">
        <v>284</v>
      </c>
      <c r="C177"/>
      <c r="D177"/>
      <c r="E177"/>
      <c r="F177"/>
      <c r="G177"/>
      <c r="H177"/>
      <c r="I177"/>
      <c r="P177" s="29" t="s">
        <v>237</v>
      </c>
      <c r="Q177" s="81"/>
      <c r="R177" s="276" t="s">
        <v>238</v>
      </c>
      <c r="S177" s="80"/>
      <c r="T177" s="80"/>
      <c r="U177" s="80"/>
      <c r="V177" s="80"/>
      <c r="W177" s="80"/>
      <c r="X177" s="29" t="s">
        <v>237</v>
      </c>
      <c r="Y177" s="45"/>
      <c r="Z177" s="279" t="s">
        <v>238</v>
      </c>
      <c r="AA177" s="45"/>
      <c r="AB177" s="45"/>
      <c r="AC177" s="45"/>
      <c r="AD177" s="45"/>
      <c r="AE177" s="45"/>
      <c r="AF177" s="45"/>
      <c r="AG177" s="435"/>
      <c r="AH177" s="390"/>
      <c r="AI177" s="310"/>
      <c r="AJ177" s="390"/>
      <c r="AK177" s="390"/>
      <c r="AL177" s="390"/>
      <c r="AM177" s="390"/>
      <c r="AN177" s="390"/>
      <c r="AO177" s="390"/>
      <c r="AP177" s="390"/>
      <c r="AQ177" s="390"/>
      <c r="AR177" s="390"/>
      <c r="AS177" s="390"/>
      <c r="AT177" s="390"/>
      <c r="AU177" s="390"/>
      <c r="AV177" s="390"/>
      <c r="AW177" s="390"/>
      <c r="AX177" s="390"/>
      <c r="AY177" s="390"/>
      <c r="AZ177" s="390"/>
      <c r="BA177" s="390"/>
      <c r="BB177" s="390"/>
      <c r="BC177" s="390"/>
      <c r="BD177" s="390"/>
      <c r="BE177" s="390"/>
      <c r="BF177" s="390"/>
      <c r="BG177" s="390"/>
      <c r="BH177" s="390"/>
      <c r="BI177" s="390"/>
      <c r="BJ177" s="436"/>
      <c r="BK177" s="391"/>
      <c r="BL177" s="277"/>
      <c r="BM177" s="391"/>
      <c r="BN177" s="391"/>
      <c r="BO177" s="391"/>
      <c r="BP177" s="391"/>
      <c r="BQ177" s="391"/>
      <c r="BR177" s="391"/>
      <c r="BS177" s="391"/>
      <c r="BT177" s="391"/>
      <c r="BU177" s="391"/>
      <c r="BV177" s="391"/>
      <c r="BW177" s="391"/>
      <c r="BX177" s="391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6"/>
      <c r="CJ177" s="106"/>
      <c r="CK177" s="106"/>
      <c r="CL177" s="106"/>
      <c r="CM177" s="106"/>
      <c r="CN177" s="106"/>
      <c r="CO177" s="106"/>
      <c r="CP177" s="106"/>
      <c r="CQ177" s="106"/>
      <c r="CR177" s="106"/>
      <c r="CS177" s="106"/>
      <c r="CT177" s="106"/>
      <c r="CU177" s="106"/>
      <c r="CV177" s="106"/>
      <c r="CW177" s="106"/>
      <c r="CX177" s="106"/>
      <c r="CY177" s="106"/>
      <c r="CZ177" s="106"/>
      <c r="DA177" s="106"/>
      <c r="DB177" s="281"/>
    </row>
    <row r="178" spans="2:106" ht="18" customHeight="1" thickTop="1" x14ac:dyDescent="0.25">
      <c r="B178" s="3" t="s">
        <v>285</v>
      </c>
      <c r="C178"/>
      <c r="D178"/>
      <c r="E178"/>
      <c r="F178"/>
      <c r="G178"/>
      <c r="H178"/>
      <c r="I178"/>
      <c r="P178" s="80"/>
      <c r="Q178" s="80"/>
      <c r="R178" s="276" t="s">
        <v>239</v>
      </c>
      <c r="S178" s="81"/>
      <c r="T178" s="81"/>
      <c r="U178" s="81"/>
      <c r="V178" s="81"/>
      <c r="W178" s="81"/>
      <c r="X178" s="45"/>
      <c r="Y178" s="45"/>
      <c r="Z178" s="279" t="s">
        <v>239</v>
      </c>
      <c r="AA178" s="45"/>
      <c r="AB178" s="45"/>
      <c r="AC178" s="45"/>
      <c r="AD178" s="45"/>
      <c r="AE178" s="45"/>
      <c r="AF178" s="45"/>
      <c r="AG178" s="390"/>
      <c r="AH178" s="390"/>
      <c r="AI178" s="390"/>
      <c r="AJ178" s="390"/>
      <c r="AK178" s="390"/>
      <c r="AL178" s="390"/>
      <c r="AM178" s="390"/>
      <c r="AN178" s="390"/>
      <c r="AO178" s="390"/>
      <c r="AP178" s="390"/>
      <c r="AQ178" s="390"/>
      <c r="AR178" s="390"/>
      <c r="AS178" s="390"/>
      <c r="AT178" s="390"/>
      <c r="AU178" s="390"/>
      <c r="AV178" s="390"/>
      <c r="AW178" s="390"/>
      <c r="AX178" s="390"/>
      <c r="AY178" s="390"/>
      <c r="AZ178" s="390"/>
      <c r="BA178" s="390"/>
      <c r="BB178" s="390"/>
      <c r="BC178" s="390"/>
      <c r="BD178" s="390"/>
      <c r="BE178" s="390"/>
      <c r="BF178" s="390"/>
      <c r="BG178" s="390"/>
      <c r="BH178" s="390"/>
      <c r="BI178" s="390"/>
      <c r="BJ178" s="391"/>
      <c r="BK178" s="391"/>
      <c r="BL178" s="391"/>
      <c r="BM178" s="391"/>
      <c r="BN178" s="391"/>
      <c r="BO178" s="391"/>
      <c r="BP178" s="391"/>
      <c r="BQ178" s="391"/>
      <c r="BR178" s="391"/>
      <c r="BS178" s="391"/>
      <c r="BT178" s="391"/>
      <c r="BU178" s="391"/>
      <c r="BV178" s="391"/>
      <c r="BW178" s="391"/>
      <c r="BX178" s="391"/>
      <c r="BY178" s="106"/>
      <c r="BZ178" s="106"/>
      <c r="CA178" s="106"/>
      <c r="CB178" s="106"/>
      <c r="CC178" s="106"/>
      <c r="CD178" s="106"/>
      <c r="CE178" s="106"/>
      <c r="CF178" s="106"/>
      <c r="CG178" s="106"/>
      <c r="CH178" s="106"/>
      <c r="CI178" s="106"/>
      <c r="CJ178" s="106"/>
      <c r="CK178" s="106"/>
      <c r="CL178" s="106"/>
      <c r="CM178" s="106"/>
      <c r="CN178" s="106"/>
      <c r="CO178" s="106"/>
      <c r="CP178" s="106"/>
      <c r="CQ178" s="106"/>
      <c r="CR178" s="106"/>
      <c r="CS178" s="106"/>
      <c r="CT178" s="106"/>
      <c r="CU178" s="106"/>
      <c r="CV178" s="106"/>
      <c r="CW178" s="106"/>
      <c r="CX178" s="106"/>
      <c r="CY178" s="106"/>
      <c r="CZ178" s="106"/>
      <c r="DA178" s="106"/>
      <c r="DB178" s="281"/>
    </row>
    <row r="179" spans="2:106" ht="18" customHeight="1" x14ac:dyDescent="0.2">
      <c r="B179" s="1" t="s">
        <v>286</v>
      </c>
      <c r="C179"/>
      <c r="D179"/>
      <c r="E179"/>
      <c r="F179"/>
      <c r="G179"/>
      <c r="H179"/>
      <c r="I179"/>
      <c r="P179" s="80" t="s">
        <v>105</v>
      </c>
      <c r="Q179" s="80"/>
      <c r="R179" s="80"/>
      <c r="S179" s="80"/>
      <c r="T179" s="80"/>
      <c r="U179" s="80"/>
      <c r="V179" s="80"/>
      <c r="W179" s="80"/>
      <c r="X179" s="46" t="s">
        <v>105</v>
      </c>
      <c r="Y179" s="46"/>
      <c r="Z179" s="46"/>
      <c r="AA179" s="46"/>
      <c r="AB179" s="46"/>
      <c r="AC179" s="46"/>
      <c r="AD179" s="46"/>
      <c r="AE179" s="46"/>
      <c r="AF179" s="46"/>
      <c r="AG179" s="394"/>
      <c r="AH179" s="394"/>
      <c r="AI179" s="394"/>
      <c r="AJ179" s="394"/>
      <c r="AK179" s="394"/>
      <c r="AL179" s="394"/>
      <c r="AM179" s="394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0"/>
      <c r="BF179" s="390"/>
      <c r="BG179" s="390"/>
      <c r="BH179" s="390"/>
      <c r="BI179" s="390"/>
      <c r="BJ179" s="397"/>
      <c r="BK179" s="397"/>
      <c r="BL179" s="397"/>
      <c r="BM179" s="397"/>
      <c r="BN179" s="397"/>
      <c r="BO179" s="397"/>
      <c r="BP179" s="397"/>
      <c r="BQ179" s="391"/>
      <c r="BR179" s="391"/>
      <c r="BS179" s="391"/>
      <c r="BT179" s="391"/>
      <c r="BU179" s="391"/>
      <c r="BV179" s="391"/>
      <c r="BW179" s="391"/>
      <c r="BX179" s="391"/>
      <c r="BY179" s="106"/>
      <c r="BZ179" s="106"/>
      <c r="CA179" s="106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6"/>
      <c r="CQ179" s="106"/>
      <c r="CR179" s="106"/>
      <c r="CS179" s="106"/>
      <c r="CT179" s="106"/>
      <c r="CU179" s="106"/>
      <c r="CV179" s="106"/>
      <c r="CW179" s="106"/>
      <c r="CX179" s="106"/>
      <c r="CY179" s="106"/>
      <c r="CZ179" s="106"/>
      <c r="DA179" s="106"/>
      <c r="DB179" s="281"/>
    </row>
    <row r="180" spans="2:106" ht="18" customHeight="1" x14ac:dyDescent="0.2">
      <c r="B180" t="s">
        <v>287</v>
      </c>
      <c r="C180"/>
      <c r="D180"/>
      <c r="E180"/>
      <c r="F180"/>
      <c r="G180"/>
      <c r="L180" s="457" t="s">
        <v>261</v>
      </c>
      <c r="M180" s="458" t="s">
        <v>262</v>
      </c>
      <c r="N180" s="469" t="s">
        <v>244</v>
      </c>
      <c r="O180" s="455"/>
      <c r="P180" s="84">
        <f>P12</f>
        <v>18</v>
      </c>
      <c r="Q180" s="403">
        <f>Q12</f>
        <v>45</v>
      </c>
      <c r="R180" s="403">
        <v>0</v>
      </c>
      <c r="S180" s="85">
        <v>0</v>
      </c>
      <c r="T180" s="80"/>
      <c r="U180" s="80"/>
      <c r="V180" s="80"/>
      <c r="W180" s="80"/>
      <c r="X180" s="51">
        <f t="shared" ref="X180:Z182" si="13">Z12</f>
        <v>18</v>
      </c>
      <c r="Y180" s="52">
        <f t="shared" si="13"/>
        <v>45</v>
      </c>
      <c r="Z180" s="52">
        <f t="shared" si="13"/>
        <v>165</v>
      </c>
      <c r="AA180" s="52">
        <v>0</v>
      </c>
      <c r="AB180" s="52">
        <v>0</v>
      </c>
      <c r="AC180" s="53">
        <v>0</v>
      </c>
      <c r="AD180" s="46"/>
      <c r="AE180" s="46"/>
      <c r="AF180" s="46"/>
      <c r="AG180" s="227"/>
      <c r="AH180" s="227"/>
      <c r="AI180" s="227"/>
      <c r="AJ180" s="227"/>
      <c r="AK180" s="227"/>
      <c r="AL180" s="227"/>
      <c r="AM180" s="227"/>
      <c r="AN180" s="227"/>
      <c r="AO180" s="390"/>
      <c r="AP180" s="390"/>
      <c r="AQ180" s="390"/>
      <c r="AR180" s="390"/>
      <c r="AS180" s="390"/>
      <c r="AT180" s="390"/>
      <c r="AU180" s="390"/>
      <c r="AV180" s="390"/>
      <c r="AW180" s="390"/>
      <c r="AX180" s="390"/>
      <c r="AY180" s="390"/>
      <c r="AZ180" s="390"/>
      <c r="BA180" s="390"/>
      <c r="BB180" s="390"/>
      <c r="BC180" s="390"/>
      <c r="BD180" s="390"/>
      <c r="BE180" s="390"/>
      <c r="BF180" s="390"/>
      <c r="BG180" s="390"/>
      <c r="BH180" s="390"/>
      <c r="BI180" s="390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391"/>
      <c r="BU180" s="391"/>
      <c r="BV180" s="391"/>
      <c r="BW180" s="391"/>
      <c r="BX180" s="391"/>
      <c r="BY180" s="106"/>
      <c r="BZ180" s="106"/>
      <c r="CA180" s="106"/>
      <c r="CB180" s="106"/>
      <c r="CC180" s="106"/>
      <c r="CD180" s="106"/>
      <c r="CE180" s="106"/>
      <c r="CF180" s="106"/>
      <c r="CG180" s="106"/>
      <c r="CH180" s="106"/>
      <c r="CI180" s="106"/>
      <c r="CJ180" s="106"/>
      <c r="CK180" s="106"/>
      <c r="CL180" s="106"/>
      <c r="CM180" s="106"/>
      <c r="CN180" s="106"/>
      <c r="CO180" s="106"/>
      <c r="CP180" s="106"/>
      <c r="CQ180" s="106"/>
      <c r="CR180" s="106"/>
      <c r="CS180" s="106"/>
      <c r="CT180" s="106"/>
      <c r="CU180" s="106"/>
      <c r="CV180" s="106"/>
      <c r="CW180" s="106"/>
      <c r="CX180" s="106"/>
      <c r="CY180" s="106"/>
      <c r="CZ180" s="106"/>
      <c r="DA180" s="106"/>
      <c r="DB180" s="281"/>
    </row>
    <row r="181" spans="2:106" ht="18" customHeight="1" x14ac:dyDescent="0.2">
      <c r="B181" t="s">
        <v>278</v>
      </c>
      <c r="C181"/>
      <c r="D181"/>
      <c r="E181"/>
      <c r="F181"/>
      <c r="G181"/>
      <c r="L181" s="459">
        <f>IF(C188="","",0)</f>
        <v>0</v>
      </c>
      <c r="M181" s="461">
        <f>IF(L181="","",L181^2)</f>
        <v>0</v>
      </c>
      <c r="N181" s="462">
        <f>IF(C188="","",C188)</f>
        <v>0.2</v>
      </c>
      <c r="O181" s="464"/>
      <c r="P181" s="404">
        <f>P13</f>
        <v>45</v>
      </c>
      <c r="Q181" s="103">
        <f>Q13</f>
        <v>165</v>
      </c>
      <c r="R181" s="103">
        <v>0</v>
      </c>
      <c r="S181" s="405">
        <v>0</v>
      </c>
      <c r="T181" s="80"/>
      <c r="U181" s="80"/>
      <c r="V181" s="80"/>
      <c r="W181" s="80"/>
      <c r="X181" s="56">
        <f t="shared" si="13"/>
        <v>45</v>
      </c>
      <c r="Y181" s="57">
        <f t="shared" si="13"/>
        <v>165</v>
      </c>
      <c r="Z181" s="57">
        <f t="shared" si="13"/>
        <v>675</v>
      </c>
      <c r="AA181" s="57">
        <v>0</v>
      </c>
      <c r="AB181" s="57">
        <v>0</v>
      </c>
      <c r="AC181" s="59">
        <v>0</v>
      </c>
      <c r="AD181" s="46"/>
      <c r="AE181" s="46"/>
      <c r="AF181" s="46"/>
      <c r="AG181" s="227"/>
      <c r="AH181" s="227"/>
      <c r="AI181" s="227"/>
      <c r="AJ181" s="227"/>
      <c r="AK181" s="227"/>
      <c r="AL181" s="227"/>
      <c r="AM181" s="227"/>
      <c r="AN181" s="227"/>
      <c r="AO181" s="390"/>
      <c r="AP181" s="390"/>
      <c r="AQ181" s="390"/>
      <c r="AR181" s="390"/>
      <c r="AS181" s="390"/>
      <c r="AT181" s="390"/>
      <c r="AU181" s="390"/>
      <c r="AV181" s="390"/>
      <c r="AW181" s="390"/>
      <c r="AX181" s="390"/>
      <c r="AY181" s="390"/>
      <c r="AZ181" s="390"/>
      <c r="BA181" s="390"/>
      <c r="BB181" s="390"/>
      <c r="BC181" s="390"/>
      <c r="BD181" s="390"/>
      <c r="BE181" s="390"/>
      <c r="BF181" s="390"/>
      <c r="BG181" s="390"/>
      <c r="BH181" s="390"/>
      <c r="BI181" s="390"/>
      <c r="BJ181" s="112"/>
      <c r="BK181" s="112"/>
      <c r="BL181" s="112"/>
      <c r="BM181" s="112"/>
      <c r="BN181" s="112"/>
      <c r="BO181" s="112"/>
      <c r="BP181" s="112"/>
      <c r="BQ181" s="112"/>
      <c r="BR181" s="112"/>
      <c r="BS181" s="112"/>
      <c r="BT181" s="391"/>
      <c r="BU181" s="391"/>
      <c r="BV181" s="391"/>
      <c r="BW181" s="391"/>
      <c r="BX181" s="391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  <c r="CV181" s="106"/>
      <c r="CW181" s="106"/>
      <c r="CX181" s="106"/>
      <c r="CY181" s="106"/>
      <c r="CZ181" s="106"/>
      <c r="DA181" s="106"/>
      <c r="DB181" s="281"/>
    </row>
    <row r="182" spans="2:106" ht="18" customHeight="1" x14ac:dyDescent="0.2">
      <c r="B182" t="s">
        <v>279</v>
      </c>
      <c r="C182"/>
      <c r="D182"/>
      <c r="E182"/>
      <c r="F182"/>
      <c r="G182"/>
      <c r="L182" s="459">
        <f>IF(C189="","",0)</f>
        <v>0</v>
      </c>
      <c r="M182" s="462">
        <f>IF(L182="","",L182^2)</f>
        <v>0</v>
      </c>
      <c r="N182" s="462">
        <f>IF(C189="","",C189)</f>
        <v>0.21</v>
      </c>
      <c r="O182" s="464"/>
      <c r="P182" s="404">
        <v>0</v>
      </c>
      <c r="Q182" s="103">
        <v>0</v>
      </c>
      <c r="R182" s="465">
        <f>COUNT(zeroX)</f>
        <v>9</v>
      </c>
      <c r="S182" s="466">
        <f>R183</f>
        <v>9</v>
      </c>
      <c r="T182" s="80"/>
      <c r="U182" s="80"/>
      <c r="V182" s="80"/>
      <c r="W182" s="80"/>
      <c r="X182" s="56">
        <f t="shared" si="13"/>
        <v>165</v>
      </c>
      <c r="Y182" s="57">
        <f t="shared" si="13"/>
        <v>675</v>
      </c>
      <c r="Z182" s="57">
        <f t="shared" si="13"/>
        <v>2937</v>
      </c>
      <c r="AA182" s="57">
        <v>0</v>
      </c>
      <c r="AB182" s="57">
        <v>0</v>
      </c>
      <c r="AC182" s="59">
        <v>0</v>
      </c>
      <c r="AD182" s="46"/>
      <c r="AE182" s="46"/>
      <c r="AF182" s="46"/>
      <c r="AG182" s="227"/>
      <c r="AH182" s="227"/>
      <c r="AI182" s="227"/>
      <c r="AJ182" s="227"/>
      <c r="AK182" s="227"/>
      <c r="AL182" s="227"/>
      <c r="AM182" s="227"/>
      <c r="AN182" s="227"/>
      <c r="AO182" s="390"/>
      <c r="AP182" s="390"/>
      <c r="AQ182" s="390"/>
      <c r="AR182" s="390"/>
      <c r="AS182" s="390"/>
      <c r="AT182" s="390"/>
      <c r="AU182" s="390"/>
      <c r="AV182" s="390"/>
      <c r="AW182" s="390"/>
      <c r="AX182" s="390"/>
      <c r="AY182" s="390"/>
      <c r="AZ182" s="390"/>
      <c r="BA182" s="390"/>
      <c r="BB182" s="390"/>
      <c r="BC182" s="390"/>
      <c r="BD182" s="390"/>
      <c r="BE182" s="390"/>
      <c r="BF182" s="390"/>
      <c r="BG182" s="390"/>
      <c r="BH182" s="390"/>
      <c r="BI182" s="390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391"/>
      <c r="BU182" s="391"/>
      <c r="BV182" s="391"/>
      <c r="BW182" s="391"/>
      <c r="BX182" s="391"/>
      <c r="BY182" s="106"/>
      <c r="BZ182" s="106"/>
      <c r="CA182" s="106"/>
      <c r="CB182" s="106"/>
      <c r="CC182" s="106"/>
      <c r="CD182" s="106"/>
      <c r="CE182" s="106"/>
      <c r="CF182" s="106"/>
      <c r="CG182" s="106"/>
      <c r="CH182" s="106"/>
      <c r="CI182" s="106"/>
      <c r="CJ182" s="106"/>
      <c r="CK182" s="106"/>
      <c r="CL182" s="106"/>
      <c r="CM182" s="106"/>
      <c r="CN182" s="106"/>
      <c r="CO182" s="106"/>
      <c r="CP182" s="106"/>
      <c r="CQ182" s="106"/>
      <c r="CR182" s="106"/>
      <c r="CS182" s="106"/>
      <c r="CT182" s="106"/>
      <c r="CU182" s="106"/>
      <c r="CV182" s="106"/>
      <c r="CW182" s="106"/>
      <c r="CX182" s="106"/>
      <c r="CY182" s="106"/>
      <c r="CZ182" s="106"/>
      <c r="DA182" s="106"/>
      <c r="DB182" s="281"/>
    </row>
    <row r="183" spans="2:106" ht="18" customHeight="1" x14ac:dyDescent="0.2">
      <c r="B183" s="9" t="str">
        <f>IF(p="Q","2 different span values need to be tested in the quadratic model","1 span value needs to be tested in the linear model")</f>
        <v>2 different span values need to be tested in the quadratic model</v>
      </c>
      <c r="C183"/>
      <c r="D183"/>
      <c r="E183"/>
      <c r="F183"/>
      <c r="G183"/>
      <c r="L183" s="459">
        <f>IF(C190="","",0)</f>
        <v>0</v>
      </c>
      <c r="M183" s="462">
        <f>IF(L183="","",L183^2)</f>
        <v>0</v>
      </c>
      <c r="N183" s="462">
        <f>IF(C190="","",C190)</f>
        <v>0.22</v>
      </c>
      <c r="O183" s="464"/>
      <c r="P183" s="86">
        <v>0</v>
      </c>
      <c r="Q183" s="104">
        <v>0</v>
      </c>
      <c r="R183" s="467">
        <f>SUM(zeroX)</f>
        <v>9</v>
      </c>
      <c r="S183" s="468">
        <f>SUMPRODUCT(zeroX,zeroX)</f>
        <v>15</v>
      </c>
      <c r="T183" s="80"/>
      <c r="U183" s="80"/>
      <c r="V183" s="80"/>
      <c r="W183" s="80"/>
      <c r="X183" s="56">
        <v>0</v>
      </c>
      <c r="Y183" s="57">
        <v>0</v>
      </c>
      <c r="Z183" s="57">
        <v>0</v>
      </c>
      <c r="AA183" s="456">
        <f>COUNT(zeroX)</f>
        <v>9</v>
      </c>
      <c r="AB183" s="470">
        <f>AA184</f>
        <v>9</v>
      </c>
      <c r="AC183" s="471">
        <f>AA185</f>
        <v>15</v>
      </c>
      <c r="AD183" s="46"/>
      <c r="AE183" s="46"/>
      <c r="AF183" s="46"/>
      <c r="AG183" s="227"/>
      <c r="AH183" s="227"/>
      <c r="AI183" s="227"/>
      <c r="AJ183" s="227"/>
      <c r="AK183" s="227"/>
      <c r="AL183" s="227"/>
      <c r="AM183" s="227"/>
      <c r="AN183" s="227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  <c r="BG183" s="390"/>
      <c r="BH183" s="390"/>
      <c r="BI183" s="390"/>
      <c r="BJ183" s="112"/>
      <c r="BK183" s="112"/>
      <c r="BL183" s="112"/>
      <c r="BM183" s="112"/>
      <c r="BN183" s="112"/>
      <c r="BO183" s="112"/>
      <c r="BP183" s="112"/>
      <c r="BQ183" s="112"/>
      <c r="BR183" s="112"/>
      <c r="BS183" s="112"/>
      <c r="BT183" s="391"/>
      <c r="BU183" s="391"/>
      <c r="BV183" s="391"/>
      <c r="BW183" s="391"/>
      <c r="BX183" s="391"/>
      <c r="BY183" s="106"/>
      <c r="BZ183" s="106"/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  <c r="CL183" s="106"/>
      <c r="CM183" s="106"/>
      <c r="CN183" s="106"/>
      <c r="CO183" s="106"/>
      <c r="CP183" s="106"/>
      <c r="CQ183" s="106"/>
      <c r="CR183" s="106"/>
      <c r="CS183" s="106"/>
      <c r="CT183" s="106"/>
      <c r="CU183" s="106"/>
      <c r="CV183" s="106"/>
      <c r="CW183" s="106"/>
      <c r="CX183" s="106"/>
      <c r="CY183" s="106"/>
      <c r="CZ183" s="106"/>
      <c r="DA183" s="106"/>
      <c r="DB183" s="281"/>
    </row>
    <row r="184" spans="2:106" ht="18" customHeight="1" x14ac:dyDescent="0.2">
      <c r="B184" s="9"/>
      <c r="C184"/>
      <c r="D184"/>
      <c r="E184"/>
      <c r="F184"/>
      <c r="G184"/>
      <c r="H184" s="2" t="s">
        <v>276</v>
      </c>
      <c r="L184" s="459" t="str">
        <f>IF(C191="","",0)</f>
        <v/>
      </c>
      <c r="M184" s="462" t="str">
        <f>IF(L184="","",L184^2)</f>
        <v/>
      </c>
      <c r="N184" s="462" t="str">
        <f>IF(C191="","",C191)</f>
        <v/>
      </c>
      <c r="O184" s="464"/>
      <c r="P184" s="80"/>
      <c r="Q184" s="80"/>
      <c r="R184" s="80"/>
      <c r="S184" s="80"/>
      <c r="T184" s="80"/>
      <c r="U184" s="80"/>
      <c r="V184" s="80"/>
      <c r="W184" s="80"/>
      <c r="X184" s="56">
        <v>0</v>
      </c>
      <c r="Y184" s="57">
        <v>0</v>
      </c>
      <c r="Z184" s="57">
        <v>0</v>
      </c>
      <c r="AA184" s="470">
        <f>SUM(zeroX)</f>
        <v>9</v>
      </c>
      <c r="AB184" s="470">
        <f>SUMPRODUCT(zeroX,zeroX)</f>
        <v>15</v>
      </c>
      <c r="AC184" s="471">
        <f>AB185</f>
        <v>27</v>
      </c>
      <c r="AD184" s="46"/>
      <c r="AE184" s="46"/>
      <c r="AF184" s="46"/>
      <c r="AG184" s="227"/>
      <c r="AH184" s="227"/>
      <c r="AI184" s="227"/>
      <c r="AJ184" s="227"/>
      <c r="AK184" s="227"/>
      <c r="AL184" s="227"/>
      <c r="AM184" s="227"/>
      <c r="AN184" s="227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  <c r="BG184" s="390"/>
      <c r="BH184" s="390"/>
      <c r="BI184" s="390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391"/>
      <c r="BU184" s="391"/>
      <c r="BV184" s="391"/>
      <c r="BW184" s="391"/>
      <c r="BX184" s="391"/>
      <c r="BY184" s="106"/>
      <c r="BZ184" s="106"/>
      <c r="CA184" s="106"/>
      <c r="CB184" s="106"/>
      <c r="CC184" s="106"/>
      <c r="CD184" s="106"/>
      <c r="CE184" s="106"/>
      <c r="CF184" s="106"/>
      <c r="CG184" s="106"/>
      <c r="CH184" s="106"/>
      <c r="CI184" s="106"/>
      <c r="CJ184" s="106"/>
      <c r="CK184" s="106"/>
      <c r="CL184" s="106"/>
      <c r="CM184" s="106"/>
      <c r="CN184" s="106"/>
      <c r="CO184" s="106"/>
      <c r="CP184" s="106"/>
      <c r="CQ184" s="106"/>
      <c r="CR184" s="106"/>
      <c r="CS184" s="106"/>
      <c r="CT184" s="106"/>
      <c r="CU184" s="106"/>
      <c r="CV184" s="106"/>
      <c r="CW184" s="106"/>
      <c r="CX184" s="106"/>
      <c r="CY184" s="106"/>
      <c r="CZ184" s="106"/>
      <c r="DA184" s="106"/>
      <c r="DB184" s="281"/>
    </row>
    <row r="185" spans="2:106" ht="18" customHeight="1" x14ac:dyDescent="0.2">
      <c r="B185"/>
      <c r="C185"/>
      <c r="D185"/>
      <c r="E185" s="409" t="s">
        <v>275</v>
      </c>
      <c r="F185"/>
      <c r="G185"/>
      <c r="H185" s="15" t="s">
        <v>277</v>
      </c>
      <c r="L185" s="459">
        <f>IF(E188="","",E188)</f>
        <v>1</v>
      </c>
      <c r="M185" s="462">
        <f>IF(L185="","",L185^2)</f>
        <v>1</v>
      </c>
      <c r="N185" s="462">
        <f>IF(F188="","",F188)</f>
        <v>1.1499999999999999</v>
      </c>
      <c r="O185" s="464"/>
      <c r="P185" s="80"/>
      <c r="Q185" s="80"/>
      <c r="R185" s="80"/>
      <c r="S185" s="80"/>
      <c r="T185" s="80"/>
      <c r="U185" s="80"/>
      <c r="V185" s="80"/>
      <c r="W185" s="80"/>
      <c r="X185" s="60">
        <v>0</v>
      </c>
      <c r="Y185" s="61">
        <v>0</v>
      </c>
      <c r="Z185" s="61">
        <v>0</v>
      </c>
      <c r="AA185" s="472">
        <f>SUMPRODUCT(zeroX,zeroX)</f>
        <v>15</v>
      </c>
      <c r="AB185" s="472">
        <f>SUMPRODUCT(zeroX,M181:M192)</f>
        <v>27</v>
      </c>
      <c r="AC185" s="473">
        <f>SUMPRODUCT(M181:M192,M181:M192)</f>
        <v>51</v>
      </c>
      <c r="AD185" s="46"/>
      <c r="AE185" s="46"/>
      <c r="AF185" s="46"/>
      <c r="AG185" s="227"/>
      <c r="AH185" s="227"/>
      <c r="AI185" s="227"/>
      <c r="AJ185" s="227"/>
      <c r="AK185" s="227"/>
      <c r="AL185" s="227"/>
      <c r="AM185" s="227"/>
      <c r="AN185" s="227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  <c r="BG185" s="390"/>
      <c r="BH185" s="390"/>
      <c r="BI185" s="390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391"/>
      <c r="BU185" s="391"/>
      <c r="BV185" s="391"/>
      <c r="BW185" s="391"/>
      <c r="BX185" s="391"/>
      <c r="BY185" s="106"/>
      <c r="BZ185" s="106"/>
      <c r="CA185" s="106"/>
      <c r="CB185" s="106"/>
      <c r="CC185" s="106"/>
      <c r="CD185" s="106"/>
      <c r="CE185" s="106"/>
      <c r="CF185" s="106"/>
      <c r="CG185" s="106"/>
      <c r="CH185" s="106"/>
      <c r="CI185" s="106"/>
      <c r="CJ185" s="106"/>
      <c r="CK185" s="106"/>
      <c r="CL185" s="106"/>
      <c r="CM185" s="106"/>
      <c r="CN185" s="106"/>
      <c r="CO185" s="106"/>
      <c r="CP185" s="106"/>
      <c r="CQ185" s="106"/>
      <c r="CR185" s="106"/>
      <c r="CS185" s="106"/>
      <c r="CT185" s="106"/>
      <c r="CU185" s="106"/>
      <c r="CV185" s="106"/>
      <c r="CW185" s="106"/>
      <c r="CX185" s="106"/>
      <c r="CY185" s="106"/>
      <c r="CZ185" s="106"/>
      <c r="DA185" s="106"/>
      <c r="DB185" s="281"/>
    </row>
    <row r="186" spans="2:106" ht="18" customHeight="1" x14ac:dyDescent="0.2">
      <c r="B186"/>
      <c r="C186" s="40" t="s">
        <v>242</v>
      </c>
      <c r="D186"/>
      <c r="E186" s="408" t="s">
        <v>243</v>
      </c>
      <c r="F186" s="409" t="s">
        <v>244</v>
      </c>
      <c r="G186"/>
      <c r="H186" s="408" t="s">
        <v>243</v>
      </c>
      <c r="I186" s="409" t="s">
        <v>244</v>
      </c>
      <c r="L186" s="459">
        <f>IF(E189="","",E189)</f>
        <v>1</v>
      </c>
      <c r="M186" s="462">
        <f t="shared" ref="M186:M192" si="14">IF(L186="","",L186^2)</f>
        <v>1</v>
      </c>
      <c r="N186" s="462">
        <f>IF(F189="","",F189)</f>
        <v>1.1599999999999999</v>
      </c>
      <c r="O186" s="464"/>
      <c r="P186" s="406" t="s">
        <v>111</v>
      </c>
      <c r="Q186" s="407" t="s">
        <v>240</v>
      </c>
      <c r="R186" s="407" t="s">
        <v>241</v>
      </c>
      <c r="S186" s="80"/>
      <c r="T186" s="80"/>
      <c r="U186" s="80"/>
      <c r="V186" s="80"/>
      <c r="W186" s="80"/>
      <c r="X186" s="46"/>
      <c r="Y186" s="46"/>
      <c r="Z186" s="46"/>
      <c r="AA186" s="46"/>
      <c r="AB186" s="46"/>
      <c r="AC186" s="46"/>
      <c r="AD186" s="46"/>
      <c r="AE186" s="46"/>
      <c r="AF186" s="46"/>
      <c r="AG186" s="227"/>
      <c r="AH186" s="227"/>
      <c r="AI186" s="227"/>
      <c r="AJ186" s="227"/>
      <c r="AK186" s="227"/>
      <c r="AL186" s="227"/>
      <c r="AM186" s="227"/>
      <c r="AN186" s="227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  <c r="BG186" s="390"/>
      <c r="BH186" s="390"/>
      <c r="BI186" s="390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391"/>
      <c r="BU186" s="391"/>
      <c r="BV186" s="391"/>
      <c r="BW186" s="391"/>
      <c r="BX186" s="391"/>
      <c r="BY186" s="106"/>
      <c r="BZ186" s="106"/>
      <c r="CA186" s="106"/>
      <c r="CB186" s="106"/>
      <c r="CC186" s="106"/>
      <c r="CD186" s="106"/>
      <c r="CE186" s="106"/>
      <c r="CF186" s="106"/>
      <c r="CG186" s="106"/>
      <c r="CH186" s="106"/>
      <c r="CI186" s="106"/>
      <c r="CJ186" s="106"/>
      <c r="CK186" s="106"/>
      <c r="CL186" s="106"/>
      <c r="CM186" s="106"/>
      <c r="CN186" s="106"/>
      <c r="CO186" s="106"/>
      <c r="CP186" s="106"/>
      <c r="CQ186" s="106"/>
      <c r="CR186" s="106"/>
      <c r="CS186" s="106"/>
      <c r="CT186" s="106"/>
      <c r="CU186" s="106"/>
      <c r="CV186" s="106"/>
      <c r="CW186" s="106"/>
      <c r="CX186" s="106"/>
      <c r="CY186" s="106"/>
      <c r="CZ186" s="106"/>
      <c r="DA186" s="106"/>
      <c r="DB186" s="281"/>
    </row>
    <row r="187" spans="2:106" ht="18" customHeight="1" thickBot="1" x14ac:dyDescent="0.25">
      <c r="B187"/>
      <c r="C187" t="s">
        <v>245</v>
      </c>
      <c r="D187"/>
      <c r="E187" s="408" t="s">
        <v>246</v>
      </c>
      <c r="F187" s="409" t="s">
        <v>247</v>
      </c>
      <c r="G187"/>
      <c r="H187" s="408" t="s">
        <v>246</v>
      </c>
      <c r="I187" s="409" t="s">
        <v>247</v>
      </c>
      <c r="L187" s="459">
        <f>IF(E190="","",E190)</f>
        <v>1</v>
      </c>
      <c r="M187" s="462">
        <f t="shared" si="14"/>
        <v>1</v>
      </c>
      <c r="N187" s="462">
        <f>IF(F190="","",F190)</f>
        <v>1.17</v>
      </c>
      <c r="O187" s="464"/>
      <c r="P187" s="95">
        <f>MDETERM(P180:S183)</f>
        <v>51030</v>
      </c>
      <c r="Q187" s="89">
        <f>MDETERM(P180:Q181)</f>
        <v>945</v>
      </c>
      <c r="R187" s="89">
        <f>MDETERM(R182:S183)</f>
        <v>54</v>
      </c>
      <c r="S187" s="80"/>
      <c r="T187" s="80"/>
      <c r="U187" s="80"/>
      <c r="V187" s="80"/>
      <c r="W187" s="80"/>
      <c r="X187" s="410" t="s">
        <v>111</v>
      </c>
      <c r="Y187" s="411" t="s">
        <v>240</v>
      </c>
      <c r="Z187" s="411" t="s">
        <v>241</v>
      </c>
      <c r="AA187" s="46"/>
      <c r="AB187" s="46"/>
      <c r="AC187" s="46"/>
      <c r="AD187" s="46"/>
      <c r="AE187" s="46"/>
      <c r="AF187" s="46"/>
      <c r="AG187" s="227"/>
      <c r="AH187" s="227"/>
      <c r="AI187" s="227"/>
      <c r="AJ187" s="227"/>
      <c r="AK187" s="227"/>
      <c r="AL187" s="227"/>
      <c r="AM187" s="227"/>
      <c r="AN187" s="227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  <c r="BG187" s="390"/>
      <c r="BH187" s="390"/>
      <c r="BI187" s="390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391"/>
      <c r="BU187" s="391"/>
      <c r="BV187" s="391"/>
      <c r="BW187" s="391"/>
      <c r="BX187" s="391"/>
      <c r="BY187" s="106"/>
      <c r="BZ187" s="106"/>
      <c r="CA187" s="106"/>
      <c r="CB187" s="106"/>
      <c r="CC187" s="106"/>
      <c r="CD187" s="106"/>
      <c r="CE187" s="106"/>
      <c r="CF187" s="106"/>
      <c r="CG187" s="106"/>
      <c r="CH187" s="106"/>
      <c r="CI187" s="106"/>
      <c r="CJ187" s="106"/>
      <c r="CK187" s="106"/>
      <c r="CL187" s="106"/>
      <c r="CM187" s="106"/>
      <c r="CN187" s="106"/>
      <c r="CO187" s="106"/>
      <c r="CP187" s="106"/>
      <c r="CQ187" s="106"/>
      <c r="CR187" s="106"/>
      <c r="CS187" s="106"/>
      <c r="CT187" s="106"/>
      <c r="CU187" s="106"/>
      <c r="CV187" s="106"/>
      <c r="CW187" s="106"/>
      <c r="CX187" s="106"/>
      <c r="CY187" s="106"/>
      <c r="CZ187" s="106"/>
      <c r="DA187" s="106"/>
      <c r="DB187" s="281"/>
    </row>
    <row r="188" spans="2:106" ht="18" customHeight="1" x14ac:dyDescent="0.2">
      <c r="B188"/>
      <c r="C188" s="499">
        <v>0.2</v>
      </c>
      <c r="D188"/>
      <c r="E188" s="501">
        <v>1</v>
      </c>
      <c r="F188" s="502">
        <v>1.1499999999999999</v>
      </c>
      <c r="G188"/>
      <c r="H188" s="501">
        <v>2</v>
      </c>
      <c r="I188" s="502">
        <v>2</v>
      </c>
      <c r="L188" s="459" t="str">
        <f>IF(E191="","",E191)</f>
        <v/>
      </c>
      <c r="M188" s="462" t="str">
        <f t="shared" si="14"/>
        <v/>
      </c>
      <c r="N188" s="462" t="str">
        <f>IF(F191="","",F191)</f>
        <v/>
      </c>
      <c r="O188" s="464"/>
      <c r="P188" s="80"/>
      <c r="Q188" s="80"/>
      <c r="R188" s="80"/>
      <c r="S188" s="80"/>
      <c r="T188" s="80"/>
      <c r="U188" s="80"/>
      <c r="V188" s="80"/>
      <c r="W188" s="80"/>
      <c r="X188" s="64">
        <f>MDETERM(X180:AC185)</f>
        <v>11430719.999999991</v>
      </c>
      <c r="Y188" s="64">
        <f>MDETERM(X180:Z182)</f>
        <v>105839.99999999999</v>
      </c>
      <c r="Z188" s="64">
        <f>MDETERM(AA183:AC185)</f>
        <v>107.99999999999994</v>
      </c>
      <c r="AA188" s="46"/>
      <c r="AB188" s="46"/>
      <c r="AC188" s="46"/>
      <c r="AD188" s="46"/>
      <c r="AE188" s="46"/>
      <c r="AF188" s="46"/>
      <c r="AG188" s="227"/>
      <c r="AH188" s="227"/>
      <c r="AI188" s="227"/>
      <c r="AJ188" s="227"/>
      <c r="AK188" s="227"/>
      <c r="AL188" s="227"/>
      <c r="AM188" s="227"/>
      <c r="AN188" s="227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  <c r="BG188" s="390"/>
      <c r="BH188" s="390"/>
      <c r="BI188" s="390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391"/>
      <c r="BU188" s="391"/>
      <c r="BV188" s="391"/>
      <c r="BW188" s="391"/>
      <c r="BX188" s="391"/>
      <c r="BY188" s="106"/>
      <c r="BZ188" s="106"/>
      <c r="CA188" s="106"/>
      <c r="CB188" s="106"/>
      <c r="CC188" s="106"/>
      <c r="CD188" s="106"/>
      <c r="CE188" s="106"/>
      <c r="CF188" s="106"/>
      <c r="CG188" s="106"/>
      <c r="CH188" s="106"/>
      <c r="CI188" s="106"/>
      <c r="CJ188" s="106"/>
      <c r="CK188" s="106"/>
      <c r="CL188" s="106"/>
      <c r="CM188" s="106"/>
      <c r="CN188" s="106"/>
      <c r="CO188" s="106"/>
      <c r="CP188" s="106"/>
      <c r="CQ188" s="106"/>
      <c r="CR188" s="106"/>
      <c r="CS188" s="106"/>
      <c r="CT188" s="106"/>
      <c r="CU188" s="106"/>
      <c r="CV188" s="106"/>
      <c r="CW188" s="106"/>
      <c r="CX188" s="106"/>
      <c r="CY188" s="106"/>
      <c r="CZ188" s="106"/>
      <c r="DA188" s="106"/>
      <c r="DB188" s="281"/>
    </row>
    <row r="189" spans="2:106" ht="18" customHeight="1" x14ac:dyDescent="0.2">
      <c r="B189"/>
      <c r="C189" s="500">
        <v>0.21</v>
      </c>
      <c r="D189"/>
      <c r="E189" s="503">
        <v>1</v>
      </c>
      <c r="F189" s="504">
        <v>1.1599999999999999</v>
      </c>
      <c r="G189"/>
      <c r="H189" s="503">
        <v>2</v>
      </c>
      <c r="I189" s="504">
        <v>2.0099999999999998</v>
      </c>
      <c r="L189" s="459">
        <f>IF(H188="","",H188)</f>
        <v>2</v>
      </c>
      <c r="M189" s="462">
        <f t="shared" si="14"/>
        <v>4</v>
      </c>
      <c r="N189" s="462">
        <f>IF(I188="","",I188)</f>
        <v>2</v>
      </c>
      <c r="O189" s="464"/>
      <c r="P189" s="80" t="s">
        <v>113</v>
      </c>
      <c r="Q189" s="80"/>
      <c r="R189" s="80"/>
      <c r="S189" s="80"/>
      <c r="T189" s="80"/>
      <c r="U189" s="80"/>
      <c r="V189" s="80"/>
      <c r="W189" s="80"/>
      <c r="X189" s="46"/>
      <c r="Y189" s="46"/>
      <c r="Z189" s="46"/>
      <c r="AA189" s="46"/>
      <c r="AB189" s="46"/>
      <c r="AC189" s="46"/>
      <c r="AD189" s="46"/>
      <c r="AE189" s="46"/>
      <c r="AF189" s="46"/>
      <c r="AG189" s="437"/>
      <c r="AH189" s="438"/>
      <c r="AI189" s="438"/>
      <c r="AJ189" s="394"/>
      <c r="AK189" s="394"/>
      <c r="AL189" s="394"/>
      <c r="AM189" s="394"/>
      <c r="AN189" s="394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  <c r="BG189" s="390"/>
      <c r="BH189" s="390"/>
      <c r="BI189" s="390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391"/>
      <c r="BU189" s="391"/>
      <c r="BV189" s="391"/>
      <c r="BW189" s="391"/>
      <c r="BX189" s="391"/>
      <c r="BY189" s="106"/>
      <c r="BZ189" s="106"/>
      <c r="CA189" s="106"/>
      <c r="CB189" s="106"/>
      <c r="CC189" s="106"/>
      <c r="CD189" s="106"/>
      <c r="CE189" s="106"/>
      <c r="CF189" s="106"/>
      <c r="CG189" s="106"/>
      <c r="CH189" s="106"/>
      <c r="CI189" s="106"/>
      <c r="CJ189" s="106"/>
      <c r="CK189" s="106"/>
      <c r="CL189" s="106"/>
      <c r="CM189" s="106"/>
      <c r="CN189" s="106"/>
      <c r="CO189" s="106"/>
      <c r="CP189" s="106"/>
      <c r="CQ189" s="106"/>
      <c r="CR189" s="106"/>
      <c r="CS189" s="106"/>
      <c r="CT189" s="106"/>
      <c r="CU189" s="106"/>
      <c r="CV189" s="106"/>
      <c r="CW189" s="106"/>
      <c r="CX189" s="106"/>
      <c r="CY189" s="106"/>
      <c r="CZ189" s="106"/>
      <c r="DA189" s="106"/>
      <c r="DB189" s="281"/>
    </row>
    <row r="190" spans="2:106" ht="18" customHeight="1" x14ac:dyDescent="0.2">
      <c r="B190"/>
      <c r="C190" s="500">
        <v>0.22</v>
      </c>
      <c r="D190"/>
      <c r="E190" s="503">
        <v>1</v>
      </c>
      <c r="F190" s="504">
        <v>1.17</v>
      </c>
      <c r="G190"/>
      <c r="H190" s="503">
        <v>2</v>
      </c>
      <c r="I190" s="504">
        <v>2.02</v>
      </c>
      <c r="L190" s="459">
        <f>IF(H189="","",H189)</f>
        <v>2</v>
      </c>
      <c r="M190" s="462">
        <f t="shared" si="14"/>
        <v>4</v>
      </c>
      <c r="N190" s="462">
        <f>IF(I189="","",I189)</f>
        <v>2.0099999999999998</v>
      </c>
      <c r="O190" s="464"/>
      <c r="P190" s="403">
        <f>Q181*R187/P187</f>
        <v>0.17460317460317459</v>
      </c>
      <c r="Q190" s="403">
        <f>P191</f>
        <v>-4.7619047619047616E-2</v>
      </c>
      <c r="R190" s="403">
        <v>0</v>
      </c>
      <c r="S190" s="85">
        <v>0</v>
      </c>
      <c r="T190" s="80"/>
      <c r="U190" s="80"/>
      <c r="V190" s="80"/>
      <c r="W190" s="80"/>
      <c r="X190" s="46" t="s">
        <v>113</v>
      </c>
      <c r="Y190" s="46"/>
      <c r="Z190" s="46"/>
      <c r="AA190" s="46"/>
      <c r="AB190" s="46"/>
      <c r="AC190" s="46"/>
      <c r="AD190" s="46"/>
      <c r="AE190" s="46"/>
      <c r="AF190" s="46"/>
      <c r="AG190" s="394"/>
      <c r="AH190" s="394"/>
      <c r="AI190" s="394"/>
      <c r="AJ190" s="394"/>
      <c r="AK190" s="394"/>
      <c r="AL190" s="394"/>
      <c r="AM190" s="394"/>
      <c r="AN190" s="394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  <c r="BG190" s="390"/>
      <c r="BH190" s="390"/>
      <c r="BI190" s="390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391"/>
      <c r="BU190" s="391"/>
      <c r="BV190" s="391"/>
      <c r="BW190" s="391"/>
      <c r="BX190" s="391"/>
      <c r="BY190" s="106"/>
      <c r="BZ190" s="106"/>
      <c r="CA190" s="106"/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6"/>
      <c r="CP190" s="106"/>
      <c r="CQ190" s="106"/>
      <c r="CR190" s="106"/>
      <c r="CS190" s="106"/>
      <c r="CT190" s="106"/>
      <c r="CU190" s="106"/>
      <c r="CV190" s="106"/>
      <c r="CW190" s="106"/>
      <c r="CX190" s="106"/>
      <c r="CY190" s="106"/>
      <c r="CZ190" s="106"/>
      <c r="DA190" s="106"/>
      <c r="DB190" s="281"/>
    </row>
    <row r="191" spans="2:106" ht="18" customHeight="1" thickBot="1" x14ac:dyDescent="0.25">
      <c r="B191"/>
      <c r="C191" s="474"/>
      <c r="D191"/>
      <c r="E191" s="505"/>
      <c r="F191" s="506"/>
      <c r="G191"/>
      <c r="H191" s="505"/>
      <c r="I191" s="506"/>
      <c r="K191"/>
      <c r="L191" s="459">
        <f>IF(H190="","",H190)</f>
        <v>2</v>
      </c>
      <c r="M191" s="462">
        <f t="shared" si="14"/>
        <v>4</v>
      </c>
      <c r="N191" s="462">
        <f>IF(I190="","",I190)</f>
        <v>2.02</v>
      </c>
      <c r="O191" s="464"/>
      <c r="P191" s="103">
        <f>-Q180*R187/P187</f>
        <v>-4.7619047619047616E-2</v>
      </c>
      <c r="Q191" s="103">
        <f>P180*R187/P187</f>
        <v>1.9047619047619049E-2</v>
      </c>
      <c r="R191" s="103">
        <v>0</v>
      </c>
      <c r="S191" s="405">
        <v>0</v>
      </c>
      <c r="T191" s="80"/>
      <c r="U191" s="80"/>
      <c r="V191" s="80"/>
      <c r="W191" s="80"/>
      <c r="X191" s="51">
        <f>(Y181*Z182-Y182*Z181)/Y188</f>
        <v>0.27380952380952384</v>
      </c>
      <c r="Y191" s="52">
        <f>X192</f>
        <v>-0.19642857142857145</v>
      </c>
      <c r="Z191" s="52">
        <f>X193</f>
        <v>2.9761904761904767E-2</v>
      </c>
      <c r="AA191" s="52">
        <v>0</v>
      </c>
      <c r="AB191" s="52">
        <v>0</v>
      </c>
      <c r="AC191" s="53">
        <v>0</v>
      </c>
      <c r="AD191" s="46"/>
      <c r="AE191" s="46"/>
      <c r="AF191" s="46"/>
      <c r="AG191" s="227"/>
      <c r="AH191" s="227"/>
      <c r="AI191" s="227"/>
      <c r="AJ191" s="227"/>
      <c r="AK191" s="227"/>
      <c r="AL191" s="227"/>
      <c r="AM191" s="227"/>
      <c r="AN191" s="227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  <c r="BG191" s="390"/>
      <c r="BH191" s="390"/>
      <c r="BI191" s="390"/>
      <c r="BJ191" s="391"/>
      <c r="BK191" s="391"/>
      <c r="BL191" s="391"/>
      <c r="BM191" s="391"/>
      <c r="BN191" s="391"/>
      <c r="BO191" s="391"/>
      <c r="BP191" s="391"/>
      <c r="BQ191" s="391"/>
      <c r="BR191" s="391"/>
      <c r="BS191" s="391"/>
      <c r="BT191" s="391"/>
      <c r="BU191" s="391"/>
      <c r="BV191" s="391"/>
      <c r="BW191" s="391"/>
      <c r="BX191" s="391"/>
      <c r="BY191" s="106"/>
      <c r="BZ191" s="106"/>
      <c r="CA191" s="106"/>
      <c r="CB191" s="106"/>
      <c r="CC191" s="106"/>
      <c r="CD191" s="106"/>
      <c r="CE191" s="106"/>
      <c r="CF191" s="106"/>
      <c r="CG191" s="106"/>
      <c r="CH191" s="106"/>
      <c r="CI191" s="106"/>
      <c r="CJ191" s="106"/>
      <c r="CK191" s="106"/>
      <c r="CL191" s="106"/>
      <c r="CM191" s="106"/>
      <c r="CN191" s="106"/>
      <c r="CO191" s="106"/>
      <c r="CP191" s="106"/>
      <c r="CQ191" s="106"/>
      <c r="CR191" s="106"/>
      <c r="CS191" s="106"/>
      <c r="CT191" s="106"/>
      <c r="CU191" s="106"/>
      <c r="CV191" s="106"/>
      <c r="CW191" s="106"/>
      <c r="CX191" s="106"/>
      <c r="CY191" s="106"/>
      <c r="CZ191" s="106"/>
      <c r="DA191" s="106"/>
      <c r="DB191" s="281"/>
    </row>
    <row r="192" spans="2:106" ht="18" customHeight="1" x14ac:dyDescent="0.2">
      <c r="B192" s="281"/>
      <c r="C192" s="475"/>
      <c r="D192" s="281"/>
      <c r="E192" s="508" t="s">
        <v>280</v>
      </c>
      <c r="F192" s="507"/>
      <c r="G192" s="281"/>
      <c r="H192" s="507"/>
      <c r="I192" s="507"/>
      <c r="K192"/>
      <c r="L192" s="460" t="str">
        <f>IF(H191="","",H191)</f>
        <v/>
      </c>
      <c r="M192" s="463" t="str">
        <f t="shared" si="14"/>
        <v/>
      </c>
      <c r="N192" s="463" t="str">
        <f>IF(I191="","",I191)</f>
        <v/>
      </c>
      <c r="O192" s="464"/>
      <c r="P192" s="103">
        <v>0</v>
      </c>
      <c r="Q192" s="103">
        <v>0</v>
      </c>
      <c r="R192" s="103">
        <f>S183*Q187/P187</f>
        <v>0.27777777777777779</v>
      </c>
      <c r="S192" s="405">
        <f>R193</f>
        <v>-0.16666666666666666</v>
      </c>
      <c r="T192" s="80"/>
      <c r="U192" s="80"/>
      <c r="V192" s="80"/>
      <c r="W192" s="80"/>
      <c r="X192" s="56">
        <f>(Y182*Z180-Y180*Z182)/Y188</f>
        <v>-0.19642857142857145</v>
      </c>
      <c r="Y192" s="57">
        <f>(X180*Z182-X182*Z180)/Y188</f>
        <v>0.24226190476190479</v>
      </c>
      <c r="Z192" s="57">
        <f>Y193</f>
        <v>-4.4642857142857151E-2</v>
      </c>
      <c r="AA192" s="57">
        <v>0</v>
      </c>
      <c r="AB192" s="57">
        <v>0</v>
      </c>
      <c r="AC192" s="59">
        <v>0</v>
      </c>
      <c r="AD192" s="46"/>
      <c r="AE192" s="46"/>
      <c r="AF192" s="46"/>
      <c r="AG192" s="227"/>
      <c r="AH192" s="227"/>
      <c r="AI192" s="227"/>
      <c r="AJ192" s="227"/>
      <c r="AK192" s="227"/>
      <c r="AL192" s="227"/>
      <c r="AM192" s="227"/>
      <c r="AN192" s="227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  <c r="BG192" s="390"/>
      <c r="BH192" s="390"/>
      <c r="BI192" s="390"/>
      <c r="BJ192" s="397"/>
      <c r="BK192" s="397"/>
      <c r="BL192" s="397"/>
      <c r="BM192" s="397"/>
      <c r="BN192" s="397"/>
      <c r="BO192" s="397"/>
      <c r="BP192" s="397"/>
      <c r="BQ192" s="397"/>
      <c r="BR192" s="391"/>
      <c r="BS192" s="391"/>
      <c r="BT192" s="391"/>
      <c r="BU192" s="391"/>
      <c r="BV192" s="391"/>
      <c r="BW192" s="391"/>
      <c r="BX192" s="391"/>
      <c r="BY192" s="106"/>
      <c r="BZ192" s="106"/>
      <c r="CA192" s="106"/>
      <c r="CB192" s="106"/>
      <c r="CC192" s="106"/>
      <c r="CD192" s="106"/>
      <c r="CE192" s="106"/>
      <c r="CF192" s="106"/>
      <c r="CG192" s="106"/>
      <c r="CH192" s="106"/>
      <c r="CI192" s="106"/>
      <c r="CJ192" s="106"/>
      <c r="CK192" s="106"/>
      <c r="CL192" s="106"/>
      <c r="CM192" s="106"/>
      <c r="CN192" s="106"/>
      <c r="CO192" s="106"/>
      <c r="CP192" s="106"/>
      <c r="CQ192" s="106"/>
      <c r="CR192" s="106"/>
      <c r="CS192" s="106"/>
      <c r="CT192" s="106"/>
      <c r="CU192" s="106"/>
      <c r="CV192" s="106"/>
      <c r="CW192" s="106"/>
      <c r="CX192" s="106"/>
      <c r="CY192" s="106"/>
      <c r="CZ192" s="106"/>
      <c r="DA192" s="106"/>
      <c r="DB192" s="281"/>
    </row>
    <row r="193" spans="2:106" ht="18" customHeight="1" x14ac:dyDescent="0.2">
      <c r="B193" s="41" t="s">
        <v>249</v>
      </c>
      <c r="C193" s="9">
        <f>COUNT(C188:C191)</f>
        <v>3</v>
      </c>
      <c r="D193"/>
      <c r="E193" s="41" t="s">
        <v>249</v>
      </c>
      <c r="F193" s="9">
        <f>IF(p="q",COUNT(I188:I191),COUNT(F188:F191))</f>
        <v>3</v>
      </c>
      <c r="G193"/>
      <c r="H193"/>
      <c r="K193"/>
      <c r="L193"/>
      <c r="M193"/>
      <c r="N193"/>
      <c r="O193"/>
      <c r="P193" s="86">
        <v>0</v>
      </c>
      <c r="Q193" s="104">
        <v>0</v>
      </c>
      <c r="R193" s="104">
        <f>-S182*Q187/P187</f>
        <v>-0.16666666666666666</v>
      </c>
      <c r="S193" s="87">
        <f>R182*Q187/P187</f>
        <v>0.16666666666666666</v>
      </c>
      <c r="T193" s="80"/>
      <c r="U193" s="80"/>
      <c r="V193" s="80"/>
      <c r="W193" s="80"/>
      <c r="X193" s="56">
        <f>(Y180*Z181-Y181*Z180)/Y188</f>
        <v>2.9761904761904767E-2</v>
      </c>
      <c r="Y193" s="57">
        <f>(X181*Z180-Z181*X180)/Y188</f>
        <v>-4.4642857142857151E-2</v>
      </c>
      <c r="Z193" s="57">
        <f>(X180*Y181-X181*Y180)/Y188</f>
        <v>8.9285714285714298E-3</v>
      </c>
      <c r="AA193" s="57">
        <v>0</v>
      </c>
      <c r="AB193" s="57">
        <v>0</v>
      </c>
      <c r="AC193" s="59">
        <v>0</v>
      </c>
      <c r="AD193" s="46"/>
      <c r="AE193" s="46"/>
      <c r="AF193" s="46"/>
      <c r="AG193" s="227"/>
      <c r="AH193" s="227"/>
      <c r="AI193" s="227"/>
      <c r="AJ193" s="227"/>
      <c r="AK193" s="227"/>
      <c r="AL193" s="227"/>
      <c r="AM193" s="227"/>
      <c r="AN193" s="227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  <c r="BG193" s="390"/>
      <c r="BH193" s="390"/>
      <c r="BI193" s="390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391"/>
      <c r="BU193" s="391"/>
      <c r="BV193" s="391"/>
      <c r="BW193" s="391"/>
      <c r="BX193" s="391"/>
      <c r="BY193" s="106"/>
      <c r="BZ193" s="106"/>
      <c r="CA193" s="106"/>
      <c r="CB193" s="106"/>
      <c r="CC193" s="106"/>
      <c r="CD193" s="106"/>
      <c r="CE193" s="106"/>
      <c r="CF193" s="106"/>
      <c r="CG193" s="106"/>
      <c r="CH193" s="106"/>
      <c r="CI193" s="106"/>
      <c r="CJ193" s="106"/>
      <c r="CK193" s="106"/>
      <c r="CL193" s="106"/>
      <c r="CM193" s="106"/>
      <c r="CN193" s="106"/>
      <c r="CO193" s="106"/>
      <c r="CP193" s="106"/>
      <c r="CQ193" s="106"/>
      <c r="CR193" s="106"/>
      <c r="CS193" s="106"/>
      <c r="CT193" s="106"/>
      <c r="CU193" s="106"/>
      <c r="CV193" s="106"/>
      <c r="CW193" s="106"/>
      <c r="CX193" s="106"/>
      <c r="CY193" s="106"/>
      <c r="CZ193" s="106"/>
      <c r="DA193" s="106"/>
      <c r="DB193" s="281"/>
    </row>
    <row r="194" spans="2:106" ht="18" customHeight="1" x14ac:dyDescent="0.2">
      <c r="B194" s="41" t="s">
        <v>250</v>
      </c>
      <c r="C194" s="414">
        <f>AVERAGE(C188:C191)</f>
        <v>0.21</v>
      </c>
      <c r="D194"/>
      <c r="E194" s="41" t="s">
        <v>250</v>
      </c>
      <c r="F194" s="414">
        <f>IF(p="q",AVERAGE(I188:I191),AVERAGE(F188:F191))</f>
        <v>2.0099999999999998</v>
      </c>
      <c r="G194"/>
      <c r="H194"/>
      <c r="I194"/>
      <c r="J194"/>
      <c r="K194"/>
      <c r="L194" t="s">
        <v>263</v>
      </c>
      <c r="M194"/>
      <c r="N194" s="476">
        <f>COUNT(zeroY)</f>
        <v>9</v>
      </c>
      <c r="O194"/>
      <c r="P194" s="81"/>
      <c r="Q194" s="81"/>
      <c r="R194" s="81"/>
      <c r="S194" s="81"/>
      <c r="T194" s="80"/>
      <c r="U194" s="97"/>
      <c r="V194" s="80"/>
      <c r="W194" s="80"/>
      <c r="X194" s="56">
        <v>0</v>
      </c>
      <c r="Y194" s="57">
        <v>0</v>
      </c>
      <c r="Z194" s="57">
        <v>0</v>
      </c>
      <c r="AA194" s="57">
        <f>(AB184*AC185-AB185*AC184)/Z188</f>
        <v>0.33333333333333348</v>
      </c>
      <c r="AB194" s="57">
        <f>AA195</f>
        <v>-0.50000000000000022</v>
      </c>
      <c r="AC194" s="59">
        <f>AA196</f>
        <v>0.16666666666666674</v>
      </c>
      <c r="AD194" s="46"/>
      <c r="AE194" s="398"/>
      <c r="AF194" s="46"/>
      <c r="AG194" s="227"/>
      <c r="AH194" s="227"/>
      <c r="AI194" s="227"/>
      <c r="AJ194" s="227"/>
      <c r="AK194" s="227"/>
      <c r="AL194" s="227"/>
      <c r="AM194" s="227"/>
      <c r="AN194" s="227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  <c r="BG194" s="390"/>
      <c r="BH194" s="390"/>
      <c r="BI194" s="390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391"/>
      <c r="BU194" s="391"/>
      <c r="BV194" s="391"/>
      <c r="BW194" s="391"/>
      <c r="BX194" s="391"/>
      <c r="BY194" s="106"/>
      <c r="BZ194" s="106"/>
      <c r="CA194" s="106"/>
      <c r="CB194" s="106"/>
      <c r="CC194" s="106"/>
      <c r="CD194" s="106"/>
      <c r="CE194" s="106"/>
      <c r="CF194" s="106"/>
      <c r="CG194" s="106"/>
      <c r="CH194" s="106"/>
      <c r="CI194" s="106"/>
      <c r="CJ194" s="106"/>
      <c r="CK194" s="106"/>
      <c r="CL194" s="106"/>
      <c r="CM194" s="106"/>
      <c r="CN194" s="106"/>
      <c r="CO194" s="106"/>
      <c r="CP194" s="106"/>
      <c r="CQ194" s="106"/>
      <c r="CR194" s="106"/>
      <c r="CS194" s="106"/>
      <c r="CT194" s="106"/>
      <c r="CU194" s="106"/>
      <c r="CV194" s="106"/>
      <c r="CW194" s="106"/>
      <c r="CX194" s="106"/>
      <c r="CY194" s="106"/>
      <c r="CZ194" s="106"/>
      <c r="DA194" s="106"/>
      <c r="DB194" s="281"/>
    </row>
    <row r="195" spans="2:106" ht="18" customHeight="1" x14ac:dyDescent="0.2">
      <c r="B195" s="41" t="s">
        <v>147</v>
      </c>
      <c r="C195" s="414">
        <f>STDEV(C188:C191)</f>
        <v>9.999999999999995E-3</v>
      </c>
      <c r="D195"/>
      <c r="E195" s="41" t="s">
        <v>147</v>
      </c>
      <c r="F195" s="414">
        <f>IF(p="q",STDEV(I188:I191),STDEV(F188:F191))</f>
        <v>1.0000000000000009E-2</v>
      </c>
      <c r="G195" t="s">
        <v>251</v>
      </c>
      <c r="H195"/>
      <c r="I195"/>
      <c r="J195"/>
      <c r="K195"/>
      <c r="L195"/>
      <c r="M195"/>
      <c r="N195"/>
      <c r="O195"/>
      <c r="P195" s="81"/>
      <c r="Q195" s="81"/>
      <c r="R195" s="81"/>
      <c r="S195" s="81"/>
      <c r="T195" s="80"/>
      <c r="U195" s="97"/>
      <c r="V195" s="80"/>
      <c r="W195" s="80"/>
      <c r="X195" s="56">
        <v>0</v>
      </c>
      <c r="Y195" s="57">
        <v>0</v>
      </c>
      <c r="Z195" s="57">
        <v>0</v>
      </c>
      <c r="AA195" s="57">
        <f>(AB185*AC183-AC185*AB183)/Z188</f>
        <v>-0.50000000000000022</v>
      </c>
      <c r="AB195" s="57">
        <f>(AA183*AC185-AA185*AC183)/Z188</f>
        <v>2.1666666666666679</v>
      </c>
      <c r="AC195" s="59">
        <f>AB196</f>
        <v>-1.0000000000000004</v>
      </c>
      <c r="AD195" s="46"/>
      <c r="AE195" s="57"/>
      <c r="AF195" s="57"/>
      <c r="AG195" s="227"/>
      <c r="AH195" s="227"/>
      <c r="AI195" s="227"/>
      <c r="AJ195" s="227"/>
      <c r="AK195" s="227"/>
      <c r="AL195" s="227"/>
      <c r="AM195" s="227"/>
      <c r="AN195" s="227"/>
      <c r="AO195" s="390"/>
      <c r="AP195" s="390"/>
      <c r="AQ195" s="390"/>
      <c r="AR195" s="390"/>
      <c r="AS195" s="390"/>
      <c r="AT195" s="390"/>
      <c r="AU195" s="390"/>
      <c r="AV195" s="390"/>
      <c r="AW195" s="390"/>
      <c r="AX195" s="390"/>
      <c r="AY195" s="390"/>
      <c r="AZ195" s="390"/>
      <c r="BA195" s="390"/>
      <c r="BB195" s="390"/>
      <c r="BC195" s="390"/>
      <c r="BD195" s="390"/>
      <c r="BE195" s="390"/>
      <c r="BF195" s="390"/>
      <c r="BG195" s="390"/>
      <c r="BH195" s="390"/>
      <c r="BI195" s="390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391"/>
      <c r="BU195" s="391"/>
      <c r="BV195" s="391"/>
      <c r="BW195" s="391"/>
      <c r="BX195" s="391"/>
      <c r="BY195" s="106"/>
      <c r="BZ195" s="106"/>
      <c r="CA195" s="106"/>
      <c r="CB195" s="106"/>
      <c r="CC195" s="106"/>
      <c r="CD195" s="106"/>
      <c r="CE195" s="106"/>
      <c r="CF195" s="106"/>
      <c r="CG195" s="106"/>
      <c r="CH195" s="106"/>
      <c r="CI195" s="106"/>
      <c r="CJ195" s="106"/>
      <c r="CK195" s="106"/>
      <c r="CL195" s="106"/>
      <c r="CM195" s="106"/>
      <c r="CN195" s="106"/>
      <c r="CO195" s="106"/>
      <c r="CP195" s="106"/>
      <c r="CQ195" s="106"/>
      <c r="CR195" s="106"/>
      <c r="CS195" s="106"/>
      <c r="CT195" s="106"/>
      <c r="CU195" s="106"/>
      <c r="CV195" s="106"/>
      <c r="CW195" s="106"/>
      <c r="CX195" s="106"/>
      <c r="CY195" s="106"/>
      <c r="CZ195" s="106"/>
      <c r="DA195" s="106"/>
      <c r="DB195" s="281"/>
    </row>
    <row r="196" spans="2:106" ht="18" customHeight="1" x14ac:dyDescent="0.2">
      <c r="B196" s="416" t="s">
        <v>255</v>
      </c>
      <c r="C196" s="414">
        <f>IF(p="Q",+$Z$30+$Z$31*0+$Z$32*0^2,$P$27+$P$28*0)</f>
        <v>0.20000000000000284</v>
      </c>
      <c r="D196"/>
      <c r="E196" s="416" t="s">
        <v>256</v>
      </c>
      <c r="F196" s="414">
        <f>IF(p="Q",+$Z$30+$Z$31*H188+$Z$32*H188^2,$P$27+$P$28*E188)</f>
        <v>2.0000000000000036</v>
      </c>
      <c r="G196"/>
      <c r="H196"/>
      <c r="I196"/>
      <c r="J196"/>
      <c r="K196"/>
      <c r="L196"/>
      <c r="M196"/>
      <c r="N196"/>
      <c r="O196"/>
      <c r="P196" s="98" t="s">
        <v>114</v>
      </c>
      <c r="Q196" s="98" t="s">
        <v>115</v>
      </c>
      <c r="R196" s="98" t="s">
        <v>117</v>
      </c>
      <c r="S196" s="98" t="s">
        <v>118</v>
      </c>
      <c r="T196" s="487"/>
      <c r="U196" s="487"/>
      <c r="V196" s="487"/>
      <c r="W196" s="80"/>
      <c r="X196" s="60">
        <v>0</v>
      </c>
      <c r="Y196" s="61">
        <v>0</v>
      </c>
      <c r="Z196" s="61">
        <v>0</v>
      </c>
      <c r="AA196" s="61">
        <f>(AB183*AC184-AB184*AC183)/Z188</f>
        <v>0.16666666666666674</v>
      </c>
      <c r="AB196" s="61">
        <f>(AA184*AC183-AC184*AA183)/Z188</f>
        <v>-1.0000000000000004</v>
      </c>
      <c r="AC196" s="62">
        <f>(AA183*AB184-AA184*AB183)/Z188</f>
        <v>0.50000000000000022</v>
      </c>
      <c r="AD196" s="46"/>
      <c r="AE196" s="57"/>
      <c r="AF196" s="57"/>
      <c r="AG196" s="227"/>
      <c r="AH196" s="227"/>
      <c r="AI196" s="227"/>
      <c r="AJ196" s="227"/>
      <c r="AK196" s="227"/>
      <c r="AL196" s="227"/>
      <c r="AM196" s="227"/>
      <c r="AN196" s="227"/>
      <c r="AO196" s="390"/>
      <c r="AP196" s="390"/>
      <c r="AQ196" s="390"/>
      <c r="AR196" s="390"/>
      <c r="AS196" s="390"/>
      <c r="AT196" s="390"/>
      <c r="AU196" s="390"/>
      <c r="AV196" s="390"/>
      <c r="AW196" s="390"/>
      <c r="AX196" s="390"/>
      <c r="AY196" s="227"/>
      <c r="AZ196" s="227"/>
      <c r="BA196" s="227"/>
      <c r="BB196" s="227"/>
      <c r="BC196" s="390"/>
      <c r="BD196" s="390"/>
      <c r="BE196" s="390"/>
      <c r="BF196" s="390"/>
      <c r="BG196" s="390"/>
      <c r="BH196" s="390"/>
      <c r="BI196" s="390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391"/>
      <c r="BU196" s="391"/>
      <c r="BV196" s="391"/>
      <c r="BW196" s="391"/>
      <c r="BX196" s="391"/>
      <c r="BY196" s="106"/>
      <c r="BZ196" s="106"/>
      <c r="CA196" s="106"/>
      <c r="CB196" s="106"/>
      <c r="CC196" s="106"/>
      <c r="CD196" s="106"/>
      <c r="CE196" s="106"/>
      <c r="CF196" s="106"/>
      <c r="CG196" s="106"/>
      <c r="CH196" s="106"/>
      <c r="CI196" s="106"/>
      <c r="CJ196" s="106"/>
      <c r="CK196" s="106"/>
      <c r="CL196" s="106"/>
      <c r="CM196" s="106"/>
      <c r="CN196" s="106"/>
      <c r="CO196" s="106"/>
      <c r="CP196" s="106"/>
      <c r="CQ196" s="106"/>
      <c r="CR196" s="106"/>
      <c r="CS196" s="106"/>
      <c r="CT196" s="106"/>
      <c r="CU196" s="106"/>
      <c r="CV196" s="106"/>
      <c r="CW196" s="106"/>
      <c r="CX196" s="106"/>
      <c r="CY196" s="106"/>
      <c r="CZ196" s="106"/>
      <c r="DA196" s="106"/>
      <c r="DB196" s="281"/>
    </row>
    <row r="197" spans="2:106" ht="18" customHeight="1" x14ac:dyDescent="0.25">
      <c r="B197" s="416"/>
      <c r="C197" s="414"/>
      <c r="D197"/>
      <c r="E197" s="416"/>
      <c r="F197" s="414"/>
      <c r="G197"/>
      <c r="H197"/>
      <c r="I197"/>
      <c r="J197"/>
      <c r="K197"/>
      <c r="L197"/>
      <c r="M197"/>
      <c r="N197"/>
      <c r="O197"/>
      <c r="P197" s="91">
        <f>P23</f>
        <v>40.35</v>
      </c>
      <c r="Q197" s="91">
        <f>SUMPRODUCT(P190:P193,P197:P200)</f>
        <v>0.36666666666666714</v>
      </c>
      <c r="R197" s="89">
        <f>SUMPRODUCT(zeroY,zeroY)+P31</f>
        <v>136.55370000000002</v>
      </c>
      <c r="S197" s="89">
        <f>n+nn-4</f>
        <v>23</v>
      </c>
      <c r="T197" s="386"/>
      <c r="U197" s="103"/>
      <c r="V197" s="487"/>
      <c r="W197" s="80"/>
      <c r="X197" s="46"/>
      <c r="Y197" s="46"/>
      <c r="Z197" s="46"/>
      <c r="AA197" s="46"/>
      <c r="AB197" s="46"/>
      <c r="AC197" s="46"/>
      <c r="AD197" s="46"/>
      <c r="AE197" s="57"/>
      <c r="AF197" s="57"/>
      <c r="AG197" s="227"/>
      <c r="AH197" s="227"/>
      <c r="AI197" s="227"/>
      <c r="AJ197" s="227"/>
      <c r="AK197" s="227"/>
      <c r="AL197" s="227"/>
      <c r="AM197" s="227"/>
      <c r="AN197" s="227"/>
      <c r="AO197" s="390"/>
      <c r="AP197" s="394"/>
      <c r="AQ197" s="390"/>
      <c r="AR197" s="390"/>
      <c r="AS197" s="390"/>
      <c r="AT197" s="390"/>
      <c r="AU197" s="390"/>
      <c r="AV197" s="390"/>
      <c r="AW197" s="390"/>
      <c r="AX197" s="390"/>
      <c r="AY197" s="227"/>
      <c r="AZ197" s="227"/>
      <c r="BA197" s="227"/>
      <c r="BB197" s="227"/>
      <c r="BC197" s="390"/>
      <c r="BD197" s="390"/>
      <c r="BE197" s="390"/>
      <c r="BF197" s="390"/>
      <c r="BG197" s="390"/>
      <c r="BH197" s="390"/>
      <c r="BI197" s="390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391"/>
      <c r="BU197" s="397"/>
      <c r="BV197" s="391"/>
      <c r="BW197" s="391"/>
      <c r="BX197" s="391"/>
      <c r="BY197" s="106"/>
      <c r="BZ197" s="106"/>
      <c r="CA197" s="106"/>
      <c r="CB197" s="106"/>
      <c r="CC197" s="106"/>
      <c r="CD197" s="106"/>
      <c r="CE197" s="106"/>
      <c r="CF197" s="106"/>
      <c r="CG197" s="106"/>
      <c r="CH197" s="412"/>
      <c r="CI197" s="106"/>
      <c r="CJ197" s="106"/>
      <c r="CK197" s="106"/>
      <c r="CL197" s="106"/>
      <c r="CM197" s="106"/>
      <c r="CN197" s="106"/>
      <c r="CO197" s="106"/>
      <c r="CP197" s="106"/>
      <c r="CQ197" s="106"/>
      <c r="CR197" s="106"/>
      <c r="CS197" s="106"/>
      <c r="CT197" s="106"/>
      <c r="CU197" s="106"/>
      <c r="CV197" s="106"/>
      <c r="CW197" s="106"/>
      <c r="CX197" s="106"/>
      <c r="CY197" s="106"/>
      <c r="CZ197" s="106"/>
      <c r="DA197" s="106"/>
      <c r="DB197" s="281"/>
    </row>
    <row r="198" spans="2:106" ht="18" customHeight="1" x14ac:dyDescent="0.3">
      <c r="B198"/>
      <c r="C198"/>
      <c r="D198" t="s">
        <v>257</v>
      </c>
      <c r="E198"/>
      <c r="F198" t="s">
        <v>281</v>
      </c>
      <c r="G198"/>
      <c r="H198"/>
      <c r="I198"/>
      <c r="J198"/>
      <c r="K198"/>
      <c r="L198"/>
      <c r="M198"/>
      <c r="N198"/>
      <c r="O198"/>
      <c r="P198" s="413">
        <f>P24</f>
        <v>140.25</v>
      </c>
      <c r="Q198" s="413">
        <f>SUMPRODUCT(Q190:Q193,P197:P200)</f>
        <v>0.75000000000000022</v>
      </c>
      <c r="R198" s="83"/>
      <c r="S198" s="93"/>
      <c r="T198" s="386"/>
      <c r="U198" s="103"/>
      <c r="V198" s="487"/>
      <c r="W198" s="80"/>
      <c r="X198" s="71" t="s">
        <v>114</v>
      </c>
      <c r="Y198" s="71" t="s">
        <v>115</v>
      </c>
      <c r="Z198" s="49" t="s">
        <v>117</v>
      </c>
      <c r="AA198" s="49" t="s">
        <v>118</v>
      </c>
      <c r="AB198" s="71"/>
      <c r="AC198" s="71"/>
      <c r="AD198" s="46"/>
      <c r="AE198" s="57"/>
      <c r="AF198" s="57"/>
      <c r="AG198" s="227"/>
      <c r="AH198" s="227"/>
      <c r="AI198" s="227"/>
      <c r="AJ198" s="227"/>
      <c r="AK198" s="227"/>
      <c r="AL198" s="227"/>
      <c r="AM198" s="227"/>
      <c r="AN198" s="227"/>
      <c r="AO198" s="390"/>
      <c r="AP198" s="227"/>
      <c r="AQ198" s="227"/>
      <c r="AR198" s="227"/>
      <c r="AS198" s="227"/>
      <c r="AT198" s="227"/>
      <c r="AU198" s="227"/>
      <c r="AV198" s="227"/>
      <c r="AW198" s="227"/>
      <c r="AX198" s="227"/>
      <c r="AY198" s="227"/>
      <c r="AZ198" s="227"/>
      <c r="BA198" s="227"/>
      <c r="BB198" s="227"/>
      <c r="BC198" s="227"/>
      <c r="BD198" s="439"/>
      <c r="BE198" s="227"/>
      <c r="BF198" s="227"/>
      <c r="BG198" s="227"/>
      <c r="BH198" s="227"/>
      <c r="BI198" s="227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391"/>
      <c r="BU198" s="368"/>
      <c r="BV198" s="391"/>
      <c r="BW198" s="112"/>
      <c r="BX198" s="112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18"/>
      <c r="CQ198" s="11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6"/>
      <c r="DB198" s="281"/>
    </row>
    <row r="199" spans="2:106" ht="18" customHeight="1" x14ac:dyDescent="0.25">
      <c r="B199" s="417"/>
      <c r="C199" s="418" t="s">
        <v>258</v>
      </c>
      <c r="D199" s="419">
        <f>C195/SQRT(C193)</f>
        <v>5.7735026918962554E-3</v>
      </c>
      <c r="E199" s="420"/>
      <c r="F199" s="510">
        <f>F195/SQRT(F193)</f>
        <v>5.7735026918962632E-3</v>
      </c>
      <c r="G199" s="421"/>
      <c r="H199"/>
      <c r="I199"/>
      <c r="J199"/>
      <c r="K199"/>
      <c r="L199"/>
      <c r="M199"/>
      <c r="N199"/>
      <c r="O199"/>
      <c r="P199" s="413">
        <f>SUM(zeroY)</f>
        <v>10.139999999999999</v>
      </c>
      <c r="Q199" s="413">
        <f>SUMPRODUCT(R190:R193,P197:P200)</f>
        <v>0.22666666666666657</v>
      </c>
      <c r="R199" s="98" t="s">
        <v>272</v>
      </c>
      <c r="S199" s="98" t="s">
        <v>248</v>
      </c>
      <c r="T199" s="487"/>
      <c r="U199" s="103"/>
      <c r="V199" s="487"/>
      <c r="W199" s="80"/>
      <c r="X199" s="50">
        <f>Z25</f>
        <v>40.35</v>
      </c>
      <c r="Y199" s="50">
        <f>SUMPRODUCT(X191:X196,X199:X204)</f>
        <v>0.20000000000000284</v>
      </c>
      <c r="Z199" s="70">
        <f>SUMPRODUCT(zeroY,zeroY)+P31</f>
        <v>136.55370000000002</v>
      </c>
      <c r="AA199" s="64">
        <f>n+nn-6</f>
        <v>21</v>
      </c>
      <c r="AB199" s="71"/>
      <c r="AC199" s="71"/>
      <c r="AD199" s="45"/>
      <c r="AE199" s="57"/>
      <c r="AF199" s="57"/>
      <c r="AG199" s="227"/>
      <c r="AH199" s="227"/>
      <c r="AI199" s="227"/>
      <c r="AJ199" s="227"/>
      <c r="AK199" s="227"/>
      <c r="AL199" s="227"/>
      <c r="AM199" s="227"/>
      <c r="AN199" s="227"/>
      <c r="AO199" s="390"/>
      <c r="AP199" s="227"/>
      <c r="AQ199" s="227"/>
      <c r="AR199" s="227"/>
      <c r="AS199" s="227"/>
      <c r="AT199" s="227"/>
      <c r="AU199" s="227"/>
      <c r="AV199" s="227"/>
      <c r="AW199" s="227"/>
      <c r="AX199" s="227"/>
      <c r="AY199" s="227"/>
      <c r="AZ199" s="227"/>
      <c r="BA199" s="227"/>
      <c r="BB199" s="227"/>
      <c r="BC199" s="227"/>
      <c r="BD199" s="439"/>
      <c r="BE199" s="227"/>
      <c r="BF199" s="227"/>
      <c r="BG199" s="227"/>
      <c r="BH199" s="227"/>
      <c r="BI199" s="227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440"/>
      <c r="BU199" s="368"/>
      <c r="BV199" s="391"/>
      <c r="BW199" s="112"/>
      <c r="BX199" s="112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18"/>
      <c r="CQ199" s="11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6"/>
      <c r="DB199" s="281"/>
    </row>
    <row r="200" spans="2:106" ht="18" customHeight="1" x14ac:dyDescent="0.25">
      <c r="B200" s="422"/>
      <c r="C200" s="423" t="s">
        <v>259</v>
      </c>
      <c r="D200" s="424">
        <f>F194/100</f>
        <v>2.0099999999999996E-2</v>
      </c>
      <c r="E200" s="425"/>
      <c r="F200" s="424">
        <f>F194/100</f>
        <v>2.0099999999999996E-2</v>
      </c>
      <c r="G200" s="426"/>
      <c r="H200"/>
      <c r="I200"/>
      <c r="J200"/>
      <c r="K200"/>
      <c r="L200"/>
      <c r="M200"/>
      <c r="N200"/>
      <c r="O200"/>
      <c r="P200" s="92">
        <f>SUMPRODUCT(zeroX,zeroY)</f>
        <v>15.54</v>
      </c>
      <c r="Q200" s="92">
        <f>SUMPRODUCT(S190:S193,P197:P200)</f>
        <v>0.90000000000000013</v>
      </c>
      <c r="R200" s="89">
        <f>TINV(0.05,S197)</f>
        <v>2.0686576104190491</v>
      </c>
      <c r="S200" s="89">
        <f>SUMPRODUCT(P197:P200,Q197:Q200)</f>
        <v>136.26690000000005</v>
      </c>
      <c r="T200" s="487"/>
      <c r="U200" s="103"/>
      <c r="V200" s="487"/>
      <c r="W200" s="80"/>
      <c r="X200" s="54">
        <f>Z26</f>
        <v>140.25</v>
      </c>
      <c r="Y200" s="54">
        <f>SUMPRODUCT(X199:X204,Y191:Y196)</f>
        <v>1</v>
      </c>
      <c r="Z200" s="71"/>
      <c r="AA200" s="71"/>
      <c r="AB200" s="71"/>
      <c r="AC200" s="71"/>
      <c r="AD200" s="46"/>
      <c r="AE200" s="57"/>
      <c r="AF200" s="57"/>
      <c r="AG200" s="390"/>
      <c r="AH200" s="390"/>
      <c r="AI200" s="390"/>
      <c r="AJ200" s="390"/>
      <c r="AK200" s="390"/>
      <c r="AL200" s="390"/>
      <c r="AM200" s="390"/>
      <c r="AN200" s="390"/>
      <c r="AO200" s="390"/>
      <c r="AP200" s="227"/>
      <c r="AQ200" s="227"/>
      <c r="AR200" s="227"/>
      <c r="AS200" s="227"/>
      <c r="AT200" s="227"/>
      <c r="AU200" s="227"/>
      <c r="AV200" s="227"/>
      <c r="AW200" s="227"/>
      <c r="AX200" s="227"/>
      <c r="AY200" s="390"/>
      <c r="AZ200" s="390"/>
      <c r="BA200" s="390"/>
      <c r="BB200" s="390"/>
      <c r="BC200" s="227"/>
      <c r="BD200" s="439"/>
      <c r="BE200" s="227"/>
      <c r="BF200" s="227"/>
      <c r="BG200" s="227"/>
      <c r="BH200" s="227"/>
      <c r="BI200" s="227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440"/>
      <c r="BU200" s="368"/>
      <c r="BV200" s="391"/>
      <c r="BW200" s="112"/>
      <c r="BX200" s="112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18"/>
      <c r="CQ200" s="11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6"/>
      <c r="DB200" s="281"/>
    </row>
    <row r="201" spans="2:106" ht="18" customHeight="1" x14ac:dyDescent="0.25">
      <c r="B201" s="427"/>
      <c r="C201" s="428"/>
      <c r="D201" s="429" t="str">
        <f>IF(D199&lt;D200,"Std. Uncertainty is okay.","Std. Uncertainty is excessive.")</f>
        <v>Std. Uncertainty is okay.</v>
      </c>
      <c r="E201" s="428"/>
      <c r="F201" s="429" t="str">
        <f>IF(F199&lt;F200,"Std. Uncertainy is okay.","Std. Uncertainty is excessive.")</f>
        <v>Std. Uncertainy is okay.</v>
      </c>
      <c r="G201" s="430"/>
      <c r="H201"/>
      <c r="I201"/>
      <c r="J201"/>
      <c r="K201"/>
      <c r="L201"/>
      <c r="M201"/>
      <c r="N201"/>
      <c r="O201"/>
      <c r="P201" s="80"/>
      <c r="Q201" s="80"/>
      <c r="R201" s="80"/>
      <c r="S201" s="80"/>
      <c r="T201" s="487"/>
      <c r="U201" s="103"/>
      <c r="V201" s="487"/>
      <c r="W201" s="80"/>
      <c r="X201" s="54">
        <f>Z27</f>
        <v>561.15</v>
      </c>
      <c r="Y201" s="54">
        <f>SUMPRODUCT(X199:X204,Z191:Z196)</f>
        <v>-4.9999999999999822E-2</v>
      </c>
      <c r="Z201" s="71"/>
      <c r="AA201" s="71"/>
      <c r="AB201" s="71"/>
      <c r="AC201" s="71"/>
      <c r="AD201" s="46"/>
      <c r="AE201" s="57"/>
      <c r="AF201" s="57"/>
      <c r="AG201" s="441"/>
      <c r="AH201" s="441"/>
      <c r="AI201" s="311"/>
      <c r="AJ201" s="311"/>
      <c r="AK201" s="441"/>
      <c r="AL201" s="441"/>
      <c r="AM201" s="394"/>
      <c r="AN201" s="390"/>
      <c r="AO201" s="390"/>
      <c r="AP201" s="227"/>
      <c r="AQ201" s="227"/>
      <c r="AR201" s="227"/>
      <c r="AS201" s="227"/>
      <c r="AT201" s="227"/>
      <c r="AU201" s="227"/>
      <c r="AV201" s="227"/>
      <c r="AW201" s="227"/>
      <c r="AX201" s="227"/>
      <c r="AY201" s="227"/>
      <c r="AZ201" s="227"/>
      <c r="BA201" s="227"/>
      <c r="BB201" s="227"/>
      <c r="BC201" s="227"/>
      <c r="BD201" s="439"/>
      <c r="BE201" s="227"/>
      <c r="BF201" s="227"/>
      <c r="BG201" s="227"/>
      <c r="BH201" s="227"/>
      <c r="BI201" s="227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440"/>
      <c r="BU201" s="368"/>
      <c r="BV201" s="391"/>
      <c r="BW201" s="112"/>
      <c r="BX201" s="112"/>
      <c r="BY201" s="108"/>
      <c r="BZ201" s="108"/>
      <c r="CA201" s="108"/>
      <c r="CB201" s="108"/>
      <c r="CC201" s="108"/>
      <c r="CD201" s="108"/>
      <c r="CE201" s="108"/>
      <c r="CF201" s="108"/>
      <c r="CG201" s="108"/>
      <c r="CH201" s="108"/>
      <c r="CI201" s="108"/>
      <c r="CJ201" s="108"/>
      <c r="CK201" s="108"/>
      <c r="CL201" s="108"/>
      <c r="CM201" s="108"/>
      <c r="CN201" s="108"/>
      <c r="CO201" s="108"/>
      <c r="CP201" s="118"/>
      <c r="CQ201" s="118"/>
      <c r="CR201" s="108"/>
      <c r="CS201" s="108"/>
      <c r="CT201" s="108"/>
      <c r="CU201" s="108"/>
      <c r="CV201" s="108"/>
      <c r="CW201" s="108"/>
      <c r="CX201" s="108"/>
      <c r="CY201" s="108"/>
      <c r="CZ201" s="108"/>
      <c r="DA201" s="106"/>
      <c r="DB201" s="281"/>
    </row>
    <row r="202" spans="2:106" ht="18" customHeight="1" x14ac:dyDescent="0.25">
      <c r="B202" s="417"/>
      <c r="C202" s="431" t="s">
        <v>260</v>
      </c>
      <c r="D202" s="432">
        <f>(C196-C194)/F196</f>
        <v>-4.9999999999985664E-3</v>
      </c>
      <c r="E202" s="421"/>
      <c r="F202" s="509">
        <f>(F194-F196)/F196</f>
        <v>4.9999999999981084E-3</v>
      </c>
      <c r="G202" s="421"/>
      <c r="H202"/>
      <c r="I202"/>
      <c r="J202"/>
      <c r="K202"/>
      <c r="L202"/>
      <c r="M202"/>
      <c r="N202"/>
      <c r="O202"/>
      <c r="P202" s="98" t="s">
        <v>252</v>
      </c>
      <c r="Q202" s="415" t="s">
        <v>253</v>
      </c>
      <c r="R202" s="97" t="s">
        <v>124</v>
      </c>
      <c r="S202" s="97" t="s">
        <v>254</v>
      </c>
      <c r="T202" s="487"/>
      <c r="U202" s="103"/>
      <c r="V202" s="487"/>
      <c r="W202" s="80"/>
      <c r="X202" s="54">
        <f>SUM(zeroY)</f>
        <v>10.139999999999999</v>
      </c>
      <c r="Y202" s="54">
        <f>SUMPRODUCT(X199:X204,AA191:AA196)</f>
        <v>0.20999999999999996</v>
      </c>
      <c r="Z202" s="71" t="s">
        <v>272</v>
      </c>
      <c r="AA202" s="71" t="s">
        <v>248</v>
      </c>
      <c r="AB202" s="71"/>
      <c r="AC202" s="71"/>
      <c r="AD202" s="46"/>
      <c r="AE202" s="57"/>
      <c r="AF202" s="57"/>
      <c r="AG202" s="227"/>
      <c r="AH202" s="227"/>
      <c r="AI202" s="442"/>
      <c r="AJ202" s="227"/>
      <c r="AK202" s="441"/>
      <c r="AL202" s="441"/>
      <c r="AM202" s="390"/>
      <c r="AN202" s="390"/>
      <c r="AO202" s="390"/>
      <c r="AP202" s="227"/>
      <c r="AQ202" s="227"/>
      <c r="AR202" s="227"/>
      <c r="AS202" s="227"/>
      <c r="AT202" s="227"/>
      <c r="AU202" s="227"/>
      <c r="AV202" s="227"/>
      <c r="AW202" s="227"/>
      <c r="AX202" s="227"/>
      <c r="AY202" s="390"/>
      <c r="AZ202" s="390"/>
      <c r="BA202" s="390"/>
      <c r="BB202" s="390"/>
      <c r="BC202" s="227"/>
      <c r="BD202" s="439"/>
      <c r="BE202" s="227"/>
      <c r="BF202" s="227"/>
      <c r="BG202" s="227"/>
      <c r="BH202" s="227"/>
      <c r="BI202" s="227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440"/>
      <c r="BU202" s="368"/>
      <c r="BV202" s="391"/>
      <c r="BW202" s="112"/>
      <c r="BX202" s="112"/>
      <c r="BY202" s="108"/>
      <c r="BZ202" s="108"/>
      <c r="CA202" s="108"/>
      <c r="CB202" s="108"/>
      <c r="CC202" s="108"/>
      <c r="CD202" s="108"/>
      <c r="CE202" s="108"/>
      <c r="CF202" s="108"/>
      <c r="CG202" s="108"/>
      <c r="CH202" s="108"/>
      <c r="CI202" s="108"/>
      <c r="CJ202" s="108"/>
      <c r="CK202" s="108"/>
      <c r="CL202" s="108"/>
      <c r="CM202" s="108"/>
      <c r="CN202" s="108"/>
      <c r="CO202" s="108"/>
      <c r="CP202" s="118"/>
      <c r="CQ202" s="118"/>
      <c r="CR202" s="108"/>
      <c r="CS202" s="108"/>
      <c r="CT202" s="108"/>
      <c r="CU202" s="108"/>
      <c r="CV202" s="108"/>
      <c r="CW202" s="108"/>
      <c r="CX202" s="108"/>
      <c r="CY202" s="108"/>
      <c r="CZ202" s="108"/>
      <c r="DA202" s="106"/>
      <c r="DB202" s="281"/>
    </row>
    <row r="203" spans="2:106" ht="18" customHeight="1" x14ac:dyDescent="0.25">
      <c r="B203" s="427"/>
      <c r="C203" s="433"/>
      <c r="D203" s="434" t="str">
        <f>IF(ABS(D202)&lt;0.05,"RD is okay.","RD is excessive.")</f>
        <v>RD is okay.</v>
      </c>
      <c r="E203" s="430"/>
      <c r="F203" s="434" t="str">
        <f>IF(ABS(F202)&lt;0.05,"RD is okay.","RD is excessive.")</f>
        <v>RD is okay.</v>
      </c>
      <c r="G203" s="430"/>
      <c r="H203"/>
      <c r="I203"/>
      <c r="J203"/>
      <c r="K203"/>
      <c r="L203"/>
      <c r="M203"/>
      <c r="N203"/>
      <c r="O203"/>
      <c r="P203" s="89">
        <f>S200-(SUM(Y)+SUM(zeroY))^2/(n+nn)</f>
        <v>41.850600000000057</v>
      </c>
      <c r="Q203" s="89">
        <f>R197-S200</f>
        <v>0.28679999999997108</v>
      </c>
      <c r="R203" s="89">
        <f>Q203/S197</f>
        <v>1.2469565217390047E-2</v>
      </c>
      <c r="S203" s="89">
        <f>SQRT(R203)</f>
        <v>0.11166720743974055</v>
      </c>
      <c r="T203" s="487"/>
      <c r="U203" s="103"/>
      <c r="V203" s="487"/>
      <c r="W203" s="80"/>
      <c r="X203" s="54">
        <f>SUMPRODUCT(zeroX,zeroY)</f>
        <v>15.54</v>
      </c>
      <c r="Y203" s="54">
        <f>SUMPRODUCT(X199:X204,AB191:AB196)</f>
        <v>1.0000000000000036</v>
      </c>
      <c r="Z203" s="64">
        <f>TINV(0.05,AA199)</f>
        <v>2.07961384472768</v>
      </c>
      <c r="AA203" s="64">
        <f>SUMPRODUCT(X199:X204,Y199:Y204)</f>
        <v>136.5519000000003</v>
      </c>
      <c r="AB203" s="71"/>
      <c r="AC203" s="71"/>
      <c r="AD203" s="46"/>
      <c r="AE203" s="57"/>
      <c r="AF203" s="57"/>
      <c r="AG203" s="227"/>
      <c r="AH203" s="227"/>
      <c r="AI203" s="441"/>
      <c r="AJ203" s="441"/>
      <c r="AK203" s="441"/>
      <c r="AL203" s="441"/>
      <c r="AM203" s="394"/>
      <c r="AN203" s="390"/>
      <c r="AO203" s="390"/>
      <c r="AP203" s="227"/>
      <c r="AQ203" s="227"/>
      <c r="AR203" s="227"/>
      <c r="AS203" s="227"/>
      <c r="AT203" s="227"/>
      <c r="AU203" s="227"/>
      <c r="AV203" s="227"/>
      <c r="AW203" s="227"/>
      <c r="AX203" s="227"/>
      <c r="AY203" s="390"/>
      <c r="AZ203" s="390"/>
      <c r="BA203" s="390"/>
      <c r="BB203" s="390"/>
      <c r="BC203" s="227"/>
      <c r="BD203" s="439"/>
      <c r="BE203" s="227"/>
      <c r="BF203" s="227"/>
      <c r="BG203" s="227"/>
      <c r="BH203" s="227"/>
      <c r="BI203" s="227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440"/>
      <c r="BU203" s="368"/>
      <c r="BV203" s="391"/>
      <c r="BW203" s="112"/>
      <c r="BX203" s="112"/>
      <c r="BY203" s="108"/>
      <c r="BZ203" s="108"/>
      <c r="CA203" s="108"/>
      <c r="CB203" s="108"/>
      <c r="CC203" s="108"/>
      <c r="CD203" s="108"/>
      <c r="CE203" s="108"/>
      <c r="CF203" s="108"/>
      <c r="CG203" s="108"/>
      <c r="CH203" s="108"/>
      <c r="CI203" s="108"/>
      <c r="CJ203" s="108"/>
      <c r="CK203" s="108"/>
      <c r="CL203" s="108"/>
      <c r="CM203" s="108"/>
      <c r="CN203" s="108"/>
      <c r="CO203" s="108"/>
      <c r="CP203" s="118"/>
      <c r="CQ203" s="118"/>
      <c r="CR203" s="108"/>
      <c r="CS203" s="108"/>
      <c r="CT203" s="108"/>
      <c r="CU203" s="108"/>
      <c r="CV203" s="108"/>
      <c r="CW203" s="108"/>
      <c r="CX203" s="108"/>
      <c r="CY203" s="108"/>
      <c r="CZ203" s="108"/>
      <c r="DA203" s="106"/>
      <c r="DB203" s="281"/>
    </row>
    <row r="204" spans="2:106" ht="18" customHeigh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 s="80"/>
      <c r="Q204" s="80"/>
      <c r="R204" s="80"/>
      <c r="S204" s="80"/>
      <c r="T204" s="487"/>
      <c r="U204" s="103"/>
      <c r="V204" s="487"/>
      <c r="W204" s="80"/>
      <c r="X204" s="65">
        <f>SUMPRODUCT(zeroY,M181:M192)</f>
        <v>27.6</v>
      </c>
      <c r="Y204" s="65">
        <f>SUMPRODUCT(X199:X204,AC191:AC196)</f>
        <v>-4.9999999999998934E-2</v>
      </c>
      <c r="Z204" s="71"/>
      <c r="AA204" s="71"/>
      <c r="AB204" s="71"/>
      <c r="AC204" s="71"/>
      <c r="AD204" s="46"/>
      <c r="AE204" s="57"/>
      <c r="AF204" s="57"/>
      <c r="AG204" s="227"/>
      <c r="AH204" s="227"/>
      <c r="AI204" s="441"/>
      <c r="AJ204" s="441"/>
      <c r="AK204" s="441"/>
      <c r="AL204" s="441"/>
      <c r="AM204" s="394"/>
      <c r="AN204" s="390"/>
      <c r="AO204" s="390"/>
      <c r="AP204" s="227"/>
      <c r="AQ204" s="227"/>
      <c r="AR204" s="227"/>
      <c r="AS204" s="227"/>
      <c r="AT204" s="227"/>
      <c r="AU204" s="227"/>
      <c r="AV204" s="227"/>
      <c r="AW204" s="227"/>
      <c r="AX204" s="227"/>
      <c r="AY204" s="390"/>
      <c r="AZ204" s="390"/>
      <c r="BA204" s="390"/>
      <c r="BB204" s="390"/>
      <c r="BC204" s="227"/>
      <c r="BD204" s="439"/>
      <c r="BE204" s="227"/>
      <c r="BF204" s="227"/>
      <c r="BG204" s="227"/>
      <c r="BH204" s="227"/>
      <c r="BI204" s="227"/>
      <c r="BJ204" s="391"/>
      <c r="BK204" s="391"/>
      <c r="BL204" s="391"/>
      <c r="BM204" s="391"/>
      <c r="BN204" s="391"/>
      <c r="BO204" s="391"/>
      <c r="BP204" s="391"/>
      <c r="BQ204" s="391"/>
      <c r="BR204" s="391"/>
      <c r="BS204" s="391"/>
      <c r="BT204" s="391"/>
      <c r="BU204" s="368"/>
      <c r="BV204" s="391"/>
      <c r="BW204" s="112"/>
      <c r="BX204" s="112"/>
      <c r="BY204" s="108"/>
      <c r="BZ204" s="108"/>
      <c r="CA204" s="108"/>
      <c r="CB204" s="108"/>
      <c r="CC204" s="108"/>
      <c r="CD204" s="108"/>
      <c r="CE204" s="108"/>
      <c r="CF204" s="108"/>
      <c r="CG204" s="108"/>
      <c r="CH204" s="108"/>
      <c r="CI204" s="108"/>
      <c r="CJ204" s="108"/>
      <c r="CK204" s="108"/>
      <c r="CL204" s="108"/>
      <c r="CM204" s="108"/>
      <c r="CN204" s="108"/>
      <c r="CO204" s="108"/>
      <c r="CP204" s="118"/>
      <c r="CQ204" s="118"/>
      <c r="CR204" s="108"/>
      <c r="CS204" s="108"/>
      <c r="CT204" s="108"/>
      <c r="CU204" s="108"/>
      <c r="CV204" s="108"/>
      <c r="CW204" s="108"/>
      <c r="CX204" s="108"/>
      <c r="CY204" s="108"/>
      <c r="CZ204" s="108"/>
      <c r="DA204" s="106"/>
      <c r="DB204" s="281"/>
    </row>
    <row r="205" spans="2:106" ht="18" customHeight="1" x14ac:dyDescent="0.25">
      <c r="B205" s="2" t="s">
        <v>271</v>
      </c>
      <c r="C205"/>
      <c r="D205"/>
      <c r="E205"/>
      <c r="F205"/>
      <c r="G205"/>
      <c r="H205"/>
      <c r="I205"/>
      <c r="J205"/>
      <c r="K205"/>
      <c r="L205"/>
      <c r="M205"/>
      <c r="N205"/>
      <c r="O205"/>
      <c r="P205" s="81"/>
      <c r="Q205" s="81"/>
      <c r="R205" s="81"/>
      <c r="S205" s="81"/>
      <c r="T205" s="487"/>
      <c r="U205" s="103"/>
      <c r="V205" s="487"/>
      <c r="W205" s="80"/>
      <c r="X205" s="46"/>
      <c r="Y205" s="46"/>
      <c r="Z205" s="71"/>
      <c r="AA205" s="71"/>
      <c r="AB205" s="71"/>
      <c r="AC205" s="71"/>
      <c r="AD205" s="410"/>
      <c r="AE205" s="57"/>
      <c r="AF205" s="48"/>
      <c r="AG205" s="227"/>
      <c r="AH205" s="227"/>
      <c r="AI205" s="441"/>
      <c r="AJ205" s="441"/>
      <c r="AK205" s="441"/>
      <c r="AL205" s="443"/>
      <c r="AM205" s="443"/>
      <c r="AN205" s="390"/>
      <c r="AO205" s="390"/>
      <c r="AP205" s="227"/>
      <c r="AQ205" s="227"/>
      <c r="AR205" s="227"/>
      <c r="AS205" s="227"/>
      <c r="AT205" s="227"/>
      <c r="AU205" s="227"/>
      <c r="AV205" s="227"/>
      <c r="AW205" s="227"/>
      <c r="AX205" s="227"/>
      <c r="AY205" s="390"/>
      <c r="AZ205" s="390"/>
      <c r="BA205" s="390"/>
      <c r="BB205" s="390"/>
      <c r="BC205" s="227"/>
      <c r="BD205" s="439"/>
      <c r="BE205" s="227"/>
      <c r="BF205" s="227"/>
      <c r="BG205" s="227"/>
      <c r="BH205" s="227"/>
      <c r="BI205" s="227"/>
      <c r="BJ205" s="444"/>
      <c r="BK205" s="444"/>
      <c r="BL205" s="126"/>
      <c r="BM205" s="126"/>
      <c r="BN205" s="444"/>
      <c r="BO205" s="444"/>
      <c r="BP205" s="397"/>
      <c r="BQ205" s="391"/>
      <c r="BR205" s="391"/>
      <c r="BS205" s="391"/>
      <c r="BT205" s="391"/>
      <c r="BU205" s="368"/>
      <c r="BV205" s="391"/>
      <c r="BW205" s="112"/>
      <c r="BX205" s="112"/>
      <c r="BY205" s="108"/>
      <c r="BZ205" s="108"/>
      <c r="CA205" s="108"/>
      <c r="CB205" s="108"/>
      <c r="CC205" s="108"/>
      <c r="CD205" s="108"/>
      <c r="CE205" s="108"/>
      <c r="CF205" s="108"/>
      <c r="CG205" s="108"/>
      <c r="CH205" s="108"/>
      <c r="CI205" s="108"/>
      <c r="CJ205" s="108"/>
      <c r="CK205" s="108"/>
      <c r="CL205" s="108"/>
      <c r="CM205" s="108"/>
      <c r="CN205" s="108"/>
      <c r="CO205" s="108"/>
      <c r="CP205" s="118"/>
      <c r="CQ205" s="118"/>
      <c r="CR205" s="108"/>
      <c r="CS205" s="108"/>
      <c r="CT205" s="108"/>
      <c r="CU205" s="108"/>
      <c r="CV205" s="108"/>
      <c r="CW205" s="108"/>
      <c r="CX205" s="108"/>
      <c r="CY205" s="108"/>
      <c r="CZ205" s="108"/>
      <c r="DA205" s="106"/>
      <c r="DB205" s="281"/>
    </row>
    <row r="206" spans="2:106" ht="18" customHeight="1" x14ac:dyDescent="0.25">
      <c r="B206" s="2" t="s">
        <v>288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  <c r="P206" s="81"/>
      <c r="Q206" s="81"/>
      <c r="R206" s="81"/>
      <c r="S206" s="81"/>
      <c r="T206" s="487"/>
      <c r="U206" s="103"/>
      <c r="V206" s="487"/>
      <c r="W206" s="80"/>
      <c r="X206" s="71" t="s">
        <v>252</v>
      </c>
      <c r="Y206" s="78" t="s">
        <v>253</v>
      </c>
      <c r="Z206" s="49" t="s">
        <v>124</v>
      </c>
      <c r="AA206" s="49" t="s">
        <v>254</v>
      </c>
      <c r="AB206" s="46"/>
      <c r="AC206" s="46"/>
      <c r="AD206" s="410"/>
      <c r="AE206" s="48"/>
      <c r="AF206" s="57"/>
      <c r="AG206" s="227"/>
      <c r="AH206" s="227"/>
      <c r="AI206" s="227"/>
      <c r="AJ206" s="227"/>
      <c r="AK206" s="441"/>
      <c r="AL206" s="227"/>
      <c r="AM206" s="227"/>
      <c r="AN206" s="390"/>
      <c r="AO206" s="390"/>
      <c r="AP206" s="227"/>
      <c r="AQ206" s="227"/>
      <c r="AR206" s="227"/>
      <c r="AS206" s="227"/>
      <c r="AT206" s="227"/>
      <c r="AU206" s="227"/>
      <c r="AV206" s="227"/>
      <c r="AW206" s="227"/>
      <c r="AX206" s="227"/>
      <c r="AY206" s="390"/>
      <c r="AZ206" s="390"/>
      <c r="BA206" s="390"/>
      <c r="BB206" s="390"/>
      <c r="BC206" s="227"/>
      <c r="BD206" s="439"/>
      <c r="BE206" s="227"/>
      <c r="BF206" s="227"/>
      <c r="BG206" s="227"/>
      <c r="BH206" s="227"/>
      <c r="BI206" s="227"/>
      <c r="BJ206" s="112"/>
      <c r="BK206" s="112"/>
      <c r="BL206" s="445"/>
      <c r="BM206" s="112"/>
      <c r="BN206" s="444"/>
      <c r="BO206" s="444"/>
      <c r="BP206" s="391"/>
      <c r="BQ206" s="391"/>
      <c r="BR206" s="391"/>
      <c r="BS206" s="391"/>
      <c r="BT206" s="391"/>
      <c r="BU206" s="368"/>
      <c r="BV206" s="391"/>
      <c r="BW206" s="112"/>
      <c r="BX206" s="112"/>
      <c r="BY206" s="108"/>
      <c r="BZ206" s="108"/>
      <c r="CA206" s="108"/>
      <c r="CB206" s="108"/>
      <c r="CC206" s="108"/>
      <c r="CD206" s="108"/>
      <c r="CE206" s="108"/>
      <c r="CF206" s="108"/>
      <c r="CG206" s="108"/>
      <c r="CH206" s="108"/>
      <c r="CI206" s="108"/>
      <c r="CJ206" s="108"/>
      <c r="CK206" s="108"/>
      <c r="CL206" s="108"/>
      <c r="CM206" s="108"/>
      <c r="CN206" s="108"/>
      <c r="CO206" s="108"/>
      <c r="CP206" s="118"/>
      <c r="CQ206" s="118"/>
      <c r="CR206" s="108"/>
      <c r="CS206" s="108"/>
      <c r="CT206" s="108"/>
      <c r="CU206" s="108"/>
      <c r="CV206" s="108"/>
      <c r="CW206" s="108"/>
      <c r="CX206" s="108"/>
      <c r="CY206" s="108"/>
      <c r="CZ206" s="108"/>
      <c r="DA206" s="106"/>
      <c r="DB206" s="281"/>
    </row>
    <row r="207" spans="2:106" ht="18" customHeight="1" x14ac:dyDescent="0.25">
      <c r="B207" s="2" t="s">
        <v>289</v>
      </c>
      <c r="C207"/>
      <c r="D207"/>
      <c r="E207"/>
      <c r="F207"/>
      <c r="G207"/>
      <c r="H207"/>
      <c r="I207"/>
      <c r="J207"/>
      <c r="K207"/>
      <c r="L207"/>
      <c r="M207"/>
      <c r="N207"/>
      <c r="O207"/>
      <c r="P207" s="81"/>
      <c r="Q207" s="81"/>
      <c r="R207" s="81"/>
      <c r="S207" s="81"/>
      <c r="T207" s="488"/>
      <c r="U207" s="103"/>
      <c r="V207" s="487"/>
      <c r="W207" s="80"/>
      <c r="X207" s="64">
        <f>AA203-(SUM(Y)+SUM(zeroY))^2/(n+nn)</f>
        <v>42.135600000000309</v>
      </c>
      <c r="Y207" s="64">
        <f>Z199-AA203</f>
        <v>1.7999999997186933E-3</v>
      </c>
      <c r="Z207" s="64">
        <f>Y207/AA199</f>
        <v>8.5714285700890151E-5</v>
      </c>
      <c r="AA207" s="64">
        <f>SQRT(Z207)</f>
        <v>9.2582009970020723E-3</v>
      </c>
      <c r="AB207" s="46"/>
      <c r="AC207" s="46"/>
      <c r="AD207" s="410"/>
      <c r="AE207" s="48"/>
      <c r="AF207" s="48"/>
      <c r="AG207" s="227"/>
      <c r="AH207" s="227"/>
      <c r="AI207" s="390"/>
      <c r="AJ207" s="390"/>
      <c r="AK207" s="390"/>
      <c r="AL207" s="227"/>
      <c r="AM207" s="227"/>
      <c r="AN207" s="390"/>
      <c r="AO207" s="390"/>
      <c r="AP207" s="227"/>
      <c r="AQ207" s="227"/>
      <c r="AR207" s="227"/>
      <c r="AS207" s="227"/>
      <c r="AT207" s="227"/>
      <c r="AU207" s="227"/>
      <c r="AV207" s="227"/>
      <c r="AW207" s="227"/>
      <c r="AX207" s="227"/>
      <c r="AY207" s="390"/>
      <c r="AZ207" s="390"/>
      <c r="BA207" s="390"/>
      <c r="BB207" s="390"/>
      <c r="BC207" s="227"/>
      <c r="BD207" s="439"/>
      <c r="BE207" s="227"/>
      <c r="BF207" s="227"/>
      <c r="BG207" s="227"/>
      <c r="BH207" s="227"/>
      <c r="BI207" s="227"/>
      <c r="BJ207" s="112"/>
      <c r="BK207" s="112"/>
      <c r="BL207" s="444"/>
      <c r="BM207" s="444"/>
      <c r="BN207" s="444"/>
      <c r="BO207" s="444"/>
      <c r="BP207" s="397"/>
      <c r="BQ207" s="391"/>
      <c r="BR207" s="391"/>
      <c r="BS207" s="391"/>
      <c r="BT207" s="391"/>
      <c r="BU207" s="112"/>
      <c r="BV207" s="391"/>
      <c r="BW207" s="112"/>
      <c r="BX207" s="112"/>
      <c r="BY207" s="108"/>
      <c r="BZ207" s="108"/>
      <c r="CA207" s="108"/>
      <c r="CB207" s="108"/>
      <c r="CC207" s="108"/>
      <c r="CD207" s="108"/>
      <c r="CE207" s="108"/>
      <c r="CF207" s="108"/>
      <c r="CG207" s="108"/>
      <c r="CH207" s="108"/>
      <c r="CI207" s="108"/>
      <c r="CJ207" s="108"/>
      <c r="CK207" s="108"/>
      <c r="CL207" s="108"/>
      <c r="CM207" s="108"/>
      <c r="CN207" s="108"/>
      <c r="CO207" s="108"/>
      <c r="CP207" s="118"/>
      <c r="CQ207" s="118"/>
      <c r="CR207" s="108"/>
      <c r="CS207" s="108"/>
      <c r="CT207" s="108"/>
      <c r="CU207" s="108"/>
      <c r="CV207" s="108"/>
      <c r="CW207" s="108"/>
      <c r="CX207" s="108"/>
      <c r="CY207" s="108"/>
      <c r="CZ207" s="108"/>
      <c r="DA207" s="106"/>
      <c r="DB207" s="281"/>
    </row>
    <row r="208" spans="2:106" ht="18" customHeight="1" x14ac:dyDescent="0.25">
      <c r="P208" s="81"/>
      <c r="Q208" s="81"/>
      <c r="R208" s="81"/>
      <c r="S208" s="81"/>
      <c r="T208" s="488"/>
      <c r="U208" s="103"/>
      <c r="V208" s="487"/>
      <c r="W208" s="80"/>
      <c r="X208" s="46"/>
      <c r="Y208" s="46"/>
      <c r="Z208" s="46"/>
      <c r="AA208" s="46"/>
      <c r="AB208" s="46"/>
      <c r="AC208" s="46"/>
      <c r="AD208" s="410"/>
      <c r="AE208" s="48"/>
      <c r="AF208" s="48"/>
      <c r="AG208" s="227"/>
      <c r="AH208" s="227"/>
      <c r="AI208" s="390"/>
      <c r="AJ208" s="390"/>
      <c r="AK208" s="390"/>
      <c r="AL208" s="227"/>
      <c r="AM208" s="227"/>
      <c r="AN208" s="390"/>
      <c r="AO208" s="437"/>
      <c r="AP208" s="227"/>
      <c r="AQ208" s="390"/>
      <c r="AR208" s="390"/>
      <c r="AS208" s="390"/>
      <c r="AT208" s="390"/>
      <c r="AU208" s="390"/>
      <c r="AV208" s="390"/>
      <c r="AW208" s="390"/>
      <c r="AX208" s="390"/>
      <c r="AY208" s="390"/>
      <c r="AZ208" s="390"/>
      <c r="BA208" s="390"/>
      <c r="BB208" s="390"/>
      <c r="BC208" s="390"/>
      <c r="BD208" s="446"/>
      <c r="BE208" s="390"/>
      <c r="BF208" s="390"/>
      <c r="BG208" s="390"/>
      <c r="BH208" s="390"/>
      <c r="BI208" s="390"/>
      <c r="BJ208" s="112"/>
      <c r="BK208" s="112"/>
      <c r="BL208" s="444"/>
      <c r="BM208" s="444"/>
      <c r="BN208" s="444"/>
      <c r="BO208" s="444"/>
      <c r="BP208" s="397"/>
      <c r="BQ208" s="391"/>
      <c r="BR208" s="391"/>
      <c r="BS208" s="391"/>
      <c r="BT208" s="447"/>
      <c r="BU208" s="112"/>
      <c r="BV208" s="391"/>
      <c r="BW208" s="391"/>
      <c r="BX208" s="391"/>
      <c r="BY208" s="106"/>
      <c r="BZ208" s="106"/>
      <c r="CA208" s="106"/>
      <c r="CB208" s="106"/>
      <c r="CC208" s="106"/>
      <c r="CD208" s="106"/>
      <c r="CE208" s="106"/>
      <c r="CF208" s="106"/>
      <c r="CG208" s="106"/>
      <c r="CH208" s="106"/>
      <c r="CI208" s="106"/>
      <c r="CJ208" s="106"/>
      <c r="CK208" s="106"/>
      <c r="CL208" s="106"/>
      <c r="CM208" s="106"/>
      <c r="CN208" s="106"/>
      <c r="CO208" s="106"/>
      <c r="CP208" s="106"/>
      <c r="CQ208" s="106"/>
      <c r="CR208" s="106"/>
      <c r="CS208" s="106"/>
      <c r="CT208" s="106"/>
      <c r="CU208" s="106"/>
      <c r="CV208" s="106"/>
      <c r="CW208" s="106"/>
      <c r="CX208" s="106"/>
      <c r="CY208" s="106"/>
      <c r="CZ208" s="106"/>
      <c r="DA208" s="106"/>
      <c r="DB208" s="281"/>
    </row>
    <row r="209" spans="2:106" ht="18" customHeight="1" x14ac:dyDescent="0.25">
      <c r="B209" s="480" t="str">
        <f>IF(p="q",+X228,+P225)</f>
        <v>Coefficients are not significantly different.</v>
      </c>
      <c r="C209" s="481"/>
      <c r="D209" s="481"/>
      <c r="E209" s="481"/>
      <c r="F209" s="481"/>
      <c r="G209" s="481"/>
      <c r="H209" s="482"/>
      <c r="I209" s="464"/>
      <c r="P209" s="81"/>
      <c r="Q209" s="81"/>
      <c r="R209" s="81"/>
      <c r="S209" s="81"/>
      <c r="T209" s="488"/>
      <c r="U209" s="103"/>
      <c r="V209" s="487"/>
      <c r="W209" s="80"/>
      <c r="X209" s="45"/>
      <c r="Y209" s="45"/>
      <c r="Z209" s="45"/>
      <c r="AA209" s="45"/>
      <c r="AB209" s="45"/>
      <c r="AC209" s="45"/>
      <c r="AD209" s="410"/>
      <c r="AE209" s="48"/>
      <c r="AF209" s="48"/>
      <c r="AG209" s="227"/>
      <c r="AH209" s="227"/>
      <c r="AI209" s="441"/>
      <c r="AJ209" s="441"/>
      <c r="AK209" s="441"/>
      <c r="AL209" s="227"/>
      <c r="AM209" s="227"/>
      <c r="AN209" s="390"/>
      <c r="AO209" s="437"/>
      <c r="AP209" s="390"/>
      <c r="AQ209" s="390"/>
      <c r="AR209" s="390"/>
      <c r="AS209" s="227"/>
      <c r="AT209" s="227"/>
      <c r="AU209" s="227"/>
      <c r="AV209" s="227"/>
      <c r="AW209" s="227"/>
      <c r="AX209" s="227"/>
      <c r="AY209" s="390"/>
      <c r="AZ209" s="390"/>
      <c r="BA209" s="390"/>
      <c r="BB209" s="390"/>
      <c r="BC209" s="227"/>
      <c r="BD209" s="439"/>
      <c r="BE209" s="227"/>
      <c r="BF209" s="227"/>
      <c r="BG209" s="227"/>
      <c r="BH209" s="227"/>
      <c r="BI209" s="227"/>
      <c r="BJ209" s="112"/>
      <c r="BK209" s="112"/>
      <c r="BL209" s="444"/>
      <c r="BM209" s="444"/>
      <c r="BN209" s="444"/>
      <c r="BO209" s="448"/>
      <c r="BP209" s="448"/>
      <c r="BQ209" s="391"/>
      <c r="BR209" s="391"/>
      <c r="BS209" s="391"/>
      <c r="BT209" s="447"/>
      <c r="BU209" s="112"/>
      <c r="BV209" s="391"/>
      <c r="BW209" s="112"/>
      <c r="BX209" s="112"/>
      <c r="BY209" s="108"/>
      <c r="BZ209" s="108"/>
      <c r="CA209" s="108"/>
      <c r="CB209" s="108"/>
      <c r="CC209" s="108"/>
      <c r="CD209" s="108"/>
      <c r="CE209" s="108"/>
      <c r="CF209" s="108"/>
      <c r="CG209" s="108"/>
      <c r="CH209" s="108"/>
      <c r="CI209" s="108"/>
      <c r="CJ209" s="108"/>
      <c r="CK209" s="108"/>
      <c r="CL209" s="108"/>
      <c r="CM209" s="108"/>
      <c r="CN209" s="108"/>
      <c r="CO209" s="108"/>
      <c r="CP209" s="118"/>
      <c r="CQ209" s="118"/>
      <c r="CR209" s="108"/>
      <c r="CS209" s="108"/>
      <c r="CT209" s="108"/>
      <c r="CU209" s="108"/>
      <c r="CV209" s="108"/>
      <c r="CW209" s="108"/>
      <c r="CX209" s="108"/>
      <c r="CY209" s="108"/>
      <c r="CZ209" s="108"/>
      <c r="DA209" s="106"/>
      <c r="DB209" s="281"/>
    </row>
    <row r="210" spans="2:106" ht="18" customHeight="1" thickBot="1" x14ac:dyDescent="0.25">
      <c r="B210" s="483" t="str">
        <f>IF(p="q",+X229,+P226)</f>
        <v>Consider including the new data as part of original calibration (Step 1).</v>
      </c>
      <c r="C210" s="484"/>
      <c r="D210" s="484"/>
      <c r="E210" s="484"/>
      <c r="F210" s="484"/>
      <c r="G210" s="484"/>
      <c r="H210" s="485"/>
      <c r="I210" s="464"/>
      <c r="P210" s="80"/>
      <c r="Q210" s="80"/>
      <c r="R210" s="80"/>
      <c r="S210" s="80"/>
      <c r="T210" s="488"/>
      <c r="U210" s="103"/>
      <c r="V210" s="487"/>
      <c r="W210" s="80"/>
      <c r="X210" s="45"/>
      <c r="Y210" s="45"/>
      <c r="Z210" s="45"/>
      <c r="AA210" s="45"/>
      <c r="AB210" s="45"/>
      <c r="AC210" s="45"/>
      <c r="AD210" s="411"/>
      <c r="AE210" s="48"/>
      <c r="AF210" s="48"/>
      <c r="AG210" s="394"/>
      <c r="AH210" s="394"/>
      <c r="AI210" s="441"/>
      <c r="AJ210" s="441"/>
      <c r="AK210" s="441"/>
      <c r="AL210" s="441"/>
      <c r="AM210" s="390"/>
      <c r="AN210" s="390"/>
      <c r="AO210" s="437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  <c r="BG210" s="390"/>
      <c r="BH210" s="390"/>
      <c r="BI210" s="390"/>
      <c r="BJ210" s="112"/>
      <c r="BK210" s="112"/>
      <c r="BL210" s="112"/>
      <c r="BM210" s="112"/>
      <c r="BN210" s="444"/>
      <c r="BO210" s="112"/>
      <c r="BP210" s="112"/>
      <c r="BQ210" s="391"/>
      <c r="BR210" s="391"/>
      <c r="BS210" s="391"/>
      <c r="BT210" s="447"/>
      <c r="BU210" s="391"/>
      <c r="BV210" s="391"/>
      <c r="BW210" s="391"/>
      <c r="BX210" s="391"/>
      <c r="BY210" s="106"/>
      <c r="BZ210" s="106"/>
      <c r="CA210" s="106"/>
      <c r="CB210" s="106"/>
      <c r="CC210" s="106"/>
      <c r="CD210" s="106"/>
      <c r="CE210" s="106"/>
      <c r="CF210" s="106"/>
      <c r="CG210" s="106"/>
      <c r="CH210" s="106"/>
      <c r="CI210" s="106"/>
      <c r="CJ210" s="106"/>
      <c r="CK210" s="106"/>
      <c r="CL210" s="106"/>
      <c r="CM210" s="106"/>
      <c r="CN210" s="106"/>
      <c r="CO210" s="106"/>
      <c r="CP210" s="106"/>
      <c r="CQ210" s="106"/>
      <c r="CR210" s="106"/>
      <c r="CS210" s="106"/>
      <c r="CT210" s="106"/>
      <c r="CU210" s="106"/>
      <c r="CV210" s="106"/>
      <c r="CW210" s="106"/>
      <c r="CX210" s="106"/>
      <c r="CY210" s="106"/>
      <c r="CZ210" s="106"/>
      <c r="DA210" s="106"/>
      <c r="DB210" s="281"/>
    </row>
    <row r="211" spans="2:106" ht="18" customHeight="1" thickTop="1" thickBot="1" x14ac:dyDescent="0.3">
      <c r="P211" s="29" t="s">
        <v>237</v>
      </c>
      <c r="Q211" s="81"/>
      <c r="R211" s="276" t="s">
        <v>238</v>
      </c>
      <c r="S211" s="80"/>
      <c r="T211" s="80"/>
      <c r="U211" s="80"/>
      <c r="V211" s="80"/>
      <c r="W211" s="80"/>
      <c r="X211" s="489" t="s">
        <v>237</v>
      </c>
      <c r="Y211" s="45"/>
      <c r="Z211" s="279" t="s">
        <v>238</v>
      </c>
      <c r="AA211" s="45"/>
      <c r="AB211" s="45"/>
      <c r="AC211" s="45"/>
      <c r="AD211" s="45"/>
      <c r="AE211" s="45"/>
      <c r="AF211" s="45"/>
      <c r="AG211" s="441"/>
      <c r="AH211" s="443"/>
      <c r="AI211" s="311"/>
      <c r="AJ211" s="311"/>
      <c r="AK211" s="394"/>
      <c r="AL211" s="394"/>
      <c r="AM211" s="390"/>
      <c r="AN211" s="390"/>
      <c r="AO211" s="437"/>
      <c r="AP211" s="390"/>
      <c r="AQ211" s="44"/>
      <c r="AR211" s="390"/>
      <c r="AS211" s="390"/>
      <c r="AT211" s="390"/>
      <c r="AU211" s="390"/>
      <c r="AV211" s="390"/>
      <c r="AW211" s="390"/>
      <c r="AX211" s="390"/>
      <c r="AY211" s="390"/>
      <c r="AZ211" s="390"/>
      <c r="BA211" s="390"/>
      <c r="BB211" s="390"/>
      <c r="BC211" s="390"/>
      <c r="BD211" s="390"/>
      <c r="BE211" s="390"/>
      <c r="BF211" s="390"/>
      <c r="BG211" s="390"/>
      <c r="BH211" s="390"/>
      <c r="BI211" s="390"/>
      <c r="BJ211" s="112"/>
      <c r="BK211" s="112"/>
      <c r="BL211" s="391"/>
      <c r="BM211" s="391"/>
      <c r="BN211" s="391"/>
      <c r="BO211" s="112"/>
      <c r="BP211" s="112"/>
      <c r="BQ211" s="391"/>
      <c r="BR211" s="391"/>
      <c r="BS211" s="391"/>
      <c r="BT211" s="447"/>
      <c r="BU211" s="391"/>
      <c r="BV211" s="391"/>
      <c r="BW211" s="391"/>
      <c r="BX211" s="391"/>
      <c r="BY211" s="106"/>
      <c r="BZ211" s="106"/>
      <c r="CA211" s="106"/>
      <c r="CB211" s="106"/>
      <c r="CC211" s="106"/>
      <c r="CD211" s="106"/>
      <c r="CE211" s="106"/>
      <c r="CF211" s="106"/>
      <c r="CG211" s="106"/>
      <c r="CH211" s="106"/>
      <c r="CI211" s="106"/>
      <c r="CJ211" s="106"/>
      <c r="CK211" s="106"/>
      <c r="CL211" s="106"/>
      <c r="CM211" s="106"/>
      <c r="CN211" s="106"/>
      <c r="CO211" s="106"/>
      <c r="CP211" s="106"/>
      <c r="CQ211" s="106"/>
      <c r="CR211" s="106"/>
      <c r="CS211" s="106"/>
      <c r="CT211" s="106"/>
      <c r="CU211" s="106"/>
      <c r="CV211" s="106"/>
      <c r="CW211" s="106"/>
      <c r="CX211" s="106"/>
      <c r="CY211" s="106"/>
      <c r="CZ211" s="106"/>
      <c r="DA211" s="106"/>
      <c r="DB211" s="281"/>
    </row>
    <row r="212" spans="2:106" ht="18" customHeight="1" thickTop="1" thickBot="1" x14ac:dyDescent="0.3">
      <c r="P212" s="477"/>
      <c r="Q212" s="80"/>
      <c r="R212" s="276" t="s">
        <v>239</v>
      </c>
      <c r="S212" s="81"/>
      <c r="T212" s="81"/>
      <c r="U212" s="81"/>
      <c r="V212" s="81"/>
      <c r="W212" s="81"/>
      <c r="X212" s="45"/>
      <c r="Y212" s="45"/>
      <c r="Z212" s="279" t="s">
        <v>239</v>
      </c>
      <c r="AA212" s="45"/>
      <c r="AB212" s="45"/>
      <c r="AC212" s="45"/>
      <c r="AD212" s="45"/>
      <c r="AE212" s="45"/>
      <c r="AF212" s="45"/>
      <c r="AG212" s="227"/>
      <c r="AH212" s="227"/>
      <c r="AI212" s="227"/>
      <c r="AJ212" s="227"/>
      <c r="AK212" s="394"/>
      <c r="AL212" s="394"/>
      <c r="AM212" s="390"/>
      <c r="AN212" s="390"/>
      <c r="AO212" s="437"/>
      <c r="AP212" s="390"/>
      <c r="AQ212" s="44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  <c r="BG212" s="390"/>
      <c r="BH212" s="390"/>
      <c r="BI212" s="390"/>
      <c r="BJ212" s="112"/>
      <c r="BK212" s="112"/>
      <c r="BL212" s="391"/>
      <c r="BM212" s="391"/>
      <c r="BN212" s="391"/>
      <c r="BO212" s="112"/>
      <c r="BP212" s="112"/>
      <c r="BQ212" s="391"/>
      <c r="BR212" s="391"/>
      <c r="BS212" s="391"/>
      <c r="BT212" s="447"/>
      <c r="BU212" s="391"/>
      <c r="BV212" s="391"/>
      <c r="BW212" s="391"/>
      <c r="BX212" s="391"/>
      <c r="BY212" s="106"/>
      <c r="BZ212" s="106"/>
      <c r="CA212" s="106"/>
      <c r="CB212" s="106"/>
      <c r="CC212" s="106"/>
      <c r="CD212" s="106"/>
      <c r="CE212" s="106"/>
      <c r="CF212" s="106"/>
      <c r="CG212" s="106"/>
      <c r="CH212" s="106"/>
      <c r="CI212" s="106"/>
      <c r="CJ212" s="106"/>
      <c r="CK212" s="106"/>
      <c r="CL212" s="106"/>
      <c r="CM212" s="106"/>
      <c r="CN212" s="106"/>
      <c r="CO212" s="106"/>
      <c r="CP212" s="106"/>
      <c r="CQ212" s="106"/>
      <c r="CR212" s="106"/>
      <c r="CS212" s="106"/>
      <c r="CT212" s="106"/>
      <c r="CU212" s="106"/>
      <c r="CV212" s="106"/>
      <c r="CW212" s="106"/>
      <c r="CX212" s="106"/>
      <c r="CY212" s="106"/>
      <c r="CZ212" s="106"/>
      <c r="DA212" s="106"/>
      <c r="DB212" s="281"/>
    </row>
    <row r="213" spans="2:106" ht="18" customHeight="1" thickTop="1" thickBot="1" x14ac:dyDescent="0.3">
      <c r="B213" s="29" t="s">
        <v>237</v>
      </c>
      <c r="C213" s="2" t="s">
        <v>267</v>
      </c>
      <c r="P213" s="82" t="s">
        <v>92</v>
      </c>
      <c r="Q213" s="80"/>
      <c r="R213" s="81"/>
      <c r="S213" s="81"/>
      <c r="T213" s="81"/>
      <c r="U213" s="81"/>
      <c r="V213" s="80"/>
      <c r="W213" s="80"/>
      <c r="X213" s="47" t="s">
        <v>93</v>
      </c>
      <c r="Y213" s="45"/>
      <c r="Z213" s="45"/>
      <c r="AA213" s="45"/>
      <c r="AB213" s="45"/>
      <c r="AC213" s="45"/>
      <c r="AD213" s="45"/>
      <c r="AE213" s="45"/>
      <c r="AF213" s="45"/>
      <c r="AG213" s="394"/>
      <c r="AH213" s="394"/>
      <c r="AI213" s="394"/>
      <c r="AJ213" s="394"/>
      <c r="AK213" s="394"/>
      <c r="AL213" s="394"/>
      <c r="AM213" s="390"/>
      <c r="AN213" s="390"/>
      <c r="AO213" s="438"/>
      <c r="AP213" s="44"/>
      <c r="AQ213" s="44"/>
      <c r="AR213" s="44"/>
      <c r="AS213" s="390"/>
      <c r="AT213" s="390"/>
      <c r="AU213" s="390"/>
      <c r="AV213" s="390"/>
      <c r="AW213" s="390"/>
      <c r="AX213" s="390"/>
      <c r="AY213" s="390"/>
      <c r="AZ213" s="390"/>
      <c r="BA213" s="390"/>
      <c r="BB213" s="390"/>
      <c r="BC213" s="390"/>
      <c r="BD213" s="390"/>
      <c r="BE213" s="390"/>
      <c r="BF213" s="390"/>
      <c r="BG213" s="390"/>
      <c r="BH213" s="390"/>
      <c r="BI213" s="390"/>
      <c r="BJ213" s="112"/>
      <c r="BK213" s="112"/>
      <c r="BL213" s="444"/>
      <c r="BM213" s="444"/>
      <c r="BN213" s="444"/>
      <c r="BO213" s="112"/>
      <c r="BP213" s="112"/>
      <c r="BQ213" s="391"/>
      <c r="BR213" s="391"/>
      <c r="BS213" s="391"/>
      <c r="BT213" s="449"/>
      <c r="BU213" s="391"/>
      <c r="BV213" s="391"/>
      <c r="BW213" s="391"/>
      <c r="BX213" s="391"/>
      <c r="BY213" s="106"/>
      <c r="BZ213" s="106"/>
      <c r="CA213" s="106"/>
      <c r="CB213" s="106"/>
      <c r="CC213" s="106"/>
      <c r="CD213" s="106"/>
      <c r="CE213" s="106"/>
      <c r="CF213" s="106"/>
      <c r="CG213" s="106"/>
      <c r="CH213" s="106"/>
      <c r="CI213" s="106"/>
      <c r="CJ213" s="106"/>
      <c r="CK213" s="106"/>
      <c r="CL213" s="106"/>
      <c r="CM213" s="106"/>
      <c r="CN213" s="106"/>
      <c r="CO213" s="106"/>
      <c r="CP213" s="106"/>
      <c r="CQ213" s="106"/>
      <c r="CR213" s="106"/>
      <c r="CS213" s="106"/>
      <c r="CT213" s="106"/>
      <c r="CU213" s="106"/>
      <c r="CV213" s="106"/>
      <c r="CW213" s="106"/>
      <c r="CX213" s="106"/>
      <c r="CY213" s="106"/>
      <c r="CZ213" s="106"/>
      <c r="DA213" s="106"/>
      <c r="DB213" s="281"/>
    </row>
    <row r="214" spans="2:106" ht="18" customHeight="1" thickTop="1" thickBot="1" x14ac:dyDescent="0.3">
      <c r="B214" s="486"/>
      <c r="P214" s="80"/>
      <c r="Q214" s="80"/>
      <c r="R214" s="81"/>
      <c r="S214" s="81"/>
      <c r="T214" s="81"/>
      <c r="U214" s="81"/>
      <c r="V214" s="80"/>
      <c r="W214" s="80"/>
      <c r="X214" s="45"/>
      <c r="Y214" s="45"/>
      <c r="Z214" s="45"/>
      <c r="AA214" s="45"/>
      <c r="AB214" s="45"/>
      <c r="AC214" s="45"/>
      <c r="AD214" s="45"/>
      <c r="AE214" s="45"/>
      <c r="AF214" s="45"/>
      <c r="AG214" s="390"/>
      <c r="AH214" s="390"/>
      <c r="AI214" s="390"/>
      <c r="AJ214" s="390"/>
      <c r="AK214" s="390"/>
      <c r="AL214" s="390"/>
      <c r="AM214" s="390"/>
      <c r="AN214" s="390"/>
      <c r="AO214" s="437"/>
      <c r="AP214" s="44"/>
      <c r="AQ214" s="44"/>
      <c r="AR214" s="44"/>
      <c r="AS214" s="390"/>
      <c r="AT214" s="390"/>
      <c r="AU214" s="390"/>
      <c r="AV214" s="390"/>
      <c r="AW214" s="390"/>
      <c r="AX214" s="390"/>
      <c r="AY214" s="390"/>
      <c r="AZ214" s="390"/>
      <c r="BA214" s="390"/>
      <c r="BB214" s="390"/>
      <c r="BC214" s="390"/>
      <c r="BD214" s="390"/>
      <c r="BE214" s="390"/>
      <c r="BF214" s="390"/>
      <c r="BG214" s="390"/>
      <c r="BH214" s="390"/>
      <c r="BI214" s="450"/>
      <c r="BJ214" s="112"/>
      <c r="BK214" s="112"/>
      <c r="BL214" s="444"/>
      <c r="BM214" s="444"/>
      <c r="BN214" s="444"/>
      <c r="BO214" s="112"/>
      <c r="BP214" s="112"/>
      <c r="BQ214" s="391"/>
      <c r="BR214" s="391"/>
      <c r="BS214" s="391"/>
      <c r="BT214" s="447"/>
      <c r="BU214" s="391"/>
      <c r="BV214" s="391"/>
      <c r="BW214" s="391"/>
      <c r="BX214" s="391"/>
      <c r="BY214" s="106"/>
      <c r="BZ214" s="106"/>
      <c r="CA214" s="106"/>
      <c r="CB214" s="106"/>
      <c r="CC214" s="106"/>
      <c r="CD214" s="106"/>
      <c r="CE214" s="106"/>
      <c r="CF214" s="106"/>
      <c r="CG214" s="106"/>
      <c r="CH214" s="106"/>
      <c r="CI214" s="106"/>
      <c r="CJ214" s="106"/>
      <c r="CK214" s="106"/>
      <c r="CL214" s="106"/>
      <c r="CM214" s="106"/>
      <c r="CN214" s="106"/>
      <c r="CO214" s="106"/>
      <c r="CP214" s="106"/>
      <c r="CQ214" s="106"/>
      <c r="CR214" s="106"/>
      <c r="CS214" s="106"/>
      <c r="CT214" s="106"/>
      <c r="CU214" s="106"/>
      <c r="CV214" s="106"/>
      <c r="CW214" s="106"/>
      <c r="CX214" s="106"/>
      <c r="CY214" s="106"/>
      <c r="CZ214" s="106"/>
      <c r="DA214" s="106"/>
      <c r="DB214" s="281"/>
    </row>
    <row r="215" spans="2:106" ht="18" customHeight="1" thickTop="1" thickBot="1" x14ac:dyDescent="0.25">
      <c r="C215" s="4" t="s">
        <v>224</v>
      </c>
      <c r="D215" s="12">
        <v>0.1</v>
      </c>
      <c r="P215" s="80" t="s">
        <v>126</v>
      </c>
      <c r="Q215" s="80"/>
      <c r="R215" s="81"/>
      <c r="S215" s="81"/>
      <c r="T215" s="81"/>
      <c r="U215" s="81"/>
      <c r="V215" s="80"/>
      <c r="W215" s="80"/>
      <c r="X215" s="46" t="s">
        <v>126</v>
      </c>
      <c r="Y215" s="46"/>
      <c r="Z215" s="46"/>
      <c r="AA215" s="46"/>
      <c r="AB215" s="46"/>
      <c r="AC215" s="46"/>
      <c r="AD215" s="46"/>
      <c r="AE215" s="46"/>
      <c r="AF215" s="45"/>
      <c r="AG215" s="390"/>
      <c r="AH215" s="390"/>
      <c r="AI215" s="390"/>
      <c r="AJ215" s="390"/>
      <c r="AK215" s="390"/>
      <c r="AL215" s="390"/>
      <c r="AM215" s="390"/>
      <c r="AN215" s="390"/>
      <c r="AO215" s="451"/>
      <c r="AP215" s="44"/>
      <c r="AQ215" s="44"/>
      <c r="AR215" s="44"/>
      <c r="AS215" s="390"/>
      <c r="AT215" s="390"/>
      <c r="AU215" s="390"/>
      <c r="AV215" s="390"/>
      <c r="AW215" s="390"/>
      <c r="AX215" s="390"/>
      <c r="AY215" s="390"/>
      <c r="AZ215" s="390"/>
      <c r="BA215" s="390"/>
      <c r="BB215" s="390"/>
      <c r="BC215" s="390"/>
      <c r="BD215" s="390"/>
      <c r="BE215" s="390"/>
      <c r="BF215" s="390"/>
      <c r="BG215" s="390"/>
      <c r="BH215" s="390"/>
      <c r="BI215" s="390"/>
      <c r="BJ215" s="112"/>
      <c r="BK215" s="112"/>
      <c r="BL215" s="391"/>
      <c r="BM215" s="391"/>
      <c r="BN215" s="397"/>
      <c r="BO215" s="397"/>
      <c r="BP215" s="391"/>
      <c r="BQ215" s="391"/>
      <c r="BR215" s="391"/>
      <c r="BS215" s="391"/>
      <c r="BT215" s="452"/>
      <c r="BU215" s="391"/>
      <c r="BV215" s="391"/>
      <c r="BW215" s="391"/>
      <c r="BX215" s="391"/>
      <c r="BY215" s="106"/>
      <c r="BZ215" s="106"/>
      <c r="CA215" s="106"/>
      <c r="CB215" s="106"/>
      <c r="CC215" s="106"/>
      <c r="CD215" s="106"/>
      <c r="CE215" s="106"/>
      <c r="CF215" s="106"/>
      <c r="CG215" s="106"/>
      <c r="CH215" s="106"/>
      <c r="CI215" s="106"/>
      <c r="CJ215" s="106"/>
      <c r="CK215" s="106"/>
      <c r="CL215" s="106"/>
      <c r="CM215" s="106"/>
      <c r="CN215" s="106"/>
      <c r="CO215" s="106"/>
      <c r="CP215" s="106"/>
      <c r="CQ215" s="106"/>
      <c r="CR215" s="106"/>
      <c r="CS215" s="106"/>
      <c r="CT215" s="106"/>
      <c r="CU215" s="106"/>
      <c r="CV215" s="106"/>
      <c r="CW215" s="106"/>
      <c r="CX215" s="106"/>
      <c r="CY215" s="106"/>
      <c r="CZ215" s="106"/>
      <c r="DA215" s="106"/>
      <c r="DB215" s="281"/>
    </row>
    <row r="216" spans="2:106" ht="18" customHeight="1" thickTop="1" x14ac:dyDescent="0.25">
      <c r="B216"/>
      <c r="C216"/>
      <c r="D216"/>
      <c r="E216"/>
      <c r="F216"/>
      <c r="G216"/>
      <c r="P216" s="84">
        <f t="shared" ref="P216:S217" si="15">$R$203*P190</f>
        <v>2.177225672877627E-3</v>
      </c>
      <c r="Q216" s="403">
        <f t="shared" si="15"/>
        <v>-5.9378881987571651E-4</v>
      </c>
      <c r="R216" s="403">
        <f t="shared" si="15"/>
        <v>0</v>
      </c>
      <c r="S216" s="85">
        <f t="shared" si="15"/>
        <v>0</v>
      </c>
      <c r="T216" s="81"/>
      <c r="U216" s="81"/>
      <c r="V216" s="80"/>
      <c r="W216" s="80"/>
      <c r="X216" s="51">
        <f t="shared" ref="X216:AC216" si="16">$Z$207*X191</f>
        <v>2.3469387751434211E-5</v>
      </c>
      <c r="Y216" s="52">
        <f t="shared" si="16"/>
        <v>-1.6836734691246282E-5</v>
      </c>
      <c r="Z216" s="52">
        <f t="shared" si="16"/>
        <v>2.5510204077645881E-6</v>
      </c>
      <c r="AA216" s="52">
        <f t="shared" si="16"/>
        <v>0</v>
      </c>
      <c r="AB216" s="52">
        <f t="shared" si="16"/>
        <v>0</v>
      </c>
      <c r="AC216" s="53">
        <f t="shared" si="16"/>
        <v>0</v>
      </c>
      <c r="AD216" s="46"/>
      <c r="AE216" s="46"/>
      <c r="AF216" s="45"/>
      <c r="AG216" s="453"/>
      <c r="AH216" s="390"/>
      <c r="AI216" s="390"/>
      <c r="AJ216" s="390"/>
      <c r="AK216" s="390"/>
      <c r="AL216" s="390"/>
      <c r="AM216" s="390"/>
      <c r="AN216" s="390"/>
      <c r="AO216" s="227"/>
      <c r="AP216" s="44"/>
      <c r="AQ216" s="44"/>
      <c r="AR216" s="44"/>
      <c r="AS216" s="390"/>
      <c r="AT216" s="390"/>
      <c r="AU216" s="390"/>
      <c r="AV216" s="390"/>
      <c r="AW216" s="390"/>
      <c r="AX216" s="390"/>
      <c r="AY216" s="390"/>
      <c r="AZ216" s="390"/>
      <c r="BA216" s="390"/>
      <c r="BB216" s="390"/>
      <c r="BC216" s="390"/>
      <c r="BD216" s="390"/>
      <c r="BE216" s="390"/>
      <c r="BF216" s="390"/>
      <c r="BG216" s="390"/>
      <c r="BH216" s="390"/>
      <c r="BI216" s="390"/>
      <c r="BJ216" s="391"/>
      <c r="BK216" s="391"/>
      <c r="BL216" s="391"/>
      <c r="BM216" s="391"/>
      <c r="BN216" s="397"/>
      <c r="BO216" s="397"/>
      <c r="BP216" s="391"/>
      <c r="BQ216" s="391"/>
      <c r="BR216" s="391"/>
      <c r="BS216" s="391"/>
      <c r="BT216" s="112"/>
      <c r="BU216" s="397"/>
      <c r="BV216" s="397"/>
      <c r="BW216" s="391"/>
      <c r="BX216" s="391"/>
      <c r="BY216" s="106"/>
      <c r="BZ216" s="106"/>
      <c r="CA216" s="106"/>
      <c r="CB216" s="106"/>
      <c r="CC216" s="106"/>
      <c r="CD216" s="106"/>
      <c r="CE216" s="106"/>
      <c r="CF216" s="106"/>
      <c r="CG216" s="106"/>
      <c r="CH216" s="106"/>
      <c r="CI216" s="106"/>
      <c r="CJ216" s="106"/>
      <c r="CK216" s="106"/>
      <c r="CL216" s="106"/>
      <c r="CM216" s="106"/>
      <c r="CN216" s="106"/>
      <c r="CO216" s="106"/>
      <c r="CP216" s="106"/>
      <c r="CQ216" s="106"/>
      <c r="CR216" s="106"/>
      <c r="CS216" s="106"/>
      <c r="CT216" s="106"/>
      <c r="CU216" s="106"/>
      <c r="CV216" s="106"/>
      <c r="CW216" s="106"/>
      <c r="CX216" s="106"/>
      <c r="CY216" s="106"/>
      <c r="CZ216" s="106"/>
      <c r="DA216" s="106"/>
      <c r="DB216" s="281"/>
    </row>
    <row r="217" spans="2:106" ht="18" customHeight="1" x14ac:dyDescent="0.2">
      <c r="B217" s="2" t="s">
        <v>282</v>
      </c>
      <c r="C217" s="5"/>
      <c r="D217" s="382"/>
      <c r="P217" s="404">
        <f t="shared" si="15"/>
        <v>-5.9378881987571651E-4</v>
      </c>
      <c r="Q217" s="103">
        <f t="shared" si="15"/>
        <v>2.3751552795028664E-4</v>
      </c>
      <c r="R217" s="103">
        <f t="shared" si="15"/>
        <v>0</v>
      </c>
      <c r="S217" s="405">
        <f t="shared" si="15"/>
        <v>0</v>
      </c>
      <c r="T217" s="81"/>
      <c r="U217" s="81"/>
      <c r="V217" s="80"/>
      <c r="W217" s="80"/>
      <c r="X217" s="56">
        <f>$Z$207*X192</f>
        <v>-1.6836734691246282E-5</v>
      </c>
      <c r="Y217" s="57">
        <f t="shared" ref="Y217:AC219" si="17">$Z$207*Y192</f>
        <v>2.0765306119203749E-5</v>
      </c>
      <c r="Z217" s="57">
        <f t="shared" si="17"/>
        <v>-3.8265306116468823E-6</v>
      </c>
      <c r="AA217" s="57">
        <f t="shared" si="17"/>
        <v>0</v>
      </c>
      <c r="AB217" s="57">
        <f t="shared" si="17"/>
        <v>0</v>
      </c>
      <c r="AC217" s="59">
        <f t="shared" si="17"/>
        <v>0</v>
      </c>
      <c r="AD217" s="46"/>
      <c r="AE217" s="46"/>
      <c r="AF217" s="45"/>
      <c r="AG217" s="390"/>
      <c r="AH217" s="390"/>
      <c r="AI217" s="390"/>
      <c r="AJ217" s="390"/>
      <c r="AK217" s="390"/>
      <c r="AL217" s="390"/>
      <c r="AM217" s="390"/>
      <c r="AN217" s="394"/>
      <c r="AO217" s="390"/>
      <c r="AP217" s="44"/>
      <c r="AQ217" s="44"/>
      <c r="AR217" s="44"/>
      <c r="AS217" s="390"/>
      <c r="AT217" s="390"/>
      <c r="AU217" s="390"/>
      <c r="AV217" s="390"/>
      <c r="AW217" s="390"/>
      <c r="AX217" s="390"/>
      <c r="AY217" s="44"/>
      <c r="AZ217" s="44"/>
      <c r="BA217" s="44"/>
      <c r="BB217" s="44"/>
      <c r="BC217" s="390"/>
      <c r="BD217" s="390"/>
      <c r="BE217" s="390"/>
      <c r="BF217" s="390"/>
      <c r="BG217" s="390"/>
      <c r="BH217" s="390"/>
      <c r="BI217" s="390"/>
      <c r="BJ217" s="444"/>
      <c r="BK217" s="448"/>
      <c r="BL217" s="126"/>
      <c r="BM217" s="126"/>
      <c r="BN217" s="397"/>
      <c r="BO217" s="397"/>
      <c r="BP217" s="391"/>
      <c r="BQ217" s="391"/>
      <c r="BR217" s="391"/>
      <c r="BS217" s="391"/>
      <c r="BT217" s="391"/>
      <c r="BU217" s="397"/>
      <c r="BV217" s="397"/>
      <c r="BW217" s="391"/>
      <c r="BX217" s="391"/>
      <c r="BY217" s="106"/>
      <c r="BZ217" s="106"/>
      <c r="CA217" s="106"/>
      <c r="CB217" s="106"/>
      <c r="CC217" s="106"/>
      <c r="CD217" s="106"/>
      <c r="CE217" s="106"/>
      <c r="CF217" s="106"/>
      <c r="CG217" s="106"/>
      <c r="CH217" s="106"/>
      <c r="CI217" s="106"/>
      <c r="CJ217" s="106"/>
      <c r="CK217" s="106"/>
      <c r="CL217" s="106"/>
      <c r="CM217" s="106"/>
      <c r="CN217" s="106"/>
      <c r="CO217" s="106"/>
      <c r="CP217" s="106"/>
      <c r="CQ217" s="106"/>
      <c r="CR217" s="106"/>
      <c r="CS217" s="106"/>
      <c r="CT217" s="106"/>
      <c r="CU217" s="106"/>
      <c r="CV217" s="106"/>
      <c r="CW217" s="106"/>
      <c r="CX217" s="106"/>
      <c r="CY217" s="106"/>
      <c r="CZ217" s="106"/>
      <c r="DA217" s="106"/>
      <c r="DB217" s="281"/>
    </row>
    <row r="218" spans="2:106" ht="18" customHeight="1" x14ac:dyDescent="0.2">
      <c r="B218" s="2" t="s">
        <v>274</v>
      </c>
      <c r="C218" s="5"/>
      <c r="D218" s="382"/>
      <c r="P218" s="404">
        <f t="shared" ref="P218:S219" si="18">$R$203*P192</f>
        <v>0</v>
      </c>
      <c r="Q218" s="103">
        <f t="shared" si="18"/>
        <v>0</v>
      </c>
      <c r="R218" s="103">
        <f t="shared" si="18"/>
        <v>3.4637681159416797E-3</v>
      </c>
      <c r="S218" s="405">
        <f t="shared" si="18"/>
        <v>-2.0782608695650078E-3</v>
      </c>
      <c r="T218" s="81"/>
      <c r="U218" s="81"/>
      <c r="V218" s="81"/>
      <c r="W218" s="80"/>
      <c r="X218" s="56">
        <f>$Z$207*X193</f>
        <v>2.5510204077645881E-6</v>
      </c>
      <c r="Y218" s="57">
        <f t="shared" si="17"/>
        <v>-3.8265306116468823E-6</v>
      </c>
      <c r="Z218" s="57">
        <f t="shared" si="17"/>
        <v>7.6530612232937647E-7</v>
      </c>
      <c r="AA218" s="57">
        <f t="shared" si="17"/>
        <v>0</v>
      </c>
      <c r="AB218" s="57">
        <f t="shared" si="17"/>
        <v>0</v>
      </c>
      <c r="AC218" s="59">
        <f t="shared" si="17"/>
        <v>0</v>
      </c>
      <c r="AD218" s="46"/>
      <c r="AE218" s="46"/>
      <c r="AF218" s="45"/>
      <c r="AG218" s="390"/>
      <c r="AH218" s="390"/>
      <c r="AI218" s="390"/>
      <c r="AJ218" s="390"/>
      <c r="AK218" s="390"/>
      <c r="AL218" s="390"/>
      <c r="AM218" s="390"/>
      <c r="AN218" s="394"/>
      <c r="AO218" s="390"/>
      <c r="AP218" s="44"/>
      <c r="AQ218" s="44"/>
      <c r="AR218" s="44"/>
      <c r="AS218" s="390"/>
      <c r="AT218" s="390"/>
      <c r="AU218" s="390"/>
      <c r="AV218" s="390"/>
      <c r="AW218" s="390"/>
      <c r="AX218" s="390"/>
      <c r="AY218" s="44"/>
      <c r="AZ218" s="44"/>
      <c r="BA218" s="44"/>
      <c r="BB218" s="44"/>
      <c r="BC218" s="390"/>
      <c r="BD218" s="390"/>
      <c r="BE218" s="390"/>
      <c r="BF218" s="390"/>
      <c r="BG218" s="390"/>
      <c r="BH218" s="390"/>
      <c r="BI218" s="390"/>
      <c r="BJ218" s="112"/>
      <c r="BK218" s="112"/>
      <c r="BL218" s="112"/>
      <c r="BM218" s="112"/>
      <c r="BN218" s="391"/>
      <c r="BO218" s="391"/>
      <c r="BP218" s="391"/>
      <c r="BQ218" s="391"/>
      <c r="BR218" s="391"/>
      <c r="BS218" s="391"/>
      <c r="BT218" s="391"/>
      <c r="BU218" s="397"/>
      <c r="BV218" s="397"/>
      <c r="BW218" s="391"/>
      <c r="BX218" s="391"/>
      <c r="BY218" s="106"/>
      <c r="BZ218" s="106"/>
      <c r="CA218" s="106"/>
      <c r="CB218" s="106"/>
      <c r="CC218" s="106"/>
      <c r="CD218" s="106"/>
      <c r="CE218" s="106"/>
      <c r="CF218" s="106"/>
      <c r="CG218" s="106"/>
      <c r="CH218" s="106"/>
      <c r="CI218" s="106"/>
      <c r="CJ218" s="106"/>
      <c r="CK218" s="106"/>
      <c r="CL218" s="106"/>
      <c r="CM218" s="106"/>
      <c r="CN218" s="106"/>
      <c r="CO218" s="106"/>
      <c r="CP218" s="106"/>
      <c r="CQ218" s="106"/>
      <c r="CR218" s="106"/>
      <c r="CS218" s="106"/>
      <c r="CT218" s="106"/>
      <c r="CU218" s="106"/>
      <c r="CV218" s="106"/>
      <c r="CW218" s="106"/>
      <c r="CX218" s="106"/>
      <c r="CY218" s="106"/>
      <c r="CZ218" s="106"/>
      <c r="DA218" s="106"/>
      <c r="DB218" s="281"/>
    </row>
    <row r="219" spans="2:106" ht="18" customHeight="1" x14ac:dyDescent="0.2">
      <c r="C219" s="5"/>
      <c r="D219" s="382"/>
      <c r="P219" s="86">
        <f t="shared" si="18"/>
        <v>0</v>
      </c>
      <c r="Q219" s="104">
        <f t="shared" si="18"/>
        <v>0</v>
      </c>
      <c r="R219" s="104">
        <f t="shared" si="18"/>
        <v>-2.0782608695650078E-3</v>
      </c>
      <c r="S219" s="87">
        <f t="shared" si="18"/>
        <v>2.0782608695650078E-3</v>
      </c>
      <c r="T219" s="81"/>
      <c r="U219" s="81"/>
      <c r="V219" s="80"/>
      <c r="W219" s="81"/>
      <c r="X219" s="56">
        <f>$Z$207*X194</f>
        <v>0</v>
      </c>
      <c r="Y219" s="57">
        <f t="shared" si="17"/>
        <v>0</v>
      </c>
      <c r="Z219" s="57">
        <f t="shared" si="17"/>
        <v>0</v>
      </c>
      <c r="AA219" s="57">
        <f t="shared" si="17"/>
        <v>2.8571428566963396E-5</v>
      </c>
      <c r="AB219" s="57">
        <f t="shared" si="17"/>
        <v>-4.2857142850445096E-5</v>
      </c>
      <c r="AC219" s="59">
        <f t="shared" si="17"/>
        <v>1.4285714283481698E-5</v>
      </c>
      <c r="AD219" s="46"/>
      <c r="AE219" s="46"/>
      <c r="AF219" s="45"/>
      <c r="AG219" s="390"/>
      <c r="AH219" s="390"/>
      <c r="AI219" s="390"/>
      <c r="AJ219" s="390"/>
      <c r="AK219" s="390"/>
      <c r="AL219" s="390"/>
      <c r="AM219" s="390"/>
      <c r="AN219" s="394"/>
      <c r="AO219" s="390"/>
      <c r="AP219" s="44"/>
      <c r="AQ219" s="44"/>
      <c r="AR219" s="44"/>
      <c r="AS219" s="390"/>
      <c r="AT219" s="390"/>
      <c r="AU219" s="390"/>
      <c r="AV219" s="390"/>
      <c r="AW219" s="390"/>
      <c r="AX219" s="390"/>
      <c r="AY219" s="44"/>
      <c r="AZ219" s="44"/>
      <c r="BA219" s="44"/>
      <c r="BB219" s="44"/>
      <c r="BC219" s="390"/>
      <c r="BD219" s="390"/>
      <c r="BE219" s="390"/>
      <c r="BF219" s="390"/>
      <c r="BG219" s="390"/>
      <c r="BH219" s="390"/>
      <c r="BI219" s="390"/>
      <c r="BJ219" s="391"/>
      <c r="BK219" s="391"/>
      <c r="BL219" s="391"/>
      <c r="BM219" s="391"/>
      <c r="BN219" s="391"/>
      <c r="BO219" s="391"/>
      <c r="BP219" s="391"/>
      <c r="BQ219" s="391"/>
      <c r="BR219" s="391"/>
      <c r="BS219" s="391"/>
      <c r="BT219" s="391"/>
      <c r="BU219" s="107"/>
      <c r="BV219" s="107"/>
      <c r="BW219" s="391"/>
      <c r="BX219" s="391"/>
      <c r="BY219" s="106"/>
      <c r="BZ219" s="106"/>
      <c r="CA219" s="106"/>
      <c r="CB219" s="106"/>
      <c r="CC219" s="106"/>
      <c r="CD219" s="106"/>
      <c r="CE219" s="106"/>
      <c r="CF219" s="106"/>
      <c r="CG219" s="106"/>
      <c r="CH219" s="106"/>
      <c r="CI219" s="106"/>
      <c r="CJ219" s="106"/>
      <c r="CK219" s="106"/>
      <c r="CL219" s="106"/>
      <c r="CM219" s="106"/>
      <c r="CN219" s="106"/>
      <c r="CO219" s="106"/>
      <c r="CP219" s="106"/>
      <c r="CQ219" s="106"/>
      <c r="CR219" s="106"/>
      <c r="CS219" s="106"/>
      <c r="CT219" s="106"/>
      <c r="CU219" s="106"/>
      <c r="CV219" s="106"/>
      <c r="CW219" s="106"/>
      <c r="CX219" s="106"/>
      <c r="CY219" s="106"/>
      <c r="CZ219" s="106"/>
      <c r="DA219" s="106"/>
      <c r="DB219" s="281"/>
    </row>
    <row r="220" spans="2:106" ht="18" customHeight="1" x14ac:dyDescent="0.25">
      <c r="C220" s="5"/>
      <c r="D220" s="375">
        <f>IF(p="Q",Y244,Q239)</f>
        <v>0.29164319831532337</v>
      </c>
      <c r="P220" s="81"/>
      <c r="Q220" s="81"/>
      <c r="R220" s="81"/>
      <c r="S220" s="81"/>
      <c r="T220" s="81"/>
      <c r="U220" s="81"/>
      <c r="V220" s="80"/>
      <c r="W220" s="80"/>
      <c r="X220" s="56">
        <f t="shared" ref="X220:AC220" si="19">$Z$207*X195</f>
        <v>0</v>
      </c>
      <c r="Y220" s="57">
        <f t="shared" si="19"/>
        <v>0</v>
      </c>
      <c r="Z220" s="57">
        <f t="shared" si="19"/>
        <v>0</v>
      </c>
      <c r="AA220" s="57">
        <f t="shared" si="19"/>
        <v>-4.2857142850445096E-5</v>
      </c>
      <c r="AB220" s="57">
        <f t="shared" si="19"/>
        <v>1.8571428568526209E-4</v>
      </c>
      <c r="AC220" s="59">
        <f t="shared" si="19"/>
        <v>-8.5714285700890191E-5</v>
      </c>
      <c r="AD220" s="46"/>
      <c r="AE220" s="46"/>
      <c r="AF220" s="45"/>
      <c r="AG220" s="390"/>
      <c r="AH220" s="390"/>
      <c r="AI220" s="390"/>
      <c r="AJ220" s="390"/>
      <c r="AK220" s="390"/>
      <c r="AL220" s="390"/>
      <c r="AM220" s="390"/>
      <c r="AN220" s="394"/>
      <c r="AO220" s="390"/>
      <c r="AP220" s="44"/>
      <c r="AQ220" s="44"/>
      <c r="AR220" s="44"/>
      <c r="AS220" s="390"/>
      <c r="AT220" s="390"/>
      <c r="AU220" s="390"/>
      <c r="AV220" s="390"/>
      <c r="AW220" s="390"/>
      <c r="AX220" s="390"/>
      <c r="AY220" s="44"/>
      <c r="AZ220" s="44"/>
      <c r="BA220" s="44"/>
      <c r="BB220" s="44"/>
      <c r="BC220" s="390"/>
      <c r="BD220" s="390"/>
      <c r="BE220" s="390"/>
      <c r="BF220" s="390"/>
      <c r="BG220" s="390"/>
      <c r="BH220" s="390"/>
      <c r="BI220" s="390"/>
      <c r="BJ220" s="454"/>
      <c r="BK220" s="391"/>
      <c r="BL220" s="391"/>
      <c r="BM220" s="391"/>
      <c r="BN220" s="391"/>
      <c r="BO220" s="391"/>
      <c r="BP220" s="391"/>
      <c r="BQ220" s="391"/>
      <c r="BR220" s="391"/>
      <c r="BS220" s="391"/>
      <c r="BT220" s="391"/>
      <c r="BU220" s="107"/>
      <c r="BV220" s="107"/>
      <c r="BW220" s="391"/>
      <c r="BX220" s="391"/>
      <c r="BY220" s="106"/>
      <c r="BZ220" s="106"/>
      <c r="CA220" s="106"/>
      <c r="CB220" s="106"/>
      <c r="CC220" s="106"/>
      <c r="CD220" s="106"/>
      <c r="CE220" s="106"/>
      <c r="CF220" s="106"/>
      <c r="CG220" s="106"/>
      <c r="CH220" s="106"/>
      <c r="CI220" s="106"/>
      <c r="CJ220" s="106"/>
      <c r="CK220" s="106"/>
      <c r="CL220" s="106"/>
      <c r="CM220" s="106"/>
      <c r="CN220" s="106"/>
      <c r="CO220" s="106"/>
      <c r="CP220" s="106"/>
      <c r="CQ220" s="106"/>
      <c r="CR220" s="106"/>
      <c r="CS220" s="106"/>
      <c r="CT220" s="106"/>
      <c r="CU220" s="106"/>
      <c r="CV220" s="106"/>
      <c r="CW220" s="106"/>
      <c r="CX220" s="106"/>
      <c r="CY220" s="106"/>
      <c r="CZ220" s="106"/>
      <c r="DA220" s="106"/>
      <c r="DB220" s="281"/>
    </row>
    <row r="221" spans="2:106" ht="18" customHeight="1" x14ac:dyDescent="0.2">
      <c r="P221" s="90" t="s">
        <v>264</v>
      </c>
      <c r="Q221" s="80"/>
      <c r="R221" s="80"/>
      <c r="S221" s="80"/>
      <c r="T221" s="80"/>
      <c r="U221" s="80"/>
      <c r="V221" s="80"/>
      <c r="W221" s="80"/>
      <c r="X221" s="60">
        <f t="shared" ref="X221:AC221" si="20">$Z$207*X196</f>
        <v>0</v>
      </c>
      <c r="Y221" s="61">
        <f t="shared" si="20"/>
        <v>0</v>
      </c>
      <c r="Z221" s="61">
        <f t="shared" si="20"/>
        <v>0</v>
      </c>
      <c r="AA221" s="61">
        <f t="shared" si="20"/>
        <v>1.4285714283481698E-5</v>
      </c>
      <c r="AB221" s="61">
        <f t="shared" si="20"/>
        <v>-8.5714285700890191E-5</v>
      </c>
      <c r="AC221" s="62">
        <f t="shared" si="20"/>
        <v>4.2857142850445096E-5</v>
      </c>
      <c r="AD221" s="46"/>
      <c r="AE221" s="46"/>
      <c r="AF221" s="45"/>
      <c r="AG221" s="390"/>
      <c r="AH221" s="390"/>
      <c r="AI221" s="390"/>
      <c r="AJ221" s="390"/>
      <c r="AK221" s="390"/>
      <c r="AL221" s="390"/>
      <c r="AM221" s="390"/>
      <c r="AN221" s="394"/>
      <c r="AO221" s="390"/>
      <c r="AP221" s="44"/>
      <c r="AQ221" s="44"/>
      <c r="AR221" s="44"/>
      <c r="AS221" s="390"/>
      <c r="AT221" s="390"/>
      <c r="AU221" s="390"/>
      <c r="AV221" s="390"/>
      <c r="AW221" s="390"/>
      <c r="AX221" s="390"/>
      <c r="AY221" s="44"/>
      <c r="AZ221" s="44"/>
      <c r="BA221" s="44"/>
      <c r="BB221" s="44"/>
      <c r="BC221" s="390"/>
      <c r="BD221" s="390"/>
      <c r="BE221" s="390"/>
      <c r="BF221" s="390"/>
      <c r="BG221" s="390"/>
      <c r="BH221" s="390"/>
      <c r="BI221" s="390"/>
      <c r="BJ221" s="391"/>
      <c r="BK221" s="391"/>
      <c r="BL221" s="391"/>
      <c r="BM221" s="391"/>
      <c r="BN221" s="391"/>
      <c r="BO221" s="391"/>
      <c r="BP221" s="391"/>
      <c r="BQ221" s="397"/>
      <c r="BR221" s="391"/>
      <c r="BS221" s="391"/>
      <c r="BT221" s="391"/>
      <c r="BU221" s="107"/>
      <c r="BV221" s="107"/>
      <c r="BW221" s="391"/>
      <c r="BX221" s="391"/>
      <c r="BY221" s="106"/>
      <c r="BZ221" s="106"/>
      <c r="CA221" s="106"/>
      <c r="CB221" s="106"/>
      <c r="CC221" s="106"/>
      <c r="CD221" s="106"/>
      <c r="CE221" s="106"/>
      <c r="CF221" s="106"/>
      <c r="CG221" s="106"/>
      <c r="CH221" s="106"/>
      <c r="CI221" s="106"/>
      <c r="CJ221" s="106"/>
      <c r="CK221" s="106"/>
      <c r="CL221" s="106"/>
      <c r="CM221" s="106"/>
      <c r="CN221" s="106"/>
      <c r="CO221" s="106"/>
      <c r="CP221" s="106"/>
      <c r="CQ221" s="106"/>
      <c r="CR221" s="106"/>
      <c r="CS221" s="106"/>
      <c r="CT221" s="106"/>
      <c r="CU221" s="106"/>
      <c r="CV221" s="106"/>
      <c r="CW221" s="106"/>
      <c r="CX221" s="106"/>
      <c r="CY221" s="106"/>
      <c r="CZ221" s="106"/>
      <c r="DA221" s="106"/>
      <c r="DB221" s="281"/>
    </row>
    <row r="222" spans="2:106" ht="18" customHeight="1" x14ac:dyDescent="0.2">
      <c r="P222" s="84" t="s">
        <v>265</v>
      </c>
      <c r="Q222" s="478">
        <f>(Q197-Q199)-R200*SQRT(P216+R218)</f>
        <v>-1.5369735367297466E-2</v>
      </c>
      <c r="R222" s="478">
        <f>(Q197-Q199)+R200*SQRT(P216+R218)</f>
        <v>0.2953697353672986</v>
      </c>
      <c r="S222" s="85" t="b">
        <f>(Q222*R222)&lt;0</f>
        <v>1</v>
      </c>
      <c r="T222" s="81"/>
      <c r="U222" s="81"/>
      <c r="V222" s="80"/>
      <c r="W222" s="80"/>
      <c r="X222" s="46"/>
      <c r="Y222" s="46"/>
      <c r="Z222" s="46"/>
      <c r="AA222" s="46"/>
      <c r="AB222" s="46"/>
      <c r="AC222" s="46"/>
      <c r="AD222" s="46"/>
      <c r="AE222" s="46"/>
      <c r="AF222" s="45"/>
      <c r="AG222" s="455"/>
      <c r="AH222" s="455"/>
      <c r="AI222" s="455"/>
      <c r="AJ222" s="455"/>
      <c r="AK222" s="455"/>
      <c r="AL222" s="455"/>
      <c r="AM222" s="455"/>
      <c r="AN222" s="455"/>
      <c r="AO222" s="455"/>
      <c r="AS222" s="455"/>
      <c r="AT222" s="455"/>
      <c r="AU222" s="455"/>
      <c r="AV222" s="455"/>
      <c r="AW222" s="455"/>
      <c r="AX222" s="455"/>
      <c r="BC222" s="455"/>
      <c r="BD222" s="455"/>
      <c r="BE222" s="455"/>
      <c r="BF222" s="455"/>
      <c r="BG222" s="455"/>
      <c r="BH222" s="455"/>
      <c r="BI222" s="455"/>
      <c r="BJ222" s="455"/>
      <c r="BK222" s="455"/>
      <c r="BL222" s="455"/>
      <c r="BM222" s="455"/>
      <c r="BN222" s="455"/>
      <c r="BO222" s="455"/>
      <c r="BP222" s="455"/>
      <c r="BQ222" s="455"/>
      <c r="BR222" s="455"/>
      <c r="BS222" s="455"/>
      <c r="BT222" s="455"/>
      <c r="BW222" s="455"/>
      <c r="BX222" s="455"/>
    </row>
    <row r="223" spans="2:106" ht="18" customHeight="1" x14ac:dyDescent="0.2">
      <c r="P223" s="86" t="s">
        <v>266</v>
      </c>
      <c r="Q223" s="479">
        <f>(Q198-Q200)-R200*SQRT(Q217+S219)</f>
        <v>-0.24954900576077371</v>
      </c>
      <c r="R223" s="479">
        <f>(Q198-Q200)+R200*SQRT(Q217+S219)</f>
        <v>-5.0450994239226124E-2</v>
      </c>
      <c r="S223" s="87" t="b">
        <f>(Q223*R223)&lt;0</f>
        <v>0</v>
      </c>
      <c r="T223" s="81"/>
      <c r="U223" s="81"/>
      <c r="V223" s="80"/>
      <c r="W223" s="80"/>
      <c r="X223" s="69" t="s">
        <v>264</v>
      </c>
      <c r="Y223" s="46"/>
      <c r="Z223" s="46"/>
      <c r="AA223" s="46"/>
      <c r="AB223" s="46"/>
      <c r="AC223" s="46"/>
      <c r="AD223" s="46"/>
      <c r="AE223" s="46"/>
      <c r="AF223" s="45"/>
      <c r="AG223" s="455"/>
      <c r="AH223" s="455"/>
      <c r="AI223" s="455"/>
      <c r="AJ223" s="455"/>
      <c r="AK223" s="455"/>
      <c r="AL223" s="455"/>
      <c r="AM223" s="455"/>
      <c r="AN223" s="455"/>
      <c r="AO223" s="455"/>
      <c r="AS223" s="455"/>
      <c r="AT223" s="455"/>
      <c r="AU223" s="455"/>
      <c r="AV223" s="455"/>
      <c r="AW223" s="455"/>
      <c r="AX223" s="455"/>
      <c r="BC223" s="455"/>
      <c r="BD223" s="455"/>
      <c r="BE223" s="455"/>
      <c r="BF223" s="455"/>
      <c r="BG223" s="455"/>
      <c r="BH223" s="455"/>
      <c r="BI223" s="455"/>
      <c r="BJ223" s="455"/>
      <c r="BK223" s="455"/>
      <c r="BL223" s="455"/>
      <c r="BM223" s="455"/>
      <c r="BN223" s="455"/>
      <c r="BO223" s="455"/>
      <c r="BP223" s="455"/>
      <c r="BQ223" s="455"/>
      <c r="BR223" s="455"/>
      <c r="BS223" s="455"/>
      <c r="BT223" s="455"/>
      <c r="BW223" s="455"/>
      <c r="BX223" s="455"/>
    </row>
    <row r="224" spans="2:106" ht="18" customHeight="1" x14ac:dyDescent="0.2">
      <c r="P224" s="81"/>
      <c r="Q224" s="81"/>
      <c r="R224" s="81"/>
      <c r="S224" s="81"/>
      <c r="T224" s="81"/>
      <c r="U224" s="81"/>
      <c r="V224" s="80"/>
      <c r="W224" s="80"/>
      <c r="X224" s="51" t="s">
        <v>268</v>
      </c>
      <c r="Y224" s="52">
        <f>Y199-Y202</f>
        <v>-9.9999999999971223E-3</v>
      </c>
      <c r="Z224" s="52">
        <f>Y224-$Z$203*SQRT(X216+AA219)</f>
        <v>-2.5002193066477236E-2</v>
      </c>
      <c r="AA224" s="52">
        <f>Y224+$Z$203*SQRT(X216+AA219)</f>
        <v>5.0021930664829913E-3</v>
      </c>
      <c r="AB224" s="53" t="b">
        <f>(Z224*AA224)&lt;0</f>
        <v>1</v>
      </c>
      <c r="AC224" s="46"/>
      <c r="AD224" s="46"/>
      <c r="AE224" s="46"/>
      <c r="AF224" s="45"/>
      <c r="AG224" s="455"/>
      <c r="AH224" s="455"/>
      <c r="AI224" s="455"/>
      <c r="AJ224" s="455"/>
      <c r="AK224" s="455"/>
      <c r="AL224" s="455"/>
      <c r="AM224" s="455"/>
      <c r="AN224" s="455"/>
      <c r="AO224" s="455"/>
      <c r="AS224" s="455"/>
      <c r="AT224" s="455"/>
      <c r="AU224" s="455"/>
      <c r="AV224" s="455"/>
      <c r="AW224" s="455"/>
      <c r="AX224" s="455"/>
      <c r="BC224" s="455"/>
      <c r="BD224" s="455"/>
      <c r="BE224" s="455"/>
      <c r="BF224" s="455"/>
      <c r="BG224" s="455"/>
      <c r="BH224" s="455"/>
      <c r="BI224" s="455"/>
      <c r="BJ224" s="455"/>
      <c r="BK224" s="455"/>
      <c r="BL224" s="455"/>
      <c r="BM224" s="455"/>
      <c r="BN224" s="455"/>
      <c r="BO224" s="455"/>
      <c r="BP224" s="455"/>
      <c r="BQ224" s="455"/>
      <c r="BR224" s="455"/>
      <c r="BS224" s="455"/>
      <c r="BT224" s="455"/>
      <c r="BW224" s="455"/>
      <c r="BX224" s="455"/>
    </row>
    <row r="225" spans="16:32" ht="18" customHeight="1" x14ac:dyDescent="0.2">
      <c r="P225" s="84" t="str">
        <f>IF(S222+S223=2,"Coefficients are not significantly different.",IF(S222+S223=1,"One coefficient is significantly different, indicating a calibration drift.","Both coefficients are significantly different, indicating calibration drift."))</f>
        <v>One coefficient is significantly different, indicating a calibration drift.</v>
      </c>
      <c r="Q225" s="403"/>
      <c r="R225" s="403"/>
      <c r="S225" s="403"/>
      <c r="T225" s="403"/>
      <c r="U225" s="403"/>
      <c r="V225" s="85"/>
      <c r="W225" s="80"/>
      <c r="X225" s="56" t="s">
        <v>269</v>
      </c>
      <c r="Y225" s="57">
        <f>Y200-Y203</f>
        <v>-3.5527136788005009E-15</v>
      </c>
      <c r="Z225" s="57">
        <f>Y225-$Z$203*SQRT(Y217+AB220)</f>
        <v>-2.9882798509027812E-2</v>
      </c>
      <c r="AA225" s="57">
        <f>Y225+$Z$203*SQRT(Y217+AB220)</f>
        <v>2.9882798509020706E-2</v>
      </c>
      <c r="AB225" s="59" t="b">
        <f>(Z225*AA225)&lt;0</f>
        <v>1</v>
      </c>
      <c r="AC225" s="46"/>
      <c r="AD225" s="45"/>
      <c r="AE225" s="45"/>
      <c r="AF225" s="45"/>
    </row>
    <row r="226" spans="16:32" ht="18" customHeight="1" x14ac:dyDescent="0.2">
      <c r="P226" s="86" t="str">
        <f>IF(S223+S222=2,"Consider including the new data as part of original calibration (Step 1).","Estimated concentration includes correction for calibration drift.")</f>
        <v>Estimated concentration includes correction for calibration drift.</v>
      </c>
      <c r="Q226" s="104"/>
      <c r="R226" s="104"/>
      <c r="S226" s="104"/>
      <c r="T226" s="104"/>
      <c r="U226" s="104"/>
      <c r="V226" s="87"/>
      <c r="W226" s="80"/>
      <c r="X226" s="60" t="s">
        <v>270</v>
      </c>
      <c r="Y226" s="61">
        <f>Y201-Y204</f>
        <v>-8.8817841970012523E-16</v>
      </c>
      <c r="Z226" s="61">
        <f>Y226-$Z$203*SQRT(Z218+AC221)</f>
        <v>-1.3735286468792742E-2</v>
      </c>
      <c r="AA226" s="61">
        <f>Y226+$Z$203*SQRT(Z218+AC221)</f>
        <v>1.3735286468790965E-2</v>
      </c>
      <c r="AB226" s="62" t="b">
        <f>(Z226*AA226)&lt;0</f>
        <v>1</v>
      </c>
      <c r="AC226" s="46"/>
      <c r="AD226" s="45"/>
      <c r="AE226" s="45"/>
      <c r="AF226" s="45"/>
    </row>
    <row r="227" spans="16:32" ht="18" customHeight="1" x14ac:dyDescent="0.2">
      <c r="P227" s="80"/>
      <c r="Q227" s="80"/>
      <c r="R227" s="80"/>
      <c r="S227" s="80"/>
      <c r="T227" s="80"/>
      <c r="U227" s="80"/>
      <c r="V227" s="80"/>
      <c r="W227" s="80"/>
      <c r="X227" s="46"/>
      <c r="Y227" s="46"/>
      <c r="Z227" s="46"/>
      <c r="AA227" s="46"/>
      <c r="AB227" s="46"/>
      <c r="AC227" s="46"/>
      <c r="AD227" s="45"/>
      <c r="AE227" s="45"/>
      <c r="AF227" s="45"/>
    </row>
    <row r="228" spans="16:32" ht="18" customHeight="1" x14ac:dyDescent="0.2">
      <c r="P228" s="98" t="s">
        <v>11</v>
      </c>
      <c r="Q228" s="98" t="s">
        <v>194</v>
      </c>
      <c r="R228" s="97" t="s">
        <v>195</v>
      </c>
      <c r="S228" s="98" t="s">
        <v>196</v>
      </c>
      <c r="T228" s="98" t="s">
        <v>226</v>
      </c>
      <c r="U228" s="80"/>
      <c r="V228" s="80"/>
      <c r="W228" s="80"/>
      <c r="X228" s="51" t="str">
        <f>IF(AB224+AB225+AB226=3,"Coefficients are not significantly different.",IF(AB224+AB225+AB226=1,"Two coefficients are significantly different, indicating calibration drift.",IF(AB2261+AB224+AB226=2,"One coefficient is significantly different, indicating calibration drift.","All three coefficients are significantly different, indicating calibration drift.")))</f>
        <v>Coefficients are not significantly different.</v>
      </c>
      <c r="Y228" s="52"/>
      <c r="Z228" s="52"/>
      <c r="AA228" s="52"/>
      <c r="AB228" s="52"/>
      <c r="AC228" s="52"/>
      <c r="AD228" s="53"/>
      <c r="AE228" s="45"/>
      <c r="AF228" s="45"/>
    </row>
    <row r="229" spans="16:32" ht="18" customHeight="1" x14ac:dyDescent="0.2">
      <c r="P229" s="91">
        <v>0</v>
      </c>
      <c r="Q229" s="89">
        <f>SUMPRODUCT(P229:P232,Q197:Q200)</f>
        <v>0.3166666666666666</v>
      </c>
      <c r="R229" s="91">
        <f>SUMPRODUCT($P$229:$P$232,P216:P219)</f>
        <v>0</v>
      </c>
      <c r="S229" s="89">
        <f>SUMPRODUCT(P229:P232,R229:R232)</f>
        <v>3.0688985507243281E-3</v>
      </c>
      <c r="T229" s="89">
        <f>TINV(0.1,S197)</f>
        <v>1.7138715277470482</v>
      </c>
      <c r="U229" s="81"/>
      <c r="V229" s="81"/>
      <c r="W229" s="81"/>
      <c r="X229" s="60" t="str">
        <f>IF(AB224+AB225+AB226=3,"Consider including the new data as part of original calibration (Step 1).","Estimated concentration includes correction for calibration drift.")</f>
        <v>Consider including the new data as part of original calibration (Step 1).</v>
      </c>
      <c r="Y229" s="61"/>
      <c r="Z229" s="61"/>
      <c r="AA229" s="61"/>
      <c r="AB229" s="61"/>
      <c r="AC229" s="61"/>
      <c r="AD229" s="62"/>
      <c r="AE229" s="45"/>
      <c r="AF229" s="45"/>
    </row>
    <row r="230" spans="16:32" ht="18" customHeight="1" x14ac:dyDescent="0.2">
      <c r="P230" s="413">
        <v>0</v>
      </c>
      <c r="Q230" s="103"/>
      <c r="R230" s="413">
        <f>SUMPRODUCT($P$229:$P$232,Q216:Q219)</f>
        <v>0</v>
      </c>
      <c r="S230" s="103"/>
      <c r="T230" s="103"/>
      <c r="U230" s="81"/>
      <c r="V230" s="81"/>
      <c r="W230" s="81"/>
      <c r="X230" s="46"/>
      <c r="Y230" s="45"/>
      <c r="Z230" s="45"/>
      <c r="AA230" s="45"/>
      <c r="AB230" s="45"/>
      <c r="AC230" s="45"/>
      <c r="AD230" s="45"/>
      <c r="AE230" s="45"/>
      <c r="AF230" s="45"/>
    </row>
    <row r="231" spans="16:32" ht="18" customHeight="1" x14ac:dyDescent="0.2">
      <c r="P231" s="413">
        <v>1</v>
      </c>
      <c r="Q231" s="103"/>
      <c r="R231" s="413">
        <f>SUMPRODUCT($P$229:$P$232,R216:R219)</f>
        <v>3.2559420289851788E-3</v>
      </c>
      <c r="S231" s="103"/>
      <c r="T231" s="103"/>
      <c r="U231" s="81"/>
      <c r="V231" s="81"/>
      <c r="W231" s="81"/>
      <c r="X231" s="71" t="s">
        <v>11</v>
      </c>
      <c r="Y231" s="71" t="s">
        <v>194</v>
      </c>
      <c r="Z231" s="49" t="s">
        <v>195</v>
      </c>
      <c r="AA231" s="71" t="s">
        <v>196</v>
      </c>
      <c r="AB231" s="71" t="s">
        <v>226</v>
      </c>
      <c r="AC231" s="45"/>
      <c r="AD231" s="45"/>
      <c r="AE231" s="45"/>
      <c r="AF231" s="45"/>
    </row>
    <row r="232" spans="16:32" ht="18" customHeight="1" x14ac:dyDescent="0.2">
      <c r="P232" s="92">
        <f>D215</f>
        <v>0.1</v>
      </c>
      <c r="Q232" s="83"/>
      <c r="R232" s="92">
        <f>SUMPRODUCT($P$229:$P$232,S216:S219)</f>
        <v>-1.8704347826085071E-3</v>
      </c>
      <c r="S232" s="81"/>
      <c r="T232" s="83"/>
      <c r="U232" s="83"/>
      <c r="V232" s="83"/>
      <c r="W232" s="83"/>
      <c r="X232" s="50">
        <v>0</v>
      </c>
      <c r="Y232" s="64">
        <f>SUMPRODUCT(X232:X237,Y199:Y204)</f>
        <v>0.30950000000000033</v>
      </c>
      <c r="Z232" s="50">
        <f>SUMPRODUCT($X$232:$X$237,X216:X221)</f>
        <v>0</v>
      </c>
      <c r="AA232" s="64">
        <f>SUMPRODUCT(X232:X237,Z232:Z237)</f>
        <v>2.1975714282279898E-5</v>
      </c>
      <c r="AB232" s="64">
        <f>TINV(0.1,AA199)</f>
        <v>1.7207429028118781</v>
      </c>
      <c r="AC232" s="45"/>
      <c r="AD232" s="45"/>
      <c r="AE232" s="45"/>
      <c r="AF232" s="45"/>
    </row>
    <row r="233" spans="16:32" ht="18" customHeight="1" x14ac:dyDescent="0.2">
      <c r="P233" s="83"/>
      <c r="Q233" s="83"/>
      <c r="R233" s="83"/>
      <c r="S233" s="83"/>
      <c r="T233" s="83"/>
      <c r="U233" s="83"/>
      <c r="V233" s="83"/>
      <c r="W233" s="83"/>
      <c r="X233" s="54">
        <v>0</v>
      </c>
      <c r="Y233" s="57"/>
      <c r="Z233" s="54">
        <f>SUMPRODUCT(X232:X237,Y216:Y221)</f>
        <v>0</v>
      </c>
      <c r="AA233" s="57"/>
      <c r="AB233" s="57"/>
      <c r="AC233" s="45"/>
      <c r="AD233" s="45"/>
      <c r="AE233" s="45"/>
      <c r="AF233" s="45"/>
    </row>
    <row r="234" spans="16:32" ht="18" customHeight="1" x14ac:dyDescent="0.2">
      <c r="P234" s="83"/>
      <c r="Q234" s="83"/>
      <c r="R234" s="83"/>
      <c r="S234" s="83"/>
      <c r="T234" s="83"/>
      <c r="U234" s="83"/>
      <c r="V234" s="83"/>
      <c r="W234" s="83"/>
      <c r="X234" s="54">
        <v>0</v>
      </c>
      <c r="Y234" s="57"/>
      <c r="Z234" s="54">
        <f>SUMPRODUCT($X$232:$X$237,Z216:Z221)</f>
        <v>0</v>
      </c>
      <c r="AA234" s="57"/>
      <c r="AB234" s="57"/>
      <c r="AC234" s="45"/>
      <c r="AD234" s="45"/>
      <c r="AE234" s="45"/>
      <c r="AF234" s="45"/>
    </row>
    <row r="235" spans="16:32" ht="18" customHeight="1" x14ac:dyDescent="0.2">
      <c r="P235" s="83"/>
      <c r="Q235" s="83"/>
      <c r="R235" s="83"/>
      <c r="S235" s="83"/>
      <c r="T235" s="83"/>
      <c r="U235" s="83"/>
      <c r="V235" s="83"/>
      <c r="W235" s="83"/>
      <c r="X235" s="54">
        <v>1</v>
      </c>
      <c r="Y235" s="57"/>
      <c r="Z235" s="54">
        <f>SUMPRODUCT($X$232:$X$237,AA216:AA221)</f>
        <v>2.4428571424753703E-5</v>
      </c>
      <c r="AA235" s="57"/>
      <c r="AB235" s="57"/>
      <c r="AC235" s="45"/>
      <c r="AD235" s="45"/>
      <c r="AE235" s="45"/>
      <c r="AF235" s="45"/>
    </row>
    <row r="236" spans="16:32" ht="18" customHeight="1" x14ac:dyDescent="0.25">
      <c r="P236" s="82"/>
      <c r="Q236" s="80"/>
      <c r="R236" s="80"/>
      <c r="S236" s="81"/>
      <c r="T236" s="83"/>
      <c r="U236" s="83"/>
      <c r="V236" s="83"/>
      <c r="W236" s="83"/>
      <c r="X236" s="54">
        <f>D215</f>
        <v>0.1</v>
      </c>
      <c r="Y236" s="57"/>
      <c r="Z236" s="54">
        <f>SUMPRODUCT($X$232:$X$237,AB216:AB221)</f>
        <v>-2.5142857138927788E-5</v>
      </c>
      <c r="AA236" s="57"/>
      <c r="AB236" s="57"/>
      <c r="AC236" s="45"/>
      <c r="AD236" s="45"/>
      <c r="AE236" s="45"/>
      <c r="AF236" s="45"/>
    </row>
    <row r="237" spans="16:32" ht="18" customHeight="1" x14ac:dyDescent="0.2">
      <c r="P237" s="99" t="s">
        <v>273</v>
      </c>
      <c r="Q237" s="100"/>
      <c r="R237" s="383"/>
      <c r="S237" s="384"/>
      <c r="T237" s="385"/>
      <c r="U237" s="81"/>
      <c r="V237" s="81"/>
      <c r="W237" s="81"/>
      <c r="X237" s="65">
        <f>D215^2</f>
        <v>1.0000000000000002E-2</v>
      </c>
      <c r="Y237" s="48"/>
      <c r="Z237" s="65">
        <f>SUMPRODUCT(X232:X237,AC216:AC221)</f>
        <v>6.1428571418971302E-6</v>
      </c>
      <c r="AA237" s="45"/>
      <c r="AB237" s="48"/>
      <c r="AC237" s="45"/>
      <c r="AD237" s="45"/>
      <c r="AE237" s="48"/>
      <c r="AF237" s="45"/>
    </row>
    <row r="238" spans="16:32" ht="18" customHeight="1" x14ac:dyDescent="0.2">
      <c r="P238" s="101" t="s">
        <v>197</v>
      </c>
      <c r="Q238" s="102" t="s">
        <v>198</v>
      </c>
      <c r="R238" s="102" t="s">
        <v>199</v>
      </c>
      <c r="S238" s="386"/>
      <c r="T238" s="387"/>
      <c r="U238" s="81"/>
      <c r="V238" s="81"/>
      <c r="W238" s="81"/>
      <c r="X238" s="48"/>
      <c r="Y238" s="48"/>
      <c r="Z238" s="48"/>
      <c r="AA238" s="48"/>
      <c r="AB238" s="48"/>
      <c r="AC238" s="45"/>
      <c r="AD238" s="45"/>
      <c r="AE238" s="48"/>
      <c r="AF238" s="45"/>
    </row>
    <row r="239" spans="16:32" ht="18" customHeight="1" x14ac:dyDescent="0.2">
      <c r="P239" s="86">
        <f>Q229</f>
        <v>0.3166666666666666</v>
      </c>
      <c r="Q239" s="104">
        <f>$P$239-T229*SQRT($S$229+R203)</f>
        <v>0.10302679731561867</v>
      </c>
      <c r="R239" s="104">
        <f>$P$173+T229*SQRT($S$229+R203)</f>
        <v>0.65530653601771505</v>
      </c>
      <c r="S239" s="388"/>
      <c r="T239" s="389"/>
      <c r="U239" s="81"/>
      <c r="V239" s="81"/>
      <c r="W239" s="81"/>
      <c r="X239" s="48"/>
      <c r="Y239" s="48"/>
      <c r="Z239" s="48"/>
      <c r="AA239" s="48"/>
      <c r="AB239" s="48"/>
      <c r="AC239" s="45"/>
      <c r="AD239" s="45"/>
      <c r="AE239" s="48"/>
      <c r="AF239" s="45"/>
    </row>
    <row r="240" spans="16:32" ht="18" customHeight="1" x14ac:dyDescent="0.2">
      <c r="P240" s="80"/>
      <c r="Q240" s="80"/>
      <c r="R240" s="80"/>
      <c r="S240" s="81"/>
      <c r="T240" s="81"/>
      <c r="U240" s="81"/>
      <c r="V240" s="81"/>
      <c r="W240" s="81"/>
      <c r="X240" s="48"/>
      <c r="Y240" s="48"/>
      <c r="Z240" s="48"/>
      <c r="AA240" s="48"/>
      <c r="AB240" s="48"/>
      <c r="AC240" s="45"/>
      <c r="AD240" s="45"/>
      <c r="AE240" s="45"/>
      <c r="AF240" s="45"/>
    </row>
    <row r="241" spans="16:32" ht="18" customHeight="1" x14ac:dyDescent="0.25">
      <c r="P241" s="80"/>
      <c r="Q241" s="80"/>
      <c r="R241" s="80"/>
      <c r="S241" s="81"/>
      <c r="T241" s="81"/>
      <c r="U241" s="81"/>
      <c r="V241" s="81"/>
      <c r="W241" s="81"/>
      <c r="X241" s="47"/>
      <c r="Y241" s="46"/>
      <c r="Z241" s="46"/>
      <c r="AA241" s="45"/>
      <c r="AB241" s="48"/>
      <c r="AC241" s="45"/>
      <c r="AD241" s="45"/>
      <c r="AE241" s="45"/>
      <c r="AF241" s="45"/>
    </row>
    <row r="242" spans="16:32" ht="18" customHeight="1" x14ac:dyDescent="0.2">
      <c r="U242" s="281"/>
      <c r="V242" s="281"/>
      <c r="W242" s="281"/>
      <c r="X242" s="72" t="s">
        <v>273</v>
      </c>
      <c r="Y242" s="491"/>
      <c r="Z242" s="399"/>
      <c r="AA242" s="492"/>
      <c r="AB242" s="493"/>
      <c r="AC242" s="45"/>
      <c r="AD242" s="45"/>
      <c r="AE242" s="45"/>
      <c r="AF242" s="45"/>
    </row>
    <row r="243" spans="16:32" ht="18" customHeight="1" x14ac:dyDescent="0.2">
      <c r="U243" s="281"/>
      <c r="V243" s="281"/>
      <c r="W243" s="281"/>
      <c r="X243" s="74" t="s">
        <v>197</v>
      </c>
      <c r="Y243" s="75" t="s">
        <v>198</v>
      </c>
      <c r="Z243" s="75" t="s">
        <v>199</v>
      </c>
      <c r="AA243" s="490"/>
      <c r="AB243" s="494"/>
      <c r="AC243" s="45"/>
      <c r="AD243" s="45"/>
      <c r="AE243" s="45"/>
      <c r="AF243" s="45"/>
    </row>
    <row r="244" spans="16:32" ht="18" customHeight="1" x14ac:dyDescent="0.2">
      <c r="U244" s="281"/>
      <c r="V244" s="281"/>
      <c r="W244" s="281"/>
      <c r="X244" s="60">
        <f>Y232</f>
        <v>0.30950000000000033</v>
      </c>
      <c r="Y244" s="61">
        <f>$X$244-AB232*SQRT($AA$232+Z207)</f>
        <v>0.29164319831532337</v>
      </c>
      <c r="Z244" s="61">
        <f>$X$244+AB232*SQRT($AA$232+Z207)</f>
        <v>0.32735680168467729</v>
      </c>
      <c r="AA244" s="495"/>
      <c r="AB244" s="496"/>
      <c r="AC244" s="45"/>
      <c r="AD244" s="45"/>
      <c r="AE244" s="45"/>
      <c r="AF244" s="45"/>
    </row>
    <row r="245" spans="16:32" ht="18" customHeight="1" x14ac:dyDescent="0.2">
      <c r="X245" s="45"/>
      <c r="Y245" s="45"/>
      <c r="Z245" s="45"/>
      <c r="AA245" s="45"/>
      <c r="AB245" s="45"/>
      <c r="AC245" s="45"/>
      <c r="AD245" s="45"/>
      <c r="AE245" s="45"/>
      <c r="AF245" s="45"/>
    </row>
    <row r="246" spans="16:32" ht="18" customHeight="1" x14ac:dyDescent="0.2">
      <c r="X246" s="45"/>
      <c r="Y246" s="45"/>
      <c r="Z246" s="45"/>
      <c r="AA246" s="45"/>
      <c r="AB246" s="45"/>
      <c r="AC246" s="45"/>
      <c r="AD246" s="45"/>
      <c r="AE246" s="45"/>
      <c r="AF246" s="45"/>
    </row>
    <row r="247" spans="16:32" ht="18" customHeight="1" x14ac:dyDescent="0.2">
      <c r="X247" s="281"/>
      <c r="Y247" s="281"/>
      <c r="Z247" s="281"/>
      <c r="AA247" s="281"/>
      <c r="AB247" s="281"/>
      <c r="AC247" s="281"/>
      <c r="AD247" s="281"/>
      <c r="AE247" s="281"/>
    </row>
    <row r="248" spans="16:32" ht="18" customHeight="1" x14ac:dyDescent="0.2">
      <c r="X248" s="281"/>
      <c r="Y248" s="281"/>
      <c r="Z248" s="281"/>
      <c r="AA248" s="281"/>
      <c r="AB248" s="281"/>
      <c r="AC248" s="281"/>
      <c r="AD248" s="281"/>
      <c r="AE248" s="281"/>
    </row>
    <row r="249" spans="16:32" ht="18" customHeight="1" x14ac:dyDescent="0.2">
      <c r="X249" s="281"/>
      <c r="Y249" s="281"/>
      <c r="Z249" s="281"/>
      <c r="AA249" s="281"/>
      <c r="AB249" s="281"/>
      <c r="AC249" s="281"/>
      <c r="AD249" s="281"/>
      <c r="AE249" s="281"/>
    </row>
    <row r="250" spans="16:32" ht="18" customHeight="1" x14ac:dyDescent="0.2">
      <c r="X250" s="281"/>
      <c r="Y250" s="281"/>
      <c r="Z250" s="281"/>
      <c r="AA250" s="281"/>
      <c r="AB250" s="281"/>
    </row>
    <row r="251" spans="16:32" ht="18" customHeight="1" x14ac:dyDescent="0.2">
      <c r="X251" s="281"/>
      <c r="Y251" s="281"/>
      <c r="Z251" s="281"/>
      <c r="AA251" s="281"/>
      <c r="AB251" s="281"/>
    </row>
    <row r="252" spans="16:32" ht="18" customHeight="1" x14ac:dyDescent="0.2">
      <c r="X252" s="281"/>
      <c r="Y252" s="281"/>
      <c r="Z252" s="281"/>
      <c r="AA252" s="281"/>
      <c r="AB252" s="281"/>
    </row>
  </sheetData>
  <sheetProtection sheet="1" objects="1" scenarios="1"/>
  <protectedRanges>
    <protectedRange sqref="D215" name="Range8"/>
    <protectedRange sqref="I188:I191" name="Range7"/>
    <protectedRange sqref="H188:H191" name="Range6"/>
    <protectedRange sqref="F188:F191" name="Range5"/>
    <protectedRange sqref="E188:E191" name="Range4"/>
    <protectedRange sqref="C188:C191" name="Range3"/>
    <protectedRange sqref="D161" name="Range2"/>
    <protectedRange sqref="C12:D61" name="Range1"/>
  </protectedRanges>
  <phoneticPr fontId="27" type="noConversion"/>
  <pageMargins left="1" right="1" top="0.5" bottom="0.5" header="0.2" footer="0.2"/>
  <pageSetup scale="67" orientation="portrait" r:id="rId1"/>
  <headerFooter alignWithMargins="0">
    <oddFooter>&amp;L&amp;F&amp;CPage &amp;P&amp;R&amp;D</oddFooter>
  </headerFooter>
  <rowBreaks count="3" manualBreakCount="3">
    <brk id="60" max="65535" man="1"/>
    <brk id="92" max="65535" man="1"/>
    <brk id="131" max="65535" man="1"/>
  </rowBreaks>
  <colBreaks count="3" manualBreakCount="3">
    <brk id="15" max="1048575" man="1"/>
    <brk id="23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3"/>
  <sheetViews>
    <sheetView showGridLines="0" zoomScale="80" workbookViewId="0"/>
  </sheetViews>
  <sheetFormatPr defaultColWidth="6.77734375" defaultRowHeight="18" customHeight="1" x14ac:dyDescent="0.2"/>
  <cols>
    <col min="4" max="4" width="9.6640625" customWidth="1"/>
    <col min="16" max="16" width="9.6640625" customWidth="1"/>
    <col min="17" max="21" width="10.109375" customWidth="1"/>
    <col min="27" max="27" width="12.33203125" customWidth="1"/>
    <col min="28" max="31" width="12.21875" customWidth="1"/>
    <col min="32" max="32" width="12.77734375" customWidth="1"/>
    <col min="33" max="33" width="12.21875" customWidth="1"/>
    <col min="34" max="34" width="12.77734375" customWidth="1"/>
    <col min="35" max="35" width="10.109375" customWidth="1"/>
  </cols>
  <sheetData>
    <row r="1" spans="1:21" ht="18" customHeight="1" x14ac:dyDescent="0.2">
      <c r="A1" s="16"/>
      <c r="B1" s="1" t="s">
        <v>200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1" ht="18" customHeight="1" x14ac:dyDescent="0.2">
      <c r="A2" s="16"/>
      <c r="B2" s="1" t="s">
        <v>201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1" ht="18" customHeight="1" thickBot="1" x14ac:dyDescent="0.25">
      <c r="A3" s="16"/>
      <c r="B3" s="1" t="s">
        <v>202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1" ht="18" customHeight="1" thickTop="1" thickBot="1" x14ac:dyDescent="0.25">
      <c r="A4" s="16"/>
      <c r="B4" t="s">
        <v>203</v>
      </c>
      <c r="C4" s="16"/>
      <c r="D4" s="16"/>
      <c r="E4" s="16"/>
      <c r="F4" s="16"/>
      <c r="G4" s="16"/>
      <c r="H4" s="245">
        <v>0.95</v>
      </c>
      <c r="I4" s="17" t="s">
        <v>204</v>
      </c>
      <c r="J4" s="16"/>
      <c r="K4" s="16"/>
      <c r="L4" s="16"/>
      <c r="M4" s="16"/>
      <c r="N4" s="16"/>
    </row>
    <row r="5" spans="1:21" ht="18" customHeight="1" thickTop="1" x14ac:dyDescent="0.2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21" ht="18" customHeight="1" x14ac:dyDescent="0.2">
      <c r="A6" s="21">
        <f>MIN('Zero Test'!C12:C61)</f>
        <v>0</v>
      </c>
      <c r="B6" s="1" t="s">
        <v>205</v>
      </c>
      <c r="C6" s="16"/>
      <c r="D6" s="16"/>
      <c r="E6" s="16"/>
      <c r="F6" s="16"/>
      <c r="G6" s="16"/>
      <c r="H6" s="175">
        <f>TINV(1-$H$4,df)</f>
        <v>2.119905299221255</v>
      </c>
      <c r="I6" s="182" t="s">
        <v>206</v>
      </c>
      <c r="J6" s="183"/>
      <c r="K6" s="183"/>
      <c r="L6" s="16"/>
      <c r="M6" s="16"/>
      <c r="N6" s="16"/>
    </row>
    <row r="7" spans="1:21" ht="18" customHeight="1" x14ac:dyDescent="0.2">
      <c r="A7" s="21">
        <f>MAX('Zero Test'!C12:C61)</f>
        <v>5</v>
      </c>
      <c r="B7" s="1" t="s">
        <v>207</v>
      </c>
      <c r="C7" s="16"/>
      <c r="D7" s="16"/>
      <c r="E7" s="16"/>
      <c r="F7" s="16"/>
      <c r="G7" s="16"/>
      <c r="H7" s="176">
        <f>TINV(1-$H$4,df-1)</f>
        <v>2.1314495455597742</v>
      </c>
      <c r="I7" s="184" t="s">
        <v>208</v>
      </c>
      <c r="J7" s="185"/>
      <c r="K7" s="185"/>
      <c r="L7" s="16"/>
      <c r="M7" s="16"/>
      <c r="N7" s="16"/>
    </row>
    <row r="8" spans="1:21" ht="18" customHeight="1" x14ac:dyDescent="0.2">
      <c r="A8" s="22">
        <f>n</f>
        <v>18</v>
      </c>
      <c r="B8" s="1" t="s">
        <v>209</v>
      </c>
      <c r="C8" s="16"/>
      <c r="D8" s="16"/>
      <c r="E8" s="16"/>
      <c r="F8" s="16"/>
      <c r="G8" s="16"/>
      <c r="H8" s="330">
        <f>TINV(1-$H$4,df-2)</f>
        <v>2.1447866879178035</v>
      </c>
      <c r="I8" s="331" t="s">
        <v>210</v>
      </c>
      <c r="J8" s="332"/>
      <c r="K8" s="332"/>
      <c r="L8" s="16"/>
      <c r="M8" s="16"/>
      <c r="N8" s="16"/>
    </row>
    <row r="9" spans="1:21" ht="18" customHeight="1" x14ac:dyDescent="0.2">
      <c r="A9" s="15"/>
      <c r="B9" s="1"/>
      <c r="C9" s="16"/>
      <c r="D9" s="16"/>
      <c r="E9" s="16"/>
      <c r="F9" s="16"/>
      <c r="G9" s="16"/>
      <c r="H9" s="346">
        <f>TINV(1-$H$4,df-3)</f>
        <v>2.1603686564627917</v>
      </c>
      <c r="I9" s="180" t="s">
        <v>211</v>
      </c>
      <c r="J9" s="181"/>
      <c r="K9" s="181"/>
      <c r="L9" s="16"/>
      <c r="M9" s="16"/>
      <c r="N9" s="16"/>
    </row>
    <row r="10" spans="1:21" ht="18" customHeight="1" x14ac:dyDescent="0.2">
      <c r="A10" s="2" t="s">
        <v>212</v>
      </c>
      <c r="B10" s="16"/>
      <c r="C10" s="16"/>
      <c r="D10" s="16"/>
      <c r="E10" s="16"/>
      <c r="F10" s="177" t="s">
        <v>213</v>
      </c>
      <c r="G10" s="178"/>
      <c r="H10" s="178"/>
      <c r="I10" s="179"/>
      <c r="J10" s="158" t="s">
        <v>214</v>
      </c>
      <c r="K10" s="159"/>
      <c r="L10" s="159"/>
      <c r="M10" s="160"/>
      <c r="N10" s="312" t="s">
        <v>215</v>
      </c>
      <c r="O10" s="313"/>
      <c r="P10" s="313"/>
      <c r="Q10" s="314"/>
      <c r="R10" s="134" t="s">
        <v>216</v>
      </c>
      <c r="S10" s="135"/>
      <c r="T10" s="135"/>
      <c r="U10" s="136"/>
    </row>
    <row r="11" spans="1:21" ht="18" customHeight="1" x14ac:dyDescent="0.2">
      <c r="A11" s="18" t="s">
        <v>101</v>
      </c>
      <c r="B11" s="18" t="s">
        <v>217</v>
      </c>
      <c r="C11" s="18" t="s">
        <v>218</v>
      </c>
      <c r="D11" s="42"/>
      <c r="E11" s="186"/>
      <c r="F11" s="149" t="s">
        <v>197</v>
      </c>
      <c r="G11" s="150" t="s">
        <v>198</v>
      </c>
      <c r="H11" s="151" t="s">
        <v>199</v>
      </c>
      <c r="I11" s="152" t="s">
        <v>219</v>
      </c>
      <c r="J11" s="161" t="s">
        <v>197</v>
      </c>
      <c r="K11" s="162" t="s">
        <v>198</v>
      </c>
      <c r="L11" s="163" t="s">
        <v>199</v>
      </c>
      <c r="M11" s="164" t="s">
        <v>219</v>
      </c>
      <c r="N11" s="315" t="s">
        <v>197</v>
      </c>
      <c r="O11" s="316" t="s">
        <v>198</v>
      </c>
      <c r="P11" s="317" t="s">
        <v>199</v>
      </c>
      <c r="Q11" s="318" t="s">
        <v>219</v>
      </c>
      <c r="R11" s="137" t="s">
        <v>197</v>
      </c>
      <c r="S11" s="138" t="s">
        <v>198</v>
      </c>
      <c r="T11" s="139" t="s">
        <v>199</v>
      </c>
      <c r="U11" s="140" t="s">
        <v>219</v>
      </c>
    </row>
    <row r="12" spans="1:21" ht="18" customHeight="1" x14ac:dyDescent="0.2">
      <c r="A12" s="246">
        <v>1</v>
      </c>
      <c r="B12" s="23">
        <f>IF($A12&gt;n,"",+'Zero Test'!C12)</f>
        <v>0</v>
      </c>
      <c r="C12" s="24">
        <f>IF($A12&gt;n,-999,+'Zero Test'!D12)</f>
        <v>0.19</v>
      </c>
      <c r="D12" s="25"/>
      <c r="E12" s="25"/>
      <c r="F12" s="153"/>
      <c r="G12" s="154"/>
      <c r="H12" s="154"/>
      <c r="I12" s="155">
        <f>+C12-('Zero Test'!$P$27+'Zero Test'!$P$28*B12)</f>
        <v>-0.17666666666666714</v>
      </c>
      <c r="J12" s="165"/>
      <c r="K12" s="166"/>
      <c r="L12" s="166"/>
      <c r="M12" s="167">
        <f>+C12-('Zero Test'!$Z$30+B12*'Zero Test'!$Z$31+B12^2*'Zero Test'!$Z$32)</f>
        <v>-1.000000000000284E-2</v>
      </c>
      <c r="N12" s="319"/>
      <c r="O12" s="320"/>
      <c r="P12" s="320"/>
      <c r="Q12" s="321">
        <f>+C12-('Zero Test'!$AI$30+B12*'Zero Test'!$AI$31+B12^2*'Zero Test'!$AI$32+B12^3*'Zero Test'!$AI$33)</f>
        <v>-9.9999999999886291E-3</v>
      </c>
      <c r="R12" s="141"/>
      <c r="S12" s="142"/>
      <c r="T12" s="142"/>
      <c r="U12" s="143">
        <f>+C12-('Zero Test'!$BN$26+B12*'Zero Test'!$BN$27+B12^2*'Zero Test'!$BN$28+B12^3*'Zero Test'!$BN$29+B12^4*'Zero Test'!$BN$30)</f>
        <v>-9.9999999999175748E-3</v>
      </c>
    </row>
    <row r="13" spans="1:21" ht="18" customHeight="1" x14ac:dyDescent="0.2">
      <c r="A13" s="247">
        <v>2</v>
      </c>
      <c r="B13" s="25">
        <f>IF($A13&gt;n,"",+'Zero Test'!C13)</f>
        <v>0</v>
      </c>
      <c r="C13" s="26">
        <f>IF($A13&gt;n,-999,+'Zero Test'!D13)</f>
        <v>0.2</v>
      </c>
      <c r="D13" s="25"/>
      <c r="E13" s="25"/>
      <c r="F13" s="153"/>
      <c r="G13" s="154"/>
      <c r="H13" s="154"/>
      <c r="I13" s="155">
        <f>IF(A13&gt;n,+I12,+C13-('Zero Test'!$P$27+'Zero Test'!$P$28*B13))</f>
        <v>-0.16666666666666713</v>
      </c>
      <c r="J13" s="165"/>
      <c r="K13" s="166"/>
      <c r="L13" s="166"/>
      <c r="M13" s="167">
        <f>IF(A13&gt;n,M12,+C13-('Zero Test'!$Z$30+B13*'Zero Test'!$Z$31+B13^2*'Zero Test'!$Z$32))</f>
        <v>-2.8310687127941492E-15</v>
      </c>
      <c r="N13" s="319"/>
      <c r="O13" s="320"/>
      <c r="P13" s="320"/>
      <c r="Q13" s="321">
        <f>IF(A13&gt;n,Q12,+C13-('Zero Test'!$AI$30+B13*'Zero Test'!$AI$31+B13^2*'Zero Test'!$AI$32+B13^3*'Zero Test'!$AI$33))</f>
        <v>1.1379786002407855E-14</v>
      </c>
      <c r="R13" s="141"/>
      <c r="S13" s="142"/>
      <c r="T13" s="142"/>
      <c r="U13" s="143">
        <f>IF(A13&gt;n,+U12,+C13-('Zero Test'!$BN$26+B13*'Zero Test'!$BN$27+B13^2*'Zero Test'!$BN$28+B13^3*'Zero Test'!$BN$29+B13^4*'Zero Test'!$BN$30))</f>
        <v>8.2434059578417873E-14</v>
      </c>
    </row>
    <row r="14" spans="1:21" ht="18" customHeight="1" x14ac:dyDescent="0.2">
      <c r="A14" s="247">
        <v>3</v>
      </c>
      <c r="B14" s="25">
        <f>IF($A14&gt;n,"",+'Zero Test'!C14)</f>
        <v>0</v>
      </c>
      <c r="C14" s="26">
        <f>IF($A14&gt;n,-999,+'Zero Test'!D14)</f>
        <v>0.21</v>
      </c>
      <c r="D14" s="25"/>
      <c r="E14" s="25"/>
      <c r="F14" s="153"/>
      <c r="G14" s="154"/>
      <c r="H14" s="154"/>
      <c r="I14" s="155">
        <f>IF(A14&gt;n,+I13,+C14-('Zero Test'!$P$27+'Zero Test'!$P$28*B14))</f>
        <v>-0.15666666666666715</v>
      </c>
      <c r="J14" s="165"/>
      <c r="K14" s="166"/>
      <c r="L14" s="166"/>
      <c r="M14" s="167">
        <f>IF(A14&gt;n,M13,+C14-('Zero Test'!$Z$30+B14*'Zero Test'!$Z$31+B14^2*'Zero Test'!$Z$32))</f>
        <v>9.9999999999971501E-3</v>
      </c>
      <c r="N14" s="319"/>
      <c r="O14" s="320"/>
      <c r="P14" s="320"/>
      <c r="Q14" s="321">
        <f>IF(A14&gt;n,Q13,+C14-('Zero Test'!$AI$30+B14*'Zero Test'!$AI$31+B14^2*'Zero Test'!$AI$32+B14^3*'Zero Test'!$AI$33))</f>
        <v>1.0000000000011361E-2</v>
      </c>
      <c r="R14" s="141"/>
      <c r="S14" s="142"/>
      <c r="T14" s="142"/>
      <c r="U14" s="143">
        <f>IF(A14&gt;n,+U13,+C14-('Zero Test'!$BN$26+B14*'Zero Test'!$BN$27+B14^2*'Zero Test'!$BN$28+B14^3*'Zero Test'!$BN$29+B14^4*'Zero Test'!$BN$30))</f>
        <v>1.0000000000082415E-2</v>
      </c>
    </row>
    <row r="15" spans="1:21" ht="18" customHeight="1" x14ac:dyDescent="0.2">
      <c r="A15" s="247">
        <v>4</v>
      </c>
      <c r="B15" s="25">
        <f>IF($A15&gt;n,"",+'Zero Test'!C15)</f>
        <v>1</v>
      </c>
      <c r="C15" s="26">
        <f>IF($A15&gt;n,-999,+'Zero Test'!D15)</f>
        <v>1.1399999999999999</v>
      </c>
      <c r="D15" s="25"/>
      <c r="E15" s="25"/>
      <c r="F15" s="153"/>
      <c r="G15" s="154"/>
      <c r="H15" s="154"/>
      <c r="I15" s="155">
        <f>IF(A15&gt;n,+I14,+C15-('Zero Test'!$P$27+'Zero Test'!$P$28*B15))</f>
        <v>2.333333333333254E-2</v>
      </c>
      <c r="J15" s="165"/>
      <c r="K15" s="166"/>
      <c r="L15" s="166"/>
      <c r="M15" s="167">
        <f>IF(A15&gt;n,M14,+C15-('Zero Test'!$Z$30+B15*'Zero Test'!$Z$31+B15^2*'Zero Test'!$Z$32))</f>
        <v>-1.0000000000003118E-2</v>
      </c>
      <c r="N15" s="319"/>
      <c r="O15" s="320"/>
      <c r="P15" s="320"/>
      <c r="Q15" s="321">
        <f>IF(A15&gt;n,Q14,+C15-('Zero Test'!$AI$30+B15*'Zero Test'!$AI$31+B15^2*'Zero Test'!$AI$32+B15^3*'Zero Test'!$AI$33))</f>
        <v>-1.0000000000108811E-2</v>
      </c>
      <c r="R15" s="141"/>
      <c r="S15" s="142"/>
      <c r="T15" s="142"/>
      <c r="U15" s="143">
        <f>IF(A15&gt;n,+U14,+C15-('Zero Test'!$BN$26+B15*'Zero Test'!$BN$27+B15^2*'Zero Test'!$BN$28+B15^3*'Zero Test'!$BN$29+B15^4*'Zero Test'!$BN$30))</f>
        <v>-9.9999999998849898E-3</v>
      </c>
    </row>
    <row r="16" spans="1:21" ht="18" customHeight="1" x14ac:dyDescent="0.2">
      <c r="A16" s="247">
        <v>5</v>
      </c>
      <c r="B16" s="25">
        <f>IF($A16&gt;n,-999,+'Zero Test'!C16)</f>
        <v>1</v>
      </c>
      <c r="C16" s="26">
        <f>IF($A16&gt;n,-999,+'Zero Test'!D16)</f>
        <v>1.1499999999999999</v>
      </c>
      <c r="D16" s="25"/>
      <c r="E16" s="25"/>
      <c r="F16" s="153"/>
      <c r="G16" s="154"/>
      <c r="H16" s="154"/>
      <c r="I16" s="155">
        <f>IF(A16&gt;n,+I15,+C16-('Zero Test'!$P$27+'Zero Test'!$P$28*B16))</f>
        <v>3.3333333333332549E-2</v>
      </c>
      <c r="J16" s="165"/>
      <c r="K16" s="166"/>
      <c r="L16" s="166"/>
      <c r="M16" s="167">
        <f>IF(A16&gt;n,M15,+C16-('Zero Test'!$Z$30+B16*'Zero Test'!$Z$31+B16^2*'Zero Test'!$Z$32))</f>
        <v>-3.1086244689504383E-15</v>
      </c>
      <c r="N16" s="319"/>
      <c r="O16" s="320"/>
      <c r="P16" s="320"/>
      <c r="Q16" s="321">
        <f>IF(A16&gt;n,Q15,+C16-('Zero Test'!$AI$30+B16*'Zero Test'!$AI$31+B16^2*'Zero Test'!$AI$32+B16^3*'Zero Test'!$AI$33))</f>
        <v>-1.0880185641326534E-13</v>
      </c>
      <c r="R16" s="141"/>
      <c r="S16" s="142"/>
      <c r="T16" s="142"/>
      <c r="U16" s="143">
        <f>IF(A16&gt;n,+U15,+C16-('Zero Test'!$BN$26+B16*'Zero Test'!$BN$27+B16^2*'Zero Test'!$BN$28+B16^3*'Zero Test'!$BN$29+B16^4*'Zero Test'!$BN$30))</f>
        <v>1.1501910535116622E-13</v>
      </c>
    </row>
    <row r="17" spans="1:21" ht="18" customHeight="1" x14ac:dyDescent="0.2">
      <c r="A17" s="247">
        <v>6</v>
      </c>
      <c r="B17" s="25">
        <f>IF($A17&gt;n,-999,+'Zero Test'!C17)</f>
        <v>1</v>
      </c>
      <c r="C17" s="26">
        <f>IF($A17&gt;n,-999,+'Zero Test'!D17)</f>
        <v>1.1599999999999999</v>
      </c>
      <c r="D17" s="25"/>
      <c r="E17" s="25"/>
      <c r="F17" s="153"/>
      <c r="G17" s="154"/>
      <c r="H17" s="154"/>
      <c r="I17" s="155">
        <f>IF(A17&gt;n,+I16,+C17-('Zero Test'!$P$27+'Zero Test'!$P$28*B17))</f>
        <v>4.3333333333332558E-2</v>
      </c>
      <c r="J17" s="165"/>
      <c r="K17" s="166"/>
      <c r="L17" s="166"/>
      <c r="M17" s="167">
        <f>IF(A17&gt;n,M16,+C17-('Zero Test'!$Z$30+B17*'Zero Test'!$Z$31+B17^2*'Zero Test'!$Z$32))</f>
        <v>9.9999999999969003E-3</v>
      </c>
      <c r="N17" s="319"/>
      <c r="O17" s="320"/>
      <c r="P17" s="320"/>
      <c r="Q17" s="321">
        <f>IF(A17&gt;n,Q16,+C17-('Zero Test'!$AI$30+B17*'Zero Test'!$AI$31+B17^2*'Zero Test'!$AI$32+B17^3*'Zero Test'!$AI$33))</f>
        <v>9.999999999891207E-3</v>
      </c>
      <c r="R17" s="141"/>
      <c r="S17" s="142"/>
      <c r="T17" s="142"/>
      <c r="U17" s="143">
        <f>IF(A17&gt;n,+U16,+C17-('Zero Test'!$BN$26+B17*'Zero Test'!$BN$27+B17^2*'Zero Test'!$BN$28+B17^3*'Zero Test'!$BN$29+B17^4*'Zero Test'!$BN$30))</f>
        <v>1.0000000000115028E-2</v>
      </c>
    </row>
    <row r="18" spans="1:21" ht="18" customHeight="1" x14ac:dyDescent="0.2">
      <c r="A18" s="247">
        <v>7</v>
      </c>
      <c r="B18" s="25">
        <f>IF($A18&gt;n,-999,+'Zero Test'!C18)</f>
        <v>2</v>
      </c>
      <c r="C18" s="26">
        <f>IF($A18&gt;n,-999,+'Zero Test'!D18)</f>
        <v>1.99</v>
      </c>
      <c r="D18" s="25"/>
      <c r="E18" s="25"/>
      <c r="F18" s="153"/>
      <c r="G18" s="154"/>
      <c r="H18" s="154"/>
      <c r="I18" s="155">
        <f>IF(A18&gt;n,+I17,+C18-('Zero Test'!$P$27+'Zero Test'!$P$28*B18))</f>
        <v>0.12333333333333241</v>
      </c>
      <c r="J18" s="165"/>
      <c r="K18" s="166"/>
      <c r="L18" s="166"/>
      <c r="M18" s="167">
        <f>IF(A18&gt;n,M17,+C18-('Zero Test'!$Z$30+B18*'Zero Test'!$Z$31+B18^2*'Zero Test'!$Z$32))</f>
        <v>-1.0000000000003562E-2</v>
      </c>
      <c r="N18" s="319"/>
      <c r="O18" s="320"/>
      <c r="P18" s="320"/>
      <c r="Q18" s="321">
        <f>IF(A18&gt;n,Q17,+C18-('Zero Test'!$AI$30+B18*'Zero Test'!$AI$31+B18^2*'Zero Test'!$AI$32+B18^3*'Zero Test'!$AI$33))</f>
        <v>-1.0000000000255804E-2</v>
      </c>
      <c r="R18" s="141"/>
      <c r="S18" s="142"/>
      <c r="T18" s="142"/>
      <c r="U18" s="143">
        <f>IF(A18&gt;n,+U17,+C18-('Zero Test'!$BN$26+B18*'Zero Test'!$BN$27+B18^2*'Zero Test'!$BN$28+B18^3*'Zero Test'!$BN$29+B18^4*'Zero Test'!$BN$30))</f>
        <v>-1.0000000000213172E-2</v>
      </c>
    </row>
    <row r="19" spans="1:21" ht="18" customHeight="1" x14ac:dyDescent="0.2">
      <c r="A19" s="247">
        <v>8</v>
      </c>
      <c r="B19" s="25">
        <f>IF($A19&gt;n,-999,+'Zero Test'!C19)</f>
        <v>2</v>
      </c>
      <c r="C19" s="26">
        <f>IF($A19&gt;n,-999,+'Zero Test'!D19)</f>
        <v>2</v>
      </c>
      <c r="D19" s="25"/>
      <c r="E19" s="25"/>
      <c r="F19" s="153"/>
      <c r="G19" s="154"/>
      <c r="H19" s="154"/>
      <c r="I19" s="155">
        <f>IF(A19&gt;n,+I18,+C19-('Zero Test'!$P$27+'Zero Test'!$P$28*B19))</f>
        <v>0.13333333333333242</v>
      </c>
      <c r="J19" s="165"/>
      <c r="K19" s="166"/>
      <c r="L19" s="166"/>
      <c r="M19" s="167">
        <f>IF(A19&gt;n,M18,+C19-('Zero Test'!$Z$30+B19*'Zero Test'!$Z$31+B19^2*'Zero Test'!$Z$32))</f>
        <v>-3.5527136788005009E-15</v>
      </c>
      <c r="N19" s="319"/>
      <c r="O19" s="320"/>
      <c r="P19" s="320"/>
      <c r="Q19" s="321">
        <f>IF(A19&gt;n,Q18,+C19-('Zero Test'!$AI$30+B19*'Zero Test'!$AI$31+B19^2*'Zero Test'!$AI$32+B19^3*'Zero Test'!$AI$33))</f>
        <v>-2.5579538487363607E-13</v>
      </c>
      <c r="R19" s="141"/>
      <c r="S19" s="142"/>
      <c r="T19" s="142"/>
      <c r="U19" s="143">
        <f>IF(A19&gt;n,+U18,+C19-('Zero Test'!$BN$26+B19*'Zero Test'!$BN$27+B19^2*'Zero Test'!$BN$28+B19^3*'Zero Test'!$BN$29+B19^4*'Zero Test'!$BN$30))</f>
        <v>-2.1316282072803006E-13</v>
      </c>
    </row>
    <row r="20" spans="1:21" ht="18" customHeight="1" x14ac:dyDescent="0.2">
      <c r="A20" s="247">
        <v>9</v>
      </c>
      <c r="B20" s="25">
        <f>IF($A20&gt;n,-999,+'Zero Test'!C20)</f>
        <v>2</v>
      </c>
      <c r="C20" s="26">
        <f>IF($A20&gt;n,-999,+'Zero Test'!D20)</f>
        <v>2.0099999999999998</v>
      </c>
      <c r="D20" s="25"/>
      <c r="E20" s="25"/>
      <c r="F20" s="153"/>
      <c r="G20" s="154"/>
      <c r="H20" s="154"/>
      <c r="I20" s="155">
        <f>IF(A20&gt;n,+I19,+C20-('Zero Test'!$P$27+'Zero Test'!$P$28*B20))</f>
        <v>0.1433333333333322</v>
      </c>
      <c r="J20" s="165"/>
      <c r="K20" s="166"/>
      <c r="L20" s="166"/>
      <c r="M20" s="167">
        <f>IF(A20&gt;n,M19,+C20-('Zero Test'!$Z$30+B20*'Zero Test'!$Z$31+B20^2*'Zero Test'!$Z$32))</f>
        <v>9.9999999999962341E-3</v>
      </c>
      <c r="N20" s="319"/>
      <c r="O20" s="320"/>
      <c r="P20" s="320"/>
      <c r="Q20" s="321">
        <f>IF(A20&gt;n,Q19,+C20-('Zero Test'!$AI$30+B20*'Zero Test'!$AI$31+B20^2*'Zero Test'!$AI$32+B20^3*'Zero Test'!$AI$33))</f>
        <v>9.9999999997439915E-3</v>
      </c>
      <c r="R20" s="141"/>
      <c r="S20" s="142"/>
      <c r="T20" s="142"/>
      <c r="U20" s="143">
        <f>IF(A20&gt;n,+U19,+C20-('Zero Test'!$BN$26+B20*'Zero Test'!$BN$27+B20^2*'Zero Test'!$BN$28+B20^3*'Zero Test'!$BN$29+B20^4*'Zero Test'!$BN$30))</f>
        <v>9.999999999786624E-3</v>
      </c>
    </row>
    <row r="21" spans="1:21" ht="18" customHeight="1" x14ac:dyDescent="0.2">
      <c r="A21" s="247">
        <v>10</v>
      </c>
      <c r="B21" s="25">
        <f>IF($A21&gt;n,-999,+'Zero Test'!C21)</f>
        <v>3</v>
      </c>
      <c r="C21" s="26">
        <f>IF($A21&gt;n,-999,+'Zero Test'!D21)</f>
        <v>2.74</v>
      </c>
      <c r="D21" s="25"/>
      <c r="E21" s="25"/>
      <c r="F21" s="153"/>
      <c r="G21" s="154"/>
      <c r="H21" s="154"/>
      <c r="I21" s="155">
        <f>IF(A21&gt;n,+I20,+C21-('Zero Test'!$P$27+'Zero Test'!$P$28*B21))</f>
        <v>0.12333333333333218</v>
      </c>
      <c r="J21" s="165"/>
      <c r="K21" s="166"/>
      <c r="L21" s="166"/>
      <c r="M21" s="167">
        <f>IF(A21&gt;n,M20,+C21-('Zero Test'!$Z$30+B21*'Zero Test'!$Z$31+B21^2*'Zero Test'!$Z$32))</f>
        <v>-1.0000000000004228E-2</v>
      </c>
      <c r="N21" s="319"/>
      <c r="O21" s="320"/>
      <c r="P21" s="320"/>
      <c r="Q21" s="321">
        <f>IF(A21&gt;n,Q20,+C21-('Zero Test'!$AI$30+B21*'Zero Test'!$AI$31+B21^2*'Zero Test'!$AI$32+B21^3*'Zero Test'!$AI$33))</f>
        <v>-1.0000000000450981E-2</v>
      </c>
      <c r="R21" s="141"/>
      <c r="S21" s="142"/>
      <c r="T21" s="142"/>
      <c r="U21" s="143">
        <f>IF(A21&gt;n,+U20,+C21-('Zero Test'!$BN$26+B21*'Zero Test'!$BN$27+B21^2*'Zero Test'!$BN$28+B21^3*'Zero Test'!$BN$29+B21^4*'Zero Test'!$BN$30))</f>
        <v>-1.0000000001157971E-2</v>
      </c>
    </row>
    <row r="22" spans="1:21" ht="18" customHeight="1" x14ac:dyDescent="0.2">
      <c r="A22" s="247">
        <v>11</v>
      </c>
      <c r="B22" s="25">
        <f>IF($A22&gt;n,-999,+'Zero Test'!C22)</f>
        <v>3</v>
      </c>
      <c r="C22" s="26">
        <f>IF($A22&gt;n,-999,+'Zero Test'!D22)</f>
        <v>2.75</v>
      </c>
      <c r="D22" s="25"/>
      <c r="E22" s="25"/>
      <c r="F22" s="153"/>
      <c r="G22" s="154"/>
      <c r="H22" s="154"/>
      <c r="I22" s="155">
        <f>IF(A22&gt;n,+I21,+C22-('Zero Test'!$P$27+'Zero Test'!$P$28*B22))</f>
        <v>0.13333333333333197</v>
      </c>
      <c r="J22" s="165"/>
      <c r="K22" s="166"/>
      <c r="L22" s="166"/>
      <c r="M22" s="167">
        <f>IF(A22&gt;n,M21,+C22-('Zero Test'!$Z$30+B22*'Zero Test'!$Z$31+B22^2*'Zero Test'!$Z$32))</f>
        <v>-4.4408920985006262E-15</v>
      </c>
      <c r="N22" s="319"/>
      <c r="O22" s="320"/>
      <c r="P22" s="320"/>
      <c r="Q22" s="321">
        <f>IF(A22&gt;n,Q21,+C22-('Zero Test'!$AI$30+B22*'Zero Test'!$AI$31+B22^2*'Zero Test'!$AI$32+B22^3*'Zero Test'!$AI$33))</f>
        <v>-4.5119463720766362E-13</v>
      </c>
      <c r="R22" s="141"/>
      <c r="S22" s="142"/>
      <c r="T22" s="142"/>
      <c r="U22" s="143">
        <f>IF(A22&gt;n,+U21,+C22-('Zero Test'!$BN$26+B22*'Zero Test'!$BN$27+B22^2*'Zero Test'!$BN$28+B22^3*'Zero Test'!$BN$29+B22^4*'Zero Test'!$BN$30))</f>
        <v>-1.1581846592889633E-12</v>
      </c>
    </row>
    <row r="23" spans="1:21" ht="18" customHeight="1" x14ac:dyDescent="0.2">
      <c r="A23" s="247">
        <v>12</v>
      </c>
      <c r="B23" s="25">
        <f>IF($A23&gt;n,-999,+'Zero Test'!C23)</f>
        <v>3</v>
      </c>
      <c r="C23" s="26">
        <f>IF($A23&gt;n,-999,+'Zero Test'!D23)</f>
        <v>2.76</v>
      </c>
      <c r="D23" s="25"/>
      <c r="E23" s="25"/>
      <c r="F23" s="153"/>
      <c r="G23" s="154"/>
      <c r="H23" s="154"/>
      <c r="I23" s="155">
        <f>IF(A23&gt;n,+I22,+C23-('Zero Test'!$P$27+'Zero Test'!$P$28*B23))</f>
        <v>0.14333333333333176</v>
      </c>
      <c r="J23" s="165"/>
      <c r="K23" s="166"/>
      <c r="L23" s="166"/>
      <c r="M23" s="167">
        <f>IF(A23&gt;n,M22,+C23-('Zero Test'!$Z$30+B23*'Zero Test'!$Z$31+B23^2*'Zero Test'!$Z$32))</f>
        <v>9.9999999999953459E-3</v>
      </c>
      <c r="N23" s="319"/>
      <c r="O23" s="320"/>
      <c r="P23" s="320"/>
      <c r="Q23" s="321">
        <f>IF(A23&gt;n,Q22,+C23-('Zero Test'!$AI$30+B23*'Zero Test'!$AI$31+B23^2*'Zero Test'!$AI$32+B23^3*'Zero Test'!$AI$33))</f>
        <v>9.9999999995485922E-3</v>
      </c>
      <c r="R23" s="141"/>
      <c r="S23" s="142"/>
      <c r="T23" s="142"/>
      <c r="U23" s="143">
        <f>IF(A23&gt;n,+U22,+C23-('Zero Test'!$BN$26+B23*'Zero Test'!$BN$27+B23^2*'Zero Test'!$BN$28+B23^3*'Zero Test'!$BN$29+B23^4*'Zero Test'!$BN$30))</f>
        <v>9.9999999988416022E-3</v>
      </c>
    </row>
    <row r="24" spans="1:21" ht="18" customHeight="1" x14ac:dyDescent="0.2">
      <c r="A24" s="247">
        <v>13</v>
      </c>
      <c r="B24" s="25">
        <f>IF($A24&gt;n,-999,+'Zero Test'!C24)</f>
        <v>4</v>
      </c>
      <c r="C24" s="26">
        <f>IF($A24&gt;n,-999,+'Zero Test'!D24)</f>
        <v>3.39</v>
      </c>
      <c r="D24" s="25"/>
      <c r="E24" s="25"/>
      <c r="F24" s="153"/>
      <c r="G24" s="154"/>
      <c r="H24" s="154"/>
      <c r="I24" s="155">
        <f>IF(A24&gt;n,+I23,+C24-('Zero Test'!$P$27+'Zero Test'!$P$28*B24))</f>
        <v>2.3333333333332096E-2</v>
      </c>
      <c r="J24" s="165"/>
      <c r="K24" s="166"/>
      <c r="L24" s="166"/>
      <c r="M24" s="167">
        <f>IF(A24&gt;n,M23,+C24-('Zero Test'!$Z$30+B24*'Zero Test'!$Z$31+B24^2*'Zero Test'!$Z$32))</f>
        <v>-1.000000000000556E-2</v>
      </c>
      <c r="N24" s="319"/>
      <c r="O24" s="320"/>
      <c r="P24" s="320"/>
      <c r="Q24" s="321">
        <f>IF(A24&gt;n,Q23,+C24-('Zero Test'!$AI$30+B24*'Zero Test'!$AI$31+B24^2*'Zero Test'!$AI$32+B24^3*'Zero Test'!$AI$33))</f>
        <v>-1.0000000000716103E-2</v>
      </c>
      <c r="R24" s="141"/>
      <c r="S24" s="142"/>
      <c r="T24" s="142"/>
      <c r="U24" s="143">
        <f>IF(A24&gt;n,+U23,+C24-('Zero Test'!$BN$26+B24*'Zero Test'!$BN$27+B24^2*'Zero Test'!$BN$28+B24^3*'Zero Test'!$BN$29+B24^4*'Zero Test'!$BN$30))</f>
        <v>-1.0000000002464038E-2</v>
      </c>
    </row>
    <row r="25" spans="1:21" ht="18" customHeight="1" x14ac:dyDescent="0.2">
      <c r="A25" s="247">
        <v>14</v>
      </c>
      <c r="B25" s="25">
        <f>IF($A25&gt;n,-999,+'Zero Test'!C25)</f>
        <v>4</v>
      </c>
      <c r="C25" s="26">
        <f>IF($A25&gt;n,-999,+'Zero Test'!D25)</f>
        <v>3.4</v>
      </c>
      <c r="D25" s="25"/>
      <c r="E25" s="25"/>
      <c r="F25" s="153"/>
      <c r="G25" s="154"/>
      <c r="H25" s="154"/>
      <c r="I25" s="155">
        <f>IF(A25&gt;n,+I24,+C25-('Zero Test'!$P$27+'Zero Test'!$P$28*B25))</f>
        <v>3.3333333333331883E-2</v>
      </c>
      <c r="J25" s="165"/>
      <c r="K25" s="166"/>
      <c r="L25" s="166"/>
      <c r="M25" s="167">
        <f>IF(A25&gt;n,M24,+C25-('Zero Test'!$Z$30+B25*'Zero Test'!$Z$31+B25^2*'Zero Test'!$Z$32))</f>
        <v>-5.773159728050814E-15</v>
      </c>
      <c r="N25" s="319"/>
      <c r="O25" s="320"/>
      <c r="P25" s="320"/>
      <c r="Q25" s="321">
        <f>IF(A25&gt;n,Q24,+C25-('Zero Test'!$AI$30+B25*'Zero Test'!$AI$31+B25^2*'Zero Test'!$AI$32+B25^3*'Zero Test'!$AI$33))</f>
        <v>-7.16315895488151E-13</v>
      </c>
      <c r="R25" s="141"/>
      <c r="S25" s="142"/>
      <c r="T25" s="142"/>
      <c r="U25" s="143">
        <f>IF(A25&gt;n,+U24,+C25-('Zero Test'!$BN$26+B25*'Zero Test'!$BN$27+B25^2*'Zero Test'!$BN$28+B25^3*'Zero Test'!$BN$29+B25^4*'Zero Test'!$BN$30))</f>
        <v>-2.4642510254579975E-12</v>
      </c>
    </row>
    <row r="26" spans="1:21" ht="18" customHeight="1" x14ac:dyDescent="0.2">
      <c r="A26" s="247">
        <v>15</v>
      </c>
      <c r="B26" s="25">
        <f>IF($A26&gt;n,-999,+'Zero Test'!C26)</f>
        <v>4</v>
      </c>
      <c r="C26" s="26">
        <f>IF($A26&gt;n,-999,+'Zero Test'!D26)</f>
        <v>3.41</v>
      </c>
      <c r="D26" s="25"/>
      <c r="E26" s="25"/>
      <c r="F26" s="153"/>
      <c r="G26" s="154"/>
      <c r="H26" s="154"/>
      <c r="I26" s="155">
        <f>IF(A26&gt;n,+I25,+C26-('Zero Test'!$P$27+'Zero Test'!$P$28*B26))</f>
        <v>4.3333333333332114E-2</v>
      </c>
      <c r="J26" s="165"/>
      <c r="K26" s="166"/>
      <c r="L26" s="166"/>
      <c r="M26" s="167">
        <f>IF(A26&gt;n,M25,+C26-('Zero Test'!$Z$30+B26*'Zero Test'!$Z$31+B26^2*'Zero Test'!$Z$32))</f>
        <v>9.9999999999944578E-3</v>
      </c>
      <c r="N26" s="319"/>
      <c r="O26" s="320"/>
      <c r="P26" s="320"/>
      <c r="Q26" s="321">
        <f>IF(A26&gt;n,Q25,+C26-('Zero Test'!$AI$30+B26*'Zero Test'!$AI$31+B26^2*'Zero Test'!$AI$32+B26^3*'Zero Test'!$AI$33))</f>
        <v>9.999999999283915E-3</v>
      </c>
      <c r="R26" s="141"/>
      <c r="S26" s="142"/>
      <c r="T26" s="142"/>
      <c r="U26" s="143">
        <f>IF(A26&gt;n,+U25,+C26-('Zero Test'!$BN$26+B26*'Zero Test'!$BN$27+B26^2*'Zero Test'!$BN$28+B26^3*'Zero Test'!$BN$29+B26^4*'Zero Test'!$BN$30))</f>
        <v>9.9999999975359799E-3</v>
      </c>
    </row>
    <row r="27" spans="1:21" ht="18" customHeight="1" x14ac:dyDescent="0.2">
      <c r="A27" s="247">
        <v>16</v>
      </c>
      <c r="B27" s="25">
        <f>IF($A27&gt;n,-999,+'Zero Test'!C27)</f>
        <v>5</v>
      </c>
      <c r="C27" s="26">
        <f>IF($A27&gt;n,-999,+'Zero Test'!D27)</f>
        <v>3.94</v>
      </c>
      <c r="D27" s="25"/>
      <c r="E27" s="25"/>
      <c r="F27" s="153"/>
      <c r="G27" s="154"/>
      <c r="H27" s="154"/>
      <c r="I27" s="155">
        <f>IF(A27&gt;n,+I26,+C27-('Zero Test'!$P$27+'Zero Test'!$P$28*B27))</f>
        <v>-0.17666666666666808</v>
      </c>
      <c r="J27" s="165"/>
      <c r="K27" s="166"/>
      <c r="L27" s="166"/>
      <c r="M27" s="167">
        <f>IF(A27&gt;n,M26,+C27-('Zero Test'!$Z$30+B27*'Zero Test'!$Z$31+B27^2*'Zero Test'!$Z$32))</f>
        <v>-1.0000000000007336E-2</v>
      </c>
      <c r="N27" s="319"/>
      <c r="O27" s="320"/>
      <c r="P27" s="320"/>
      <c r="Q27" s="321">
        <f>IF(A27&gt;n,Q26,+C27-('Zero Test'!$AI$30+B27*'Zero Test'!$AI$31+B27^2*'Zero Test'!$AI$32+B27^3*'Zero Test'!$AI$33))</f>
        <v>-1.0000000001072262E-2</v>
      </c>
      <c r="R27" s="141"/>
      <c r="S27" s="142"/>
      <c r="T27" s="142"/>
      <c r="U27" s="143">
        <f>IF(A27&gt;n,+U26,+C27-('Zero Test'!$BN$26+B27*'Zero Test'!$BN$27+B27^2*'Zero Test'!$BN$28+B27^3*'Zero Test'!$BN$29+B27^4*'Zero Test'!$BN$30))</f>
        <v>-1.0000000003363763E-2</v>
      </c>
    </row>
    <row r="28" spans="1:21" ht="18" customHeight="1" x14ac:dyDescent="0.2">
      <c r="A28" s="247">
        <v>17</v>
      </c>
      <c r="B28" s="25">
        <f>IF($A28&gt;n,-999,+'Zero Test'!C28)</f>
        <v>5</v>
      </c>
      <c r="C28" s="26">
        <f>IF($A28&gt;n,-999,+'Zero Test'!D28)</f>
        <v>3.95</v>
      </c>
      <c r="D28" s="25"/>
      <c r="E28" s="25"/>
      <c r="F28" s="153"/>
      <c r="G28" s="154"/>
      <c r="H28" s="154"/>
      <c r="I28" s="155">
        <f>IF(A28&gt;n,+I27,+C28-('Zero Test'!$P$27+'Zero Test'!$P$28*B28))</f>
        <v>-0.16666666666666785</v>
      </c>
      <c r="J28" s="165"/>
      <c r="K28" s="166"/>
      <c r="L28" s="166"/>
      <c r="M28" s="167">
        <f>IF(A28&gt;n,M27,+C28-('Zero Test'!$Z$30+B28*'Zero Test'!$Z$31+B28^2*'Zero Test'!$Z$32))</f>
        <v>-7.1054273576010019E-15</v>
      </c>
      <c r="N28" s="319"/>
      <c r="O28" s="320"/>
      <c r="P28" s="320"/>
      <c r="Q28" s="321">
        <f>IF(A28&gt;n,Q27,+C28-('Zero Test'!$AI$30+B28*'Zero Test'!$AI$31+B28^2*'Zero Test'!$AI$32+B28^3*'Zero Test'!$AI$33))</f>
        <v>-1.0720313525780512E-12</v>
      </c>
      <c r="R28" s="141"/>
      <c r="S28" s="142"/>
      <c r="T28" s="142"/>
      <c r="U28" s="143">
        <f>IF(A28&gt;n,+U27,+C28-('Zero Test'!$BN$26+B28*'Zero Test'!$BN$27+B28^2*'Zero Test'!$BN$28+B28^3*'Zero Test'!$BN$29+B28^4*'Zero Test'!$BN$30))</f>
        <v>-3.3635316754043743E-12</v>
      </c>
    </row>
    <row r="29" spans="1:21" ht="18" customHeight="1" x14ac:dyDescent="0.2">
      <c r="A29" s="247">
        <v>18</v>
      </c>
      <c r="B29" s="25">
        <f>IF($A29&gt;n,-999,+'Zero Test'!C29)</f>
        <v>5</v>
      </c>
      <c r="C29" s="26">
        <f>IF($A29&gt;n,-999,+'Zero Test'!D29)</f>
        <v>3.96</v>
      </c>
      <c r="D29" s="25"/>
      <c r="E29" s="25"/>
      <c r="F29" s="153"/>
      <c r="G29" s="154"/>
      <c r="H29" s="154"/>
      <c r="I29" s="155">
        <f>IF(A29&gt;n,+I28,+C29-('Zero Test'!$P$27+'Zero Test'!$P$28*B29))</f>
        <v>-0.15666666666666806</v>
      </c>
      <c r="J29" s="165"/>
      <c r="K29" s="166"/>
      <c r="L29" s="166"/>
      <c r="M29" s="167">
        <f>IF(A29&gt;n,M28,+C29-('Zero Test'!$Z$30+B29*'Zero Test'!$Z$31+B29^2*'Zero Test'!$Z$32))</f>
        <v>9.9999999999926814E-3</v>
      </c>
      <c r="N29" s="319"/>
      <c r="O29" s="320"/>
      <c r="P29" s="320"/>
      <c r="Q29" s="321">
        <f>IF(A29&gt;n,Q28,+C29-('Zero Test'!$AI$30+B29*'Zero Test'!$AI$31+B29^2*'Zero Test'!$AI$32+B29^3*'Zero Test'!$AI$33))</f>
        <v>9.9999999989277555E-3</v>
      </c>
      <c r="R29" s="141"/>
      <c r="S29" s="142"/>
      <c r="T29" s="142"/>
      <c r="U29" s="143">
        <f>IF(A29&gt;n,+U28,+C29-('Zero Test'!$BN$26+B29*'Zero Test'!$BN$27+B29^2*'Zero Test'!$BN$28+B29^3*'Zero Test'!$BN$29+B29^4*'Zero Test'!$BN$30))</f>
        <v>9.9999999966362552E-3</v>
      </c>
    </row>
    <row r="30" spans="1:21" ht="18" customHeight="1" x14ac:dyDescent="0.2">
      <c r="A30" s="247">
        <v>19</v>
      </c>
      <c r="B30" s="25">
        <f>IF($A30&gt;n,-999,+'Zero Test'!C30)</f>
        <v>-999</v>
      </c>
      <c r="C30" s="26">
        <f>IF($A30&gt;n,-999,+'Zero Test'!D30)</f>
        <v>-999</v>
      </c>
      <c r="D30" s="25"/>
      <c r="E30" s="25"/>
      <c r="F30" s="153"/>
      <c r="G30" s="154"/>
      <c r="H30" s="154"/>
      <c r="I30" s="155">
        <f>IF(A30&gt;n,+I29,+C30-('Zero Test'!$P$27+'Zero Test'!$P$28*B30))</f>
        <v>-0.15666666666666806</v>
      </c>
      <c r="J30" s="165"/>
      <c r="K30" s="166"/>
      <c r="L30" s="166"/>
      <c r="M30" s="167">
        <f>IF(A30&gt;n,M29,+C30-('Zero Test'!$Z$30+B30*'Zero Test'!$Z$31+B30^2*'Zero Test'!$Z$32))</f>
        <v>9.9999999999926814E-3</v>
      </c>
      <c r="N30" s="319"/>
      <c r="O30" s="320"/>
      <c r="P30" s="320"/>
      <c r="Q30" s="321">
        <f>IF(A30&gt;n,Q29,+C30-('Zero Test'!$AI$30+B30*'Zero Test'!$AI$31+B30^2*'Zero Test'!$AI$32+B30^3*'Zero Test'!$AI$33))</f>
        <v>9.9999999989277555E-3</v>
      </c>
      <c r="R30" s="141"/>
      <c r="S30" s="142"/>
      <c r="T30" s="142"/>
      <c r="U30" s="143">
        <f>IF(A30&gt;n,+U29,+C30-('Zero Test'!$BN$26+B30*'Zero Test'!$BN$27+B30^2*'Zero Test'!$BN$28+B30^3*'Zero Test'!$BN$29+B30^4*'Zero Test'!$BN$30))</f>
        <v>9.9999999966362552E-3</v>
      </c>
    </row>
    <row r="31" spans="1:21" ht="18" customHeight="1" x14ac:dyDescent="0.2">
      <c r="A31" s="247">
        <v>20</v>
      </c>
      <c r="B31" s="25">
        <f>IF($A31&gt;n,-999,+'Zero Test'!C31)</f>
        <v>-999</v>
      </c>
      <c r="C31" s="26">
        <f>IF($A31&gt;n,-999,+'Zero Test'!D31)</f>
        <v>-999</v>
      </c>
      <c r="D31" s="25"/>
      <c r="E31" s="25"/>
      <c r="F31" s="153"/>
      <c r="G31" s="154"/>
      <c r="H31" s="154"/>
      <c r="I31" s="155">
        <f>IF(A31&gt;n,+I30,+C31-('Zero Test'!$P$27+'Zero Test'!$P$28*B31))</f>
        <v>-0.15666666666666806</v>
      </c>
      <c r="J31" s="165"/>
      <c r="K31" s="166"/>
      <c r="L31" s="166"/>
      <c r="M31" s="167">
        <f>IF(A31&gt;n,M30,+C31-('Zero Test'!$Z$30+B31*'Zero Test'!$Z$31+B31^2*'Zero Test'!$Z$32))</f>
        <v>9.9999999999926814E-3</v>
      </c>
      <c r="N31" s="319"/>
      <c r="O31" s="320"/>
      <c r="P31" s="320"/>
      <c r="Q31" s="321">
        <f>IF(A31&gt;n,Q30,+C31-('Zero Test'!$AI$30+B31*'Zero Test'!$AI$31+B31^2*'Zero Test'!$AI$32+B31^3*'Zero Test'!$AI$33))</f>
        <v>9.9999999989277555E-3</v>
      </c>
      <c r="R31" s="141"/>
      <c r="S31" s="142"/>
      <c r="T31" s="142"/>
      <c r="U31" s="143">
        <f>IF(A31&gt;n,+U30,+C31-('Zero Test'!$BN$26+B31*'Zero Test'!$BN$27+B31^2*'Zero Test'!$BN$28+B31^3*'Zero Test'!$BN$29+B31^4*'Zero Test'!$BN$30))</f>
        <v>9.9999999966362552E-3</v>
      </c>
    </row>
    <row r="32" spans="1:21" ht="18" customHeight="1" x14ac:dyDescent="0.2">
      <c r="A32" s="247">
        <v>21</v>
      </c>
      <c r="B32" s="25">
        <f>IF($A32&gt;n,-999,+'Zero Test'!C32)</f>
        <v>-999</v>
      </c>
      <c r="C32" s="26">
        <f>IF($A32&gt;n,-999,+'Zero Test'!D32)</f>
        <v>-999</v>
      </c>
      <c r="D32" s="25"/>
      <c r="E32" s="25"/>
      <c r="F32" s="153"/>
      <c r="G32" s="154"/>
      <c r="H32" s="154"/>
      <c r="I32" s="155">
        <f>IF(A32&gt;n,+I31,+C32-('Zero Test'!$P$27+'Zero Test'!$P$28*B32))</f>
        <v>-0.15666666666666806</v>
      </c>
      <c r="J32" s="165"/>
      <c r="K32" s="166"/>
      <c r="L32" s="166"/>
      <c r="M32" s="167">
        <f>IF(A32&gt;n,M31,+C32-('Zero Test'!$Z$30+B32*'Zero Test'!$Z$31+B32^2*'Zero Test'!$Z$32))</f>
        <v>9.9999999999926814E-3</v>
      </c>
      <c r="N32" s="319"/>
      <c r="O32" s="320"/>
      <c r="P32" s="320"/>
      <c r="Q32" s="321">
        <f>IF(A32&gt;n,Q31,+C32-('Zero Test'!$AI$30+B32*'Zero Test'!$AI$31+B32^2*'Zero Test'!$AI$32+B32^3*'Zero Test'!$AI$33))</f>
        <v>9.9999999989277555E-3</v>
      </c>
      <c r="R32" s="141"/>
      <c r="S32" s="142"/>
      <c r="T32" s="142"/>
      <c r="U32" s="143">
        <f>IF(A32&gt;n,+U31,+C32-('Zero Test'!$BN$26+B32*'Zero Test'!$BN$27+B32^2*'Zero Test'!$BN$28+B32^3*'Zero Test'!$BN$29+B32^4*'Zero Test'!$BN$30))</f>
        <v>9.9999999966362552E-3</v>
      </c>
    </row>
    <row r="33" spans="1:21" ht="18" customHeight="1" x14ac:dyDescent="0.2">
      <c r="A33" s="247">
        <v>22</v>
      </c>
      <c r="B33" s="25">
        <f>IF($A33&gt;n,-999,+'Zero Test'!C33)</f>
        <v>-999</v>
      </c>
      <c r="C33" s="26">
        <f>IF($A33&gt;n,-999,+'Zero Test'!D33)</f>
        <v>-999</v>
      </c>
      <c r="D33" s="25"/>
      <c r="E33" s="25"/>
      <c r="F33" s="153"/>
      <c r="G33" s="154"/>
      <c r="H33" s="154"/>
      <c r="I33" s="155">
        <f>IF(A33&gt;n,+I32,+C33-('Zero Test'!$P$27+'Zero Test'!$P$28*B33))</f>
        <v>-0.15666666666666806</v>
      </c>
      <c r="J33" s="165"/>
      <c r="K33" s="166"/>
      <c r="L33" s="166"/>
      <c r="M33" s="167">
        <f>IF(A33&gt;n,M32,+C33-('Zero Test'!$Z$30+B33*'Zero Test'!$Z$31+B33^2*'Zero Test'!$Z$32))</f>
        <v>9.9999999999926814E-3</v>
      </c>
      <c r="N33" s="319"/>
      <c r="O33" s="320"/>
      <c r="P33" s="320"/>
      <c r="Q33" s="321">
        <f>IF(A33&gt;n,Q32,+C33-('Zero Test'!$AI$30+B33*'Zero Test'!$AI$31+B33^2*'Zero Test'!$AI$32+B33^3*'Zero Test'!$AI$33))</f>
        <v>9.9999999989277555E-3</v>
      </c>
      <c r="R33" s="141"/>
      <c r="S33" s="142"/>
      <c r="T33" s="142"/>
      <c r="U33" s="143">
        <f>IF(A33&gt;n,+U32,+C33-('Zero Test'!$BN$26+B33*'Zero Test'!$BN$27+B33^2*'Zero Test'!$BN$28+B33^3*'Zero Test'!$BN$29+B33^4*'Zero Test'!$BN$30))</f>
        <v>9.9999999966362552E-3</v>
      </c>
    </row>
    <row r="34" spans="1:21" ht="18" customHeight="1" x14ac:dyDescent="0.2">
      <c r="A34" s="247">
        <v>23</v>
      </c>
      <c r="B34" s="25">
        <f>IF($A34&gt;n,-999,+'Zero Test'!C34)</f>
        <v>-999</v>
      </c>
      <c r="C34" s="26">
        <f>IF($A34&gt;n,-999,+'Zero Test'!D34)</f>
        <v>-999</v>
      </c>
      <c r="D34" s="25"/>
      <c r="E34" s="25"/>
      <c r="F34" s="153"/>
      <c r="G34" s="154"/>
      <c r="H34" s="154"/>
      <c r="I34" s="155">
        <f>IF(A34&gt;n,+I33,+C34-('Zero Test'!$P$27+'Zero Test'!$P$28*B34))</f>
        <v>-0.15666666666666806</v>
      </c>
      <c r="J34" s="165"/>
      <c r="K34" s="166"/>
      <c r="L34" s="166"/>
      <c r="M34" s="167">
        <f>IF(A34&gt;n,M33,+C34-('Zero Test'!$Z$30+B34*'Zero Test'!$Z$31+B34^2*'Zero Test'!$Z$32))</f>
        <v>9.9999999999926814E-3</v>
      </c>
      <c r="N34" s="319"/>
      <c r="O34" s="320"/>
      <c r="P34" s="320"/>
      <c r="Q34" s="321">
        <f>IF(A34&gt;n,Q33,+C34-('Zero Test'!$AI$30+B34*'Zero Test'!$AI$31+B34^2*'Zero Test'!$AI$32+B34^3*'Zero Test'!$AI$33))</f>
        <v>9.9999999989277555E-3</v>
      </c>
      <c r="R34" s="141"/>
      <c r="S34" s="142"/>
      <c r="T34" s="142"/>
      <c r="U34" s="143">
        <f>IF(A34&gt;n,+U33,+C34-('Zero Test'!$BN$26+B34*'Zero Test'!$BN$27+B34^2*'Zero Test'!$BN$28+B34^3*'Zero Test'!$BN$29+B34^4*'Zero Test'!$BN$30))</f>
        <v>9.9999999966362552E-3</v>
      </c>
    </row>
    <row r="35" spans="1:21" ht="18" customHeight="1" x14ac:dyDescent="0.2">
      <c r="A35" s="247">
        <v>24</v>
      </c>
      <c r="B35" s="25">
        <f>IF($A35&gt;n,-999,+'Zero Test'!C35)</f>
        <v>-999</v>
      </c>
      <c r="C35" s="26">
        <f>IF($A35&gt;n,-999,+'Zero Test'!D35)</f>
        <v>-999</v>
      </c>
      <c r="D35" s="25"/>
      <c r="E35" s="25"/>
      <c r="F35" s="153"/>
      <c r="G35" s="154"/>
      <c r="H35" s="154"/>
      <c r="I35" s="155">
        <f>IF(A35&gt;n,+I34,+C35-('Zero Test'!$P$27+'Zero Test'!$P$28*B35))</f>
        <v>-0.15666666666666806</v>
      </c>
      <c r="J35" s="165"/>
      <c r="K35" s="166"/>
      <c r="L35" s="166"/>
      <c r="M35" s="167">
        <f>IF(A35&gt;n,M34,+C35-('Zero Test'!$Z$30+B35*'Zero Test'!$Z$31+B35^2*'Zero Test'!$Z$32))</f>
        <v>9.9999999999926814E-3</v>
      </c>
      <c r="N35" s="319"/>
      <c r="O35" s="320"/>
      <c r="P35" s="320"/>
      <c r="Q35" s="321">
        <f>IF(A35&gt;n,Q34,+C35-('Zero Test'!$AI$30+B35*'Zero Test'!$AI$31+B35^2*'Zero Test'!$AI$32+B35^3*'Zero Test'!$AI$33))</f>
        <v>9.9999999989277555E-3</v>
      </c>
      <c r="R35" s="141"/>
      <c r="S35" s="142"/>
      <c r="T35" s="142"/>
      <c r="U35" s="143">
        <f>IF(A35&gt;n,+U34,+C35-('Zero Test'!$BN$26+B35*'Zero Test'!$BN$27+B35^2*'Zero Test'!$BN$28+B35^3*'Zero Test'!$BN$29+B35^4*'Zero Test'!$BN$30))</f>
        <v>9.9999999966362552E-3</v>
      </c>
    </row>
    <row r="36" spans="1:21" ht="18" customHeight="1" x14ac:dyDescent="0.2">
      <c r="A36" s="247">
        <v>25</v>
      </c>
      <c r="B36" s="25">
        <f>IF($A36&gt;n,-999,+'Zero Test'!C36)</f>
        <v>-999</v>
      </c>
      <c r="C36" s="26">
        <f>IF($A36&gt;n,-999,+'Zero Test'!D36)</f>
        <v>-999</v>
      </c>
      <c r="D36" s="25"/>
      <c r="E36" s="25"/>
      <c r="F36" s="153"/>
      <c r="G36" s="154"/>
      <c r="H36" s="154"/>
      <c r="I36" s="155">
        <f>IF(A36&gt;n,+I35,+C36-('Zero Test'!$P$27+'Zero Test'!$P$28*B36))</f>
        <v>-0.15666666666666806</v>
      </c>
      <c r="J36" s="165"/>
      <c r="K36" s="166"/>
      <c r="L36" s="166"/>
      <c r="M36" s="167">
        <f>IF(A36&gt;n,M35,+C36-('Zero Test'!$Z$30+B36*'Zero Test'!$Z$31+B36^2*'Zero Test'!$Z$32))</f>
        <v>9.9999999999926814E-3</v>
      </c>
      <c r="N36" s="319"/>
      <c r="O36" s="320"/>
      <c r="P36" s="320"/>
      <c r="Q36" s="321">
        <f>IF(A36&gt;n,Q35,+C36-('Zero Test'!$AI$30+B36*'Zero Test'!$AI$31+B36^2*'Zero Test'!$AI$32+B36^3*'Zero Test'!$AI$33))</f>
        <v>9.9999999989277555E-3</v>
      </c>
      <c r="R36" s="141"/>
      <c r="S36" s="142"/>
      <c r="T36" s="142"/>
      <c r="U36" s="143">
        <f>IF(A36&gt;n,+U35,+C36-('Zero Test'!$BN$26+B36*'Zero Test'!$BN$27+B36^2*'Zero Test'!$BN$28+B36^3*'Zero Test'!$BN$29+B36^4*'Zero Test'!$BN$30))</f>
        <v>9.9999999966362552E-3</v>
      </c>
    </row>
    <row r="37" spans="1:21" ht="18" customHeight="1" x14ac:dyDescent="0.2">
      <c r="A37" s="247">
        <v>26</v>
      </c>
      <c r="B37" s="25">
        <f>IF($A37&gt;n,-999,+'Zero Test'!C37)</f>
        <v>-999</v>
      </c>
      <c r="C37" s="26">
        <f>IF($A37&gt;n,-999,+'Zero Test'!D37)</f>
        <v>-999</v>
      </c>
      <c r="D37" s="25"/>
      <c r="E37" s="25"/>
      <c r="F37" s="153"/>
      <c r="G37" s="154"/>
      <c r="H37" s="154"/>
      <c r="I37" s="155">
        <f>IF(A37&gt;n,+I36,+C37-('Zero Test'!$P$27+'Zero Test'!$P$28*B37))</f>
        <v>-0.15666666666666806</v>
      </c>
      <c r="J37" s="165"/>
      <c r="K37" s="166"/>
      <c r="L37" s="166"/>
      <c r="M37" s="167">
        <f>IF(A37&gt;n,M36,+C37-('Zero Test'!$Z$30+B37*'Zero Test'!$Z$31+B37^2*'Zero Test'!$Z$32))</f>
        <v>9.9999999999926814E-3</v>
      </c>
      <c r="N37" s="319"/>
      <c r="O37" s="320"/>
      <c r="P37" s="320"/>
      <c r="Q37" s="321">
        <f>IF(A37&gt;n,Q36,+C37-('Zero Test'!$AI$30+B37*'Zero Test'!$AI$31+B37^2*'Zero Test'!$AI$32+B37^3*'Zero Test'!$AI$33))</f>
        <v>9.9999999989277555E-3</v>
      </c>
      <c r="R37" s="141"/>
      <c r="S37" s="142"/>
      <c r="T37" s="142"/>
      <c r="U37" s="143">
        <f>IF(A37&gt;n,+U36,+C37-('Zero Test'!$BN$26+B37*'Zero Test'!$BN$27+B37^2*'Zero Test'!$BN$28+B37^3*'Zero Test'!$BN$29+B37^4*'Zero Test'!$BN$30))</f>
        <v>9.9999999966362552E-3</v>
      </c>
    </row>
    <row r="38" spans="1:21" ht="18" customHeight="1" x14ac:dyDescent="0.2">
      <c r="A38" s="247">
        <v>27</v>
      </c>
      <c r="B38" s="25">
        <f>IF($A38&gt;n,-999,+'Zero Test'!C38)</f>
        <v>-999</v>
      </c>
      <c r="C38" s="26">
        <f>IF($A38&gt;n,-999,+'Zero Test'!D38)</f>
        <v>-999</v>
      </c>
      <c r="D38" s="25"/>
      <c r="E38" s="25"/>
      <c r="F38" s="153"/>
      <c r="G38" s="154"/>
      <c r="H38" s="154"/>
      <c r="I38" s="155">
        <f>IF(A38&gt;n,+I37,+C38-('Zero Test'!$P$27+'Zero Test'!$P$28*B38))</f>
        <v>-0.15666666666666806</v>
      </c>
      <c r="J38" s="165"/>
      <c r="K38" s="166"/>
      <c r="L38" s="166"/>
      <c r="M38" s="167">
        <f>IF(A38&gt;n,M37,+C38-('Zero Test'!$Z$30+B38*'Zero Test'!$Z$31+B38^2*'Zero Test'!$Z$32))</f>
        <v>9.9999999999926814E-3</v>
      </c>
      <c r="N38" s="319"/>
      <c r="O38" s="320"/>
      <c r="P38" s="320"/>
      <c r="Q38" s="321">
        <f>IF(A38&gt;n,Q37,+C38-('Zero Test'!$AI$30+B38*'Zero Test'!$AI$31+B38^2*'Zero Test'!$AI$32+B38^3*'Zero Test'!$AI$33))</f>
        <v>9.9999999989277555E-3</v>
      </c>
      <c r="R38" s="141"/>
      <c r="S38" s="142"/>
      <c r="T38" s="142"/>
      <c r="U38" s="143">
        <f>IF(A38&gt;n,+U37,+C38-('Zero Test'!$BN$26+B38*'Zero Test'!$BN$27+B38^2*'Zero Test'!$BN$28+B38^3*'Zero Test'!$BN$29+B38^4*'Zero Test'!$BN$30))</f>
        <v>9.9999999966362552E-3</v>
      </c>
    </row>
    <row r="39" spans="1:21" ht="18" customHeight="1" x14ac:dyDescent="0.2">
      <c r="A39" s="247">
        <v>28</v>
      </c>
      <c r="B39" s="25">
        <f>IF($A39&gt;n,-999,+'Zero Test'!C39)</f>
        <v>-999</v>
      </c>
      <c r="C39" s="26">
        <f>IF($A39&gt;n,-999,+'Zero Test'!D39)</f>
        <v>-999</v>
      </c>
      <c r="D39" s="25"/>
      <c r="E39" s="25"/>
      <c r="F39" s="153"/>
      <c r="G39" s="154"/>
      <c r="H39" s="154"/>
      <c r="I39" s="155">
        <f>IF(A39&gt;n,+I38,+C39-('Zero Test'!$P$27+'Zero Test'!$P$28*B39))</f>
        <v>-0.15666666666666806</v>
      </c>
      <c r="J39" s="165"/>
      <c r="K39" s="166"/>
      <c r="L39" s="166"/>
      <c r="M39" s="167">
        <f>IF(A39&gt;n,M38,+C39-('Zero Test'!$Z$30+B39*'Zero Test'!$Z$31+B39^2*'Zero Test'!$Z$32))</f>
        <v>9.9999999999926814E-3</v>
      </c>
      <c r="N39" s="319"/>
      <c r="O39" s="320"/>
      <c r="P39" s="320"/>
      <c r="Q39" s="321">
        <f>IF(A39&gt;n,Q38,+C39-('Zero Test'!$AI$30+B39*'Zero Test'!$AI$31+B39^2*'Zero Test'!$AI$32+B39^3*'Zero Test'!$AI$33))</f>
        <v>9.9999999989277555E-3</v>
      </c>
      <c r="R39" s="141"/>
      <c r="S39" s="142"/>
      <c r="T39" s="142"/>
      <c r="U39" s="143">
        <f>IF(A39&gt;n,+U38,+C39-('Zero Test'!$BN$26+B39*'Zero Test'!$BN$27+B39^2*'Zero Test'!$BN$28+B39^3*'Zero Test'!$BN$29+B39^4*'Zero Test'!$BN$30))</f>
        <v>9.9999999966362552E-3</v>
      </c>
    </row>
    <row r="40" spans="1:21" ht="18" customHeight="1" x14ac:dyDescent="0.2">
      <c r="A40" s="247">
        <v>29</v>
      </c>
      <c r="B40" s="25">
        <f>IF($A40&gt;n,-999,+'Zero Test'!C40)</f>
        <v>-999</v>
      </c>
      <c r="C40" s="26">
        <f>IF($A40&gt;n,-999,+'Zero Test'!D40)</f>
        <v>-999</v>
      </c>
      <c r="D40" s="25"/>
      <c r="E40" s="25"/>
      <c r="F40" s="153"/>
      <c r="G40" s="154"/>
      <c r="H40" s="154"/>
      <c r="I40" s="155">
        <f>IF(A40&gt;n,+I39,+C40-('Zero Test'!$P$27+'Zero Test'!$P$28*B40))</f>
        <v>-0.15666666666666806</v>
      </c>
      <c r="J40" s="165"/>
      <c r="K40" s="166"/>
      <c r="L40" s="166"/>
      <c r="M40" s="167">
        <f>IF(A40&gt;n,M39,+C40-('Zero Test'!$Z$30+B40*'Zero Test'!$Z$31+B40^2*'Zero Test'!$Z$32))</f>
        <v>9.9999999999926814E-3</v>
      </c>
      <c r="N40" s="319"/>
      <c r="O40" s="320"/>
      <c r="P40" s="320"/>
      <c r="Q40" s="321">
        <f>IF(A40&gt;n,Q39,+C40-('Zero Test'!$AI$30+B40*'Zero Test'!$AI$31+B40^2*'Zero Test'!$AI$32+B40^3*'Zero Test'!$AI$33))</f>
        <v>9.9999999989277555E-3</v>
      </c>
      <c r="R40" s="141"/>
      <c r="S40" s="142"/>
      <c r="T40" s="142"/>
      <c r="U40" s="143">
        <f>IF(A40&gt;n,+U39,+C40-('Zero Test'!$BN$26+B40*'Zero Test'!$BN$27+B40^2*'Zero Test'!$BN$28+B40^3*'Zero Test'!$BN$29+B40^4*'Zero Test'!$BN$30))</f>
        <v>9.9999999966362552E-3</v>
      </c>
    </row>
    <row r="41" spans="1:21" ht="18" customHeight="1" x14ac:dyDescent="0.2">
      <c r="A41" s="247">
        <v>30</v>
      </c>
      <c r="B41" s="25">
        <f>IF($A41&gt;n,-999,+'Zero Test'!C41)</f>
        <v>-999</v>
      </c>
      <c r="C41" s="26">
        <f>IF($A41&gt;n,-999,+'Zero Test'!D41)</f>
        <v>-999</v>
      </c>
      <c r="D41" s="25"/>
      <c r="E41" s="25"/>
      <c r="F41" s="153"/>
      <c r="G41" s="154"/>
      <c r="H41" s="154"/>
      <c r="I41" s="155">
        <f>IF(A41&gt;n,+I40,+C41-('Zero Test'!$P$27+'Zero Test'!$P$28*B41))</f>
        <v>-0.15666666666666806</v>
      </c>
      <c r="J41" s="165"/>
      <c r="K41" s="166"/>
      <c r="L41" s="166"/>
      <c r="M41" s="167">
        <f>IF(A41&gt;n,M40,+C41-('Zero Test'!$Z$30+B41*'Zero Test'!$Z$31+B41^2*'Zero Test'!$Z$32))</f>
        <v>9.9999999999926814E-3</v>
      </c>
      <c r="N41" s="319"/>
      <c r="O41" s="320"/>
      <c r="P41" s="320"/>
      <c r="Q41" s="321">
        <f>IF(A41&gt;n,Q40,+C41-('Zero Test'!$AI$30+B41*'Zero Test'!$AI$31+B41^2*'Zero Test'!$AI$32+B41^3*'Zero Test'!$AI$33))</f>
        <v>9.9999999989277555E-3</v>
      </c>
      <c r="R41" s="141"/>
      <c r="S41" s="142"/>
      <c r="T41" s="142"/>
      <c r="U41" s="143">
        <f>IF(A41&gt;n,+U40,+C41-('Zero Test'!$BN$26+B41*'Zero Test'!$BN$27+B41^2*'Zero Test'!$BN$28+B41^3*'Zero Test'!$BN$29+B41^4*'Zero Test'!$BN$30))</f>
        <v>9.9999999966362552E-3</v>
      </c>
    </row>
    <row r="42" spans="1:21" ht="18" customHeight="1" x14ac:dyDescent="0.2">
      <c r="A42" s="247">
        <v>31</v>
      </c>
      <c r="B42" s="25">
        <f>IF($A42&gt;n,-999,+'Zero Test'!C42)</f>
        <v>-999</v>
      </c>
      <c r="C42" s="26">
        <f>IF($A42&gt;n,-999,+'Zero Test'!D42)</f>
        <v>-999</v>
      </c>
      <c r="D42" s="25"/>
      <c r="E42" s="25"/>
      <c r="F42" s="153"/>
      <c r="G42" s="154"/>
      <c r="H42" s="154"/>
      <c r="I42" s="155">
        <f>IF(A42&gt;n,+I41,+C42-('Zero Test'!$P$27+'Zero Test'!$P$28*B42))</f>
        <v>-0.15666666666666806</v>
      </c>
      <c r="J42" s="165"/>
      <c r="K42" s="166"/>
      <c r="L42" s="166"/>
      <c r="M42" s="167">
        <f>IF(A42&gt;n,M41,+C42-('Zero Test'!$Z$30+B42*'Zero Test'!$Z$31+B42^2*'Zero Test'!$Z$32))</f>
        <v>9.9999999999926814E-3</v>
      </c>
      <c r="N42" s="319"/>
      <c r="O42" s="320"/>
      <c r="P42" s="320"/>
      <c r="Q42" s="321">
        <f>IF(A42&gt;n,Q41,+C42-('Zero Test'!$AI$30+B42*'Zero Test'!$AI$31+B42^2*'Zero Test'!$AI$32+B42^3*'Zero Test'!$AI$33))</f>
        <v>9.9999999989277555E-3</v>
      </c>
      <c r="R42" s="141"/>
      <c r="S42" s="142"/>
      <c r="T42" s="142"/>
      <c r="U42" s="143">
        <f>IF(A42&gt;n,+U41,+C42-('Zero Test'!$BN$26+B42*'Zero Test'!$BN$27+B42^2*'Zero Test'!$BN$28+B42^3*'Zero Test'!$BN$29+B42^4*'Zero Test'!$BN$30))</f>
        <v>9.9999999966362552E-3</v>
      </c>
    </row>
    <row r="43" spans="1:21" ht="18" customHeight="1" x14ac:dyDescent="0.2">
      <c r="A43" s="247">
        <v>32</v>
      </c>
      <c r="B43" s="25">
        <f>IF($A43&gt;n,-999,+'Zero Test'!C43)</f>
        <v>-999</v>
      </c>
      <c r="C43" s="26">
        <f>IF($A43&gt;n,-999,+'Zero Test'!D43)</f>
        <v>-999</v>
      </c>
      <c r="D43" s="25"/>
      <c r="E43" s="25"/>
      <c r="F43" s="153"/>
      <c r="G43" s="154"/>
      <c r="H43" s="154"/>
      <c r="I43" s="155">
        <f>IF(A43&gt;n,+I42,+C43-('Zero Test'!$P$27+'Zero Test'!$P$28*B43))</f>
        <v>-0.15666666666666806</v>
      </c>
      <c r="J43" s="165"/>
      <c r="K43" s="166"/>
      <c r="L43" s="166"/>
      <c r="M43" s="167">
        <f>IF(A43&gt;n,M42,+C43-('Zero Test'!$Z$30+B43*'Zero Test'!$Z$31+B43^2*'Zero Test'!$Z$32))</f>
        <v>9.9999999999926814E-3</v>
      </c>
      <c r="N43" s="319"/>
      <c r="O43" s="320"/>
      <c r="P43" s="320"/>
      <c r="Q43" s="321">
        <f>IF(A43&gt;n,Q42,+C43-('Zero Test'!$AI$30+B43*'Zero Test'!$AI$31+B43^2*'Zero Test'!$AI$32+B43^3*'Zero Test'!$AI$33))</f>
        <v>9.9999999989277555E-3</v>
      </c>
      <c r="R43" s="141"/>
      <c r="S43" s="142"/>
      <c r="T43" s="142"/>
      <c r="U43" s="143">
        <f>IF(A43&gt;n,+U42,+C43-('Zero Test'!$BN$26+B43*'Zero Test'!$BN$27+B43^2*'Zero Test'!$BN$28+B43^3*'Zero Test'!$BN$29+B43^4*'Zero Test'!$BN$30))</f>
        <v>9.9999999966362552E-3</v>
      </c>
    </row>
    <row r="44" spans="1:21" ht="18" customHeight="1" x14ac:dyDescent="0.2">
      <c r="A44" s="247">
        <v>33</v>
      </c>
      <c r="B44" s="25">
        <f>IF($A44&gt;n,-999,+'Zero Test'!C44)</f>
        <v>-999</v>
      </c>
      <c r="C44" s="26">
        <f>IF($A44&gt;n,-999,+'Zero Test'!D44)</f>
        <v>-999</v>
      </c>
      <c r="D44" s="25"/>
      <c r="E44" s="25"/>
      <c r="F44" s="153"/>
      <c r="G44" s="154"/>
      <c r="H44" s="154"/>
      <c r="I44" s="155">
        <f>IF(A44&gt;n,+I43,+C44-('Zero Test'!$P$27+'Zero Test'!$P$28*B44))</f>
        <v>-0.15666666666666806</v>
      </c>
      <c r="J44" s="165"/>
      <c r="K44" s="166"/>
      <c r="L44" s="166"/>
      <c r="M44" s="167">
        <f>IF(A44&gt;n,M43,+C44-('Zero Test'!$Z$30+B44*'Zero Test'!$Z$31+B44^2*'Zero Test'!$Z$32))</f>
        <v>9.9999999999926814E-3</v>
      </c>
      <c r="N44" s="319"/>
      <c r="O44" s="320"/>
      <c r="P44" s="320"/>
      <c r="Q44" s="321">
        <f>IF(A44&gt;n,Q43,+C44-('Zero Test'!$AI$30+B44*'Zero Test'!$AI$31+B44^2*'Zero Test'!$AI$32+B44^3*'Zero Test'!$AI$33))</f>
        <v>9.9999999989277555E-3</v>
      </c>
      <c r="R44" s="141"/>
      <c r="S44" s="142"/>
      <c r="T44" s="142"/>
      <c r="U44" s="143">
        <f>IF(A44&gt;n,+U43,+C44-('Zero Test'!$BN$26+B44*'Zero Test'!$BN$27+B44^2*'Zero Test'!$BN$28+B44^3*'Zero Test'!$BN$29+B44^4*'Zero Test'!$BN$30))</f>
        <v>9.9999999966362552E-3</v>
      </c>
    </row>
    <row r="45" spans="1:21" ht="18" customHeight="1" x14ac:dyDescent="0.2">
      <c r="A45" s="247">
        <v>34</v>
      </c>
      <c r="B45" s="25">
        <f>IF($A45&gt;n,-999,+'Zero Test'!C45)</f>
        <v>-999</v>
      </c>
      <c r="C45" s="26">
        <f>IF($A45&gt;n,-999,+'Zero Test'!D45)</f>
        <v>-999</v>
      </c>
      <c r="D45" s="25"/>
      <c r="E45" s="25"/>
      <c r="F45" s="153"/>
      <c r="G45" s="154"/>
      <c r="H45" s="154"/>
      <c r="I45" s="155">
        <f>IF(A45&gt;n,+I44,+C45-('Zero Test'!$P$27+'Zero Test'!$P$28*B45))</f>
        <v>-0.15666666666666806</v>
      </c>
      <c r="J45" s="165"/>
      <c r="K45" s="166"/>
      <c r="L45" s="166"/>
      <c r="M45" s="167">
        <f>IF(A45&gt;n,M44,+C45-('Zero Test'!$Z$30+B45*'Zero Test'!$Z$31+B45^2*'Zero Test'!$Z$32))</f>
        <v>9.9999999999926814E-3</v>
      </c>
      <c r="N45" s="319"/>
      <c r="O45" s="320"/>
      <c r="P45" s="320"/>
      <c r="Q45" s="321">
        <f>IF(A45&gt;n,Q44,+C45-('Zero Test'!$AI$30+B45*'Zero Test'!$AI$31+B45^2*'Zero Test'!$AI$32+B45^3*'Zero Test'!$AI$33))</f>
        <v>9.9999999989277555E-3</v>
      </c>
      <c r="R45" s="141"/>
      <c r="S45" s="142"/>
      <c r="T45" s="142"/>
      <c r="U45" s="143">
        <f>IF(A45&gt;n,+U44,+C45-('Zero Test'!$BN$26+B45*'Zero Test'!$BN$27+B45^2*'Zero Test'!$BN$28+B45^3*'Zero Test'!$BN$29+B45^4*'Zero Test'!$BN$30))</f>
        <v>9.9999999966362552E-3</v>
      </c>
    </row>
    <row r="46" spans="1:21" ht="18" customHeight="1" x14ac:dyDescent="0.2">
      <c r="A46" s="247">
        <v>35</v>
      </c>
      <c r="B46" s="25">
        <f>IF($A46&gt;n,-999,+'Zero Test'!C46)</f>
        <v>-999</v>
      </c>
      <c r="C46" s="26">
        <f>IF($A46&gt;n,-999,+'Zero Test'!D46)</f>
        <v>-999</v>
      </c>
      <c r="D46" s="25"/>
      <c r="E46" s="25"/>
      <c r="F46" s="153"/>
      <c r="G46" s="154"/>
      <c r="H46" s="154"/>
      <c r="I46" s="155">
        <f>IF(A46&gt;n,+I45,+C46-('Zero Test'!$P$27+'Zero Test'!$P$28*B46))</f>
        <v>-0.15666666666666806</v>
      </c>
      <c r="J46" s="165"/>
      <c r="K46" s="166"/>
      <c r="L46" s="166"/>
      <c r="M46" s="167">
        <f>IF(A46&gt;n,M45,+C46-('Zero Test'!$Z$30+B46*'Zero Test'!$Z$31+B46^2*'Zero Test'!$Z$32))</f>
        <v>9.9999999999926814E-3</v>
      </c>
      <c r="N46" s="319"/>
      <c r="O46" s="320"/>
      <c r="P46" s="320"/>
      <c r="Q46" s="321">
        <f>IF(A46&gt;n,Q45,+C46-('Zero Test'!$AI$30+B46*'Zero Test'!$AI$31+B46^2*'Zero Test'!$AI$32+B46^3*'Zero Test'!$AI$33))</f>
        <v>9.9999999989277555E-3</v>
      </c>
      <c r="R46" s="141"/>
      <c r="S46" s="142"/>
      <c r="T46" s="142"/>
      <c r="U46" s="143">
        <f>IF(A46&gt;n,+U45,+C46-('Zero Test'!$BN$26+B46*'Zero Test'!$BN$27+B46^2*'Zero Test'!$BN$28+B46^3*'Zero Test'!$BN$29+B46^4*'Zero Test'!$BN$30))</f>
        <v>9.9999999966362552E-3</v>
      </c>
    </row>
    <row r="47" spans="1:21" ht="18" customHeight="1" x14ac:dyDescent="0.2">
      <c r="A47" s="247">
        <v>36</v>
      </c>
      <c r="B47" s="25">
        <f>IF($A47&gt;n,-999,+'Zero Test'!C47)</f>
        <v>-999</v>
      </c>
      <c r="C47" s="26">
        <f>IF($A47&gt;n,-999,+'Zero Test'!D47)</f>
        <v>-999</v>
      </c>
      <c r="D47" s="25"/>
      <c r="E47" s="25"/>
      <c r="F47" s="153"/>
      <c r="G47" s="154"/>
      <c r="H47" s="154"/>
      <c r="I47" s="155">
        <f>IF(A47&gt;n,+I46,+C47-('Zero Test'!$P$27+'Zero Test'!$P$28*B47))</f>
        <v>-0.15666666666666806</v>
      </c>
      <c r="J47" s="165"/>
      <c r="K47" s="166"/>
      <c r="L47" s="166"/>
      <c r="M47" s="167">
        <f>IF(A47&gt;n,M46,+C47-('Zero Test'!$Z$30+B47*'Zero Test'!$Z$31+B47^2*'Zero Test'!$Z$32))</f>
        <v>9.9999999999926814E-3</v>
      </c>
      <c r="N47" s="319"/>
      <c r="O47" s="320"/>
      <c r="P47" s="320"/>
      <c r="Q47" s="321">
        <f>IF(A47&gt;n,Q46,+C47-('Zero Test'!$AI$30+B47*'Zero Test'!$AI$31+B47^2*'Zero Test'!$AI$32+B47^3*'Zero Test'!$AI$33))</f>
        <v>9.9999999989277555E-3</v>
      </c>
      <c r="R47" s="141"/>
      <c r="S47" s="142"/>
      <c r="T47" s="142"/>
      <c r="U47" s="143">
        <f>IF(A47&gt;n,+U46,+C47-('Zero Test'!$BN$26+B47*'Zero Test'!$BN$27+B47^2*'Zero Test'!$BN$28+B47^3*'Zero Test'!$BN$29+B47^4*'Zero Test'!$BN$30))</f>
        <v>9.9999999966362552E-3</v>
      </c>
    </row>
    <row r="48" spans="1:21" ht="18" customHeight="1" x14ac:dyDescent="0.2">
      <c r="A48" s="247">
        <v>37</v>
      </c>
      <c r="B48" s="25">
        <f>IF($A48&gt;n,-999,+'Zero Test'!C48)</f>
        <v>-999</v>
      </c>
      <c r="C48" s="26">
        <f>IF($A48&gt;n,-999,+'Zero Test'!D48)</f>
        <v>-999</v>
      </c>
      <c r="D48" s="25"/>
      <c r="E48" s="25"/>
      <c r="F48" s="153"/>
      <c r="G48" s="154"/>
      <c r="H48" s="154"/>
      <c r="I48" s="155">
        <f>IF(A48&gt;n,+I47,+C48-('Zero Test'!$P$27+'Zero Test'!$P$28*B48))</f>
        <v>-0.15666666666666806</v>
      </c>
      <c r="J48" s="165"/>
      <c r="K48" s="166"/>
      <c r="L48" s="166"/>
      <c r="M48" s="167">
        <f>IF(A48&gt;n,M47,+C48-('Zero Test'!$Z$30+B48*'Zero Test'!$Z$31+B48^2*'Zero Test'!$Z$32))</f>
        <v>9.9999999999926814E-3</v>
      </c>
      <c r="N48" s="319"/>
      <c r="O48" s="320"/>
      <c r="P48" s="320"/>
      <c r="Q48" s="321">
        <f>IF(A48&gt;n,Q47,+C48-('Zero Test'!$AI$30+B48*'Zero Test'!$AI$31+B48^2*'Zero Test'!$AI$32+B48^3*'Zero Test'!$AI$33))</f>
        <v>9.9999999989277555E-3</v>
      </c>
      <c r="R48" s="141"/>
      <c r="S48" s="142"/>
      <c r="T48" s="142"/>
      <c r="U48" s="143">
        <f>IF(A48&gt;n,+U47,+C48-('Zero Test'!$BN$26+B48*'Zero Test'!$BN$27+B48^2*'Zero Test'!$BN$28+B48^3*'Zero Test'!$BN$29+B48^4*'Zero Test'!$BN$30))</f>
        <v>9.9999999966362552E-3</v>
      </c>
    </row>
    <row r="49" spans="1:35" ht="18" customHeight="1" x14ac:dyDescent="0.2">
      <c r="A49" s="247">
        <v>38</v>
      </c>
      <c r="B49" s="25">
        <f>IF($A49&gt;n,-999,+'Zero Test'!C49)</f>
        <v>-999</v>
      </c>
      <c r="C49" s="26">
        <f>IF($A49&gt;n,-999,+'Zero Test'!D49)</f>
        <v>-999</v>
      </c>
      <c r="D49" s="25"/>
      <c r="E49" s="25"/>
      <c r="F49" s="153"/>
      <c r="G49" s="154"/>
      <c r="H49" s="154"/>
      <c r="I49" s="155">
        <f>IF(A49&gt;n,+I48,+C49-('Zero Test'!$P$27+'Zero Test'!$P$28*B49))</f>
        <v>-0.15666666666666806</v>
      </c>
      <c r="J49" s="165"/>
      <c r="K49" s="166"/>
      <c r="L49" s="166"/>
      <c r="M49" s="167">
        <f>IF(A49&gt;n,M48,+C49-('Zero Test'!$Z$30+B49*'Zero Test'!$Z$31+B49^2*'Zero Test'!$Z$32))</f>
        <v>9.9999999999926814E-3</v>
      </c>
      <c r="N49" s="319"/>
      <c r="O49" s="320"/>
      <c r="P49" s="320"/>
      <c r="Q49" s="321">
        <f>IF(A49&gt;n,Q48,+C49-('Zero Test'!$AI$30+B49*'Zero Test'!$AI$31+B49^2*'Zero Test'!$AI$32+B49^3*'Zero Test'!$AI$33))</f>
        <v>9.9999999989277555E-3</v>
      </c>
      <c r="R49" s="141"/>
      <c r="S49" s="142"/>
      <c r="T49" s="142"/>
      <c r="U49" s="143">
        <f>IF(A49&gt;n,+U48,+C49-('Zero Test'!$BN$26+B49*'Zero Test'!$BN$27+B49^2*'Zero Test'!$BN$28+B49^3*'Zero Test'!$BN$29+B49^4*'Zero Test'!$BN$30))</f>
        <v>9.9999999966362552E-3</v>
      </c>
    </row>
    <row r="50" spans="1:35" ht="18" customHeight="1" x14ac:dyDescent="0.2">
      <c r="A50" s="247">
        <v>39</v>
      </c>
      <c r="B50" s="25">
        <f>IF($A50&gt;n,-999,+'Zero Test'!C50)</f>
        <v>-999</v>
      </c>
      <c r="C50" s="26">
        <f>IF($A50&gt;n,-999,+'Zero Test'!D50)</f>
        <v>-999</v>
      </c>
      <c r="D50" s="25"/>
      <c r="E50" s="25"/>
      <c r="F50" s="153"/>
      <c r="G50" s="154"/>
      <c r="H50" s="154"/>
      <c r="I50" s="155">
        <f>IF(A50&gt;n,+I49,+C50-('Zero Test'!$P$27+'Zero Test'!$P$28*B50))</f>
        <v>-0.15666666666666806</v>
      </c>
      <c r="J50" s="165"/>
      <c r="K50" s="166"/>
      <c r="L50" s="166"/>
      <c r="M50" s="167">
        <f>IF(A50&gt;n,M49,+C50-('Zero Test'!$Z$30+B50*'Zero Test'!$Z$31+B50^2*'Zero Test'!$Z$32))</f>
        <v>9.9999999999926814E-3</v>
      </c>
      <c r="N50" s="319"/>
      <c r="O50" s="320"/>
      <c r="P50" s="320"/>
      <c r="Q50" s="321">
        <f>IF(A50&gt;n,Q49,+C50-('Zero Test'!$AI$30+B50*'Zero Test'!$AI$31+B50^2*'Zero Test'!$AI$32+B50^3*'Zero Test'!$AI$33))</f>
        <v>9.9999999989277555E-3</v>
      </c>
      <c r="R50" s="141"/>
      <c r="S50" s="142"/>
      <c r="T50" s="142"/>
      <c r="U50" s="143">
        <f>IF(A50&gt;n,+U49,+C50-('Zero Test'!$BN$26+B50*'Zero Test'!$BN$27+B50^2*'Zero Test'!$BN$28+B50^3*'Zero Test'!$BN$29+B50^4*'Zero Test'!$BN$30))</f>
        <v>9.9999999966362552E-3</v>
      </c>
    </row>
    <row r="51" spans="1:35" ht="18" customHeight="1" x14ac:dyDescent="0.2">
      <c r="A51" s="247">
        <v>40</v>
      </c>
      <c r="B51" s="25">
        <f>IF($A51&gt;n,-999,+'Zero Test'!C51)</f>
        <v>-999</v>
      </c>
      <c r="C51" s="26">
        <f>IF($A51&gt;n,-999,+'Zero Test'!D51)</f>
        <v>-999</v>
      </c>
      <c r="D51" s="25"/>
      <c r="E51" s="25"/>
      <c r="F51" s="153"/>
      <c r="G51" s="154"/>
      <c r="H51" s="154"/>
      <c r="I51" s="155">
        <f>IF(A51&gt;n,+I50,+C51-('Zero Test'!$P$27+'Zero Test'!$P$28*B51))</f>
        <v>-0.15666666666666806</v>
      </c>
      <c r="J51" s="165"/>
      <c r="K51" s="166"/>
      <c r="L51" s="166"/>
      <c r="M51" s="167">
        <f>IF(A51&gt;n,M50,+C51-('Zero Test'!$Z$30+B51*'Zero Test'!$Z$31+B51^2*'Zero Test'!$Z$32))</f>
        <v>9.9999999999926814E-3</v>
      </c>
      <c r="N51" s="319"/>
      <c r="O51" s="320"/>
      <c r="P51" s="320"/>
      <c r="Q51" s="321">
        <f>IF(A51&gt;n,Q50,+C51-('Zero Test'!$AI$30+B51*'Zero Test'!$AI$31+B51^2*'Zero Test'!$AI$32+B51^3*'Zero Test'!$AI$33))</f>
        <v>9.9999999989277555E-3</v>
      </c>
      <c r="R51" s="141"/>
      <c r="S51" s="142"/>
      <c r="T51" s="142"/>
      <c r="U51" s="143">
        <f>IF(A51&gt;n,+U50,+C51-('Zero Test'!$BN$26+B51*'Zero Test'!$BN$27+B51^2*'Zero Test'!$BN$28+B51^3*'Zero Test'!$BN$29+B51^4*'Zero Test'!$BN$30))</f>
        <v>9.9999999966362552E-3</v>
      </c>
    </row>
    <row r="52" spans="1:35" ht="18" customHeight="1" x14ac:dyDescent="0.2">
      <c r="A52" s="247">
        <v>41</v>
      </c>
      <c r="B52" s="25">
        <f>IF($A52&gt;n,-999,+'Zero Test'!C52)</f>
        <v>-999</v>
      </c>
      <c r="C52" s="26">
        <f>IF($A52&gt;n,-999,+'Zero Test'!D52)</f>
        <v>-999</v>
      </c>
      <c r="D52" s="25"/>
      <c r="E52" s="25"/>
      <c r="F52" s="153"/>
      <c r="G52" s="154"/>
      <c r="H52" s="154"/>
      <c r="I52" s="155">
        <f>IF(A52&gt;n,+I51,+C52-('Zero Test'!$P$27+'Zero Test'!$P$28*B52))</f>
        <v>-0.15666666666666806</v>
      </c>
      <c r="J52" s="165"/>
      <c r="K52" s="166"/>
      <c r="L52" s="166"/>
      <c r="M52" s="167">
        <f>IF(A52&gt;n,M51,+C52-('Zero Test'!$Z$30+B52*'Zero Test'!$Z$31+B52^2*'Zero Test'!$Z$32))</f>
        <v>9.9999999999926814E-3</v>
      </c>
      <c r="N52" s="319"/>
      <c r="O52" s="320"/>
      <c r="P52" s="320"/>
      <c r="Q52" s="321">
        <f>IF(A52&gt;n,Q51,+C52-('Zero Test'!$AI$30+B52*'Zero Test'!$AI$31+B52^2*'Zero Test'!$AI$32+B52^3*'Zero Test'!$AI$33))</f>
        <v>9.9999999989277555E-3</v>
      </c>
      <c r="R52" s="141"/>
      <c r="S52" s="142"/>
      <c r="T52" s="142"/>
      <c r="U52" s="143">
        <f>IF(A52&gt;n,+U51,+C52-('Zero Test'!$BN$26+B52*'Zero Test'!$BN$27+B52^2*'Zero Test'!$BN$28+B52^3*'Zero Test'!$BN$29+B52^4*'Zero Test'!$BN$30))</f>
        <v>9.9999999966362552E-3</v>
      </c>
    </row>
    <row r="53" spans="1:35" ht="18" customHeight="1" x14ac:dyDescent="0.2">
      <c r="A53" s="247">
        <v>42</v>
      </c>
      <c r="B53" s="25">
        <f>IF($A53&gt;n,-999,+'Zero Test'!C53)</f>
        <v>-999</v>
      </c>
      <c r="C53" s="26">
        <f>IF($A53&gt;n,-999,+'Zero Test'!D53)</f>
        <v>-999</v>
      </c>
      <c r="D53" s="25"/>
      <c r="E53" s="25"/>
      <c r="F53" s="153"/>
      <c r="G53" s="154"/>
      <c r="H53" s="154"/>
      <c r="I53" s="155">
        <f>IF(A53&gt;n,+I52,+C53-('Zero Test'!$P$27+'Zero Test'!$P$28*B53))</f>
        <v>-0.15666666666666806</v>
      </c>
      <c r="J53" s="165"/>
      <c r="K53" s="166"/>
      <c r="L53" s="166"/>
      <c r="M53" s="167">
        <f>IF(A53&gt;n,M52,+C53-('Zero Test'!$Z$30+B53*'Zero Test'!$Z$31+B53^2*'Zero Test'!$Z$32))</f>
        <v>9.9999999999926814E-3</v>
      </c>
      <c r="N53" s="319"/>
      <c r="O53" s="320"/>
      <c r="P53" s="320"/>
      <c r="Q53" s="321">
        <f>IF(A53&gt;n,Q52,+C53-('Zero Test'!$AI$30+B53*'Zero Test'!$AI$31+B53^2*'Zero Test'!$AI$32+B53^3*'Zero Test'!$AI$33))</f>
        <v>9.9999999989277555E-3</v>
      </c>
      <c r="R53" s="141"/>
      <c r="S53" s="142"/>
      <c r="T53" s="142"/>
      <c r="U53" s="143">
        <f>IF(A53&gt;n,+U52,+C53-('Zero Test'!$BN$26+B53*'Zero Test'!$BN$27+B53^2*'Zero Test'!$BN$28+B53^3*'Zero Test'!$BN$29+B53^4*'Zero Test'!$BN$30))</f>
        <v>9.9999999966362552E-3</v>
      </c>
    </row>
    <row r="54" spans="1:35" ht="18" customHeight="1" x14ac:dyDescent="0.2">
      <c r="A54" s="247">
        <v>43</v>
      </c>
      <c r="B54" s="25">
        <f>IF($A54&gt;n,-999,+'Zero Test'!C54)</f>
        <v>-999</v>
      </c>
      <c r="C54" s="26">
        <f>IF($A54&gt;n,-999,+'Zero Test'!D54)</f>
        <v>-999</v>
      </c>
      <c r="D54" s="25"/>
      <c r="E54" s="25"/>
      <c r="F54" s="153"/>
      <c r="G54" s="154"/>
      <c r="H54" s="154"/>
      <c r="I54" s="155">
        <f>IF(A54&gt;n,+I53,+C54-('Zero Test'!$P$27+'Zero Test'!$P$28*B54))</f>
        <v>-0.15666666666666806</v>
      </c>
      <c r="J54" s="165"/>
      <c r="K54" s="166"/>
      <c r="L54" s="166"/>
      <c r="M54" s="167">
        <f>IF(A54&gt;n,M53,+C54-('Zero Test'!$Z$30+B54*'Zero Test'!$Z$31+B54^2*'Zero Test'!$Z$32))</f>
        <v>9.9999999999926814E-3</v>
      </c>
      <c r="N54" s="319"/>
      <c r="O54" s="320"/>
      <c r="P54" s="320"/>
      <c r="Q54" s="321">
        <f>IF(A54&gt;n,Q53,+C54-('Zero Test'!$AI$30+B54*'Zero Test'!$AI$31+B54^2*'Zero Test'!$AI$32+B54^3*'Zero Test'!$AI$33))</f>
        <v>9.9999999989277555E-3</v>
      </c>
      <c r="R54" s="141"/>
      <c r="S54" s="142"/>
      <c r="T54" s="142"/>
      <c r="U54" s="143">
        <f>IF(A54&gt;n,+U53,+C54-('Zero Test'!$BN$26+B54*'Zero Test'!$BN$27+B54^2*'Zero Test'!$BN$28+B54^3*'Zero Test'!$BN$29+B54^4*'Zero Test'!$BN$30))</f>
        <v>9.9999999966362552E-3</v>
      </c>
    </row>
    <row r="55" spans="1:35" ht="18" customHeight="1" x14ac:dyDescent="0.2">
      <c r="A55" s="247">
        <v>44</v>
      </c>
      <c r="B55" s="25">
        <f>IF($A55&gt;n,-999,+'Zero Test'!C55)</f>
        <v>-999</v>
      </c>
      <c r="C55" s="26">
        <f>IF($A55&gt;n,-999,+'Zero Test'!D55)</f>
        <v>-999</v>
      </c>
      <c r="D55" s="25"/>
      <c r="E55" s="25"/>
      <c r="F55" s="153"/>
      <c r="G55" s="154"/>
      <c r="H55" s="154"/>
      <c r="I55" s="155">
        <f>IF(A55&gt;n,+I54,+C55-('Zero Test'!$P$27+'Zero Test'!$P$28*B55))</f>
        <v>-0.15666666666666806</v>
      </c>
      <c r="J55" s="165"/>
      <c r="K55" s="166"/>
      <c r="L55" s="166"/>
      <c r="M55" s="167">
        <f>IF(A55&gt;n,M54,+C55-('Zero Test'!$Z$30+B55*'Zero Test'!$Z$31+B55^2*'Zero Test'!$Z$32))</f>
        <v>9.9999999999926814E-3</v>
      </c>
      <c r="N55" s="319"/>
      <c r="O55" s="320"/>
      <c r="P55" s="320"/>
      <c r="Q55" s="321">
        <f>IF(A55&gt;n,Q54,+C55-('Zero Test'!$AI$30+B55*'Zero Test'!$AI$31+B55^2*'Zero Test'!$AI$32+B55^3*'Zero Test'!$AI$33))</f>
        <v>9.9999999989277555E-3</v>
      </c>
      <c r="R55" s="141"/>
      <c r="S55" s="142"/>
      <c r="T55" s="142"/>
      <c r="U55" s="143">
        <f>IF(A55&gt;n,+U54,+C55-('Zero Test'!$BN$26+B55*'Zero Test'!$BN$27+B55^2*'Zero Test'!$BN$28+B55^3*'Zero Test'!$BN$29+B55^4*'Zero Test'!$BN$30))</f>
        <v>9.9999999966362552E-3</v>
      </c>
    </row>
    <row r="56" spans="1:35" ht="18" customHeight="1" x14ac:dyDescent="0.2">
      <c r="A56" s="247">
        <v>45</v>
      </c>
      <c r="B56" s="25">
        <f>IF($A56&gt;n,-999,+'Zero Test'!C56)</f>
        <v>-999</v>
      </c>
      <c r="C56" s="26">
        <f>IF($A56&gt;n,-999,+'Zero Test'!D56)</f>
        <v>-999</v>
      </c>
      <c r="D56" s="25"/>
      <c r="E56" s="25"/>
      <c r="F56" s="153"/>
      <c r="G56" s="154"/>
      <c r="H56" s="154"/>
      <c r="I56" s="155">
        <f>IF(A56&gt;n,+I55,+C56-('Zero Test'!$P$27+'Zero Test'!$P$28*B56))</f>
        <v>-0.15666666666666806</v>
      </c>
      <c r="J56" s="165"/>
      <c r="K56" s="166"/>
      <c r="L56" s="166"/>
      <c r="M56" s="167">
        <f>IF(A56&gt;n,M55,+C56-('Zero Test'!$Z$30+B56*'Zero Test'!$Z$31+B56^2*'Zero Test'!$Z$32))</f>
        <v>9.9999999999926814E-3</v>
      </c>
      <c r="N56" s="319"/>
      <c r="O56" s="320"/>
      <c r="P56" s="320"/>
      <c r="Q56" s="321">
        <f>IF(A56&gt;n,Q55,+C56-('Zero Test'!$AI$30+B56*'Zero Test'!$AI$31+B56^2*'Zero Test'!$AI$32+B56^3*'Zero Test'!$AI$33))</f>
        <v>9.9999999989277555E-3</v>
      </c>
      <c r="R56" s="141"/>
      <c r="S56" s="142"/>
      <c r="T56" s="142"/>
      <c r="U56" s="143">
        <f>IF(A56&gt;n,+U55,+C56-('Zero Test'!$BN$26+B56*'Zero Test'!$BN$27+B56^2*'Zero Test'!$BN$28+B56^3*'Zero Test'!$BN$29+B56^4*'Zero Test'!$BN$30))</f>
        <v>9.9999999966362552E-3</v>
      </c>
    </row>
    <row r="57" spans="1:35" ht="18" customHeight="1" x14ac:dyDescent="0.2">
      <c r="A57" s="247">
        <v>46</v>
      </c>
      <c r="B57" s="25">
        <f>IF($A57&gt;n,-999,+'Zero Test'!C57)</f>
        <v>-999</v>
      </c>
      <c r="C57" s="26">
        <f>IF($A57&gt;n,-999,+'Zero Test'!D57)</f>
        <v>-999</v>
      </c>
      <c r="D57" s="25"/>
      <c r="E57" s="25"/>
      <c r="F57" s="153"/>
      <c r="G57" s="154"/>
      <c r="H57" s="154"/>
      <c r="I57" s="155">
        <f>IF(A57&gt;n,+I56,+C57-('Zero Test'!$P$27+'Zero Test'!$P$28*B57))</f>
        <v>-0.15666666666666806</v>
      </c>
      <c r="J57" s="165"/>
      <c r="K57" s="166"/>
      <c r="L57" s="166"/>
      <c r="M57" s="167">
        <f>IF(A57&gt;n,M56,+C57-('Zero Test'!$Z$30+B57*'Zero Test'!$Z$31+B57^2*'Zero Test'!$Z$32))</f>
        <v>9.9999999999926814E-3</v>
      </c>
      <c r="N57" s="319"/>
      <c r="O57" s="320"/>
      <c r="P57" s="320"/>
      <c r="Q57" s="321">
        <f>IF(A57&gt;n,Q56,+C57-('Zero Test'!$AI$30+B57*'Zero Test'!$AI$31+B57^2*'Zero Test'!$AI$32+B57^3*'Zero Test'!$AI$33))</f>
        <v>9.9999999989277555E-3</v>
      </c>
      <c r="R57" s="141"/>
      <c r="S57" s="142"/>
      <c r="T57" s="142"/>
      <c r="U57" s="143">
        <f>IF(A57&gt;n,+U56,+C57-('Zero Test'!$BN$26+B57*'Zero Test'!$BN$27+B57^2*'Zero Test'!$BN$28+B57^3*'Zero Test'!$BN$29+B57^4*'Zero Test'!$BN$30))</f>
        <v>9.9999999966362552E-3</v>
      </c>
    </row>
    <row r="58" spans="1:35" ht="18" customHeight="1" x14ac:dyDescent="0.2">
      <c r="A58" s="247">
        <v>47</v>
      </c>
      <c r="B58" s="25">
        <f>IF($A58&gt;n,-999,+'Zero Test'!C58)</f>
        <v>-999</v>
      </c>
      <c r="C58" s="26">
        <f>IF($A58&gt;n,-999,+'Zero Test'!D58)</f>
        <v>-999</v>
      </c>
      <c r="D58" s="25"/>
      <c r="E58" s="25"/>
      <c r="F58" s="153"/>
      <c r="G58" s="154"/>
      <c r="H58" s="154"/>
      <c r="I58" s="155">
        <f>IF(A58&gt;n,+I57,+C58-('Zero Test'!$P$27+'Zero Test'!$P$28*B58))</f>
        <v>-0.15666666666666806</v>
      </c>
      <c r="J58" s="165"/>
      <c r="K58" s="166"/>
      <c r="L58" s="166"/>
      <c r="M58" s="167">
        <f>IF(A58&gt;n,M57,+C58-('Zero Test'!$Z$30+B58*'Zero Test'!$Z$31+B58^2*'Zero Test'!$Z$32))</f>
        <v>9.9999999999926814E-3</v>
      </c>
      <c r="N58" s="319"/>
      <c r="O58" s="320"/>
      <c r="P58" s="320"/>
      <c r="Q58" s="321">
        <f>IF(A58&gt;n,Q57,+C58-('Zero Test'!$AI$30+B58*'Zero Test'!$AI$31+B58^2*'Zero Test'!$AI$32+B58^3*'Zero Test'!$AI$33))</f>
        <v>9.9999999989277555E-3</v>
      </c>
      <c r="R58" s="141"/>
      <c r="S58" s="142"/>
      <c r="T58" s="142"/>
      <c r="U58" s="143">
        <f>IF(A58&gt;n,+U57,+C58-('Zero Test'!$BN$26+B58*'Zero Test'!$BN$27+B58^2*'Zero Test'!$BN$28+B58^3*'Zero Test'!$BN$29+B58^4*'Zero Test'!$BN$30))</f>
        <v>9.9999999966362552E-3</v>
      </c>
    </row>
    <row r="59" spans="1:35" ht="18" customHeight="1" x14ac:dyDescent="0.2">
      <c r="A59" s="247">
        <v>48</v>
      </c>
      <c r="B59" s="25">
        <f>IF($A59&gt;n,-999,+'Zero Test'!C59)</f>
        <v>-999</v>
      </c>
      <c r="C59" s="26">
        <f>IF($A59&gt;n,-999,+'Zero Test'!D59)</f>
        <v>-999</v>
      </c>
      <c r="D59" s="25"/>
      <c r="E59" s="25"/>
      <c r="F59" s="153"/>
      <c r="G59" s="154"/>
      <c r="H59" s="154"/>
      <c r="I59" s="155">
        <f>IF(A59&gt;n,+I58,+C59-('Zero Test'!$P$27+'Zero Test'!$P$28*B59))</f>
        <v>-0.15666666666666806</v>
      </c>
      <c r="J59" s="165"/>
      <c r="K59" s="166"/>
      <c r="L59" s="166"/>
      <c r="M59" s="167">
        <f>IF(A59&gt;n,M58,+C59-('Zero Test'!$Z$30+B59*'Zero Test'!$Z$31+B59^2*'Zero Test'!$Z$32))</f>
        <v>9.9999999999926814E-3</v>
      </c>
      <c r="N59" s="319"/>
      <c r="O59" s="320"/>
      <c r="P59" s="320"/>
      <c r="Q59" s="321">
        <f>IF(A59&gt;n,Q58,+C59-('Zero Test'!$AI$30+B59*'Zero Test'!$AI$31+B59^2*'Zero Test'!$AI$32+B59^3*'Zero Test'!$AI$33))</f>
        <v>9.9999999989277555E-3</v>
      </c>
      <c r="R59" s="141"/>
      <c r="S59" s="142"/>
      <c r="T59" s="142"/>
      <c r="U59" s="143">
        <f>IF(A59&gt;n,+U58,+C59-('Zero Test'!$BN$26+B59*'Zero Test'!$BN$27+B59^2*'Zero Test'!$BN$28+B59^3*'Zero Test'!$BN$29+B59^4*'Zero Test'!$BN$30))</f>
        <v>9.9999999966362552E-3</v>
      </c>
    </row>
    <row r="60" spans="1:35" ht="18" customHeight="1" x14ac:dyDescent="0.2">
      <c r="A60" s="247">
        <v>49</v>
      </c>
      <c r="B60" s="25">
        <f>IF($A60&gt;n,-999,+'Zero Test'!C60)</f>
        <v>-999</v>
      </c>
      <c r="C60" s="26">
        <f>IF($A60&gt;n,-999,+'Zero Test'!D60)</f>
        <v>-999</v>
      </c>
      <c r="D60" s="25"/>
      <c r="E60" s="25"/>
      <c r="F60" s="153"/>
      <c r="G60" s="154"/>
      <c r="H60" s="154"/>
      <c r="I60" s="155">
        <f>IF(A60&gt;n,+I59,+C60-('Zero Test'!$P$27+'Zero Test'!$P$28*B60))</f>
        <v>-0.15666666666666806</v>
      </c>
      <c r="J60" s="165"/>
      <c r="K60" s="166"/>
      <c r="L60" s="166"/>
      <c r="M60" s="167">
        <f>IF(A60&gt;n,M59,+C60-('Zero Test'!$Z$30+B60*'Zero Test'!$Z$31+B60^2*'Zero Test'!$Z$32))</f>
        <v>9.9999999999926814E-3</v>
      </c>
      <c r="N60" s="319"/>
      <c r="O60" s="320"/>
      <c r="P60" s="320"/>
      <c r="Q60" s="321">
        <f>IF(A60&gt;n,Q59,+C60-('Zero Test'!$AI$30+B60*'Zero Test'!$AI$31+B60^2*'Zero Test'!$AI$32+B60^3*'Zero Test'!$AI$33))</f>
        <v>9.9999999989277555E-3</v>
      </c>
      <c r="R60" s="141"/>
      <c r="S60" s="142"/>
      <c r="T60" s="142"/>
      <c r="U60" s="143">
        <f>IF(A60&gt;n,+U59,+C60-('Zero Test'!$BN$26+B60*'Zero Test'!$BN$27+B60^2*'Zero Test'!$BN$28+B60^3*'Zero Test'!$BN$29+B60^4*'Zero Test'!$BN$30))</f>
        <v>9.9999999966362552E-3</v>
      </c>
    </row>
    <row r="61" spans="1:35" ht="18" customHeight="1" x14ac:dyDescent="0.2">
      <c r="A61" s="248">
        <v>50</v>
      </c>
      <c r="B61" s="27">
        <f>IF($A61&gt;n,-999,+'Zero Test'!C61)</f>
        <v>-999</v>
      </c>
      <c r="C61" s="28">
        <f>IF($A61&gt;n,-999,+'Zero Test'!D61)</f>
        <v>-999</v>
      </c>
      <c r="D61" s="25"/>
      <c r="E61" s="25"/>
      <c r="F61" s="153"/>
      <c r="G61" s="154"/>
      <c r="H61" s="154"/>
      <c r="I61" s="155">
        <f>IF(A61&gt;n,+I60,+C61-('Zero Test'!$P$27+'Zero Test'!$P$28*B61))</f>
        <v>-0.15666666666666806</v>
      </c>
      <c r="J61" s="165"/>
      <c r="K61" s="166"/>
      <c r="L61" s="166"/>
      <c r="M61" s="167">
        <f>IF(A61&gt;n,M60,+C61-('Zero Test'!$Z$30+B61*'Zero Test'!$Z$31+B61^2*'Zero Test'!$Z$32))</f>
        <v>9.9999999999926814E-3</v>
      </c>
      <c r="N61" s="319"/>
      <c r="O61" s="320"/>
      <c r="P61" s="320"/>
      <c r="Q61" s="321">
        <f>IF(A61&gt;n,Q60,+C61-('Zero Test'!$AI$30+B61*'Zero Test'!$AI$31+B61^2*'Zero Test'!$AI$32+B61^3*'Zero Test'!$AI$33))</f>
        <v>9.9999999989277555E-3</v>
      </c>
      <c r="R61" s="141"/>
      <c r="S61" s="142"/>
      <c r="T61" s="142"/>
      <c r="U61" s="143">
        <f>IF(A61&gt;n,+U60,+C61-('Zero Test'!$BN$26+B61*'Zero Test'!$BN$27+B61^2*'Zero Test'!$BN$28+B61^3*'Zero Test'!$BN$29+B61^4*'Zero Test'!$BN$30))</f>
        <v>9.9999999966362552E-3</v>
      </c>
    </row>
    <row r="62" spans="1:35" ht="18" customHeight="1" x14ac:dyDescent="0.2">
      <c r="A62" s="249"/>
      <c r="B62" s="43"/>
      <c r="C62" s="43"/>
      <c r="D62" s="43"/>
      <c r="E62" s="43"/>
      <c r="F62" s="153"/>
      <c r="G62" s="154"/>
      <c r="H62" s="154"/>
      <c r="I62" s="156"/>
      <c r="J62" s="165"/>
      <c r="K62" s="166"/>
      <c r="L62" s="166"/>
      <c r="M62" s="168"/>
      <c r="N62" s="319"/>
      <c r="O62" s="320"/>
      <c r="P62" s="320"/>
      <c r="Q62" s="322"/>
      <c r="R62" s="141"/>
      <c r="S62" s="142"/>
      <c r="T62" s="142"/>
      <c r="U62" s="142"/>
      <c r="V62" s="243" t="s">
        <v>220</v>
      </c>
      <c r="W62" s="244"/>
      <c r="X62" s="265" t="s">
        <v>221</v>
      </c>
      <c r="Y62" s="266"/>
      <c r="Z62" s="267"/>
      <c r="AA62" s="336" t="s">
        <v>222</v>
      </c>
      <c r="AB62" s="337"/>
      <c r="AC62" s="337"/>
      <c r="AD62" s="338"/>
      <c r="AE62" s="268" t="s">
        <v>223</v>
      </c>
      <c r="AF62" s="268"/>
      <c r="AG62" s="268"/>
      <c r="AH62" s="268"/>
      <c r="AI62" s="269"/>
    </row>
    <row r="63" spans="1:35" ht="18" customHeight="1" x14ac:dyDescent="0.2">
      <c r="A63" s="250">
        <v>1</v>
      </c>
      <c r="B63" s="251">
        <f>A6</f>
        <v>0</v>
      </c>
      <c r="C63" s="252">
        <f>B63^2</f>
        <v>0</v>
      </c>
      <c r="D63" s="334">
        <f>B63^3</f>
        <v>0</v>
      </c>
      <c r="E63" s="253">
        <f>B63^4</f>
        <v>0</v>
      </c>
      <c r="F63" s="188">
        <f>'Zero Test'!$P$27+'Zero Test'!$P$28*'Chart Data'!B63</f>
        <v>0.36666666666666714</v>
      </c>
      <c r="G63" s="188">
        <f>F63-$H$6*SQRT(SUMPRODUCT(A63:B63,V63:W63))</f>
        <v>0.24923365599609437</v>
      </c>
      <c r="H63" s="188">
        <f>F63+F63-G63</f>
        <v>0.48409967733723991</v>
      </c>
      <c r="I63" s="156"/>
      <c r="J63" s="169">
        <f>'Zero Test'!$Z$30+'Chart Data'!B63*'Zero Test'!$Z$31+'Chart Data'!B63^2*'Zero Test'!$Z$32</f>
        <v>0.20000000000000284</v>
      </c>
      <c r="K63" s="170">
        <f>$J63-$H$7*SQRT(SUMPRODUCT(A63:C63,X63:Z63))</f>
        <v>0.19002427829160487</v>
      </c>
      <c r="L63" s="170">
        <f>J63+J63-K63</f>
        <v>0.20997572170840081</v>
      </c>
      <c r="M63" s="168"/>
      <c r="N63" s="323">
        <f>'Zero Test'!$AI$30+B63*'Zero Test'!$AI$31+B63^2*'Zero Test'!$AI$32+B63^3*'Zero Test'!$AI$33</f>
        <v>0.19999999999998863</v>
      </c>
      <c r="O63" s="324">
        <f>N63-SQRT(SUMPRODUCT(AA63:AD63,A63:D63)*$H$8)</f>
        <v>0.19258888023804949</v>
      </c>
      <c r="P63" s="324">
        <f>N63+N63-O63</f>
        <v>0.20741111976192778</v>
      </c>
      <c r="Q63" s="322"/>
      <c r="R63" s="145">
        <f>SUMPRODUCT(A63:E63,'Zero Test'!$BN$43:$BR$43)</f>
        <v>0.19999999999991758</v>
      </c>
      <c r="S63" s="187">
        <f>R63-SQRT(SUMPRODUCT(AE63:AI63,A63:E63)*$H$9)</f>
        <v>0.19186310278399493</v>
      </c>
      <c r="T63" s="187">
        <f>R63+R63-S63</f>
        <v>0.20813689721584022</v>
      </c>
      <c r="U63" s="142"/>
      <c r="V63" s="262">
        <f>SUMPRODUCT($A63:$B63,'Zero Test'!$P$52:$Q$52)</f>
        <v>3.0686507936504652E-3</v>
      </c>
      <c r="W63" s="263">
        <f>SUMPRODUCT($A63:$B63,'Zero Test'!$P$53:$Q$53)</f>
        <v>-8.3690476190467235E-4</v>
      </c>
      <c r="X63" s="270">
        <f>SUMPRODUCT($A63:$C63,'Zero Test'!$Z$59:$AB$59)</f>
        <v>2.1904761901079193E-5</v>
      </c>
      <c r="Y63" s="271">
        <f>SUMPRODUCT($A63:$C63,'Zero Test'!$Z$60:$AB$60)</f>
        <v>-1.5714285711643769E-5</v>
      </c>
      <c r="Z63" s="271">
        <f>SUMPRODUCT($A63:$C63,'Zero Test'!$Z$61:$AB$61)</f>
        <v>2.3809523805520861E-6</v>
      </c>
      <c r="AA63" s="339">
        <f>SUMPRODUCT($A63:$D63,'Zero Test'!$AI$59:$AL$59)</f>
        <v>2.5608465604160817E-5</v>
      </c>
      <c r="AB63" s="340">
        <f>SUMPRODUCT($A63:$D63,'Zero Test'!$AI$60:$AL$60)</f>
        <v>-3.2627865955716189E-5</v>
      </c>
      <c r="AC63" s="340">
        <f>SUMPRODUCT($A63:$D63,'Zero Test'!$AI$61:$AL$61)</f>
        <v>1.1640211638255888E-5</v>
      </c>
      <c r="AD63" s="341">
        <f>SUMPRODUCT($A63:$D63,'Zero Test'!$AI$62:$AL$62)</f>
        <v>-1.2345679010271672E-6</v>
      </c>
      <c r="AE63" s="272">
        <f>SUMPRODUCT(A63:E63,'Zero Test'!$BL$59:$BP$59)</f>
        <v>3.0647128722416759E-5</v>
      </c>
      <c r="AF63" s="272">
        <f>SUMPRODUCT(A63:E63,'Zero Test'!$BL$60:$BP$60)</f>
        <v>-5.5962552447972552E-5</v>
      </c>
      <c r="AG63" s="272">
        <f>SUMPRODUCT(A63:E63,'Zero Test'!$BL$61:$BP$61)</f>
        <v>3.3119656039662786E-5</v>
      </c>
      <c r="AH63" s="272">
        <f>SUMPRODUCT(A63:E63,'Zero Test'!$BL$62:$BP$62)</f>
        <v>-7.8347573427156399E-6</v>
      </c>
      <c r="AI63" s="273">
        <f>SUMPRODUCT(A63:E63,'Zero Test'!$BL$63:$BP$63)</f>
        <v>6.4102560076762085E-7</v>
      </c>
    </row>
    <row r="64" spans="1:35" ht="18" customHeight="1" x14ac:dyDescent="0.2">
      <c r="A64" s="254">
        <v>1</v>
      </c>
      <c r="B64" s="255">
        <f t="shared" ref="B64:B95" si="0">B63+0.02*($A$7-$B$63)</f>
        <v>0.1</v>
      </c>
      <c r="C64" s="256">
        <f t="shared" ref="C64:C113" si="1">B64^2</f>
        <v>1.0000000000000002E-2</v>
      </c>
      <c r="D64" s="335">
        <f t="shared" ref="D64:D113" si="2">B64^3</f>
        <v>1.0000000000000002E-3</v>
      </c>
      <c r="E64" s="257">
        <f t="shared" ref="E64:E113" si="3">B64^4</f>
        <v>1.0000000000000005E-4</v>
      </c>
      <c r="F64" s="189">
        <f>'Zero Test'!$P$27+'Zero Test'!$P$28*'Chart Data'!B64</f>
        <v>0.44166666666666715</v>
      </c>
      <c r="G64" s="188">
        <f t="shared" ref="G64:G113" si="4">F64-$H$6*SQRT(SUMPRODUCT(A64:B64,V64:W64))</f>
        <v>0.32741542402629847</v>
      </c>
      <c r="H64" s="188">
        <f>F64+F64-G64</f>
        <v>0.55591790930703588</v>
      </c>
      <c r="I64" s="156"/>
      <c r="J64" s="171">
        <f>'Zero Test'!$Z$30+'Chart Data'!B64*'Zero Test'!$Z$31+'Chart Data'!B64^2*'Zero Test'!$Z$32</f>
        <v>0.29950000000000282</v>
      </c>
      <c r="K64" s="170">
        <f>$J64-$H$7*SQRT(SUMPRODUCT(A64:C64,X64:Z64))</f>
        <v>0.29021014081536256</v>
      </c>
      <c r="L64" s="170">
        <f t="shared" ref="L64:L113" si="5">J64+J64-K64</f>
        <v>0.30878985918464308</v>
      </c>
      <c r="M64" s="168"/>
      <c r="N64" s="323">
        <f>'Zero Test'!$AI$30+B64*'Zero Test'!$AI$31+B64^2*'Zero Test'!$AI$32+B64^3*'Zero Test'!$AI$33</f>
        <v>0.29950000000000004</v>
      </c>
      <c r="O64" s="325">
        <f t="shared" ref="O64:O113" si="6">N64-SQRT(SUMPRODUCT(AA64:AD64,A64:D64)*$H$8)</f>
        <v>0.29291929006844247</v>
      </c>
      <c r="P64" s="324">
        <f t="shared" ref="P64:P113" si="7">N64+N64-O64</f>
        <v>0.30608070993155762</v>
      </c>
      <c r="Q64" s="322"/>
      <c r="R64" s="146">
        <f>SUMPRODUCT(A64:E64,'Zero Test'!$BN$43:$BR$43)</f>
        <v>0.29949999999991589</v>
      </c>
      <c r="S64" s="142">
        <f t="shared" ref="S64:S113" si="8">R64-SQRT(SUMPRODUCT(AE64:AI64,A64:E64)*$H$9)</f>
        <v>0.29236495740600899</v>
      </c>
      <c r="T64" s="187">
        <f t="shared" ref="T64:T113" si="9">R64+R64-S64</f>
        <v>0.30663504259382279</v>
      </c>
      <c r="U64" s="142"/>
      <c r="V64" s="153">
        <f>SUMPRODUCT($A64:$B64,'Zero Test'!$P$52:$Q$52)</f>
        <v>2.984960317459998E-3</v>
      </c>
      <c r="W64" s="156">
        <f>SUMPRODUCT($A64:$B64,'Zero Test'!$P$53:$Q$53)</f>
        <v>-8.034285714284855E-4</v>
      </c>
      <c r="X64" s="165">
        <f>SUMPRODUCT($A64:$C64,'Zero Test'!$Z$59:$AB$59)</f>
        <v>2.0357142853720337E-5</v>
      </c>
      <c r="Y64" s="166">
        <f>SUMPRODUCT($A64:$C64,'Zero Test'!$Z$60:$AB$60)</f>
        <v>-1.3811904759582652E-5</v>
      </c>
      <c r="Z64" s="166">
        <f>SUMPRODUCT($A64:$C64,'Zero Test'!$Z$61:$AB$61)</f>
        <v>2.0309523806109295E-6</v>
      </c>
      <c r="AA64" s="342">
        <f>SUMPRODUCT($A64:$D64,'Zero Test'!$AI$59:$AL$59)</f>
        <v>2.2460846557070746E-5</v>
      </c>
      <c r="AB64" s="324">
        <f>SUMPRODUCT($A64:$D64,'Zero Test'!$AI$60:$AL$60)</f>
        <v>-2.3418818338215996E-5</v>
      </c>
      <c r="AC64" s="324">
        <f>SUMPRODUCT($A64:$D64,'Zero Test'!$AI$61:$AL$61)</f>
        <v>7.2902116389867978E-6</v>
      </c>
      <c r="AD64" s="343">
        <f>SUMPRODUCT($A64:$D64,'Zero Test'!$AI$62:$AL$62)</f>
        <v>-7.01234567783445E-7</v>
      </c>
      <c r="AE64" s="142">
        <f>SUMPRODUCT(A64:E64,'Zero Test'!$BL$59:$BP$59)</f>
        <v>2.537429938323268E-5</v>
      </c>
      <c r="AF64" s="142">
        <f>SUMPRODUCT(A64:E64,'Zero Test'!$BL$60:$BP$60)</f>
        <v>-1.7987371682729413E-5</v>
      </c>
      <c r="AG64" s="142">
        <f>SUMPRODUCT(A64:E64,'Zero Test'!$BL$61:$BP$61)</f>
        <v>-1.3001334653482824E-6</v>
      </c>
      <c r="AH64" s="142">
        <f>SUMPRODUCT(A64:E64,'Zero Test'!$BL$62:$BP$62)</f>
        <v>2.3529022738815102E-6</v>
      </c>
      <c r="AI64" s="144">
        <f>SUMPRODUCT(A64:E64,'Zero Test'!$BL$63:$BP$63)</f>
        <v>-3.1620190321837828E-7</v>
      </c>
    </row>
    <row r="65" spans="1:35" ht="18" customHeight="1" x14ac:dyDescent="0.2">
      <c r="A65" s="254">
        <v>1</v>
      </c>
      <c r="B65" s="255">
        <f t="shared" si="0"/>
        <v>0.2</v>
      </c>
      <c r="C65" s="256">
        <f t="shared" si="1"/>
        <v>4.0000000000000008E-2</v>
      </c>
      <c r="D65" s="335">
        <f t="shared" si="2"/>
        <v>8.0000000000000019E-3</v>
      </c>
      <c r="E65" s="257">
        <f t="shared" si="3"/>
        <v>1.6000000000000007E-3</v>
      </c>
      <c r="F65" s="189">
        <f>'Zero Test'!$P$27+'Zero Test'!$P$28*'Chart Data'!B65</f>
        <v>0.51666666666666716</v>
      </c>
      <c r="G65" s="154">
        <f t="shared" si="4"/>
        <v>0.40555289936310779</v>
      </c>
      <c r="H65" s="188">
        <f t="shared" ref="H65:H113" si="10">F65+F65-G65</f>
        <v>0.62778043397022654</v>
      </c>
      <c r="I65" s="156"/>
      <c r="J65" s="171">
        <f>'Zero Test'!$Z$30+'Chart Data'!B65*'Zero Test'!$Z$31+'Chart Data'!B65^2*'Zero Test'!$Z$32</f>
        <v>0.39800000000000285</v>
      </c>
      <c r="K65" s="166">
        <f t="shared" ref="K65:K113" si="11">$J65-$H$7*SQRT(SUMPRODUCT(A65:C65,X65:Z65))</f>
        <v>0.38933446823518691</v>
      </c>
      <c r="L65" s="170">
        <f t="shared" si="5"/>
        <v>0.40666553176481879</v>
      </c>
      <c r="M65" s="168"/>
      <c r="N65" s="323">
        <f>'Zero Test'!$AI$30+B65*'Zero Test'!$AI$31+B65^2*'Zero Test'!$AI$32+B65^3*'Zero Test'!$AI$33</f>
        <v>0.39800000000001151</v>
      </c>
      <c r="O65" s="325">
        <f t="shared" si="6"/>
        <v>0.39202341160373999</v>
      </c>
      <c r="P65" s="324">
        <f t="shared" si="7"/>
        <v>0.40397658839628303</v>
      </c>
      <c r="Q65" s="322"/>
      <c r="R65" s="146">
        <f>SUMPRODUCT(A65:E65,'Zero Test'!$BN$43:$BR$43)</f>
        <v>0.39799999999991165</v>
      </c>
      <c r="S65" s="142">
        <f t="shared" si="8"/>
        <v>0.39106637398596306</v>
      </c>
      <c r="T65" s="187">
        <f t="shared" si="9"/>
        <v>0.40493362601386024</v>
      </c>
      <c r="U65" s="142"/>
      <c r="V65" s="153">
        <f>SUMPRODUCT($A65:$B65,'Zero Test'!$P$52:$Q$52)</f>
        <v>2.9012698412695308E-3</v>
      </c>
      <c r="W65" s="156">
        <f>SUMPRODUCT($A65:$B65,'Zero Test'!$P$53:$Q$53)</f>
        <v>-7.6995238095229853E-4</v>
      </c>
      <c r="X65" s="165">
        <f>SUMPRODUCT($A65:$C65,'Zero Test'!$Z$59:$AB$59)</f>
        <v>1.8857142853972523E-5</v>
      </c>
      <c r="Y65" s="166">
        <f>SUMPRODUCT($A65:$C65,'Zero Test'!$Z$60:$AB$60)</f>
        <v>-1.1980952378938098E-5</v>
      </c>
      <c r="Z65" s="166">
        <f>SUMPRODUCT($A65:$C65,'Zero Test'!$Z$61:$AB$61)</f>
        <v>1.6952380949530851E-6</v>
      </c>
      <c r="AA65" s="342">
        <f>SUMPRODUCT($A65:$D65,'Zero Test'!$AI$59:$AL$59)</f>
        <v>1.9538624335339627E-5</v>
      </c>
      <c r="AB65" s="324">
        <f>SUMPRODUCT($A65:$D65,'Zero Test'!$AI$60:$AL$60)</f>
        <v>-1.5093051143847815E-5</v>
      </c>
      <c r="AC65" s="324">
        <f>SUMPRODUCT($A65:$D65,'Zero Test'!$AI$61:$AL$61)</f>
        <v>3.3989417983707874E-6</v>
      </c>
      <c r="AD65" s="343">
        <f>SUMPRODUCT($A65:$D65,'Zero Test'!$AI$62:$AL$62)</f>
        <v>-2.2716049378902479E-7</v>
      </c>
      <c r="AE65" s="142">
        <f>SUMPRODUCT(A65:E65,'Zero Test'!$BL$59:$BP$59)</f>
        <v>2.0717752056626909E-5</v>
      </c>
      <c r="AF65" s="142">
        <f>SUMPRODUCT(A65:E65,'Zero Test'!$BL$60:$BP$60)</f>
        <v>1.3031826613384896E-5</v>
      </c>
      <c r="AG65" s="142">
        <f>SUMPRODUCT(A65:E65,'Zero Test'!$BL$61:$BP$61)</f>
        <v>-2.8808545199284593E-5</v>
      </c>
      <c r="AH65" s="142">
        <f>SUMPRODUCT(A65:E65,'Zero Test'!$BL$62:$BP$62)</f>
        <v>1.0394301341509121E-5</v>
      </c>
      <c r="AI65" s="144">
        <f>SUMPRODUCT(A65:E65,'Zero Test'!$BL$63:$BP$63)</f>
        <v>-1.0656409587156161E-6</v>
      </c>
    </row>
    <row r="66" spans="1:35" ht="18" customHeight="1" x14ac:dyDescent="0.2">
      <c r="A66" s="254">
        <v>1</v>
      </c>
      <c r="B66" s="255">
        <f t="shared" si="0"/>
        <v>0.30000000000000004</v>
      </c>
      <c r="C66" s="256">
        <f t="shared" si="1"/>
        <v>9.0000000000000024E-2</v>
      </c>
      <c r="D66" s="335">
        <f t="shared" si="2"/>
        <v>2.700000000000001E-2</v>
      </c>
      <c r="E66" s="257">
        <f t="shared" si="3"/>
        <v>8.1000000000000048E-3</v>
      </c>
      <c r="F66" s="189">
        <f>'Zero Test'!$P$27+'Zero Test'!$P$28*'Chart Data'!B66</f>
        <v>0.59166666666666723</v>
      </c>
      <c r="G66" s="154">
        <f t="shared" si="4"/>
        <v>0.4836422226101561</v>
      </c>
      <c r="H66" s="188">
        <f t="shared" si="10"/>
        <v>0.69969111072317836</v>
      </c>
      <c r="I66" s="156"/>
      <c r="J66" s="171">
        <f>'Zero Test'!$Z$30+'Chart Data'!B66*'Zero Test'!$Z$31+'Chart Data'!B66^2*'Zero Test'!$Z$32</f>
        <v>0.49550000000000288</v>
      </c>
      <c r="K66" s="166">
        <f t="shared" si="11"/>
        <v>0.48739433076270106</v>
      </c>
      <c r="L66" s="170">
        <f t="shared" si="5"/>
        <v>0.50360566923730476</v>
      </c>
      <c r="M66" s="168"/>
      <c r="N66" s="323">
        <f>'Zero Test'!$AI$30+B66*'Zero Test'!$AI$31+B66^2*'Zero Test'!$AI$32+B66^3*'Zero Test'!$AI$33</f>
        <v>0.49550000000002314</v>
      </c>
      <c r="O66" s="325">
        <f t="shared" si="6"/>
        <v>0.48991374492915374</v>
      </c>
      <c r="P66" s="324">
        <f t="shared" si="7"/>
        <v>0.50108625507089255</v>
      </c>
      <c r="Q66" s="322"/>
      <c r="R66" s="146">
        <f>SUMPRODUCT(A66:E66,'Zero Test'!$BN$43:$BR$43)</f>
        <v>0.49549999999990568</v>
      </c>
      <c r="S66" s="142">
        <f t="shared" si="8"/>
        <v>0.48831749239110467</v>
      </c>
      <c r="T66" s="187">
        <f t="shared" si="9"/>
        <v>0.5026825076087067</v>
      </c>
      <c r="U66" s="142"/>
      <c r="V66" s="153">
        <f>SUMPRODUCT($A66:$B66,'Zero Test'!$P$52:$Q$52)</f>
        <v>2.8175793650790635E-3</v>
      </c>
      <c r="W66" s="156">
        <f>SUMPRODUCT($A66:$B66,'Zero Test'!$P$53:$Q$53)</f>
        <v>-7.3647619047611168E-4</v>
      </c>
      <c r="X66" s="165">
        <f>SUMPRODUCT($A66:$C66,'Zero Test'!$Z$59:$AB$59)</f>
        <v>1.7404761901835752E-5</v>
      </c>
      <c r="Y66" s="166">
        <f>SUMPRODUCT($A66:$C66,'Zero Test'!$Z$60:$AB$60)</f>
        <v>-1.0221428569710105E-5</v>
      </c>
      <c r="Z66" s="166">
        <f>SUMPRODUCT($A66:$C66,'Zero Test'!$Z$61:$AB$61)</f>
        <v>1.3738095235785534E-6</v>
      </c>
      <c r="AA66" s="342">
        <f>SUMPRODUCT($A66:$D66,'Zero Test'!$AI$59:$AL$59)</f>
        <v>1.6834391531561304E-5</v>
      </c>
      <c r="AB66" s="324">
        <f>SUMPRODUCT($A66:$D66,'Zero Test'!$AI$60:$AL$60)</f>
        <v>-7.6167372121234933E-6</v>
      </c>
      <c r="AC66" s="324">
        <f>SUMPRODUCT($A66:$D66,'Zero Test'!$AI$61:$AL$61)</f>
        <v>-5.2116402107550861E-8</v>
      </c>
      <c r="AD66" s="343">
        <f>SUMPRODUCT($A66:$D66,'Zero Test'!$AI$62:$AL$62)</f>
        <v>1.9012345675814783E-7</v>
      </c>
      <c r="AE66" s="142">
        <f>SUMPRODUCT(A66:E66,'Zero Test'!$BL$59:$BP$59)</f>
        <v>1.6632785890705895E-5</v>
      </c>
      <c r="AF66" s="142">
        <f>SUMPRODUCT(A66:E66,'Zero Test'!$BL$60:$BP$60)</f>
        <v>3.7736637841671949E-5</v>
      </c>
      <c r="AG66" s="142">
        <f>SUMPRODUCT(A66:E66,'Zero Test'!$BL$61:$BP$61)</f>
        <v>-5.0074703051747254E-5</v>
      </c>
      <c r="AH66" s="142">
        <f>SUMPRODUCT(A66:E66,'Zero Test'!$BL$62:$BP$62)</f>
        <v>1.6503186285489765E-5</v>
      </c>
      <c r="AI66" s="144">
        <f>SUMPRODUCT(A66:E66,'Zero Test'!$BL$63:$BP$63)</f>
        <v>-1.6283813079893413E-6</v>
      </c>
    </row>
    <row r="67" spans="1:35" ht="18" customHeight="1" x14ac:dyDescent="0.2">
      <c r="A67" s="254">
        <v>1</v>
      </c>
      <c r="B67" s="255">
        <f t="shared" si="0"/>
        <v>0.4</v>
      </c>
      <c r="C67" s="256">
        <f t="shared" si="1"/>
        <v>0.16000000000000003</v>
      </c>
      <c r="D67" s="335">
        <f t="shared" si="2"/>
        <v>6.4000000000000015E-2</v>
      </c>
      <c r="E67" s="257">
        <f t="shared" si="3"/>
        <v>2.5600000000000012E-2</v>
      </c>
      <c r="F67" s="189">
        <f>'Zero Test'!$P$27+'Zero Test'!$P$28*'Chart Data'!B67</f>
        <v>0.66666666666666718</v>
      </c>
      <c r="G67" s="154">
        <f t="shared" si="4"/>
        <v>0.56167914296573085</v>
      </c>
      <c r="H67" s="188">
        <f t="shared" si="10"/>
        <v>0.77165419036760352</v>
      </c>
      <c r="I67" s="156"/>
      <c r="J67" s="171">
        <f>'Zero Test'!$Z$30+'Chart Data'!B67*'Zero Test'!$Z$31+'Chart Data'!B67^2*'Zero Test'!$Z$32</f>
        <v>0.59200000000000286</v>
      </c>
      <c r="K67" s="166">
        <f t="shared" si="11"/>
        <v>0.58438701439994933</v>
      </c>
      <c r="L67" s="170">
        <f t="shared" si="5"/>
        <v>0.59961298560005638</v>
      </c>
      <c r="M67" s="168"/>
      <c r="N67" s="323">
        <f>'Zero Test'!$AI$30+B67*'Zero Test'!$AI$31+B67^2*'Zero Test'!$AI$32+B67^3*'Zero Test'!$AI$33</f>
        <v>0.59200000000003472</v>
      </c>
      <c r="O67" s="325">
        <f t="shared" si="6"/>
        <v>0.58661891442977743</v>
      </c>
      <c r="P67" s="324">
        <f t="shared" si="7"/>
        <v>0.59738108557029201</v>
      </c>
      <c r="Q67" s="322"/>
      <c r="R67" s="146">
        <f>SUMPRODUCT(A67:E67,'Zero Test'!$BN$43:$BR$43)</f>
        <v>0.59199999999989883</v>
      </c>
      <c r="S67" s="142">
        <f t="shared" si="8"/>
        <v>0.58442796458965995</v>
      </c>
      <c r="T67" s="187">
        <f t="shared" si="9"/>
        <v>0.5995720354101377</v>
      </c>
      <c r="U67" s="142"/>
      <c r="V67" s="153">
        <f>SUMPRODUCT($A67:$B67,'Zero Test'!$P$52:$Q$52)</f>
        <v>2.7338888888885963E-3</v>
      </c>
      <c r="W67" s="156">
        <f>SUMPRODUCT($A67:$B67,'Zero Test'!$P$53:$Q$53)</f>
        <v>-7.0299999999992471E-4</v>
      </c>
      <c r="X67" s="165">
        <f>SUMPRODUCT($A67:$C67,'Zero Test'!$Z$59:$AB$59)</f>
        <v>1.5999999997310019E-5</v>
      </c>
      <c r="Y67" s="166">
        <f>SUMPRODUCT($A67:$C67,'Zero Test'!$Z$60:$AB$60)</f>
        <v>-8.5333333318986765E-6</v>
      </c>
      <c r="Z67" s="166">
        <f>SUMPRODUCT($A67:$C67,'Zero Test'!$Z$61:$AB$61)</f>
        <v>1.0666666664873344E-6</v>
      </c>
      <c r="AA67" s="342">
        <f>SUMPRODUCT($A67:$D67,'Zero Test'!$AI$59:$AL$59)</f>
        <v>1.434074073832961E-5</v>
      </c>
      <c r="AB67" s="324">
        <f>SUMPRODUCT($A67:$D67,'Zero Test'!$AI$60:$AL$60)</f>
        <v>-9.5604938255490295E-7</v>
      </c>
      <c r="AC67" s="324">
        <f>SUMPRODUCT($A67:$D67,'Zero Test'!$AI$61:$AL$61)</f>
        <v>-3.0814814809636217E-6</v>
      </c>
      <c r="AD67" s="343">
        <f>SUMPRODUCT($A67:$D67,'Zero Test'!$AI$62:$AL$62)</f>
        <v>5.5308641966012636E-7</v>
      </c>
      <c r="AE67" s="142">
        <f>SUMPRODUCT(A67:E67,'Zero Test'!$BL$59:$BP$59)</f>
        <v>1.3076238495017931E-5</v>
      </c>
      <c r="AF67" s="142">
        <f>SUMPRODUCT(A67:E67,'Zero Test'!$BL$60:$BP$60)</f>
        <v>5.6743016379402482E-5</v>
      </c>
      <c r="AG67" s="142">
        <f>SUMPRODUCT(A67:E67,'Zero Test'!$BL$61:$BP$61)</f>
        <v>-6.5740166811504365E-5</v>
      </c>
      <c r="AH67" s="142">
        <f>SUMPRODUCT(A67:E67,'Zero Test'!$BL$62:$BP$62)</f>
        <v>2.0884329172735248E-5</v>
      </c>
      <c r="AI67" s="144">
        <f>SUMPRODUCT(A67:E67,'Zero Test'!$BL$63:$BP$63)</f>
        <v>-2.0246152574637266E-6</v>
      </c>
    </row>
    <row r="68" spans="1:35" ht="18" customHeight="1" x14ac:dyDescent="0.2">
      <c r="A68" s="254">
        <v>1</v>
      </c>
      <c r="B68" s="255">
        <f t="shared" si="0"/>
        <v>0.5</v>
      </c>
      <c r="C68" s="256">
        <f t="shared" si="1"/>
        <v>0.25</v>
      </c>
      <c r="D68" s="335">
        <f t="shared" si="2"/>
        <v>0.125</v>
      </c>
      <c r="E68" s="257">
        <f t="shared" si="3"/>
        <v>6.25E-2</v>
      </c>
      <c r="F68" s="189">
        <f>'Zero Test'!$P$27+'Zero Test'!$P$28*'Chart Data'!B68</f>
        <v>0.74166666666666725</v>
      </c>
      <c r="G68" s="154">
        <f t="shared" si="4"/>
        <v>0.63965897998669852</v>
      </c>
      <c r="H68" s="188">
        <f t="shared" si="10"/>
        <v>0.84367435334663599</v>
      </c>
      <c r="I68" s="156"/>
      <c r="J68" s="171">
        <f>'Zero Test'!$Z$30+'Chart Data'!B68*'Zero Test'!$Z$31+'Chart Data'!B68^2*'Zero Test'!$Z$32</f>
        <v>0.68750000000000289</v>
      </c>
      <c r="K68" s="166">
        <f t="shared" si="11"/>
        <v>0.68031035301220066</v>
      </c>
      <c r="L68" s="170">
        <f t="shared" si="5"/>
        <v>0.69468964698780511</v>
      </c>
      <c r="M68" s="168"/>
      <c r="N68" s="323">
        <f>'Zero Test'!$AI$30+B68*'Zero Test'!$AI$31+B68^2*'Zero Test'!$AI$32+B68^3*'Zero Test'!$AI$33</f>
        <v>0.68750000000004663</v>
      </c>
      <c r="O68" s="325">
        <f t="shared" si="6"/>
        <v>0.68218062761978659</v>
      </c>
      <c r="P68" s="324">
        <f t="shared" si="7"/>
        <v>0.69281937238030666</v>
      </c>
      <c r="Q68" s="322"/>
      <c r="R68" s="146">
        <f>SUMPRODUCT(A68:E68,'Zero Test'!$BN$43:$BR$43)</f>
        <v>0.68749999999989209</v>
      </c>
      <c r="S68" s="142">
        <f t="shared" si="8"/>
        <v>0.67957837241206565</v>
      </c>
      <c r="T68" s="187">
        <f t="shared" si="9"/>
        <v>0.69542162758771853</v>
      </c>
      <c r="U68" s="142"/>
      <c r="V68" s="153">
        <f>SUMPRODUCT($A68:$B68,'Zero Test'!$P$52:$Q$52)</f>
        <v>2.650198412698129E-3</v>
      </c>
      <c r="W68" s="156">
        <f>SUMPRODUCT($A68:$B68,'Zero Test'!$P$53:$Q$53)</f>
        <v>-6.6952380952373786E-4</v>
      </c>
      <c r="X68" s="165">
        <f>SUMPRODUCT($A68:$C68,'Zero Test'!$Z$59:$AB$59)</f>
        <v>1.4642857140395331E-5</v>
      </c>
      <c r="Y68" s="166">
        <f>SUMPRODUCT($A68:$C68,'Zero Test'!$Z$60:$AB$60)</f>
        <v>-6.91666666550381E-6</v>
      </c>
      <c r="Z68" s="166">
        <f>SUMPRODUCT($A68:$C68,'Zero Test'!$Z$61:$AB$61)</f>
        <v>7.7380952367942782E-7</v>
      </c>
      <c r="AA68" s="342">
        <f>SUMPRODUCT($A68:$D68,'Zero Test'!$AI$59:$AL$59)</f>
        <v>1.2050264548238377E-5</v>
      </c>
      <c r="AB68" s="324">
        <f>SUMPRODUCT($A68:$D68,'Zero Test'!$AI$60:$AL$60)</f>
        <v>4.9228395053461148E-6</v>
      </c>
      <c r="AC68" s="324">
        <f>SUMPRODUCT($A68:$D68,'Zero Test'!$AI$61:$AL$61)</f>
        <v>-5.7076719567128332E-6</v>
      </c>
      <c r="AD68" s="343">
        <f>SUMPRODUCT($A68:$D68,'Zero Test'!$AI$62:$AL$62)</f>
        <v>8.6419753071896597E-7</v>
      </c>
      <c r="AE68" s="142">
        <f>SUMPRODUCT(A68:E68,'Zero Test'!$BL$59:$BP$59)</f>
        <v>1.0006485940553156E-5</v>
      </c>
      <c r="AF68" s="142">
        <f>SUMPRODUCT(A68:E68,'Zero Test'!$BL$60:$BP$60)</f>
        <v>7.0641275579816728E-5</v>
      </c>
      <c r="AG68" s="142">
        <f>SUMPRODUCT(A68:E68,'Zero Test'!$BL$61:$BP$61)</f>
        <v>-7.6418932166491009E-5</v>
      </c>
      <c r="AH68" s="142">
        <f>SUMPRODUCT(A68:E68,'Zero Test'!$BL$62:$BP$62)</f>
        <v>2.3733527711746654E-5</v>
      </c>
      <c r="AI68" s="144">
        <f>SUMPRODUCT(A68:E68,'Zero Test'!$BL$63:$BP$63)</f>
        <v>-2.2736376777218731E-6</v>
      </c>
    </row>
    <row r="69" spans="1:35" ht="18" customHeight="1" x14ac:dyDescent="0.2">
      <c r="A69" s="254">
        <v>1</v>
      </c>
      <c r="B69" s="255">
        <f t="shared" si="0"/>
        <v>0.6</v>
      </c>
      <c r="C69" s="256">
        <f t="shared" si="1"/>
        <v>0.36</v>
      </c>
      <c r="D69" s="335">
        <f t="shared" si="2"/>
        <v>0.216</v>
      </c>
      <c r="E69" s="257">
        <f t="shared" si="3"/>
        <v>0.12959999999999999</v>
      </c>
      <c r="F69" s="189">
        <f>'Zero Test'!$P$27+'Zero Test'!$P$28*'Chart Data'!B69</f>
        <v>0.81666666666666732</v>
      </c>
      <c r="G69" s="154">
        <f t="shared" si="4"/>
        <v>0.71757658370903599</v>
      </c>
      <c r="H69" s="188">
        <f t="shared" si="10"/>
        <v>0.91575674962429865</v>
      </c>
      <c r="I69" s="156"/>
      <c r="J69" s="171">
        <f>'Zero Test'!$Z$30+'Chart Data'!B69*'Zero Test'!$Z$31+'Chart Data'!B69^2*'Zero Test'!$Z$32</f>
        <v>0.78200000000000292</v>
      </c>
      <c r="K69" s="166">
        <f t="shared" si="11"/>
        <v>0.77516314112618268</v>
      </c>
      <c r="L69" s="170">
        <f t="shared" si="5"/>
        <v>0.78883685887382315</v>
      </c>
      <c r="M69" s="168"/>
      <c r="N69" s="323">
        <f>'Zero Test'!$AI$30+B69*'Zero Test'!$AI$31+B69^2*'Zero Test'!$AI$32+B69^3*'Zero Test'!$AI$33</f>
        <v>0.78200000000005854</v>
      </c>
      <c r="O69" s="325">
        <f t="shared" si="6"/>
        <v>0.7766451623322399</v>
      </c>
      <c r="P69" s="324">
        <f t="shared" si="7"/>
        <v>0.78735483766787717</v>
      </c>
      <c r="Q69" s="322"/>
      <c r="R69" s="146">
        <f>SUMPRODUCT(A69:E69,'Zero Test'!$BN$43:$BR$43)</f>
        <v>0.78199999999988612</v>
      </c>
      <c r="S69" s="142">
        <f t="shared" si="8"/>
        <v>0.77384931205209573</v>
      </c>
      <c r="T69" s="187">
        <f t="shared" si="9"/>
        <v>0.79015068794767651</v>
      </c>
      <c r="U69" s="142"/>
      <c r="V69" s="153">
        <f>SUMPRODUCT($A69:$B69,'Zero Test'!$P$52:$Q$52)</f>
        <v>2.5665079365076618E-3</v>
      </c>
      <c r="W69" s="156">
        <f>SUMPRODUCT($A69:$B69,'Zero Test'!$P$53:$Q$53)</f>
        <v>-6.36047619047551E-4</v>
      </c>
      <c r="X69" s="165">
        <f>SUMPRODUCT($A69:$C69,'Zero Test'!$Z$59:$AB$59)</f>
        <v>1.3333333331091683E-5</v>
      </c>
      <c r="Y69" s="166">
        <f>SUMPRODUCT($A69:$C69,'Zero Test'!$Z$60:$AB$60)</f>
        <v>-5.3714285705255069E-6</v>
      </c>
      <c r="Z69" s="166">
        <f>SUMPRODUCT($A69:$C69,'Zero Test'!$Z$61:$AB$61)</f>
        <v>4.9523809515483387E-7</v>
      </c>
      <c r="AA69" s="342">
        <f>SUMPRODUCT($A69:$D69,'Zero Test'!$AI$59:$AL$59)</f>
        <v>9.9555555538814513E-6</v>
      </c>
      <c r="AB69" s="324">
        <f>SUMPRODUCT($A69:$D69,'Zero Test'!$AI$60:$AL$60)</f>
        <v>1.0053756612067697E-5</v>
      </c>
      <c r="AC69" s="324">
        <f>SUMPRODUCT($A69:$D69,'Zero Test'!$AI$61:$AL$61)</f>
        <v>-7.9492063478705918E-6</v>
      </c>
      <c r="AD69" s="343">
        <f>SUMPRODUCT($A69:$D69,'Zero Test'!$AI$62:$AL$62)</f>
        <v>1.1259259257367205E-6</v>
      </c>
      <c r="AE69" s="142">
        <f>SUMPRODUCT(A69:E69,'Zero Test'!$BL$59:$BP$59)</f>
        <v>7.3834427597435477E-6</v>
      </c>
      <c r="AF69" s="142">
        <f>SUMPRODUCT(A69:E69,'Zero Test'!$BL$60:$BP$60)</f>
        <v>7.9996087772124094E-5</v>
      </c>
      <c r="AG69" s="142">
        <f>SUMPRODUCT(A69:E69,'Zero Test'!$BL$61:$BP$61)</f>
        <v>-8.269743070380934E-5</v>
      </c>
      <c r="AH69" s="142">
        <f>SUMPRODUCT(A69:E69,'Zero Test'!$BL$62:$BP$62)</f>
        <v>2.5237605252614323E-5</v>
      </c>
      <c r="AI69" s="144">
        <f>SUMPRODUCT(A69:E69,'Zero Test'!$BL$63:$BP$63)</f>
        <v>-2.3938460035058048E-6</v>
      </c>
    </row>
    <row r="70" spans="1:35" ht="18" customHeight="1" x14ac:dyDescent="0.2">
      <c r="A70" s="254">
        <v>1</v>
      </c>
      <c r="B70" s="255">
        <f t="shared" si="0"/>
        <v>0.7</v>
      </c>
      <c r="C70" s="256">
        <f t="shared" si="1"/>
        <v>0.48999999999999994</v>
      </c>
      <c r="D70" s="335">
        <f t="shared" si="2"/>
        <v>0.34299999999999992</v>
      </c>
      <c r="E70" s="257">
        <f t="shared" si="3"/>
        <v>0.24009999999999992</v>
      </c>
      <c r="F70" s="189">
        <f>'Zero Test'!$P$27+'Zero Test'!$P$28*'Chart Data'!B70</f>
        <v>0.89166666666666727</v>
      </c>
      <c r="G70" s="154">
        <f t="shared" si="4"/>
        <v>0.79542629400992071</v>
      </c>
      <c r="H70" s="188">
        <f t="shared" si="10"/>
        <v>0.98790703932341384</v>
      </c>
      <c r="I70" s="156"/>
      <c r="J70" s="171">
        <f>'Zero Test'!$Z$30+'Chart Data'!B70*'Zero Test'!$Z$31+'Chart Data'!B70^2*'Zero Test'!$Z$32</f>
        <v>0.87550000000000283</v>
      </c>
      <c r="K70" s="166">
        <f t="shared" si="11"/>
        <v>0.86894557191502964</v>
      </c>
      <c r="L70" s="170">
        <f t="shared" si="5"/>
        <v>0.88205442808497603</v>
      </c>
      <c r="M70" s="168"/>
      <c r="N70" s="323">
        <f>'Zero Test'!$AI$30+B70*'Zero Test'!$AI$31+B70^2*'Zero Test'!$AI$32+B70^3*'Zero Test'!$AI$33</f>
        <v>0.87550000000007078</v>
      </c>
      <c r="O70" s="325">
        <f t="shared" si="6"/>
        <v>0.87005478385466417</v>
      </c>
      <c r="P70" s="324">
        <f t="shared" si="7"/>
        <v>0.88094521614547738</v>
      </c>
      <c r="Q70" s="322"/>
      <c r="R70" s="146">
        <f>SUMPRODUCT(A70:E70,'Zero Test'!$BN$43:$BR$43)</f>
        <v>0.87549999999988182</v>
      </c>
      <c r="S70" s="142">
        <f t="shared" si="8"/>
        <v>0.86726503590005732</v>
      </c>
      <c r="T70" s="187">
        <f t="shared" si="9"/>
        <v>0.88373496409970631</v>
      </c>
      <c r="U70" s="142"/>
      <c r="V70" s="153">
        <f>SUMPRODUCT($A70:$B70,'Zero Test'!$P$52:$Q$52)</f>
        <v>2.4828174603171945E-3</v>
      </c>
      <c r="W70" s="156">
        <f>SUMPRODUCT($A70:$B70,'Zero Test'!$P$53:$Q$53)</f>
        <v>-6.0257142857136404E-4</v>
      </c>
      <c r="X70" s="165">
        <f>SUMPRODUCT($A70:$C70,'Zero Test'!$Z$59:$AB$59)</f>
        <v>1.2071428569399079E-5</v>
      </c>
      <c r="Y70" s="166">
        <f>SUMPRODUCT($A70:$C70,'Zero Test'!$Z$60:$AB$60)</f>
        <v>-3.8976190469637655E-6</v>
      </c>
      <c r="Z70" s="166">
        <f>SUMPRODUCT($A70:$C70,'Zero Test'!$Z$61:$AB$61)</f>
        <v>2.3095238091355218E-7</v>
      </c>
      <c r="AA70" s="342">
        <f>SUMPRODUCT($A70:$D70,'Zero Test'!$AI$59:$AL$59)</f>
        <v>8.0492063478526608E-6</v>
      </c>
      <c r="AB70" s="324">
        <f>SUMPRODUCT($A70:$D70,'Zero Test'!$AI$60:$AL$60)</f>
        <v>1.447052909809798E-5</v>
      </c>
      <c r="AC70" s="324">
        <f>SUMPRODUCT($A70:$D70,'Zero Test'!$AI$61:$AL$61)</f>
        <v>-9.8246031729523056E-6</v>
      </c>
      <c r="AD70" s="343">
        <f>SUMPRODUCT($A70:$D70,'Zero Test'!$AI$62:$AL$62)</f>
        <v>1.3407407405154438E-6</v>
      </c>
      <c r="AE70" s="142">
        <f>SUMPRODUCT(A70:E70,'Zero Test'!$BL$59:$BP$59)</f>
        <v>5.1685619464629261E-6</v>
      </c>
      <c r="AF70" s="142">
        <f>SUMPRODUCT(A70:E70,'Zero Test'!$BL$60:$BP$60)</f>
        <v>8.5346484261503299E-5</v>
      </c>
      <c r="AG70" s="142">
        <f>SUMPRODUCT(A70:E70,'Zero Test'!$BL$61:$BP$61)</f>
        <v>-8.5134529909728472E-5</v>
      </c>
      <c r="AH70" s="142">
        <f>SUMPRODUCT(A70:E70,'Zero Test'!$BL$62:$BP$62)</f>
        <v>2.5574410787017818E-5</v>
      </c>
      <c r="AI70" s="144">
        <f>SUMPRODUCT(A70:E70,'Zero Test'!$BL$63:$BP$63)</f>
        <v>-2.4027402337164717E-6</v>
      </c>
    </row>
    <row r="71" spans="1:35" ht="18" customHeight="1" x14ac:dyDescent="0.2">
      <c r="A71" s="254">
        <v>1</v>
      </c>
      <c r="B71" s="255">
        <f t="shared" si="0"/>
        <v>0.79999999999999993</v>
      </c>
      <c r="C71" s="256">
        <f t="shared" si="1"/>
        <v>0.6399999999999999</v>
      </c>
      <c r="D71" s="335">
        <f t="shared" si="2"/>
        <v>0.5119999999999999</v>
      </c>
      <c r="E71" s="257">
        <f t="shared" si="3"/>
        <v>0.40959999999999985</v>
      </c>
      <c r="F71" s="189">
        <f>'Zero Test'!$P$27+'Zero Test'!$P$28*'Chart Data'!B71</f>
        <v>0.96666666666666723</v>
      </c>
      <c r="G71" s="154">
        <f t="shared" si="4"/>
        <v>0.87320190053805447</v>
      </c>
      <c r="H71" s="188">
        <f t="shared" si="10"/>
        <v>1.06013143279528</v>
      </c>
      <c r="I71" s="156"/>
      <c r="J71" s="171">
        <f>'Zero Test'!$Z$30+'Chart Data'!B71*'Zero Test'!$Z$31+'Chart Data'!B71^2*'Zero Test'!$Z$32</f>
        <v>0.96800000000000275</v>
      </c>
      <c r="K71" s="166">
        <f t="shared" si="11"/>
        <v>0.9616596050482944</v>
      </c>
      <c r="L71" s="170">
        <f t="shared" si="5"/>
        <v>0.9743403949517111</v>
      </c>
      <c r="M71" s="168"/>
      <c r="N71" s="323">
        <f>'Zero Test'!$AI$30+B71*'Zero Test'!$AI$31+B71^2*'Zero Test'!$AI$32+B71^3*'Zero Test'!$AI$33</f>
        <v>0.96800000000008313</v>
      </c>
      <c r="O71" s="325">
        <f t="shared" si="6"/>
        <v>0.96244304947784387</v>
      </c>
      <c r="P71" s="324">
        <f t="shared" si="7"/>
        <v>0.97355695052232238</v>
      </c>
      <c r="Q71" s="322"/>
      <c r="R71" s="146">
        <f>SUMPRODUCT(A71:E71,'Zero Test'!$BN$43:$BR$43)</f>
        <v>0.96799999999987962</v>
      </c>
      <c r="S71" s="142">
        <f t="shared" si="8"/>
        <v>0.95982055292820256</v>
      </c>
      <c r="T71" s="187">
        <f t="shared" si="9"/>
        <v>0.97617944707155668</v>
      </c>
      <c r="U71" s="142"/>
      <c r="V71" s="153">
        <f>SUMPRODUCT($A71:$B71,'Zero Test'!$P$52:$Q$52)</f>
        <v>2.3991269841267273E-3</v>
      </c>
      <c r="W71" s="156">
        <f>SUMPRODUCT($A71:$B71,'Zero Test'!$P$53:$Q$53)</f>
        <v>-5.6909523809517719E-4</v>
      </c>
      <c r="X71" s="165">
        <f>SUMPRODUCT($A71:$C71,'Zero Test'!$Z$59:$AB$59)</f>
        <v>1.0857142855317514E-5</v>
      </c>
      <c r="Y71" s="166">
        <f>SUMPRODUCT($A71:$C71,'Zero Test'!$Z$60:$AB$60)</f>
        <v>-2.4952380948185889E-6</v>
      </c>
      <c r="Z71" s="166">
        <f>SUMPRODUCT($A71:$C71,'Zero Test'!$Z$61:$AB$61)</f>
        <v>-1.9047619044416972E-8</v>
      </c>
      <c r="AA71" s="342">
        <f>SUMPRODUCT($A71:$D71,'Zero Test'!$AI$59:$AL$59)</f>
        <v>6.3238095227458463E-6</v>
      </c>
      <c r="AB71" s="324">
        <f>SUMPRODUCT($A71:$D71,'Zero Test'!$AI$60:$AL$60)</f>
        <v>1.8206984123925128E-5</v>
      </c>
      <c r="AC71" s="324">
        <f>SUMPRODUCT($A71:$D71,'Zero Test'!$AI$61:$AL$61)</f>
        <v>-1.1352380950473382E-5</v>
      </c>
      <c r="AD71" s="343">
        <f>SUMPRODUCT($A71:$D71,'Zero Test'!$AI$62:$AL$62)</f>
        <v>1.5111111108571907E-6</v>
      </c>
      <c r="AE71" s="142">
        <f>SUMPRODUCT(A71:E71,'Zero Test'!$BL$59:$BP$59)</f>
        <v>3.3248349560269556E-6</v>
      </c>
      <c r="AF71" s="142">
        <f>SUMPRODUCT(A71:E71,'Zero Test'!$BL$60:$BP$60)</f>
        <v>8.7205855329102307E-5</v>
      </c>
      <c r="AG71" s="142">
        <f>SUMPRODUCT(A71:E71,'Zero Test'!$BL$61:$BP$61)</f>
        <v>-8.426153316968444E-5</v>
      </c>
      <c r="AH71" s="142">
        <f>SUMPRODUCT(A71:E71,'Zero Test'!$BL$62:$BP$62)</f>
        <v>2.4912818948226045E-5</v>
      </c>
      <c r="AI71" s="144">
        <f>SUMPRODUCT(A71:E71,'Zero Test'!$BL$63:$BP$63)</f>
        <v>-2.3169229314137524E-6</v>
      </c>
    </row>
    <row r="72" spans="1:35" ht="18" customHeight="1" x14ac:dyDescent="0.2">
      <c r="A72" s="254">
        <v>1</v>
      </c>
      <c r="B72" s="255">
        <f t="shared" si="0"/>
        <v>0.89999999999999991</v>
      </c>
      <c r="C72" s="256">
        <f t="shared" si="1"/>
        <v>0.80999999999999983</v>
      </c>
      <c r="D72" s="335">
        <f t="shared" si="2"/>
        <v>0.72899999999999976</v>
      </c>
      <c r="E72" s="257">
        <f t="shared" si="3"/>
        <v>0.65609999999999968</v>
      </c>
      <c r="F72" s="189">
        <f>'Zero Test'!$P$27+'Zero Test'!$P$28*'Chart Data'!B72</f>
        <v>1.0416666666666674</v>
      </c>
      <c r="G72" s="154">
        <f t="shared" si="4"/>
        <v>0.95089660510642227</v>
      </c>
      <c r="H72" s="188">
        <f t="shared" si="10"/>
        <v>1.1324367282269125</v>
      </c>
      <c r="I72" s="156"/>
      <c r="J72" s="171">
        <f>'Zero Test'!$Z$30+'Chart Data'!B72*'Zero Test'!$Z$31+'Chart Data'!B72^2*'Zero Test'!$Z$32</f>
        <v>1.059500000000003</v>
      </c>
      <c r="K72" s="166">
        <f t="shared" si="11"/>
        <v>1.0533091528194234</v>
      </c>
      <c r="L72" s="170">
        <f t="shared" si="5"/>
        <v>1.0656908471805826</v>
      </c>
      <c r="M72" s="168"/>
      <c r="N72" s="323">
        <f>'Zero Test'!$AI$30+B72*'Zero Test'!$AI$31+B72^2*'Zero Test'!$AI$32+B72^3*'Zero Test'!$AI$33</f>
        <v>1.0595000000000958</v>
      </c>
      <c r="O72" s="325">
        <f t="shared" si="6"/>
        <v>1.0538340240008033</v>
      </c>
      <c r="P72" s="324">
        <f t="shared" si="7"/>
        <v>1.0651659759993883</v>
      </c>
      <c r="Q72" s="322"/>
      <c r="R72" s="146">
        <f>SUMPRODUCT(A72:E72,'Zero Test'!$BN$43:$BR$43)</f>
        <v>1.0594999999998804</v>
      </c>
      <c r="S72" s="142">
        <f t="shared" si="8"/>
        <v>1.0514956405237406</v>
      </c>
      <c r="T72" s="187">
        <f t="shared" si="9"/>
        <v>1.0675043594760203</v>
      </c>
      <c r="U72" s="142"/>
      <c r="V72" s="153">
        <f>SUMPRODUCT($A72:$B72,'Zero Test'!$P$52:$Q$52)</f>
        <v>2.3154365079362605E-3</v>
      </c>
      <c r="W72" s="156">
        <f>SUMPRODUCT($A72:$B72,'Zero Test'!$P$53:$Q$53)</f>
        <v>-5.3561904761899033E-4</v>
      </c>
      <c r="X72" s="165">
        <f>SUMPRODUCT($A72:$C72,'Zero Test'!$Z$59:$AB$59)</f>
        <v>9.6904761888469925E-6</v>
      </c>
      <c r="Y72" s="166">
        <f>SUMPRODUCT($A72:$C72,'Zero Test'!$Z$60:$AB$60)</f>
        <v>-1.1642857140899711E-6</v>
      </c>
      <c r="Z72" s="166">
        <f>SUMPRODUCT($A72:$C72,'Zero Test'!$Z$61:$AB$61)</f>
        <v>-2.5476190471907323E-7</v>
      </c>
      <c r="AA72" s="342">
        <f>SUMPRODUCT($A72:$D72,'Zero Test'!$AI$59:$AL$59)</f>
        <v>4.7719576711548449E-6</v>
      </c>
      <c r="AB72" s="324">
        <f>SUMPRODUCT($A72:$D72,'Zero Test'!$AI$60:$AL$60)</f>
        <v>2.1296948850037262E-5</v>
      </c>
      <c r="AC72" s="324">
        <f>SUMPRODUCT($A72:$D72,'Zero Test'!$AI$61:$AL$61)</f>
        <v>-1.2551058198949233E-5</v>
      </c>
      <c r="AD72" s="343">
        <f>SUMPRODUCT($A72:$D72,'Zero Test'!$AI$62:$AL$62)</f>
        <v>1.6395061725640154E-6</v>
      </c>
      <c r="AE72" s="142">
        <f>SUMPRODUCT(A72:E72,'Zero Test'!$BL$59:$BP$59)</f>
        <v>1.8167917051931601E-6</v>
      </c>
      <c r="AF72" s="142">
        <f>SUMPRODUCT(A72:E72,'Zero Test'!$BL$60:$BP$60)</f>
        <v>8.6061950232038605E-5</v>
      </c>
      <c r="AG72" s="142">
        <f>SUMPRODUCT(A72:E72,'Zero Test'!$BL$61:$BP$61)</f>
        <v>-8.0582179768280349E-5</v>
      </c>
      <c r="AH72" s="142">
        <f>SUMPRODUCT(A72:E72,'Zero Test'!$BL$62:$BP$62)</f>
        <v>2.3412730011097018E-5</v>
      </c>
      <c r="AI72" s="144">
        <f>SUMPRODUCT(A72:E72,'Zero Test'!$BL$63:$BP$63)</f>
        <v>-2.1520992238164461E-6</v>
      </c>
    </row>
    <row r="73" spans="1:35" ht="18" customHeight="1" x14ac:dyDescent="0.2">
      <c r="A73" s="254">
        <v>1</v>
      </c>
      <c r="B73" s="255">
        <f t="shared" si="0"/>
        <v>0.99999999999999989</v>
      </c>
      <c r="C73" s="256">
        <f t="shared" si="1"/>
        <v>0.99999999999999978</v>
      </c>
      <c r="D73" s="335">
        <f t="shared" si="2"/>
        <v>0.99999999999999967</v>
      </c>
      <c r="E73" s="257">
        <f t="shared" si="3"/>
        <v>0.99999999999999956</v>
      </c>
      <c r="F73" s="189">
        <f>'Zero Test'!$P$27+'Zero Test'!$P$28*'Chart Data'!B73</f>
        <v>1.1166666666666671</v>
      </c>
      <c r="G73" s="154">
        <f t="shared" si="4"/>
        <v>1.0285029891479025</v>
      </c>
      <c r="H73" s="188">
        <f t="shared" si="10"/>
        <v>1.2048303441854318</v>
      </c>
      <c r="I73" s="156"/>
      <c r="J73" s="171">
        <f>'Zero Test'!$Z$30+'Chart Data'!B73*'Zero Test'!$Z$31+'Chart Data'!B73^2*'Zero Test'!$Z$32</f>
        <v>1.150000000000003</v>
      </c>
      <c r="K73" s="166">
        <f t="shared" si="11"/>
        <v>1.1439000028403841</v>
      </c>
      <c r="L73" s="170">
        <f t="shared" si="5"/>
        <v>1.156099997159622</v>
      </c>
      <c r="M73" s="168"/>
      <c r="N73" s="323">
        <f>'Zero Test'!$AI$30+B73*'Zero Test'!$AI$31+B73^2*'Zero Test'!$AI$32+B73^3*'Zero Test'!$AI$33</f>
        <v>1.1500000000001087</v>
      </c>
      <c r="O73" s="325">
        <f t="shared" si="6"/>
        <v>1.1442435786361991</v>
      </c>
      <c r="P73" s="324">
        <f t="shared" si="7"/>
        <v>1.1557564213640183</v>
      </c>
      <c r="Q73" s="322"/>
      <c r="R73" s="146">
        <f>SUMPRODUCT(A73:E73,'Zero Test'!$BN$43:$BR$43)</f>
        <v>1.1499999999998849</v>
      </c>
      <c r="S73" s="142">
        <f t="shared" si="8"/>
        <v>1.1422618900201531</v>
      </c>
      <c r="T73" s="187">
        <f t="shared" si="9"/>
        <v>1.1577381099796167</v>
      </c>
      <c r="U73" s="142"/>
      <c r="V73" s="153">
        <f>SUMPRODUCT($A73:$B73,'Zero Test'!$P$52:$Q$52)</f>
        <v>2.2317460317457932E-3</v>
      </c>
      <c r="W73" s="156">
        <f>SUMPRODUCT($A73:$B73,'Zero Test'!$P$53:$Q$53)</f>
        <v>-5.0214285714280348E-4</v>
      </c>
      <c r="X73" s="165">
        <f>SUMPRODUCT($A73:$C73,'Zero Test'!$Z$59:$AB$59)</f>
        <v>8.5714285699875138E-6</v>
      </c>
      <c r="Y73" s="166">
        <f>SUMPRODUCT($A73:$C73,'Zero Test'!$Z$60:$AB$60)</f>
        <v>9.5238095222080785E-8</v>
      </c>
      <c r="Z73" s="166">
        <f>SUMPRODUCT($A73:$C73,'Zero Test'!$Z$61:$AB$61)</f>
        <v>-4.7619047611041727E-7</v>
      </c>
      <c r="AA73" s="342">
        <f>SUMPRODUCT($A73:$D73,'Zero Test'!$AI$59:$AL$59)</f>
        <v>3.3862433856734984E-6</v>
      </c>
      <c r="AB73" s="324">
        <f>SUMPRODUCT($A73:$D73,'Zero Test'!$AI$60:$AL$60)</f>
        <v>2.3774250436922532E-5</v>
      </c>
      <c r="AC73" s="324">
        <f>SUMPRODUCT($A73:$D73,'Zero Test'!$AI$61:$AL$61)</f>
        <v>-1.343915343689525E-5</v>
      </c>
      <c r="AD73" s="343">
        <f>SUMPRODUCT($A73:$D73,'Zero Test'!$AI$62:$AL$62)</f>
        <v>1.7283950614379715E-6</v>
      </c>
      <c r="AE73" s="142">
        <f>SUMPRODUCT(A73:E73,'Zero Test'!$BL$59:$BP$59)</f>
        <v>6.1050057216087726E-7</v>
      </c>
      <c r="AF73" s="142">
        <f>SUMPRODUCT(A73:E73,'Zero Test'!$BL$60:$BP$60)</f>
        <v>8.2376877203398744E-5</v>
      </c>
      <c r="AG73" s="142">
        <f>SUMPRODUCT(A73:E73,'Zero Test'!$BL$61:$BP$61)</f>
        <v>-7.4572644889286371E-5</v>
      </c>
      <c r="AH73" s="142">
        <f>SUMPRODUCT(A73:E73,'Zero Test'!$BL$62:$BP$62)</f>
        <v>2.1225069892078152E-5</v>
      </c>
      <c r="AI73" s="144">
        <f>SUMPRODUCT(A73:E73,'Zero Test'!$BL$63:$BP$63)</f>
        <v>-1.9230768023022804E-6</v>
      </c>
    </row>
    <row r="74" spans="1:35" ht="18" customHeight="1" x14ac:dyDescent="0.2">
      <c r="A74" s="254">
        <v>1</v>
      </c>
      <c r="B74" s="255">
        <f t="shared" si="0"/>
        <v>1.0999999999999999</v>
      </c>
      <c r="C74" s="256">
        <f t="shared" si="1"/>
        <v>1.2099999999999997</v>
      </c>
      <c r="D74" s="335">
        <f t="shared" si="2"/>
        <v>1.3309999999999995</v>
      </c>
      <c r="E74" s="257">
        <f t="shared" si="3"/>
        <v>1.4640999999999993</v>
      </c>
      <c r="F74" s="189">
        <f>'Zero Test'!$P$27+'Zero Test'!$P$28*'Chart Data'!B74</f>
        <v>1.1916666666666673</v>
      </c>
      <c r="G74" s="154">
        <f t="shared" si="4"/>
        <v>1.1060129896794977</v>
      </c>
      <c r="H74" s="188">
        <f t="shared" si="10"/>
        <v>1.277320343653837</v>
      </c>
      <c r="I74" s="156"/>
      <c r="J74" s="171">
        <f>'Zero Test'!$Z$30+'Chart Data'!B74*'Zero Test'!$Z$31+'Chart Data'!B74^2*'Zero Test'!$Z$32</f>
        <v>1.2395000000000029</v>
      </c>
      <c r="K74" s="166">
        <f t="shared" si="11"/>
        <v>1.2334394701803022</v>
      </c>
      <c r="L74" s="170">
        <f t="shared" si="5"/>
        <v>1.2455605298197037</v>
      </c>
      <c r="M74" s="168"/>
      <c r="N74" s="323">
        <f>'Zero Test'!$AI$30+B74*'Zero Test'!$AI$31+B74^2*'Zero Test'!$AI$32+B74^3*'Zero Test'!$AI$33</f>
        <v>1.2395000000001217</v>
      </c>
      <c r="O74" s="325">
        <f t="shared" si="6"/>
        <v>1.2336812379420166</v>
      </c>
      <c r="P74" s="324">
        <f t="shared" si="7"/>
        <v>1.2453187620582269</v>
      </c>
      <c r="Q74" s="322"/>
      <c r="R74" s="146">
        <f>SUMPRODUCT(A74:E74,'Zero Test'!$BN$43:$BR$43)</f>
        <v>1.239499999999893</v>
      </c>
      <c r="S74" s="142">
        <f t="shared" si="8"/>
        <v>1.2320864184049596</v>
      </c>
      <c r="T74" s="187">
        <f t="shared" si="9"/>
        <v>1.2469135815948265</v>
      </c>
      <c r="U74" s="142"/>
      <c r="V74" s="153">
        <f>SUMPRODUCT($A74:$B74,'Zero Test'!$P$52:$Q$52)</f>
        <v>2.148055555555326E-3</v>
      </c>
      <c r="W74" s="156">
        <f>SUMPRODUCT($A74:$B74,'Zero Test'!$P$53:$Q$53)</f>
        <v>-4.6866666666661651E-4</v>
      </c>
      <c r="X74" s="165">
        <f>SUMPRODUCT($A74:$C74,'Zero Test'!$Z$59:$AB$59)</f>
        <v>7.4999999987390722E-6</v>
      </c>
      <c r="Y74" s="166">
        <f>SUMPRODUCT($A74:$C74,'Zero Test'!$Z$60:$AB$60)</f>
        <v>1.283333333117573E-6</v>
      </c>
      <c r="Z74" s="166">
        <f>SUMPRODUCT($A74:$C74,'Zero Test'!$Z$61:$AB$61)</f>
        <v>-6.8333333321844894E-7</v>
      </c>
      <c r="AA74" s="342">
        <f>SUMPRODUCT($A74:$D74,'Zero Test'!$AI$59:$AL$59)</f>
        <v>2.1592592588956374E-6</v>
      </c>
      <c r="AB74" s="324">
        <f>SUMPRODUCT($A74:$D74,'Zero Test'!$AI$60:$AL$60)</f>
        <v>2.5672716045069091E-5</v>
      </c>
      <c r="AC74" s="324">
        <f>SUMPRODUCT($A74:$D74,'Zero Test'!$AI$61:$AL$61)</f>
        <v>-1.4035185182826852E-5</v>
      </c>
      <c r="AD74" s="343">
        <f>SUMPRODUCT($A74:$D74,'Zero Test'!$AI$62:$AL$62)</f>
        <v>1.7802469132811143E-6</v>
      </c>
      <c r="AE74" s="142">
        <f>SUMPRODUCT(A74:E74,'Zero Test'!$BL$59:$BP$59)</f>
        <v>-3.2643160342868341E-7</v>
      </c>
      <c r="AF74" s="142">
        <f>SUMPRODUCT(A74:E74,'Zero Test'!$BL$60:$BP$60)</f>
        <v>7.6587103452238587E-5</v>
      </c>
      <c r="AG74" s="142">
        <f>SUMPRODUCT(A74:E74,'Zero Test'!$BL$61:$BP$61)</f>
        <v>-6.6681539615639465E-5</v>
      </c>
      <c r="AH74" s="142">
        <f>SUMPRODUCT(A74:E74,'Zero Test'!$BL$62:$BP$62)</f>
        <v>1.8491790149206054E-5</v>
      </c>
      <c r="AI74" s="144">
        <f>SUMPRODUCT(A74:E74,'Zero Test'!$BL$63:$BP$63)</f>
        <v>-1.6437659224079096E-6</v>
      </c>
    </row>
    <row r="75" spans="1:35" ht="18" customHeight="1" x14ac:dyDescent="0.2">
      <c r="A75" s="254">
        <v>1</v>
      </c>
      <c r="B75" s="255">
        <f t="shared" si="0"/>
        <v>1.2</v>
      </c>
      <c r="C75" s="256">
        <f t="shared" si="1"/>
        <v>1.44</v>
      </c>
      <c r="D75" s="335">
        <f t="shared" si="2"/>
        <v>1.728</v>
      </c>
      <c r="E75" s="257">
        <f t="shared" si="3"/>
        <v>2.0735999999999999</v>
      </c>
      <c r="F75" s="189">
        <f>'Zero Test'!$P$27+'Zero Test'!$P$28*'Chart Data'!B75</f>
        <v>1.2666666666666675</v>
      </c>
      <c r="G75" s="154">
        <f t="shared" si="4"/>
        <v>1.1834178881830186</v>
      </c>
      <c r="H75" s="188">
        <f t="shared" si="10"/>
        <v>1.3499154451503164</v>
      </c>
      <c r="I75" s="156"/>
      <c r="J75" s="171">
        <f>'Zero Test'!$Z$30+'Chart Data'!B75*'Zero Test'!$Z$31+'Chart Data'!B75^2*'Zero Test'!$Z$32</f>
        <v>1.328000000000003</v>
      </c>
      <c r="K75" s="166">
        <f t="shared" si="11"/>
        <v>1.3219358570317372</v>
      </c>
      <c r="L75" s="170">
        <f t="shared" si="5"/>
        <v>1.3340641429682687</v>
      </c>
      <c r="M75" s="168"/>
      <c r="N75" s="323">
        <f>'Zero Test'!$AI$30+B75*'Zero Test'!$AI$31+B75^2*'Zero Test'!$AI$32+B75^3*'Zero Test'!$AI$33</f>
        <v>1.3280000000001353</v>
      </c>
      <c r="O75" s="325">
        <f t="shared" si="6"/>
        <v>1.3221518409986439</v>
      </c>
      <c r="P75" s="324">
        <f t="shared" si="7"/>
        <v>1.3338481590016267</v>
      </c>
      <c r="Q75" s="322"/>
      <c r="R75" s="146">
        <f>SUMPRODUCT(A75:E75,'Zero Test'!$BN$43:$BR$43)</f>
        <v>1.3279999999999061</v>
      </c>
      <c r="S75" s="142">
        <f t="shared" si="8"/>
        <v>1.3209341833816051</v>
      </c>
      <c r="T75" s="187">
        <f t="shared" si="9"/>
        <v>1.3350658166182072</v>
      </c>
      <c r="U75" s="142"/>
      <c r="V75" s="153">
        <f>SUMPRODUCT($A75:$B75,'Zero Test'!$P$52:$Q$52)</f>
        <v>2.0643650793648587E-3</v>
      </c>
      <c r="W75" s="156">
        <f>SUMPRODUCT($A75:$B75,'Zero Test'!$P$53:$Q$53)</f>
        <v>-4.351904761904296E-4</v>
      </c>
      <c r="X75" s="165">
        <f>SUMPRODUCT($A75:$C75,'Zero Test'!$Z$59:$AB$59)</f>
        <v>6.4761904751016738E-6</v>
      </c>
      <c r="Y75" s="166">
        <f>SUMPRODUCT($A75:$C75,'Zero Test'!$Z$60:$AB$60)</f>
        <v>2.3999999995965022E-6</v>
      </c>
      <c r="Z75" s="166">
        <f>SUMPRODUCT($A75:$C75,'Zero Test'!$Z$61:$AB$61)</f>
        <v>-8.761904760431677E-7</v>
      </c>
      <c r="AA75" s="342">
        <f>SUMPRODUCT($A75:$D75,'Zero Test'!$AI$59:$AL$59)</f>
        <v>1.0835978834150967E-6</v>
      </c>
      <c r="AB75" s="324">
        <f>SUMPRODUCT($A75:$D75,'Zero Test'!$AI$60:$AL$60)</f>
        <v>2.7026172834965078E-5</v>
      </c>
      <c r="AC75" s="324">
        <f>SUMPRODUCT($A75:$D75,'Zero Test'!$AI$61:$AL$61)</f>
        <v>-1.4357671955259445E-5</v>
      </c>
      <c r="AD75" s="343">
        <f>SUMPRODUCT($A75:$D75,'Zero Test'!$AI$62:$AL$62)</f>
        <v>1.7975308638954976E-6</v>
      </c>
      <c r="AE75" s="142">
        <f>SUMPRODUCT(A75:E75,'Zero Test'!$BL$59:$BP$59)</f>
        <v>-1.0248595204925065E-6</v>
      </c>
      <c r="AF75" s="142">
        <f>SUMPRODUCT(A75:E75,'Zero Test'!$BL$60:$BP$60)</f>
        <v>6.9103455163583519E-5</v>
      </c>
      <c r="AG75" s="142">
        <f>SUMPRODUCT(A75:E75,'Zero Test'!$BL$61:$BP$61)</f>
        <v>-5.7329910929443983E-5</v>
      </c>
      <c r="AH75" s="142">
        <f>SUMPRODUCT(A75:E75,'Zero Test'!$BL$62:$BP$62)</f>
        <v>1.5345867982106575E-5</v>
      </c>
      <c r="AI75" s="144">
        <f>SUMPRODUCT(A75:E75,'Zero Test'!$BL$63:$BP$63)</f>
        <v>-1.3271794038289133E-6</v>
      </c>
    </row>
    <row r="76" spans="1:35" ht="18" customHeight="1" x14ac:dyDescent="0.2">
      <c r="A76" s="254">
        <v>1</v>
      </c>
      <c r="B76" s="255">
        <f t="shared" si="0"/>
        <v>1.3</v>
      </c>
      <c r="C76" s="256">
        <f t="shared" si="1"/>
        <v>1.6900000000000002</v>
      </c>
      <c r="D76" s="335">
        <f t="shared" si="2"/>
        <v>2.1970000000000005</v>
      </c>
      <c r="E76" s="257">
        <f t="shared" si="3"/>
        <v>2.8561000000000005</v>
      </c>
      <c r="F76" s="189">
        <f>'Zero Test'!$P$27+'Zero Test'!$P$28*'Chart Data'!B76</f>
        <v>1.3416666666666675</v>
      </c>
      <c r="G76" s="154">
        <f t="shared" si="4"/>
        <v>1.2607083178295988</v>
      </c>
      <c r="H76" s="188">
        <f t="shared" si="10"/>
        <v>1.4226250155037361</v>
      </c>
      <c r="I76" s="156"/>
      <c r="J76" s="171">
        <f>'Zero Test'!$Z$30+'Chart Data'!B76*'Zero Test'!$Z$31+'Chart Data'!B76^2*'Zero Test'!$Z$32</f>
        <v>1.4155000000000031</v>
      </c>
      <c r="K76" s="166">
        <f t="shared" si="11"/>
        <v>1.4093978487159222</v>
      </c>
      <c r="L76" s="170">
        <f t="shared" si="5"/>
        <v>1.421602151284084</v>
      </c>
      <c r="M76" s="168"/>
      <c r="N76" s="323">
        <f>'Zero Test'!$AI$30+B76*'Zero Test'!$AI$31+B76^2*'Zero Test'!$AI$32+B76^3*'Zero Test'!$AI$33</f>
        <v>1.4155000000001492</v>
      </c>
      <c r="O76" s="325">
        <f t="shared" si="6"/>
        <v>1.4096568130975551</v>
      </c>
      <c r="P76" s="324">
        <f t="shared" si="7"/>
        <v>1.4213431869027433</v>
      </c>
      <c r="Q76" s="322"/>
      <c r="R76" s="146">
        <f>SUMPRODUCT(A76:E76,'Zero Test'!$BN$43:$BR$43)</f>
        <v>1.415499999999924</v>
      </c>
      <c r="S76" s="142">
        <f t="shared" si="8"/>
        <v>1.4087700572103952</v>
      </c>
      <c r="T76" s="187">
        <f t="shared" si="9"/>
        <v>1.4222299427894529</v>
      </c>
      <c r="U76" s="142"/>
      <c r="V76" s="153">
        <f>SUMPRODUCT($A76:$B76,'Zero Test'!$P$52:$Q$52)</f>
        <v>1.9806746031743911E-3</v>
      </c>
      <c r="W76" s="156">
        <f>SUMPRODUCT($A76:$B76,'Zero Test'!$P$53:$Q$53)</f>
        <v>-4.0171428571424264E-4</v>
      </c>
      <c r="X76" s="165">
        <f>SUMPRODUCT($A76:$C76,'Zero Test'!$Z$59:$AB$59)</f>
        <v>5.4999999990753202E-6</v>
      </c>
      <c r="Y76" s="166">
        <f>SUMPRODUCT($A76:$C76,'Zero Test'!$Z$60:$AB$60)</f>
        <v>3.4452380946588688E-6</v>
      </c>
      <c r="Z76" s="166">
        <f>SUMPRODUCT($A76:$C76,'Zero Test'!$Z$61:$AB$61)</f>
        <v>-1.0547619045845751E-6</v>
      </c>
      <c r="AA76" s="342">
        <f>SUMPRODUCT($A76:$D76,'Zero Test'!$AI$59:$AL$59)</f>
        <v>1.5185185182571749E-7</v>
      </c>
      <c r="AB76" s="324">
        <f>SUMPRODUCT($A76:$D76,'Zero Test'!$AI$60:$AL$60)</f>
        <v>2.7868447967098608E-5</v>
      </c>
      <c r="AC76" s="324">
        <f>SUMPRODUCT($A76:$D76,'Zero Test'!$AI$61:$AL$61)</f>
        <v>-1.4425132272708438E-5</v>
      </c>
      <c r="AD76" s="343">
        <f>SUMPRODUCT($A76:$D76,'Zero Test'!$AI$62:$AL$62)</f>
        <v>1.7827160490831748E-6</v>
      </c>
      <c r="AE76" s="142">
        <f>SUMPRODUCT(A76:E76,'Zero Test'!$BL$59:$BP$59)</f>
        <v>-1.5140994165056904E-6</v>
      </c>
      <c r="AF76" s="142">
        <f>SUMPRODUCT(A76:E76,'Zero Test'!$BL$60:$BP$60)</f>
        <v>6.0311117498427884E-5</v>
      </c>
      <c r="AG76" s="142">
        <f>SUMPRODUCT(A76:E76,'Zero Test'!$BL$61:$BP$61)</f>
        <v>-4.6911241711970851E-5</v>
      </c>
      <c r="AH76" s="142">
        <f>SUMPRODUCT(A76:E76,'Zero Test'!$BL$62:$BP$62)</f>
        <v>1.1911306231994839E-5</v>
      </c>
      <c r="AI76" s="144">
        <f>SUMPRODUCT(A76:E76,'Zero Test'!$BL$63:$BP$63)</f>
        <v>-9.8543263041979219E-7</v>
      </c>
    </row>
    <row r="77" spans="1:35" ht="18" customHeight="1" x14ac:dyDescent="0.2">
      <c r="A77" s="254">
        <v>1</v>
      </c>
      <c r="B77" s="255">
        <f t="shared" si="0"/>
        <v>1.4000000000000001</v>
      </c>
      <c r="C77" s="256">
        <f t="shared" si="1"/>
        <v>1.9600000000000004</v>
      </c>
      <c r="D77" s="335">
        <f t="shared" si="2"/>
        <v>2.7440000000000007</v>
      </c>
      <c r="E77" s="257">
        <f t="shared" si="3"/>
        <v>3.8416000000000015</v>
      </c>
      <c r="F77" s="189">
        <f>'Zero Test'!$P$27+'Zero Test'!$P$28*'Chart Data'!B77</f>
        <v>1.4166666666666676</v>
      </c>
      <c r="G77" s="154">
        <f t="shared" si="4"/>
        <v>1.3378742954392639</v>
      </c>
      <c r="H77" s="188">
        <f t="shared" si="10"/>
        <v>1.4954590378940713</v>
      </c>
      <c r="I77" s="156"/>
      <c r="J77" s="171">
        <f>'Zero Test'!$Z$30+'Chart Data'!B77*'Zero Test'!$Z$31+'Chart Data'!B77^2*'Zero Test'!$Z$32</f>
        <v>1.5020000000000033</v>
      </c>
      <c r="K77" s="166">
        <f t="shared" si="11"/>
        <v>1.4958339695828964</v>
      </c>
      <c r="L77" s="170">
        <f t="shared" si="5"/>
        <v>1.5081660304171103</v>
      </c>
      <c r="M77" s="168"/>
      <c r="N77" s="323">
        <f>'Zero Test'!$AI$30+B77*'Zero Test'!$AI$31+B77^2*'Zero Test'!$AI$32+B77^3*'Zero Test'!$AI$33</f>
        <v>1.5020000000001632</v>
      </c>
      <c r="O77" s="325">
        <f t="shared" si="6"/>
        <v>1.4961950695098074</v>
      </c>
      <c r="P77" s="324">
        <f t="shared" si="7"/>
        <v>1.507804930490519</v>
      </c>
      <c r="Q77" s="322"/>
      <c r="R77" s="146">
        <f>SUMPRODUCT(A77:E77,'Zero Test'!$BN$43:$BR$43)</f>
        <v>1.5019999999999472</v>
      </c>
      <c r="S77" s="142">
        <f t="shared" si="8"/>
        <v>1.4955614381381568</v>
      </c>
      <c r="T77" s="187">
        <f t="shared" si="9"/>
        <v>1.5084385618617375</v>
      </c>
      <c r="U77" s="142"/>
      <c r="V77" s="153">
        <f>SUMPRODUCT($A77:$B77,'Zero Test'!$P$52:$Q$52)</f>
        <v>1.8969841269839238E-3</v>
      </c>
      <c r="W77" s="156">
        <f>SUMPRODUCT($A77:$B77,'Zero Test'!$P$53:$Q$53)</f>
        <v>-3.6823809523805573E-4</v>
      </c>
      <c r="X77" s="165">
        <f>SUMPRODUCT($A77:$C77,'Zero Test'!$Z$59:$AB$59)</f>
        <v>4.5714285706600056E-6</v>
      </c>
      <c r="Y77" s="166">
        <f>SUMPRODUCT($A77:$C77,'Zero Test'!$Z$60:$AB$60)</f>
        <v>4.4190476183046719E-6</v>
      </c>
      <c r="Z77" s="166">
        <f>SUMPRODUCT($A77:$C77,'Zero Test'!$Z$61:$AB$61)</f>
        <v>-1.2190476188426689E-6</v>
      </c>
      <c r="AA77" s="342">
        <f>SUMPRODUCT($A77:$D77,'Zero Test'!$AI$59:$AL$59)</f>
        <v>-6.4338624327865798E-7</v>
      </c>
      <c r="AB77" s="324">
        <f>SUMPRODUCT($A77:$D77,'Zero Test'!$AI$60:$AL$60)</f>
        <v>2.8233368601957885E-5</v>
      </c>
      <c r="AC77" s="324">
        <f>SUMPRODUCT($A77:$D77,'Zero Test'!$AI$61:$AL$61)</f>
        <v>-1.4256084653689227E-5</v>
      </c>
      <c r="AD77" s="343">
        <f>SUMPRODUCT($A77:$D77,'Zero Test'!$AI$62:$AL$62)</f>
        <v>1.7382716046462011E-6</v>
      </c>
      <c r="AE77" s="142">
        <f>SUMPRODUCT(A77:E77,'Zero Test'!$BL$59:$BP$59)</f>
        <v>-1.8219290675015095E-6</v>
      </c>
      <c r="AF77" s="142">
        <f>SUMPRODUCT(A77:E77,'Zero Test'!$BL$60:$BP$60)</f>
        <v>5.0569634593735792E-5</v>
      </c>
      <c r="AG77" s="142">
        <f>SUMPRODUCT(A77:E77,'Zero Test'!$BL$61:$BP$61)</f>
        <v>-3.5791450743658052E-5</v>
      </c>
      <c r="AH77" s="142">
        <f>SUMPRODUCT(A77:E77,'Zero Test'!$BL$62:$BP$62)</f>
        <v>8.3031333816752149E-6</v>
      </c>
      <c r="AI77" s="144">
        <f>SUMPRODUCT(A77:E77,'Zero Test'!$BL$63:$BP$63)</f>
        <v>-6.2974355019397784E-7</v>
      </c>
    </row>
    <row r="78" spans="1:35" ht="18" customHeight="1" x14ac:dyDescent="0.2">
      <c r="A78" s="254">
        <v>1</v>
      </c>
      <c r="B78" s="255">
        <f t="shared" si="0"/>
        <v>1.5000000000000002</v>
      </c>
      <c r="C78" s="256">
        <f t="shared" si="1"/>
        <v>2.2500000000000009</v>
      </c>
      <c r="D78" s="335">
        <f t="shared" si="2"/>
        <v>3.3750000000000018</v>
      </c>
      <c r="E78" s="257">
        <f t="shared" si="3"/>
        <v>5.0625000000000036</v>
      </c>
      <c r="F78" s="189">
        <f>'Zero Test'!$P$27+'Zero Test'!$P$28*'Chart Data'!B78</f>
        <v>1.4916666666666676</v>
      </c>
      <c r="G78" s="154">
        <f t="shared" si="4"/>
        <v>1.414905285291284</v>
      </c>
      <c r="H78" s="188">
        <f t="shared" si="10"/>
        <v>1.5684280480420512</v>
      </c>
      <c r="I78" s="156"/>
      <c r="J78" s="171">
        <f>'Zero Test'!$Z$30+'Chart Data'!B78*'Zero Test'!$Z$31+'Chart Data'!B78^2*'Zero Test'!$Z$32</f>
        <v>1.5875000000000035</v>
      </c>
      <c r="K78" s="166">
        <f t="shared" si="11"/>
        <v>1.5812521756706106</v>
      </c>
      <c r="L78" s="170">
        <f t="shared" si="5"/>
        <v>1.5937478243293963</v>
      </c>
      <c r="M78" s="168"/>
      <c r="N78" s="323">
        <f>'Zero Test'!$AI$30+B78*'Zero Test'!$AI$31+B78^2*'Zero Test'!$AI$32+B78^3*'Zero Test'!$AI$33</f>
        <v>1.5875000000001778</v>
      </c>
      <c r="O78" s="325">
        <f t="shared" si="6"/>
        <v>1.5817636353769733</v>
      </c>
      <c r="P78" s="324">
        <f t="shared" si="7"/>
        <v>1.5932363646233823</v>
      </c>
      <c r="Q78" s="322"/>
      <c r="R78" s="146">
        <f>SUMPRODUCT(A78:E78,'Zero Test'!$BN$43:$BR$43)</f>
        <v>1.5874999999999762</v>
      </c>
      <c r="S78" s="142">
        <f t="shared" si="8"/>
        <v>1.581281745605327</v>
      </c>
      <c r="T78" s="187">
        <f t="shared" si="9"/>
        <v>1.5937182543946253</v>
      </c>
      <c r="U78" s="142"/>
      <c r="V78" s="153">
        <f>SUMPRODUCT($A78:$B78,'Zero Test'!$P$52:$Q$52)</f>
        <v>1.8132936507934566E-3</v>
      </c>
      <c r="W78" s="156">
        <f>SUMPRODUCT($A78:$B78,'Zero Test'!$P$53:$Q$53)</f>
        <v>-3.3476190476186877E-4</v>
      </c>
      <c r="X78" s="165">
        <f>SUMPRODUCT($A78:$C78,'Zero Test'!$Z$59:$AB$59)</f>
        <v>3.6904761898557324E-6</v>
      </c>
      <c r="Y78" s="166">
        <f>SUMPRODUCT($A78:$C78,'Zero Test'!$Z$60:$AB$60)</f>
        <v>5.3214285705339116E-6</v>
      </c>
      <c r="Z78" s="166">
        <f>SUMPRODUCT($A78:$C78,'Zero Test'!$Z$61:$AB$61)</f>
        <v>-1.36904761881745E-6</v>
      </c>
      <c r="AA78" s="342">
        <f>SUMPRODUCT($A78:$D78,'Zero Test'!$AI$59:$AL$59)</f>
        <v>-1.3095238093042011E-6</v>
      </c>
      <c r="AB78" s="324">
        <f>SUMPRODUCT($A78:$D78,'Zero Test'!$AI$60:$AL$60)</f>
        <v>2.8154761900031003E-5</v>
      </c>
      <c r="AC78" s="324">
        <f>SUMPRODUCT($A78:$D78,'Zero Test'!$AI$61:$AL$61)</f>
        <v>-1.3869047616717221E-5</v>
      </c>
      <c r="AD78" s="343">
        <f>SUMPRODUCT($A78:$D78,'Zero Test'!$AI$62:$AL$62)</f>
        <v>1.6666666663866295E-6</v>
      </c>
      <c r="AE78" s="142">
        <f>SUMPRODUCT(A78:E78,'Zero Test'!$BL$59:$BP$59)</f>
        <v>-1.9745877880713933E-6</v>
      </c>
      <c r="AF78" s="142">
        <f>SUMPRODUCT(A78:E78,'Zero Test'!$BL$60:$BP$60)</f>
        <v>4.0212909562439927E-5</v>
      </c>
      <c r="AG78" s="142">
        <f>SUMPRODUCT(A78:E78,'Zero Test'!$BL$61:$BP$61)</f>
        <v>-2.4308892704110854E-5</v>
      </c>
      <c r="AH78" s="142">
        <f>SUMPRODUCT(A78:E78,'Zero Test'!$BL$62:$BP$62)</f>
        <v>4.6274035555413924E-6</v>
      </c>
      <c r="AI78" s="144">
        <f>SUMPRODUCT(A78:E78,'Zero Test'!$BL$63:$BP$63)</f>
        <v>-2.7043267532382814E-7</v>
      </c>
    </row>
    <row r="79" spans="1:35" ht="18" customHeight="1" x14ac:dyDescent="0.2">
      <c r="A79" s="254">
        <v>1</v>
      </c>
      <c r="B79" s="255">
        <f t="shared" si="0"/>
        <v>1.6000000000000003</v>
      </c>
      <c r="C79" s="256">
        <f t="shared" si="1"/>
        <v>2.5600000000000009</v>
      </c>
      <c r="D79" s="335">
        <f t="shared" si="2"/>
        <v>4.0960000000000019</v>
      </c>
      <c r="E79" s="257">
        <f t="shared" si="3"/>
        <v>6.5536000000000048</v>
      </c>
      <c r="F79" s="189">
        <f>'Zero Test'!$P$27+'Zero Test'!$P$28*'Chart Data'!B79</f>
        <v>1.5666666666666678</v>
      </c>
      <c r="G79" s="154">
        <f t="shared" si="4"/>
        <v>1.4917903021216075</v>
      </c>
      <c r="H79" s="188">
        <f t="shared" si="10"/>
        <v>1.6415430312117281</v>
      </c>
      <c r="I79" s="156"/>
      <c r="J79" s="171">
        <f>'Zero Test'!$Z$30+'Chart Data'!B79*'Zero Test'!$Z$31+'Chart Data'!B79^2*'Zero Test'!$Z$32</f>
        <v>1.6720000000000035</v>
      </c>
      <c r="K79" s="166">
        <f t="shared" si="11"/>
        <v>1.665659605048295</v>
      </c>
      <c r="L79" s="170">
        <f t="shared" si="5"/>
        <v>1.6783403949517119</v>
      </c>
      <c r="M79" s="168"/>
      <c r="N79" s="323">
        <f>'Zero Test'!$AI$30+B79*'Zero Test'!$AI$31+B79^2*'Zero Test'!$AI$32+B79^3*'Zero Test'!$AI$33</f>
        <v>1.6720000000001927</v>
      </c>
      <c r="O79" s="325">
        <f t="shared" si="6"/>
        <v>1.6663580666034947</v>
      </c>
      <c r="P79" s="324">
        <f t="shared" si="7"/>
        <v>1.6776419333968906</v>
      </c>
      <c r="Q79" s="322"/>
      <c r="R79" s="146">
        <f>SUMPRODUCT(A79:E79,'Zero Test'!$BN$43:$BR$43)</f>
        <v>1.672000000000011</v>
      </c>
      <c r="S79" s="142">
        <f t="shared" si="8"/>
        <v>1.6659143398339724</v>
      </c>
      <c r="T79" s="187">
        <f t="shared" si="9"/>
        <v>1.6780856601660497</v>
      </c>
      <c r="U79" s="142"/>
      <c r="V79" s="153">
        <f>SUMPRODUCT($A79:$B79,'Zero Test'!$P$52:$Q$52)</f>
        <v>1.7296031746029893E-3</v>
      </c>
      <c r="W79" s="156">
        <f>SUMPRODUCT($A79:$B79,'Zero Test'!$P$53:$Q$53)</f>
        <v>-3.0128571428568191E-4</v>
      </c>
      <c r="X79" s="165">
        <f>SUMPRODUCT($A79:$C79,'Zero Test'!$Z$59:$AB$59)</f>
        <v>2.8571428566625006E-6</v>
      </c>
      <c r="Y79" s="166">
        <f>SUMPRODUCT($A79:$C79,'Zero Test'!$Z$60:$AB$60)</f>
        <v>6.1523809513465955E-6</v>
      </c>
      <c r="Z79" s="166">
        <f>SUMPRODUCT($A79:$C79,'Zero Test'!$Z$61:$AB$61)</f>
        <v>-1.5047619045089199E-6</v>
      </c>
      <c r="AA79" s="342">
        <f>SUMPRODUCT($A79:$D79,'Zero Test'!$AI$59:$AL$59)</f>
        <v>-1.8539682536570683E-6</v>
      </c>
      <c r="AB79" s="324">
        <f>SUMPRODUCT($A79:$D79,'Zero Test'!$AI$60:$AL$60)</f>
        <v>2.7666455021806105E-5</v>
      </c>
      <c r="AC79" s="324">
        <f>SUMPRODUCT($A79:$D79,'Zero Test'!$AI$61:$AL$61)</f>
        <v>-1.3282539680307836E-5</v>
      </c>
      <c r="AD79" s="343">
        <f>SUMPRODUCT($A79:$D79,'Zero Test'!$AI$62:$AL$62)</f>
        <v>1.5703703701065166E-6</v>
      </c>
      <c r="AE79" s="142">
        <f>SUMPRODUCT(A79:E79,'Zero Test'!$BL$59:$BP$59)</f>
        <v>-1.9967764313649177E-6</v>
      </c>
      <c r="AF79" s="142">
        <f>SUMPRODUCT(A79:E79,'Zero Test'!$BL$60:$BP$60)</f>
        <v>2.9549204493443132E-5</v>
      </c>
      <c r="AG79" s="142">
        <f>SUMPRODUCT(A79:E79,'Zero Test'!$BL$61:$BP$61)</f>
        <v>-1.2774358172101214E-5</v>
      </c>
      <c r="AH79" s="142">
        <f>SUMPRODUCT(A79:E79,'Zero Test'!$BL$62:$BP$62)</f>
        <v>9.8119651957621936E-7</v>
      </c>
      <c r="AI79" s="144">
        <f>SUMPRODUCT(A79:E79,'Zero Test'!$BL$63:$BP$63)</f>
        <v>8.307691785937476E-8</v>
      </c>
    </row>
    <row r="80" spans="1:35" ht="18" customHeight="1" x14ac:dyDescent="0.2">
      <c r="A80" s="254">
        <v>1</v>
      </c>
      <c r="B80" s="255">
        <f t="shared" si="0"/>
        <v>1.7000000000000004</v>
      </c>
      <c r="C80" s="256">
        <f t="shared" si="1"/>
        <v>2.8900000000000015</v>
      </c>
      <c r="D80" s="335">
        <f t="shared" si="2"/>
        <v>4.9130000000000038</v>
      </c>
      <c r="E80" s="257">
        <f t="shared" si="3"/>
        <v>8.352100000000009</v>
      </c>
      <c r="F80" s="189">
        <f>'Zero Test'!$P$27+'Zero Test'!$P$28*'Chart Data'!B80</f>
        <v>1.6416666666666677</v>
      </c>
      <c r="G80" s="154">
        <f t="shared" si="4"/>
        <v>1.5685180600215642</v>
      </c>
      <c r="H80" s="188">
        <f t="shared" si="10"/>
        <v>1.7148152733117712</v>
      </c>
      <c r="I80" s="156"/>
      <c r="J80" s="171">
        <f>'Zero Test'!$Z$30+'Chart Data'!B80*'Zero Test'!$Z$31+'Chart Data'!B80^2*'Zero Test'!$Z$32</f>
        <v>1.7555000000000036</v>
      </c>
      <c r="K80" s="166">
        <f t="shared" si="11"/>
        <v>1.7490624661767065</v>
      </c>
      <c r="L80" s="170">
        <f t="shared" si="5"/>
        <v>1.7619375338233008</v>
      </c>
      <c r="M80" s="168"/>
      <c r="N80" s="323">
        <f>'Zero Test'!$AI$30+B80*'Zero Test'!$AI$31+B80^2*'Zero Test'!$AI$32+B80^3*'Zero Test'!$AI$33</f>
        <v>1.7555000000002079</v>
      </c>
      <c r="O80" s="325">
        <f t="shared" si="6"/>
        <v>1.7499727424087097</v>
      </c>
      <c r="P80" s="324">
        <f t="shared" si="7"/>
        <v>1.7610272575917061</v>
      </c>
      <c r="Q80" s="322"/>
      <c r="R80" s="146">
        <f>SUMPRODUCT(A80:E80,'Zero Test'!$BN$43:$BR$43)</f>
        <v>1.7555000000000518</v>
      </c>
      <c r="S80" s="142">
        <f t="shared" si="8"/>
        <v>1.7494554241687292</v>
      </c>
      <c r="T80" s="187">
        <f t="shared" si="9"/>
        <v>1.7615445758313744</v>
      </c>
      <c r="U80" s="142"/>
      <c r="V80" s="153">
        <f>SUMPRODUCT($A80:$B80,'Zero Test'!$P$52:$Q$52)</f>
        <v>1.6459126984125219E-3</v>
      </c>
      <c r="W80" s="156">
        <f>SUMPRODUCT($A80:$B80,'Zero Test'!$P$53:$Q$53)</f>
        <v>-2.6780952380949495E-4</v>
      </c>
      <c r="X80" s="165">
        <f>SUMPRODUCT($A80:$C80,'Zero Test'!$Z$59:$AB$59)</f>
        <v>2.0714285710803112E-6</v>
      </c>
      <c r="Y80" s="166">
        <f>SUMPRODUCT($A80:$C80,'Zero Test'!$Z$60:$AB$60)</f>
        <v>6.9119047607427091E-6</v>
      </c>
      <c r="Z80" s="166">
        <f>SUMPRODUCT($A80:$C80,'Zero Test'!$Z$61:$AB$61)</f>
        <v>-1.6261904759170759E-6</v>
      </c>
      <c r="AA80" s="342">
        <f>SUMPRODUCT($A80:$D80,'Zero Test'!$AI$59:$AL$59)</f>
        <v>-2.2841269837434264E-6</v>
      </c>
      <c r="AB80" s="324">
        <f>SUMPRODUCT($A80:$D80,'Zero Test'!$AI$60:$AL$60)</f>
        <v>2.6802275127771397E-5</v>
      </c>
      <c r="AC80" s="324">
        <f>SUMPRODUCT($A80:$D80,'Zero Test'!$AI$61:$AL$61)</f>
        <v>-1.2515079362976489E-5</v>
      </c>
      <c r="AD80" s="343">
        <f>SUMPRODUCT($A80:$D80,'Zero Test'!$AI$62:$AL$62)</f>
        <v>1.4518518516079159E-6</v>
      </c>
      <c r="AE80" s="142">
        <f>SUMPRODUCT(A80:E80,'Zero Test'!$BL$59:$BP$59)</f>
        <v>-1.9116573890898695E-6</v>
      </c>
      <c r="AF80" s="142">
        <f>SUMPRODUCT(A80:E80,'Zero Test'!$BL$60:$BP$60)</f>
        <v>1.8861140451617019E-5</v>
      </c>
      <c r="AG80" s="142">
        <f>SUMPRODUCT(A80:E80,'Zero Test'!$BL$61:$BP$61)</f>
        <v>-1.4710736255684918E-6</v>
      </c>
      <c r="AH80" s="142">
        <f>SUMPRODUCT(A80:E80,'Zero Test'!$BL$62:$BP$62)</f>
        <v>-2.5473823186481835E-6</v>
      </c>
      <c r="AI80" s="144">
        <f>SUMPRODUCT(A80:E80,'Zero Test'!$BL$63:$BP$63)</f>
        <v>4.2225958886542554E-7</v>
      </c>
    </row>
    <row r="81" spans="1:35" ht="18" customHeight="1" x14ac:dyDescent="0.2">
      <c r="A81" s="254">
        <v>1</v>
      </c>
      <c r="B81" s="255">
        <f t="shared" si="0"/>
        <v>1.8000000000000005</v>
      </c>
      <c r="C81" s="256">
        <f t="shared" si="1"/>
        <v>3.2400000000000015</v>
      </c>
      <c r="D81" s="335">
        <f t="shared" si="2"/>
        <v>5.8320000000000043</v>
      </c>
      <c r="E81" s="257">
        <f t="shared" si="3"/>
        <v>10.497600000000009</v>
      </c>
      <c r="F81" s="189">
        <f>'Zero Test'!$P$27+'Zero Test'!$P$28*'Chart Data'!B81</f>
        <v>1.7166666666666679</v>
      </c>
      <c r="G81" s="154">
        <f t="shared" si="4"/>
        <v>1.6450771721122082</v>
      </c>
      <c r="H81" s="188">
        <f t="shared" si="10"/>
        <v>1.7882561612211276</v>
      </c>
      <c r="I81" s="156"/>
      <c r="J81" s="171">
        <f>'Zero Test'!$Z$30+'Chart Data'!B81*'Zero Test'!$Z$31+'Chart Data'!B81^2*'Zero Test'!$Z$32</f>
        <v>1.8380000000000041</v>
      </c>
      <c r="K81" s="166">
        <f t="shared" si="11"/>
        <v>1.8314660264406841</v>
      </c>
      <c r="L81" s="170">
        <f t="shared" si="5"/>
        <v>1.844533973559324</v>
      </c>
      <c r="M81" s="168"/>
      <c r="N81" s="323">
        <f>'Zero Test'!$AI$30+B81*'Zero Test'!$AI$31+B81^2*'Zero Test'!$AI$32+B81^3*'Zero Test'!$AI$33</f>
        <v>1.8380000000002235</v>
      </c>
      <c r="O81" s="325">
        <f t="shared" si="6"/>
        <v>1.8326010876281211</v>
      </c>
      <c r="P81" s="324">
        <f t="shared" si="7"/>
        <v>1.8433989123723258</v>
      </c>
      <c r="Q81" s="322"/>
      <c r="R81" s="146">
        <f>SUMPRODUCT(A81:E81,'Zero Test'!$BN$43:$BR$43)</f>
        <v>1.8380000000000993</v>
      </c>
      <c r="S81" s="142">
        <f t="shared" si="8"/>
        <v>1.8319142555031502</v>
      </c>
      <c r="T81" s="187">
        <f t="shared" si="9"/>
        <v>1.8440857444970484</v>
      </c>
      <c r="U81" s="142"/>
      <c r="V81" s="153">
        <f>SUMPRODUCT($A81:$B81,'Zero Test'!$P$52:$Q$52)</f>
        <v>1.5622222222220546E-3</v>
      </c>
      <c r="W81" s="156">
        <f>SUMPRODUCT($A81:$B81,'Zero Test'!$P$53:$Q$53)</f>
        <v>-2.3433333333330798E-4</v>
      </c>
      <c r="X81" s="165">
        <f>SUMPRODUCT($A81:$C81,'Zero Test'!$Z$59:$AB$59)</f>
        <v>1.3333333331091657E-6</v>
      </c>
      <c r="Y81" s="166">
        <f>SUMPRODUCT($A81:$C81,'Zero Test'!$Z$60:$AB$60)</f>
        <v>7.5999999987222644E-6</v>
      </c>
      <c r="Z81" s="166">
        <f>SUMPRODUCT($A81:$C81,'Zero Test'!$Z$61:$AB$61)</f>
        <v>-1.7333333330419198E-6</v>
      </c>
      <c r="AA81" s="342">
        <f>SUMPRODUCT($A81:$D81,'Zero Test'!$AI$59:$AL$59)</f>
        <v>-2.6074074069694349E-6</v>
      </c>
      <c r="AB81" s="324">
        <f>SUMPRODUCT($A81:$D81,'Zero Test'!$AI$60:$AL$60)</f>
        <v>2.5596049378414935E-5</v>
      </c>
      <c r="AC81" s="324">
        <f>SUMPRODUCT($A81:$D81,'Zero Test'!$AI$61:$AL$61)</f>
        <v>-1.1585185183238564E-5</v>
      </c>
      <c r="AD81" s="343">
        <f>SUMPRODUCT($A81:$D81,'Zero Test'!$AI$62:$AL$62)</f>
        <v>1.3135802466928794E-6</v>
      </c>
      <c r="AE81" s="142">
        <f>SUMPRODUCT(A81:E81,'Zero Test'!$BL$59:$BP$59)</f>
        <v>-1.740854591512121E-6</v>
      </c>
      <c r="AF81" s="142">
        <f>SUMPRODUCT(A81:E81,'Zero Test'!$BL$60:$BP$60)</f>
        <v>8.4056974778026441E-6</v>
      </c>
      <c r="AG81" s="142">
        <f>SUMPRODUCT(A81:E81,'Zero Test'!$BL$61:$BP$61)</f>
        <v>9.3452985583813996E-6</v>
      </c>
      <c r="AH81" s="142">
        <f>SUMPRODUCT(A81:E81,'Zero Test'!$BL$62:$BP$62)</f>
        <v>-5.8792019099702928E-6</v>
      </c>
      <c r="AI81" s="144">
        <f>SUMPRODUCT(A81:E81,'Zero Test'!$BL$63:$BP$63)</f>
        <v>7.3948713304519693E-7</v>
      </c>
    </row>
    <row r="82" spans="1:35" ht="18" customHeight="1" x14ac:dyDescent="0.2">
      <c r="A82" s="254">
        <v>1</v>
      </c>
      <c r="B82" s="255">
        <f t="shared" si="0"/>
        <v>1.9000000000000006</v>
      </c>
      <c r="C82" s="256">
        <f t="shared" si="1"/>
        <v>3.6100000000000021</v>
      </c>
      <c r="D82" s="335">
        <f t="shared" si="2"/>
        <v>6.8590000000000062</v>
      </c>
      <c r="E82" s="257">
        <f t="shared" si="3"/>
        <v>13.032100000000016</v>
      </c>
      <c r="F82" s="189">
        <f>'Zero Test'!$P$27+'Zero Test'!$P$28*'Chart Data'!B82</f>
        <v>1.7916666666666681</v>
      </c>
      <c r="G82" s="154">
        <f t="shared" si="4"/>
        <v>1.7214564024824797</v>
      </c>
      <c r="H82" s="188">
        <f t="shared" si="10"/>
        <v>1.8618769308508565</v>
      </c>
      <c r="I82" s="156"/>
      <c r="J82" s="171">
        <f>'Zero Test'!$Z$30+'Chart Data'!B82*'Zero Test'!$Z$31+'Chart Data'!B82^2*'Zero Test'!$Z$32</f>
        <v>1.9195000000000038</v>
      </c>
      <c r="K82" s="166">
        <f t="shared" si="11"/>
        <v>1.9128746620165553</v>
      </c>
      <c r="L82" s="170">
        <f t="shared" si="5"/>
        <v>1.9261253379834522</v>
      </c>
      <c r="M82" s="168"/>
      <c r="N82" s="323">
        <f>'Zero Test'!$AI$30+B82*'Zero Test'!$AI$31+B82^2*'Zero Test'!$AI$32+B82^3*'Zero Test'!$AI$33</f>
        <v>1.9195000000002398</v>
      </c>
      <c r="O82" s="325">
        <f t="shared" si="6"/>
        <v>1.9142357759767679</v>
      </c>
      <c r="P82" s="324">
        <f t="shared" si="7"/>
        <v>1.9247642240237117</v>
      </c>
      <c r="Q82" s="322"/>
      <c r="R82" s="146">
        <f>SUMPRODUCT(A82:E82,'Zero Test'!$BN$43:$BR$43)</f>
        <v>1.9195000000001532</v>
      </c>
      <c r="S82" s="142">
        <f t="shared" si="8"/>
        <v>1.9133102019251993</v>
      </c>
      <c r="T82" s="187">
        <f t="shared" si="9"/>
        <v>1.9256897980751071</v>
      </c>
      <c r="U82" s="142"/>
      <c r="V82" s="153">
        <f>SUMPRODUCT($A82:$B82,'Zero Test'!$P$52:$Q$52)</f>
        <v>1.4785317460315874E-3</v>
      </c>
      <c r="W82" s="156">
        <f>SUMPRODUCT($A82:$B82,'Zero Test'!$P$53:$Q$53)</f>
        <v>-2.0085714285712113E-4</v>
      </c>
      <c r="X82" s="165">
        <f>SUMPRODUCT($A82:$C82,'Zero Test'!$Z$59:$AB$59)</f>
        <v>6.4285714274906086E-7</v>
      </c>
      <c r="Y82" s="166">
        <f>SUMPRODUCT($A82:$C82,'Zero Test'!$Z$60:$AB$60)</f>
        <v>8.2166666652852529E-6</v>
      </c>
      <c r="Z82" s="166">
        <f>SUMPRODUCT($A82:$C82,'Zero Test'!$Z$61:$AB$61)</f>
        <v>-1.826190475883451E-6</v>
      </c>
      <c r="AA82" s="342">
        <f>SUMPRODUCT($A82:$D82,'Zero Test'!$AI$59:$AL$59)</f>
        <v>-2.8312169307412592E-6</v>
      </c>
      <c r="AB82" s="324">
        <f>SUMPRODUCT($A82:$D82,'Zero Test'!$AI$60:$AL$60)</f>
        <v>2.4081604934224887E-5</v>
      </c>
      <c r="AC82" s="324">
        <f>SUMPRODUCT($A82:$D82,'Zero Test'!$AI$61:$AL$61)</f>
        <v>-1.0511375659609473E-5</v>
      </c>
      <c r="AD82" s="343">
        <f>SUMPRODUCT($A82:$D82,'Zero Test'!$AI$62:$AL$62)</f>
        <v>1.1580246911634634E-6</v>
      </c>
      <c r="AE82" s="142">
        <f>SUMPRODUCT(A82:E82,'Zero Test'!$BL$59:$BP$59)</f>
        <v>-1.5044535074557263E-6</v>
      </c>
      <c r="AF82" s="142">
        <f>SUMPRODUCT(A82:E82,'Zero Test'!$BL$60:$BP$60)</f>
        <v>-1.5857854111899893E-6</v>
      </c>
      <c r="AG82" s="142">
        <f>SUMPRODUCT(A82:E82,'Zero Test'!$BL$61:$BP$61)</f>
        <v>1.9446660103475329E-5</v>
      </c>
      <c r="AH82" s="142">
        <f>SUMPRODUCT(A82:E82,'Zero Test'!$BL$62:$BP$62)</f>
        <v>-8.9441055636396111E-6</v>
      </c>
      <c r="AI82" s="144">
        <f>SUMPRODUCT(A82:E82,'Zero Test'!$BL$63:$BP$63)</f>
        <v>1.028028781590627E-6</v>
      </c>
    </row>
    <row r="83" spans="1:35" ht="18" customHeight="1" x14ac:dyDescent="0.2">
      <c r="A83" s="254">
        <v>1</v>
      </c>
      <c r="B83" s="255">
        <f t="shared" si="0"/>
        <v>2.0000000000000004</v>
      </c>
      <c r="C83" s="256">
        <f t="shared" si="1"/>
        <v>4.0000000000000018</v>
      </c>
      <c r="D83" s="335">
        <f t="shared" si="2"/>
        <v>8.0000000000000053</v>
      </c>
      <c r="E83" s="257">
        <f t="shared" si="3"/>
        <v>16.000000000000014</v>
      </c>
      <c r="F83" s="189">
        <f>'Zero Test'!$P$27+'Zero Test'!$P$28*'Chart Data'!B83</f>
        <v>1.866666666666668</v>
      </c>
      <c r="G83" s="154">
        <f t="shared" si="4"/>
        <v>1.7976449667971945</v>
      </c>
      <c r="H83" s="188">
        <f t="shared" si="10"/>
        <v>1.9356883665361415</v>
      </c>
      <c r="I83" s="156"/>
      <c r="J83" s="171">
        <f>'Zero Test'!$Z$30+'Chart Data'!B83*'Zero Test'!$Z$31+'Chart Data'!B83^2*'Zero Test'!$Z$32</f>
        <v>2.000000000000004</v>
      </c>
      <c r="K83" s="166">
        <f t="shared" si="11"/>
        <v>1.9932919378633385</v>
      </c>
      <c r="L83" s="170">
        <f t="shared" si="5"/>
        <v>2.0067080621366697</v>
      </c>
      <c r="M83" s="168"/>
      <c r="N83" s="323">
        <f>'Zero Test'!$AI$30+B83*'Zero Test'!$AI$31+B83^2*'Zero Test'!$AI$32+B83^3*'Zero Test'!$AI$33</f>
        <v>2.0000000000002562</v>
      </c>
      <c r="O83" s="325">
        <f t="shared" si="6"/>
        <v>1.9948689630395915</v>
      </c>
      <c r="P83" s="324">
        <f t="shared" si="7"/>
        <v>2.005131036960921</v>
      </c>
      <c r="Q83" s="322"/>
      <c r="R83" s="146">
        <f>SUMPRODUCT(A83:E83,'Zero Test'!$BN$43:$BR$43)</f>
        <v>2.0000000000002136</v>
      </c>
      <c r="S83" s="142">
        <f t="shared" si="8"/>
        <v>1.9936679583432335</v>
      </c>
      <c r="T83" s="187">
        <f t="shared" si="9"/>
        <v>2.0063320416571937</v>
      </c>
      <c r="U83" s="142"/>
      <c r="V83" s="153">
        <f>SUMPRODUCT($A83:$B83,'Zero Test'!$P$52:$Q$52)</f>
        <v>1.3948412698411201E-3</v>
      </c>
      <c r="W83" s="156">
        <f>SUMPRODUCT($A83:$B83,'Zero Test'!$P$53:$Q$53)</f>
        <v>-1.6738095238093427E-4</v>
      </c>
      <c r="X83" s="165">
        <f>SUMPRODUCT($A83:$C83,'Zero Test'!$Z$59:$AB$59)</f>
        <v>-3.3881317890172014E-21</v>
      </c>
      <c r="Y83" s="166">
        <f>SUMPRODUCT($A83:$C83,'Zero Test'!$Z$60:$AB$60)</f>
        <v>8.7619047604316762E-6</v>
      </c>
      <c r="Z83" s="166">
        <f>SUMPRODUCT($A83:$C83,'Zero Test'!$Z$61:$AB$61)</f>
        <v>-1.9047619044416699E-6</v>
      </c>
      <c r="AA83" s="342">
        <f>SUMPRODUCT($A83:$D83,'Zero Test'!$AI$59:$AL$59)</f>
        <v>-2.9629629624650604E-6</v>
      </c>
      <c r="AB83" s="324">
        <f>SUMPRODUCT($A83:$D83,'Zero Test'!$AI$60:$AL$60)</f>
        <v>2.2292768955689429E-5</v>
      </c>
      <c r="AC83" s="324">
        <f>SUMPRODUCT($A83:$D83,'Zero Test'!$AI$61:$AL$61)</f>
        <v>-9.3121693106046276E-6</v>
      </c>
      <c r="AD83" s="343">
        <f>SUMPRODUCT($A83:$D83,'Zero Test'!$AI$62:$AL$62)</f>
        <v>9.8765432082172168E-7</v>
      </c>
      <c r="AE83" s="142">
        <f>SUMPRODUCT(A83:E83,'Zero Test'!$BL$59:$BP$59)</f>
        <v>-1.2210011443028809E-6</v>
      </c>
      <c r="AF83" s="142">
        <f>SUMPRODUCT(A83:E83,'Zero Test'!$BL$60:$BP$60)</f>
        <v>-1.0907610222580605E-5</v>
      </c>
      <c r="AG83" s="142">
        <f>SUMPRODUCT(A83:E83,'Zero Test'!$BL$61:$BP$61)</f>
        <v>2.8632476834273109E-5</v>
      </c>
      <c r="AH83" s="142">
        <f>SUMPRODUCT(A83:E83,'Zero Test'!$BL$62:$BP$62)</f>
        <v>-1.1680910947316125E-5</v>
      </c>
      <c r="AI83" s="144">
        <f>SUMPRODUCT(A83:E83,'Zero Test'!$BL$63:$BP$63)</f>
        <v>1.2820512015347339E-6</v>
      </c>
    </row>
    <row r="84" spans="1:35" ht="18" customHeight="1" x14ac:dyDescent="0.2">
      <c r="A84" s="254">
        <v>1</v>
      </c>
      <c r="B84" s="255">
        <f t="shared" si="0"/>
        <v>2.1000000000000005</v>
      </c>
      <c r="C84" s="256">
        <f t="shared" si="1"/>
        <v>4.4100000000000019</v>
      </c>
      <c r="D84" s="335">
        <f t="shared" si="2"/>
        <v>9.2610000000000063</v>
      </c>
      <c r="E84" s="257">
        <f t="shared" si="3"/>
        <v>19.448100000000018</v>
      </c>
      <c r="F84" s="189">
        <f>'Zero Test'!$P$27+'Zero Test'!$P$28*'Chart Data'!B84</f>
        <v>1.941666666666668</v>
      </c>
      <c r="G84" s="154">
        <f t="shared" si="4"/>
        <v>1.8736328713974237</v>
      </c>
      <c r="H84" s="188">
        <f t="shared" si="10"/>
        <v>2.0097004619359122</v>
      </c>
      <c r="I84" s="156"/>
      <c r="J84" s="171">
        <f>'Zero Test'!$Z$30+'Chart Data'!B84*'Zero Test'!$Z$31+'Chart Data'!B84^2*'Zero Test'!$Z$32</f>
        <v>2.0795000000000039</v>
      </c>
      <c r="K84" s="166">
        <f t="shared" si="11"/>
        <v>2.072720696315284</v>
      </c>
      <c r="L84" s="170">
        <f t="shared" si="5"/>
        <v>2.0862793036847238</v>
      </c>
      <c r="M84" s="168"/>
      <c r="N84" s="323">
        <f>'Zero Test'!$AI$30+B84*'Zero Test'!$AI$31+B84^2*'Zero Test'!$AI$32+B84^3*'Zero Test'!$AI$33</f>
        <v>2.0795000000002735</v>
      </c>
      <c r="O84" s="325">
        <f t="shared" si="6"/>
        <v>2.0744925951713689</v>
      </c>
      <c r="P84" s="324">
        <f t="shared" si="7"/>
        <v>2.0845074048291781</v>
      </c>
      <c r="Q84" s="322"/>
      <c r="R84" s="146">
        <f>SUMPRODUCT(A84:E84,'Zero Test'!$BN$43:$BR$43)</f>
        <v>2.0795000000002801</v>
      </c>
      <c r="S84" s="142">
        <f t="shared" si="8"/>
        <v>2.0730128935781806</v>
      </c>
      <c r="T84" s="187">
        <f t="shared" si="9"/>
        <v>2.0859871064223796</v>
      </c>
      <c r="U84" s="142"/>
      <c r="V84" s="153">
        <f>SUMPRODUCT($A84:$B84,'Zero Test'!$P$52:$Q$52)</f>
        <v>1.3111507936506529E-3</v>
      </c>
      <c r="W84" s="156">
        <f>SUMPRODUCT($A84:$B84,'Zero Test'!$P$53:$Q$53)</f>
        <v>-1.3390476190474731E-4</v>
      </c>
      <c r="X84" s="165">
        <f>SUMPRODUCT($A84:$C84,'Zero Test'!$Z$59:$AB$59)</f>
        <v>-5.9523809513802534E-7</v>
      </c>
      <c r="Y84" s="166">
        <f>SUMPRODUCT($A84:$C84,'Zero Test'!$Z$60:$AB$60)</f>
        <v>9.2357142841615411E-6</v>
      </c>
      <c r="Z84" s="166">
        <f>SUMPRODUCT($A84:$C84,'Zero Test'!$Z$61:$AB$61)</f>
        <v>-1.9690476187165762E-6</v>
      </c>
      <c r="AA84" s="342">
        <f>SUMPRODUCT($A84:$D84,'Zero Test'!$AI$59:$AL$59)</f>
        <v>-3.0100529095470151E-6</v>
      </c>
      <c r="AB84" s="324">
        <f>SUMPRODUCT($A84:$D84,'Zero Test'!$AI$60:$AL$60)</f>
        <v>2.0263368603296688E-5</v>
      </c>
      <c r="AC84" s="324">
        <f>SUMPRODUCT($A84:$D84,'Zero Test'!$AI$61:$AL$61)</f>
        <v>-8.0060846547394266E-6</v>
      </c>
      <c r="AD84" s="343">
        <f>SUMPRODUCT($A84:$D84,'Zero Test'!$AI$62:$AL$62)</f>
        <v>8.0493827146970871E-7</v>
      </c>
      <c r="AE84" s="142">
        <f>SUMPRODUCT(A84:E84,'Zero Test'!$BL$59:$BP$59)</f>
        <v>-9.0750604799400398E-7</v>
      </c>
      <c r="AF84" s="142">
        <f>SUMPRODUCT(A84:E84,'Zero Test'!$BL$60:$BP$60)</f>
        <v>-1.9379719987620852E-5</v>
      </c>
      <c r="AG84" s="142">
        <f>SUMPRODUCT(A84:E84,'Zero Test'!$BL$61:$BP$61)</f>
        <v>3.6729778676167837E-5</v>
      </c>
      <c r="AH84" s="142">
        <f>SUMPRODUCT(A84:E84,'Zero Test'!$BL$62:$BP$62)</f>
        <v>-1.4037410087070639E-5</v>
      </c>
      <c r="AI84" s="144">
        <f>SUMPRODUCT(A84:E84,'Zero Test'!$BL$63:$BP$63)</f>
        <v>1.4966184957516029E-6</v>
      </c>
    </row>
    <row r="85" spans="1:35" ht="18" customHeight="1" x14ac:dyDescent="0.2">
      <c r="A85" s="254">
        <v>1</v>
      </c>
      <c r="B85" s="255">
        <f t="shared" si="0"/>
        <v>2.2000000000000006</v>
      </c>
      <c r="C85" s="256">
        <f t="shared" si="1"/>
        <v>4.8400000000000025</v>
      </c>
      <c r="D85" s="335">
        <f t="shared" si="2"/>
        <v>10.648000000000009</v>
      </c>
      <c r="E85" s="257">
        <f t="shared" si="3"/>
        <v>23.425600000000024</v>
      </c>
      <c r="F85" s="189">
        <f>'Zero Test'!$P$27+'Zero Test'!$P$28*'Chart Data'!B85</f>
        <v>2.0166666666666684</v>
      </c>
      <c r="G85" s="154">
        <f t="shared" si="4"/>
        <v>1.9494112733185451</v>
      </c>
      <c r="H85" s="188">
        <f t="shared" si="10"/>
        <v>2.0839220600147916</v>
      </c>
      <c r="I85" s="156"/>
      <c r="J85" s="171">
        <f>'Zero Test'!$Z$30+'Chart Data'!B85*'Zero Test'!$Z$31+'Chart Data'!B85^2*'Zero Test'!$Z$32</f>
        <v>2.1580000000000044</v>
      </c>
      <c r="K85" s="166">
        <f t="shared" si="11"/>
        <v>2.151163141126184</v>
      </c>
      <c r="L85" s="170">
        <f t="shared" si="5"/>
        <v>2.1648368588738247</v>
      </c>
      <c r="M85" s="168"/>
      <c r="N85" s="323">
        <f>'Zero Test'!$AI$30+B85*'Zero Test'!$AI$31+B85^2*'Zero Test'!$AI$32+B85^3*'Zero Test'!$AI$33</f>
        <v>2.1580000000002908</v>
      </c>
      <c r="O85" s="325">
        <f t="shared" si="6"/>
        <v>2.1530988301761318</v>
      </c>
      <c r="P85" s="324">
        <f t="shared" si="7"/>
        <v>2.1629011698244498</v>
      </c>
      <c r="Q85" s="322"/>
      <c r="R85" s="146">
        <f>SUMPRODUCT(A85:E85,'Zero Test'!$BN$43:$BR$43)</f>
        <v>2.1580000000003543</v>
      </c>
      <c r="S85" s="142">
        <f t="shared" si="8"/>
        <v>2.1513677568169896</v>
      </c>
      <c r="T85" s="187">
        <f t="shared" si="9"/>
        <v>2.1646322431837191</v>
      </c>
      <c r="U85" s="142"/>
      <c r="V85" s="153">
        <f>SUMPRODUCT($A85:$B85,'Zero Test'!$P$52:$Q$52)</f>
        <v>1.2274603174601856E-3</v>
      </c>
      <c r="W85" s="156">
        <f>SUMPRODUCT($A85:$B85,'Zero Test'!$P$53:$Q$53)</f>
        <v>-1.0042857142856035E-4</v>
      </c>
      <c r="X85" s="165">
        <f>SUMPRODUCT($A85:$C85,'Zero Test'!$Z$59:$AB$59)</f>
        <v>-1.1428571426650067E-6</v>
      </c>
      <c r="Y85" s="166">
        <f>SUMPRODUCT($A85:$C85,'Zero Test'!$Z$60:$AB$60)</f>
        <v>9.6380952364748426E-6</v>
      </c>
      <c r="Z85" s="166">
        <f>SUMPRODUCT($A85:$C85,'Zero Test'!$Z$61:$AB$61)</f>
        <v>-2.0190476187081706E-6</v>
      </c>
      <c r="AA85" s="342">
        <f>SUMPRODUCT($A85:$D85,'Zero Test'!$AI$59:$AL$59)</f>
        <v>-2.9798941793932624E-6</v>
      </c>
      <c r="AB85" s="324">
        <f>SUMPRODUCT($A85:$D85,'Zero Test'!$AI$60:$AL$60)</f>
        <v>1.8027231037534843E-5</v>
      </c>
      <c r="AC85" s="324">
        <f>SUMPRODUCT($A85:$D85,'Zero Test'!$AI$61:$AL$61)</f>
        <v>-6.6116402105292858E-6</v>
      </c>
      <c r="AD85" s="343">
        <f>SUMPRODUCT($A85:$D85,'Zero Test'!$AI$62:$AL$62)</f>
        <v>6.123456789094787E-7</v>
      </c>
      <c r="AE85" s="142">
        <f>SUMPRODUCT(A85:E85,'Zero Test'!$BL$59:$BP$59)</f>
        <v>-5.7943830302757562E-7</v>
      </c>
      <c r="AF85" s="142">
        <f>SUMPRODUCT(A85:E85,'Zero Test'!$BL$60:$BP$60)</f>
        <v>-2.6847698761592461E-5</v>
      </c>
      <c r="AG85" s="142">
        <f>SUMPRODUCT(A85:E85,'Zero Test'!$BL$61:$BP$61)</f>
        <v>4.3593159655385566E-5</v>
      </c>
      <c r="AH85" s="142">
        <f>SUMPRODUCT(A85:E85,'Zero Test'!$BL$62:$BP$62)</f>
        <v>-1.5970369367384875E-5</v>
      </c>
      <c r="AI85" s="144">
        <f>SUMPRODUCT(A85:E85,'Zero Test'!$BL$63:$BP$63)</f>
        <v>1.6676922029564014E-6</v>
      </c>
    </row>
    <row r="86" spans="1:35" ht="18" customHeight="1" x14ac:dyDescent="0.2">
      <c r="A86" s="254">
        <v>1</v>
      </c>
      <c r="B86" s="255">
        <f t="shared" si="0"/>
        <v>2.3000000000000007</v>
      </c>
      <c r="C86" s="256">
        <f t="shared" si="1"/>
        <v>5.2900000000000036</v>
      </c>
      <c r="D86" s="335">
        <f t="shared" si="2"/>
        <v>12.167000000000012</v>
      </c>
      <c r="E86" s="257">
        <f t="shared" si="3"/>
        <v>27.984100000000037</v>
      </c>
      <c r="F86" s="189">
        <f>'Zero Test'!$P$27+'Zero Test'!$P$28*'Chart Data'!B86</f>
        <v>2.0916666666666681</v>
      </c>
      <c r="G86" s="154">
        <f t="shared" si="4"/>
        <v>2.0249728366679962</v>
      </c>
      <c r="H86" s="188">
        <f t="shared" si="10"/>
        <v>2.15836049666534</v>
      </c>
      <c r="I86" s="156"/>
      <c r="J86" s="171">
        <f>'Zero Test'!$Z$30+'Chart Data'!B86*'Zero Test'!$Z$31+'Chart Data'!B86^2*'Zero Test'!$Z$32</f>
        <v>2.2355000000000045</v>
      </c>
      <c r="K86" s="166">
        <f t="shared" si="11"/>
        <v>2.2286209098276775</v>
      </c>
      <c r="L86" s="170">
        <f t="shared" si="5"/>
        <v>2.2423790901723315</v>
      </c>
      <c r="M86" s="168"/>
      <c r="N86" s="323">
        <f>'Zero Test'!$AI$30+B86*'Zero Test'!$AI$31+B86^2*'Zero Test'!$AI$32+B86^3*'Zero Test'!$AI$33</f>
        <v>2.2355000000003087</v>
      </c>
      <c r="O86" s="325">
        <f t="shared" si="6"/>
        <v>2.230680578647334</v>
      </c>
      <c r="P86" s="324">
        <f t="shared" si="7"/>
        <v>2.2403194213532833</v>
      </c>
      <c r="Q86" s="322"/>
      <c r="R86" s="146">
        <f>SUMPRODUCT(A86:E86,'Zero Test'!$BN$43:$BR$43)</f>
        <v>2.2355000000004344</v>
      </c>
      <c r="S86" s="142">
        <f t="shared" si="8"/>
        <v>2.228750889169532</v>
      </c>
      <c r="T86" s="187">
        <f t="shared" si="9"/>
        <v>2.2422491108313367</v>
      </c>
      <c r="U86" s="142"/>
      <c r="V86" s="153">
        <f>SUMPRODUCT($A86:$B86,'Zero Test'!$P$52:$Q$52)</f>
        <v>1.1437698412697182E-3</v>
      </c>
      <c r="W86" s="156">
        <f>SUMPRODUCT($A86:$B86,'Zero Test'!$P$53:$Q$53)</f>
        <v>-6.6952380952373493E-5</v>
      </c>
      <c r="X86" s="165">
        <f>SUMPRODUCT($A86:$C86,'Zero Test'!$Z$59:$AB$59)</f>
        <v>-1.642857142580944E-6</v>
      </c>
      <c r="Y86" s="166">
        <f>SUMPRODUCT($A86:$C86,'Zero Test'!$Z$60:$AB$60)</f>
        <v>9.9690476173715824E-6</v>
      </c>
      <c r="Z86" s="166">
        <f>SUMPRODUCT($A86:$C86,'Zero Test'!$Z$61:$AB$61)</f>
        <v>-2.0547619044164502E-6</v>
      </c>
      <c r="AA86" s="342">
        <f>SUMPRODUCT($A86:$D86,'Zero Test'!$AI$59:$AL$59)</f>
        <v>-2.8798941794099634E-6</v>
      </c>
      <c r="AB86" s="324">
        <f>SUMPRODUCT($A86:$D86,'Zero Test'!$AI$60:$AL$60)</f>
        <v>1.561818341889193E-5</v>
      </c>
      <c r="AC86" s="324">
        <f>SUMPRODUCT($A86:$D86,'Zero Test'!$AI$61:$AL$61)</f>
        <v>-5.1473544964896072E-6</v>
      </c>
      <c r="AD86" s="343">
        <f>SUMPRODUCT($A86:$D86,'Zero Test'!$AI$62:$AL$62)</f>
        <v>4.123456789430858E-7</v>
      </c>
      <c r="AE86" s="142">
        <f>SUMPRODUCT(A86:E86,'Zero Test'!$BL$59:$BP$59)</f>
        <v>-2.5072953246029969E-7</v>
      </c>
      <c r="AF86" s="142">
        <f>SUMPRODUCT(A86:E86,'Zero Test'!$BL$60:$BP$60)</f>
        <v>-3.3182771623807691E-5</v>
      </c>
      <c r="AG86" s="142">
        <f>SUMPRODUCT(A86:E86,'Zero Test'!$BL$61:$BP$61)</f>
        <v>4.9104777898984712E-5</v>
      </c>
      <c r="AH86" s="142">
        <f>SUMPRODUCT(A86:E86,'Zero Test'!$BL$62:$BP$62)</f>
        <v>-1.7445529531151031E-5</v>
      </c>
      <c r="AI86" s="144">
        <f>SUMPRODUCT(A86:E86,'Zero Test'!$BL$63:$BP$63)</f>
        <v>1.7921312977053833E-6</v>
      </c>
    </row>
    <row r="87" spans="1:35" ht="18" customHeight="1" x14ac:dyDescent="0.2">
      <c r="A87" s="254">
        <v>1</v>
      </c>
      <c r="B87" s="255">
        <f t="shared" si="0"/>
        <v>2.4000000000000008</v>
      </c>
      <c r="C87" s="256">
        <f t="shared" si="1"/>
        <v>5.7600000000000042</v>
      </c>
      <c r="D87" s="335">
        <f t="shared" si="2"/>
        <v>13.824000000000014</v>
      </c>
      <c r="E87" s="257">
        <f t="shared" si="3"/>
        <v>33.177600000000048</v>
      </c>
      <c r="F87" s="189">
        <f>'Zero Test'!$P$27+'Zero Test'!$P$28*'Chart Data'!B87</f>
        <v>2.1666666666666683</v>
      </c>
      <c r="G87" s="154">
        <f t="shared" si="4"/>
        <v>2.1003120558609347</v>
      </c>
      <c r="H87" s="188">
        <f t="shared" si="10"/>
        <v>2.2330212774724019</v>
      </c>
      <c r="I87" s="156"/>
      <c r="J87" s="171">
        <f>'Zero Test'!$Z$30+'Chart Data'!B87*'Zero Test'!$Z$31+'Chart Data'!B87^2*'Zero Test'!$Z$32</f>
        <v>2.3120000000000043</v>
      </c>
      <c r="K87" s="166">
        <f t="shared" si="11"/>
        <v>2.305095131055964</v>
      </c>
      <c r="L87" s="170">
        <f t="shared" si="5"/>
        <v>2.3189048689440446</v>
      </c>
      <c r="M87" s="168"/>
      <c r="N87" s="323">
        <f>'Zero Test'!$AI$30+B87*'Zero Test'!$AI$31+B87^2*'Zero Test'!$AI$32+B87^3*'Zero Test'!$AI$33</f>
        <v>2.3120000000003276</v>
      </c>
      <c r="O87" s="325">
        <f t="shared" si="6"/>
        <v>2.3072321268342337</v>
      </c>
      <c r="P87" s="324">
        <f t="shared" si="7"/>
        <v>2.3167678731664214</v>
      </c>
      <c r="Q87" s="322"/>
      <c r="R87" s="146">
        <f>SUMPRODUCT(A87:E87,'Zero Test'!$BN$43:$BR$43)</f>
        <v>2.3120000000005203</v>
      </c>
      <c r="S87" s="142">
        <f t="shared" si="8"/>
        <v>2.3051754995709044</v>
      </c>
      <c r="T87" s="187">
        <f t="shared" si="9"/>
        <v>2.3188245004301362</v>
      </c>
      <c r="U87" s="142"/>
      <c r="V87" s="153">
        <f>SUMPRODUCT($A87:$B87,'Zero Test'!$P$52:$Q$52)</f>
        <v>1.0600793650792509E-3</v>
      </c>
      <c r="W87" s="156">
        <f>SUMPRODUCT($A87:$B87,'Zero Test'!$P$53:$Q$53)</f>
        <v>-3.347619047618653E-5</v>
      </c>
      <c r="X87" s="165">
        <f>SUMPRODUCT($A87:$C87,'Zero Test'!$Z$59:$AB$59)</f>
        <v>-2.0952380948858408E-6</v>
      </c>
      <c r="Y87" s="166">
        <f>SUMPRODUCT($A87:$C87,'Zero Test'!$Z$60:$AB$60)</f>
        <v>1.0228571426851757E-5</v>
      </c>
      <c r="Z87" s="166">
        <f>SUMPRODUCT($A87:$C87,'Zero Test'!$Z$61:$AB$61)</f>
        <v>-2.0761904758414196E-6</v>
      </c>
      <c r="AA87" s="342">
        <f>SUMPRODUCT($A87:$D87,'Zero Test'!$AI$59:$AL$59)</f>
        <v>-2.7174603170033201E-6</v>
      </c>
      <c r="AB87" s="324">
        <f>SUMPRODUCT($A87:$D87,'Zero Test'!$AI$60:$AL$60)</f>
        <v>1.3070052907856192E-5</v>
      </c>
      <c r="AC87" s="324">
        <f>SUMPRODUCT($A87:$D87,'Zero Test'!$AI$61:$AL$61)</f>
        <v>-3.6317460311357998E-6</v>
      </c>
      <c r="AD87" s="343">
        <f>SUMPRODUCT($A87:$D87,'Zero Test'!$AI$62:$AL$62)</f>
        <v>2.0740740737258289E-7</v>
      </c>
      <c r="AE87" s="142">
        <f>SUMPRODUCT(A87:E87,'Zero Test'!$BL$59:$BP$59)</f>
        <v>6.6227102092945508E-8</v>
      </c>
      <c r="AF87" s="142">
        <f>SUMPRODUCT(A87:E87,'Zero Test'!$BL$60:$BP$60)</f>
        <v>-3.8281804677609466E-5</v>
      </c>
      <c r="AG87" s="142">
        <f>SUMPRODUCT(A87:E87,'Zero Test'!$BL$61:$BP$61)</f>
        <v>5.3174355634857571E-5</v>
      </c>
      <c r="AH87" s="142">
        <f>SUMPRODUCT(A87:E87,'Zero Test'!$BL$62:$BP$62)</f>
        <v>-1.8437605679672134E-5</v>
      </c>
      <c r="AI87" s="144">
        <f>SUMPRODUCT(A87:E87,'Zero Test'!$BL$63:$BP$63)</f>
        <v>1.8676921903958462E-6</v>
      </c>
    </row>
    <row r="88" spans="1:35" ht="18" customHeight="1" x14ac:dyDescent="0.2">
      <c r="A88" s="254">
        <v>1</v>
      </c>
      <c r="B88" s="255">
        <f t="shared" si="0"/>
        <v>2.5000000000000009</v>
      </c>
      <c r="C88" s="256">
        <f t="shared" si="1"/>
        <v>6.2500000000000044</v>
      </c>
      <c r="D88" s="335">
        <f t="shared" si="2"/>
        <v>15.625000000000016</v>
      </c>
      <c r="E88" s="257">
        <f t="shared" si="3"/>
        <v>39.062500000000057</v>
      </c>
      <c r="F88" s="189">
        <f>'Zero Test'!$P$27+'Zero Test'!$P$28*'Chart Data'!B88</f>
        <v>2.2416666666666685</v>
      </c>
      <c r="G88" s="154">
        <f t="shared" si="4"/>
        <v>2.1754255149535791</v>
      </c>
      <c r="H88" s="188">
        <f t="shared" si="10"/>
        <v>2.3079078183797579</v>
      </c>
      <c r="I88" s="156"/>
      <c r="J88" s="171">
        <f>'Zero Test'!$Z$30+'Chart Data'!B88*'Zero Test'!$Z$31+'Chart Data'!B88^2*'Zero Test'!$Z$32</f>
        <v>2.3875000000000046</v>
      </c>
      <c r="K88" s="166">
        <f t="shared" si="11"/>
        <v>2.380586465616767</v>
      </c>
      <c r="L88" s="170">
        <f t="shared" si="5"/>
        <v>2.3944135343832422</v>
      </c>
      <c r="M88" s="168"/>
      <c r="N88" s="323">
        <f>'Zero Test'!$AI$30+B88*'Zero Test'!$AI$31+B88^2*'Zero Test'!$AI$32+B88^3*'Zero Test'!$AI$33</f>
        <v>2.387500000000347</v>
      </c>
      <c r="O88" s="325">
        <f t="shared" si="6"/>
        <v>2.3827497428204309</v>
      </c>
      <c r="P88" s="324">
        <f t="shared" si="7"/>
        <v>2.3922502571802631</v>
      </c>
      <c r="Q88" s="322"/>
      <c r="R88" s="146">
        <f>SUMPRODUCT(A88:E88,'Zero Test'!$BN$43:$BR$43)</f>
        <v>2.3875000000006135</v>
      </c>
      <c r="S88" s="142">
        <f t="shared" si="8"/>
        <v>2.3806494942081731</v>
      </c>
      <c r="T88" s="187">
        <f t="shared" si="9"/>
        <v>2.3943505057930539</v>
      </c>
      <c r="U88" s="142"/>
      <c r="V88" s="153">
        <f>SUMPRODUCT($A88:$B88,'Zero Test'!$P$52:$Q$52)</f>
        <v>9.7638888888878367E-4</v>
      </c>
      <c r="W88" s="156">
        <f>SUMPRODUCT($A88:$B88,'Zero Test'!$P$53:$Q$53)</f>
        <v>4.3368086899420177E-19</v>
      </c>
      <c r="X88" s="165">
        <f>SUMPRODUCT($A88:$C88,'Zero Test'!$Z$59:$AB$59)</f>
        <v>-2.499999999579697E-6</v>
      </c>
      <c r="Y88" s="166">
        <f>SUMPRODUCT($A88:$C88,'Zero Test'!$Z$60:$AB$60)</f>
        <v>1.041666666491538E-5</v>
      </c>
      <c r="Z88" s="166">
        <f>SUMPRODUCT($A88:$C88,'Zero Test'!$Z$61:$AB$61)</f>
        <v>-2.0833333329830768E-6</v>
      </c>
      <c r="AA88" s="342">
        <f>SUMPRODUCT($A88:$D88,'Zero Test'!$AI$59:$AL$59)</f>
        <v>-2.4999999995794649E-6</v>
      </c>
      <c r="AB88" s="324">
        <f>SUMPRODUCT($A88:$D88,'Zero Test'!$AI$60:$AL$60)</f>
        <v>1.0416666664915753E-5</v>
      </c>
      <c r="AC88" s="324">
        <f>SUMPRODUCT($A88:$D88,'Zero Test'!$AI$61:$AL$61)</f>
        <v>-2.0833333329832928E-6</v>
      </c>
      <c r="AD88" s="343">
        <f>SUMPRODUCT($A88:$D88,'Zero Test'!$AI$62:$AL$62)</f>
        <v>2.7952087259391911E-20</v>
      </c>
      <c r="AE88" s="142">
        <f>SUMPRODUCT(A88:E88,'Zero Test'!$BL$59:$BP$59)</f>
        <v>3.6057690045921388E-7</v>
      </c>
      <c r="AF88" s="142">
        <f>SUMPRODUCT(A88:E88,'Zero Test'!$BL$60:$BP$60)</f>
        <v>-4.2067305050372294E-5</v>
      </c>
      <c r="AG88" s="142">
        <f>SUMPRODUCT(A88:E88,'Zero Test'!$BL$61:$BP$61)</f>
        <v>5.5739179191729234E-5</v>
      </c>
      <c r="AH88" s="142">
        <f>SUMPRODUCT(A88:E88,'Zero Test'!$BL$62:$BP$62)</f>
        <v>-1.8930287272661995E-5</v>
      </c>
      <c r="AI88" s="144">
        <f>SUMPRODUCT(A88:E88,'Zero Test'!$BL$63:$BP$63)</f>
        <v>1.8930287272661785E-6</v>
      </c>
    </row>
    <row r="89" spans="1:35" ht="18" customHeight="1" x14ac:dyDescent="0.2">
      <c r="A89" s="254">
        <v>1</v>
      </c>
      <c r="B89" s="255">
        <f t="shared" si="0"/>
        <v>2.600000000000001</v>
      </c>
      <c r="C89" s="256">
        <f t="shared" si="1"/>
        <v>6.7600000000000051</v>
      </c>
      <c r="D89" s="335">
        <f t="shared" si="2"/>
        <v>17.576000000000018</v>
      </c>
      <c r="E89" s="257">
        <f t="shared" si="3"/>
        <v>45.697600000000072</v>
      </c>
      <c r="F89" s="189">
        <f>'Zero Test'!$P$27+'Zero Test'!$P$28*'Chart Data'!B89</f>
        <v>2.3166666666666682</v>
      </c>
      <c r="G89" s="154">
        <f t="shared" si="4"/>
        <v>2.2503120558609346</v>
      </c>
      <c r="H89" s="188">
        <f t="shared" si="10"/>
        <v>2.3830212774724018</v>
      </c>
      <c r="I89" s="156"/>
      <c r="J89" s="171">
        <f>'Zero Test'!$Z$30+'Chart Data'!B89*'Zero Test'!$Z$31+'Chart Data'!B89^2*'Zero Test'!$Z$32</f>
        <v>2.4620000000000046</v>
      </c>
      <c r="K89" s="166">
        <f t="shared" si="11"/>
        <v>2.4550951310559643</v>
      </c>
      <c r="L89" s="170">
        <f t="shared" si="5"/>
        <v>2.4689048689440449</v>
      </c>
      <c r="M89" s="168"/>
      <c r="N89" s="323">
        <f>'Zero Test'!$AI$30+B89*'Zero Test'!$AI$31+B89^2*'Zero Test'!$AI$32+B89^3*'Zero Test'!$AI$33</f>
        <v>2.462000000000367</v>
      </c>
      <c r="O89" s="325">
        <f t="shared" si="6"/>
        <v>2.4572321268342732</v>
      </c>
      <c r="P89" s="324">
        <f t="shared" si="7"/>
        <v>2.4667678731664608</v>
      </c>
      <c r="Q89" s="322"/>
      <c r="R89" s="146">
        <f>SUMPRODUCT(A89:E89,'Zero Test'!$BN$43:$BR$43)</f>
        <v>2.4620000000007121</v>
      </c>
      <c r="S89" s="142">
        <f t="shared" si="8"/>
        <v>2.4551754995710966</v>
      </c>
      <c r="T89" s="187">
        <f t="shared" si="9"/>
        <v>2.4688245004303275</v>
      </c>
      <c r="U89" s="142"/>
      <c r="V89" s="153">
        <f>SUMPRODUCT($A89:$B89,'Zero Test'!$P$52:$Q$52)</f>
        <v>8.9269841269831642E-4</v>
      </c>
      <c r="W89" s="156">
        <f>SUMPRODUCT($A89:$B89,'Zero Test'!$P$53:$Q$53)</f>
        <v>3.3476190476187289E-5</v>
      </c>
      <c r="X89" s="165">
        <f>SUMPRODUCT($A89:$C89,'Zero Test'!$Z$59:$AB$59)</f>
        <v>-2.857142856662504E-6</v>
      </c>
      <c r="Y89" s="166">
        <f>SUMPRODUCT($A89:$C89,'Zero Test'!$Z$60:$AB$60)</f>
        <v>1.0533333331562431E-5</v>
      </c>
      <c r="Z89" s="166">
        <f>SUMPRODUCT($A89:$C89,'Zero Test'!$Z$61:$AB$61)</f>
        <v>-2.0761904758414188E-6</v>
      </c>
      <c r="AA89" s="342">
        <f>SUMPRODUCT($A89:$D89,'Zero Test'!$AI$59:$AL$59)</f>
        <v>-2.2349206345445605E-6</v>
      </c>
      <c r="AB89" s="324">
        <f>SUMPRODUCT($A89:$D89,'Zero Test'!$AI$60:$AL$60)</f>
        <v>7.6918518505587517E-6</v>
      </c>
      <c r="AC89" s="324">
        <f>SUMPRODUCT($A89:$D89,'Zero Test'!$AI$61:$AL$61)</f>
        <v>-5.2063492054745452E-7</v>
      </c>
      <c r="AD89" s="343">
        <f>SUMPRODUCT($A89:$D89,'Zero Test'!$AI$62:$AL$62)</f>
        <v>-2.0740740737252868E-7</v>
      </c>
      <c r="AE89" s="142">
        <f>SUMPRODUCT(A89:E89,'Zero Test'!$BL$59:$BP$59)</f>
        <v>6.2300362390734076E-7</v>
      </c>
      <c r="AF89" s="142">
        <f>SUMPRODUCT(A89:E89,'Zero Test'!$BL$60:$BP$60)</f>
        <v>-4.4487420893500401E-5</v>
      </c>
      <c r="AG89" s="142">
        <f>SUMPRODUCT(A89:E89,'Zero Test'!$BL$61:$BP$61)</f>
        <v>5.6764098999156584E-5</v>
      </c>
      <c r="AH89" s="142">
        <f>SUMPRODUCT(A89:E89,'Zero Test'!$BL$62:$BP$62)</f>
        <v>-1.89162381282454E-5</v>
      </c>
      <c r="AI89" s="144">
        <f>SUMPRODUCT(A89:E89,'Zero Test'!$BL$63:$BP$63)</f>
        <v>1.867692190395836E-6</v>
      </c>
    </row>
    <row r="90" spans="1:35" ht="18" customHeight="1" x14ac:dyDescent="0.2">
      <c r="A90" s="254">
        <v>1</v>
      </c>
      <c r="B90" s="255">
        <f t="shared" si="0"/>
        <v>2.7000000000000011</v>
      </c>
      <c r="C90" s="256">
        <f t="shared" si="1"/>
        <v>7.2900000000000054</v>
      </c>
      <c r="D90" s="335">
        <f t="shared" si="2"/>
        <v>19.683000000000021</v>
      </c>
      <c r="E90" s="257">
        <f t="shared" si="3"/>
        <v>53.14410000000008</v>
      </c>
      <c r="F90" s="189">
        <f>'Zero Test'!$P$27+'Zero Test'!$P$28*'Chart Data'!B90</f>
        <v>2.3916666666666684</v>
      </c>
      <c r="G90" s="154">
        <f t="shared" si="4"/>
        <v>2.3249728366679965</v>
      </c>
      <c r="H90" s="188">
        <f t="shared" si="10"/>
        <v>2.4583604966653403</v>
      </c>
      <c r="I90" s="156"/>
      <c r="J90" s="171">
        <f>'Zero Test'!$Z$30+'Chart Data'!B90*'Zero Test'!$Z$31+'Chart Data'!B90^2*'Zero Test'!$Z$32</f>
        <v>2.5355000000000047</v>
      </c>
      <c r="K90" s="166">
        <f t="shared" si="11"/>
        <v>2.5286209098276777</v>
      </c>
      <c r="L90" s="170">
        <f t="shared" si="5"/>
        <v>2.5423790901723318</v>
      </c>
      <c r="M90" s="168"/>
      <c r="N90" s="323">
        <f>'Zero Test'!$AI$30+B90*'Zero Test'!$AI$31+B90^2*'Zero Test'!$AI$32+B90^3*'Zero Test'!$AI$33</f>
        <v>2.5355000000003867</v>
      </c>
      <c r="O90" s="325">
        <f t="shared" si="6"/>
        <v>2.530680578647412</v>
      </c>
      <c r="P90" s="324">
        <f t="shared" si="7"/>
        <v>2.5403194213533613</v>
      </c>
      <c r="Q90" s="322"/>
      <c r="R90" s="146">
        <f>SUMPRODUCT(A90:E90,'Zero Test'!$BN$43:$BR$43)</f>
        <v>2.5355000000008157</v>
      </c>
      <c r="S90" s="142">
        <f t="shared" si="8"/>
        <v>2.5287508891699133</v>
      </c>
      <c r="T90" s="187">
        <f t="shared" si="9"/>
        <v>2.542249110831718</v>
      </c>
      <c r="U90" s="142"/>
      <c r="V90" s="153">
        <f>SUMPRODUCT($A90:$B90,'Zero Test'!$P$52:$Q$52)</f>
        <v>8.0900793650784918E-4</v>
      </c>
      <c r="W90" s="156">
        <f>SUMPRODUCT($A90:$B90,'Zero Test'!$P$53:$Q$53)</f>
        <v>6.6952380952374252E-5</v>
      </c>
      <c r="X90" s="165">
        <f>SUMPRODUCT($A90:$C90,'Zero Test'!$Z$59:$AB$59)</f>
        <v>-3.1666666661342773E-6</v>
      </c>
      <c r="Y90" s="166">
        <f>SUMPRODUCT($A90:$C90,'Zero Test'!$Z$60:$AB$60)</f>
        <v>1.057857142679292E-5</v>
      </c>
      <c r="Z90" s="166">
        <f>SUMPRODUCT($A90:$C90,'Zero Test'!$Z$61:$AB$61)</f>
        <v>-2.0547619044164506E-6</v>
      </c>
      <c r="AA90" s="342">
        <f>SUMPRODUCT($A90:$D90,'Zero Test'!$AI$59:$AL$59)</f>
        <v>-1.9296296293047598E-6</v>
      </c>
      <c r="AB90" s="324">
        <f>SUMPRODUCT($A90:$D90,'Zero Test'!$AI$60:$AL$60)</f>
        <v>4.929435625273355E-6</v>
      </c>
      <c r="AC90" s="324">
        <f>SUMPRODUCT($A90:$D90,'Zero Test'!$AI$61:$AL$61)</f>
        <v>1.0378306876562859E-6</v>
      </c>
      <c r="AD90" s="343">
        <f>SUMPRODUCT($A90:$D90,'Zero Test'!$AI$62:$AL$62)</f>
        <v>-4.1234567894303074E-7</v>
      </c>
      <c r="AE90" s="142">
        <f>SUMPRODUCT(A90:E90,'Zero Test'!$BL$59:$BP$59)</f>
        <v>8.4572949514799377E-7</v>
      </c>
      <c r="AF90" s="142">
        <f>SUMPRODUCT(A90:E90,'Zero Test'!$BL$60:$BP$60)</f>
        <v>-4.5515941382428811E-5</v>
      </c>
      <c r="AG90" s="142">
        <f>SUMPRODUCT(A90:E90,'Zero Test'!$BL$61:$BP$61)</f>
        <v>5.6241529587531657E-5</v>
      </c>
      <c r="AH90" s="142">
        <f>SUMPRODUCT(A90:E90,'Zero Test'!$BL$62:$BP$62)</f>
        <v>-1.8397096422957204E-5</v>
      </c>
      <c r="AI90" s="144">
        <f>SUMPRODUCT(A90:E90,'Zero Test'!$BL$63:$BP$63)</f>
        <v>1.7921312977053799E-6</v>
      </c>
    </row>
    <row r="91" spans="1:35" ht="18" customHeight="1" x14ac:dyDescent="0.2">
      <c r="A91" s="254">
        <v>1</v>
      </c>
      <c r="B91" s="255">
        <f t="shared" si="0"/>
        <v>2.8000000000000012</v>
      </c>
      <c r="C91" s="256">
        <f t="shared" si="1"/>
        <v>7.8400000000000061</v>
      </c>
      <c r="D91" s="335">
        <f t="shared" si="2"/>
        <v>21.952000000000027</v>
      </c>
      <c r="E91" s="257">
        <f t="shared" si="3"/>
        <v>61.465600000000094</v>
      </c>
      <c r="F91" s="189">
        <f>'Zero Test'!$P$27+'Zero Test'!$P$28*'Chart Data'!B91</f>
        <v>2.4666666666666686</v>
      </c>
      <c r="G91" s="154">
        <f t="shared" si="4"/>
        <v>2.3994112733185453</v>
      </c>
      <c r="H91" s="188">
        <f t="shared" si="10"/>
        <v>2.5339220600147918</v>
      </c>
      <c r="I91" s="156"/>
      <c r="J91" s="171">
        <f>'Zero Test'!$Z$30+'Chart Data'!B91*'Zero Test'!$Z$31+'Chart Data'!B91^2*'Zero Test'!$Z$32</f>
        <v>2.608000000000005</v>
      </c>
      <c r="K91" s="166">
        <f t="shared" si="11"/>
        <v>2.6011631411261846</v>
      </c>
      <c r="L91" s="170">
        <f t="shared" si="5"/>
        <v>2.6148368588738253</v>
      </c>
      <c r="M91" s="168"/>
      <c r="N91" s="323">
        <f>'Zero Test'!$AI$30+B91*'Zero Test'!$AI$31+B91^2*'Zero Test'!$AI$32+B91^3*'Zero Test'!$AI$33</f>
        <v>2.6080000000004082</v>
      </c>
      <c r="O91" s="325">
        <f t="shared" si="6"/>
        <v>2.6030988301762492</v>
      </c>
      <c r="P91" s="324">
        <f t="shared" si="7"/>
        <v>2.6129011698245672</v>
      </c>
      <c r="Q91" s="322"/>
      <c r="R91" s="146">
        <f>SUMPRODUCT(A91:E91,'Zero Test'!$BN$43:$BR$43)</f>
        <v>2.608000000000926</v>
      </c>
      <c r="S91" s="142">
        <f t="shared" si="8"/>
        <v>2.6013677568175613</v>
      </c>
      <c r="T91" s="187">
        <f t="shared" si="9"/>
        <v>2.6146322431842908</v>
      </c>
      <c r="U91" s="142"/>
      <c r="V91" s="153">
        <f>SUMPRODUCT($A91:$B91,'Zero Test'!$P$52:$Q$52)</f>
        <v>7.253174603173815E-4</v>
      </c>
      <c r="W91" s="156">
        <f>SUMPRODUCT($A91:$B91,'Zero Test'!$P$53:$Q$53)</f>
        <v>1.0042857142856122E-4</v>
      </c>
      <c r="X91" s="165">
        <f>SUMPRODUCT($A91:$C91,'Zero Test'!$Z$59:$AB$59)</f>
        <v>-3.4285714279950048E-6</v>
      </c>
      <c r="Y91" s="166">
        <f>SUMPRODUCT($A91:$C91,'Zero Test'!$Z$60:$AB$60)</f>
        <v>1.0552380950606848E-5</v>
      </c>
      <c r="Z91" s="166">
        <f>SUMPRODUCT($A91:$C91,'Zero Test'!$Z$61:$AB$61)</f>
        <v>-2.0190476187081697E-6</v>
      </c>
      <c r="AA91" s="342">
        <f>SUMPRODUCT($A91:$D91,'Zero Test'!$AI$59:$AL$59)</f>
        <v>-1.5915343912662663E-6</v>
      </c>
      <c r="AB91" s="324">
        <f>SUMPRODUCT($A91:$D91,'Zero Test'!$AI$60:$AL$60)</f>
        <v>2.1632451495476746E-6</v>
      </c>
      <c r="AC91" s="324">
        <f>SUMPRODUCT($A91:$D91,'Zero Test'!$AI$61:$AL$61)</f>
        <v>2.5735449731125126E-6</v>
      </c>
      <c r="AD91" s="343">
        <f>SUMPRODUCT($A91:$D91,'Zero Test'!$AI$62:$AL$62)</f>
        <v>-6.1234567890942703E-7</v>
      </c>
      <c r="AE91" s="142">
        <f>SUMPRODUCT(A91:E91,'Zero Test'!$BL$59:$BP$59)</f>
        <v>1.022515198333727E-6</v>
      </c>
      <c r="AF91" s="142">
        <f>SUMPRODUCT(A91:E91,'Zero Test'!$BL$60:$BP$60)</f>
        <v>-4.5152296716623728E-5</v>
      </c>
      <c r="AG91" s="142">
        <f>SUMPRODUCT(A91:E91,'Zero Test'!$BL$61:$BP$61)</f>
        <v>5.4191449588077904E-5</v>
      </c>
      <c r="AH91" s="142">
        <f>SUMPRODUCT(A91:E91,'Zero Test'!$BL$62:$BP$62)</f>
        <v>-1.7383474691743723E-5</v>
      </c>
      <c r="AI91" s="144">
        <f>SUMPRODUCT(A91:E91,'Zero Test'!$BL$63:$BP$63)</f>
        <v>1.6676922029564116E-6</v>
      </c>
    </row>
    <row r="92" spans="1:35" ht="18" customHeight="1" x14ac:dyDescent="0.2">
      <c r="A92" s="254">
        <v>1</v>
      </c>
      <c r="B92" s="255">
        <f t="shared" si="0"/>
        <v>2.9000000000000012</v>
      </c>
      <c r="C92" s="256">
        <f t="shared" si="1"/>
        <v>8.4100000000000072</v>
      </c>
      <c r="D92" s="335">
        <f t="shared" si="2"/>
        <v>24.389000000000031</v>
      </c>
      <c r="E92" s="257">
        <f t="shared" si="3"/>
        <v>70.728100000000126</v>
      </c>
      <c r="F92" s="189">
        <f>'Zero Test'!$P$27+'Zero Test'!$P$28*'Chart Data'!B92</f>
        <v>2.5416666666666687</v>
      </c>
      <c r="G92" s="154">
        <f t="shared" si="4"/>
        <v>2.4736328713974247</v>
      </c>
      <c r="H92" s="188">
        <f t="shared" si="10"/>
        <v>2.6097004619359128</v>
      </c>
      <c r="I92" s="156"/>
      <c r="J92" s="171">
        <f>'Zero Test'!$Z$30+'Chart Data'!B92*'Zero Test'!$Z$31+'Chart Data'!B92^2*'Zero Test'!$Z$32</f>
        <v>2.6795000000000053</v>
      </c>
      <c r="K92" s="166">
        <f t="shared" si="11"/>
        <v>2.6727206963152854</v>
      </c>
      <c r="L92" s="170">
        <f t="shared" si="5"/>
        <v>2.6862793036847252</v>
      </c>
      <c r="M92" s="168"/>
      <c r="N92" s="323">
        <f>'Zero Test'!$AI$30+B92*'Zero Test'!$AI$31+B92^2*'Zero Test'!$AI$32+B92^3*'Zero Test'!$AI$33</f>
        <v>2.6795000000004294</v>
      </c>
      <c r="O92" s="325">
        <f t="shared" si="6"/>
        <v>2.6744925951715248</v>
      </c>
      <c r="P92" s="324">
        <f t="shared" si="7"/>
        <v>2.684507404829334</v>
      </c>
      <c r="Q92" s="322"/>
      <c r="R92" s="146">
        <f>SUMPRODUCT(A92:E92,'Zero Test'!$BN$43:$BR$43)</f>
        <v>2.67950000000104</v>
      </c>
      <c r="S92" s="142">
        <f t="shared" si="8"/>
        <v>2.673012893578941</v>
      </c>
      <c r="T92" s="187">
        <f t="shared" si="9"/>
        <v>2.6859871064231391</v>
      </c>
      <c r="U92" s="142"/>
      <c r="V92" s="153">
        <f>SUMPRODUCT($A92:$B92,'Zero Test'!$P$52:$Q$52)</f>
        <v>6.4162698412691425E-4</v>
      </c>
      <c r="W92" s="156">
        <f>SUMPRODUCT($A92:$B92,'Zero Test'!$P$53:$Q$53)</f>
        <v>1.3390476190474807E-4</v>
      </c>
      <c r="X92" s="165">
        <f>SUMPRODUCT($A92:$C92,'Zero Test'!$Z$59:$AB$59)</f>
        <v>-3.6428571422446935E-6</v>
      </c>
      <c r="Y92" s="166">
        <f>SUMPRODUCT($A92:$C92,'Zero Test'!$Z$60:$AB$60)</f>
        <v>1.0454761903004207E-5</v>
      </c>
      <c r="Z92" s="166">
        <f>SUMPRODUCT($A92:$C92,'Zero Test'!$Z$61:$AB$61)</f>
        <v>-1.9690476187165745E-6</v>
      </c>
      <c r="AA92" s="342">
        <f>SUMPRODUCT($A92:$D92,'Zero Test'!$AI$59:$AL$59)</f>
        <v>-1.2280423278352124E-6</v>
      </c>
      <c r="AB92" s="324">
        <f>SUMPRODUCT($A92:$D92,'Zero Test'!$AI$60:$AL$60)</f>
        <v>-5.728924161301776E-7</v>
      </c>
      <c r="AC92" s="324">
        <f>SUMPRODUCT($A92:$D92,'Zero Test'!$AI$61:$AL$61)</f>
        <v>4.0679894173058711E-6</v>
      </c>
      <c r="AD92" s="343">
        <f>SUMPRODUCT($A92:$D92,'Zero Test'!$AI$62:$AL$62)</f>
        <v>-8.0493827146965704E-7</v>
      </c>
      <c r="AE92" s="142">
        <f>SUMPRODUCT(A92:E92,'Zero Test'!$BL$59:$BP$59)</f>
        <v>1.1486598790588827E-6</v>
      </c>
      <c r="AF92" s="142">
        <f>SUMPRODUCT(A92:E92,'Zero Test'!$BL$60:$BP$60)</f>
        <v>-4.3421558119581777E-5</v>
      </c>
      <c r="AG92" s="142">
        <f>SUMPRODUCT(A92:E92,'Zero Test'!$BL$61:$BP$61)</f>
        <v>5.0661401732851976E-5</v>
      </c>
      <c r="AH92" s="142">
        <f>SUMPRODUCT(A92:E92,'Zero Test'!$BL$62:$BP$62)</f>
        <v>-1.5894959827961761E-5</v>
      </c>
      <c r="AI92" s="144">
        <f>SUMPRODUCT(A92:E92,'Zero Test'!$BL$63:$BP$63)</f>
        <v>1.4966184957516003E-6</v>
      </c>
    </row>
    <row r="93" spans="1:35" ht="18" customHeight="1" x14ac:dyDescent="0.2">
      <c r="A93" s="254">
        <v>1</v>
      </c>
      <c r="B93" s="255">
        <f t="shared" si="0"/>
        <v>3.0000000000000013</v>
      </c>
      <c r="C93" s="256">
        <f t="shared" si="1"/>
        <v>9.0000000000000071</v>
      </c>
      <c r="D93" s="335">
        <f t="shared" si="2"/>
        <v>27.000000000000032</v>
      </c>
      <c r="E93" s="257">
        <f t="shared" si="3"/>
        <v>81.000000000000128</v>
      </c>
      <c r="F93" s="189">
        <f>'Zero Test'!$P$27+'Zero Test'!$P$28*'Chart Data'!B93</f>
        <v>2.6166666666666689</v>
      </c>
      <c r="G93" s="154">
        <f t="shared" si="4"/>
        <v>2.5476449667971952</v>
      </c>
      <c r="H93" s="188">
        <f t="shared" si="10"/>
        <v>2.6856883665361426</v>
      </c>
      <c r="I93" s="156"/>
      <c r="J93" s="171">
        <f>'Zero Test'!$Z$30+'Chart Data'!B93*'Zero Test'!$Z$31+'Chart Data'!B93^2*'Zero Test'!$Z$32</f>
        <v>2.7500000000000053</v>
      </c>
      <c r="K93" s="166">
        <f t="shared" si="11"/>
        <v>2.74329193786334</v>
      </c>
      <c r="L93" s="170">
        <f t="shared" si="5"/>
        <v>2.7567080621366706</v>
      </c>
      <c r="M93" s="168"/>
      <c r="N93" s="323">
        <f>'Zero Test'!$AI$30+B93*'Zero Test'!$AI$31+B93^2*'Zero Test'!$AI$32+B93^3*'Zero Test'!$AI$33</f>
        <v>2.7500000000004521</v>
      </c>
      <c r="O93" s="325">
        <f t="shared" si="6"/>
        <v>2.7448689630397873</v>
      </c>
      <c r="P93" s="324">
        <f t="shared" si="7"/>
        <v>2.7551310369611168</v>
      </c>
      <c r="Q93" s="322"/>
      <c r="R93" s="146">
        <f>SUMPRODUCT(A93:E93,'Zero Test'!$BN$43:$BR$43)</f>
        <v>2.7500000000011591</v>
      </c>
      <c r="S93" s="142">
        <f t="shared" si="8"/>
        <v>2.7436679583441794</v>
      </c>
      <c r="T93" s="187">
        <f t="shared" si="9"/>
        <v>2.7563320416581387</v>
      </c>
      <c r="U93" s="142"/>
      <c r="V93" s="153">
        <f>SUMPRODUCT($A93:$B93,'Zero Test'!$P$52:$Q$52)</f>
        <v>5.57936507936447E-4</v>
      </c>
      <c r="W93" s="156">
        <f>SUMPRODUCT($A93:$B93,'Zero Test'!$P$53:$Q$53)</f>
        <v>1.6738095238093503E-4</v>
      </c>
      <c r="X93" s="165">
        <f>SUMPRODUCT($A93:$C93,'Zero Test'!$Z$59:$AB$59)</f>
        <v>-3.8095238088833432E-6</v>
      </c>
      <c r="Y93" s="166">
        <f>SUMPRODUCT($A93:$C93,'Zero Test'!$Z$60:$AB$60)</f>
        <v>1.0285714283985014E-5</v>
      </c>
      <c r="Z93" s="166">
        <f>SUMPRODUCT($A93:$C93,'Zero Test'!$Z$61:$AB$61)</f>
        <v>-1.9047619044416691E-6</v>
      </c>
      <c r="AA93" s="342">
        <f>SUMPRODUCT($A93:$D93,'Zero Test'!$AI$59:$AL$59)</f>
        <v>-8.465608464177678E-7</v>
      </c>
      <c r="AB93" s="324">
        <f>SUMPRODUCT($A93:$D93,'Zero Test'!$AI$60:$AL$60)</f>
        <v>-3.2451499112720356E-6</v>
      </c>
      <c r="AC93" s="324">
        <f>SUMPRODUCT($A93:$D93,'Zero Test'!$AI$61:$AL$61)</f>
        <v>5.5026455017209117E-6</v>
      </c>
      <c r="AD93" s="343">
        <f>SUMPRODUCT($A93:$D93,'Zero Test'!$AI$62:$AL$62)</f>
        <v>-9.8765432082167213E-7</v>
      </c>
      <c r="AE93" s="142">
        <f>SUMPRODUCT(A93:E93,'Zero Test'!$BL$59:$BP$59)</f>
        <v>1.2210011443597473E-6</v>
      </c>
      <c r="AF93" s="142">
        <f>SUMPRODUCT(A93:E93,'Zero Test'!$BL$60:$BP$60)</f>
        <v>-4.0374437838830868E-5</v>
      </c>
      <c r="AG93" s="142">
        <f>SUMPRODUCT(A93:E93,'Zero Test'!$BL$61:$BP$61)</f>
        <v>4.5726492854744377E-5</v>
      </c>
      <c r="AH93" s="142">
        <f>SUMPRODUCT(A93:E93,'Zero Test'!$BL$62:$BP$62)</f>
        <v>-1.3960113083378797E-5</v>
      </c>
      <c r="AI93" s="144">
        <f>SUMPRODUCT(A93:E93,'Zero Test'!$BL$63:$BP$63)</f>
        <v>1.2820512015347339E-6</v>
      </c>
    </row>
    <row r="94" spans="1:35" ht="18" customHeight="1" x14ac:dyDescent="0.2">
      <c r="A94" s="254">
        <v>1</v>
      </c>
      <c r="B94" s="255">
        <f t="shared" si="0"/>
        <v>3.1000000000000014</v>
      </c>
      <c r="C94" s="256">
        <f t="shared" si="1"/>
        <v>9.6100000000000083</v>
      </c>
      <c r="D94" s="335">
        <f t="shared" si="2"/>
        <v>29.791000000000039</v>
      </c>
      <c r="E94" s="257">
        <f t="shared" si="3"/>
        <v>92.352100000000164</v>
      </c>
      <c r="F94" s="189">
        <f>'Zero Test'!$P$27+'Zero Test'!$P$28*'Chart Data'!B94</f>
        <v>2.6916666666666691</v>
      </c>
      <c r="G94" s="154">
        <f t="shared" si="4"/>
        <v>2.6214564024824805</v>
      </c>
      <c r="H94" s="188">
        <f t="shared" si="10"/>
        <v>2.7618769308508577</v>
      </c>
      <c r="I94" s="156"/>
      <c r="J94" s="171">
        <f>'Zero Test'!$Z$30+'Chart Data'!B94*'Zero Test'!$Z$31+'Chart Data'!B94^2*'Zero Test'!$Z$32</f>
        <v>2.8195000000000054</v>
      </c>
      <c r="K94" s="166">
        <f t="shared" si="11"/>
        <v>2.812874662016557</v>
      </c>
      <c r="L94" s="170">
        <f t="shared" si="5"/>
        <v>2.8261253379834539</v>
      </c>
      <c r="M94" s="168"/>
      <c r="N94" s="323">
        <f>'Zero Test'!$AI$30+B94*'Zero Test'!$AI$31+B94^2*'Zero Test'!$AI$32+B94^3*'Zero Test'!$AI$33</f>
        <v>2.8195000000004753</v>
      </c>
      <c r="O94" s="325">
        <f t="shared" si="6"/>
        <v>2.8142357759770031</v>
      </c>
      <c r="P94" s="324">
        <f t="shared" si="7"/>
        <v>2.8247642240239474</v>
      </c>
      <c r="Q94" s="322"/>
      <c r="R94" s="146">
        <f>SUMPRODUCT(A94:E94,'Zero Test'!$BN$43:$BR$43)</f>
        <v>2.8195000000012822</v>
      </c>
      <c r="S94" s="142">
        <f t="shared" si="8"/>
        <v>2.8133102019263285</v>
      </c>
      <c r="T94" s="187">
        <f t="shared" si="9"/>
        <v>2.8256897980762359</v>
      </c>
      <c r="U94" s="142"/>
      <c r="V94" s="153">
        <f>SUMPRODUCT($A94:$B94,'Zero Test'!$P$52:$Q$52)</f>
        <v>4.7424603174597976E-4</v>
      </c>
      <c r="W94" s="156">
        <f>SUMPRODUCT($A94:$B94,'Zero Test'!$P$53:$Q$53)</f>
        <v>2.0085714285712189E-4</v>
      </c>
      <c r="X94" s="165">
        <f>SUMPRODUCT($A94:$C94,'Zero Test'!$Z$59:$AB$59)</f>
        <v>-3.9285714279109439E-6</v>
      </c>
      <c r="Y94" s="166">
        <f>SUMPRODUCT($A94:$C94,'Zero Test'!$Z$60:$AB$60)</f>
        <v>1.0045238093549247E-5</v>
      </c>
      <c r="Z94" s="166">
        <f>SUMPRODUCT($A94:$C94,'Zero Test'!$Z$61:$AB$61)</f>
        <v>-1.8261904758834501E-6</v>
      </c>
      <c r="AA94" s="342">
        <f>SUMPRODUCT($A94:$D94,'Zero Test'!$AI$59:$AL$59)</f>
        <v>-4.5449735442007157E-7</v>
      </c>
      <c r="AB94" s="324">
        <f>SUMPRODUCT($A94:$D94,'Zero Test'!$AI$60:$AL$60)</f>
        <v>-5.8197001753897604E-6</v>
      </c>
      <c r="AC94" s="324">
        <f>SUMPRODUCT($A94:$D94,'Zero Test'!$AI$61:$AL$61)</f>
        <v>6.8589947078421848E-6</v>
      </c>
      <c r="AD94" s="343">
        <f>SUMPRODUCT($A94:$D94,'Zero Test'!$AI$62:$AL$62)</f>
        <v>-1.1580246911634152E-6</v>
      </c>
      <c r="AE94" s="142">
        <f>SUMPRODUCT(A94:E94,'Zero Test'!$BL$59:$BP$59)</f>
        <v>1.2379150627143853E-6</v>
      </c>
      <c r="AF94" s="142">
        <f>SUMPRODUCT(A94:E94,'Zero Test'!$BL$60:$BP$60)</f>
        <v>-3.6087289145928956E-5</v>
      </c>
      <c r="AG94" s="142">
        <f>SUMPRODUCT(A94:E94,'Zero Test'!$BL$61:$BP$61)</f>
        <v>3.948939388747838E-5</v>
      </c>
      <c r="AH94" s="142">
        <f>SUMPRODUCT(A94:E94,'Zero Test'!$BL$62:$BP$62)</f>
        <v>-1.1616470068173126E-5</v>
      </c>
      <c r="AI94" s="144">
        <f>SUMPRODUCT(A94:E94,'Zero Test'!$BL$63:$BP$63)</f>
        <v>1.028028781590627E-6</v>
      </c>
    </row>
    <row r="95" spans="1:35" ht="18" customHeight="1" x14ac:dyDescent="0.2">
      <c r="A95" s="254">
        <v>1</v>
      </c>
      <c r="B95" s="255">
        <f t="shared" si="0"/>
        <v>3.2000000000000015</v>
      </c>
      <c r="C95" s="256">
        <f t="shared" si="1"/>
        <v>10.240000000000009</v>
      </c>
      <c r="D95" s="335">
        <f t="shared" si="2"/>
        <v>32.768000000000043</v>
      </c>
      <c r="E95" s="257">
        <f t="shared" si="3"/>
        <v>104.85760000000019</v>
      </c>
      <c r="F95" s="189">
        <f>'Zero Test'!$P$27+'Zero Test'!$P$28*'Chart Data'!B95</f>
        <v>2.7666666666666688</v>
      </c>
      <c r="G95" s="154">
        <f t="shared" si="4"/>
        <v>2.6950771721122093</v>
      </c>
      <c r="H95" s="188">
        <f t="shared" si="10"/>
        <v>2.8382561612211283</v>
      </c>
      <c r="I95" s="156"/>
      <c r="J95" s="171">
        <f>'Zero Test'!$Z$30+'Chart Data'!B95*'Zero Test'!$Z$31+'Chart Data'!B95^2*'Zero Test'!$Z$32</f>
        <v>2.8880000000000057</v>
      </c>
      <c r="K95" s="166">
        <f t="shared" si="11"/>
        <v>2.8814660264406857</v>
      </c>
      <c r="L95" s="170">
        <f t="shared" si="5"/>
        <v>2.8945339735593256</v>
      </c>
      <c r="M95" s="168"/>
      <c r="N95" s="323">
        <f>'Zero Test'!$AI$30+B95*'Zero Test'!$AI$31+B95^2*'Zero Test'!$AI$32+B95^3*'Zero Test'!$AI$33</f>
        <v>2.8880000000004991</v>
      </c>
      <c r="O95" s="325">
        <f t="shared" si="6"/>
        <v>2.8826010876283967</v>
      </c>
      <c r="P95" s="324">
        <f t="shared" si="7"/>
        <v>2.8933989123726014</v>
      </c>
      <c r="Q95" s="322"/>
      <c r="R95" s="146">
        <f>SUMPRODUCT(A95:E95,'Zero Test'!$BN$43:$BR$43)</f>
        <v>2.888000000001409</v>
      </c>
      <c r="S95" s="142">
        <f t="shared" si="8"/>
        <v>2.8819142555044612</v>
      </c>
      <c r="T95" s="187">
        <f t="shared" si="9"/>
        <v>2.8940857444983568</v>
      </c>
      <c r="U95" s="142"/>
      <c r="V95" s="153">
        <f>SUMPRODUCT($A95:$B95,'Zero Test'!$P$52:$Q$52)</f>
        <v>3.9055555555551251E-4</v>
      </c>
      <c r="W95" s="156">
        <f>SUMPRODUCT($A95:$B95,'Zero Test'!$P$53:$Q$53)</f>
        <v>2.3433333333330896E-4</v>
      </c>
      <c r="X95" s="165">
        <f>SUMPRODUCT($A95:$C95,'Zero Test'!$Z$59:$AB$59)</f>
        <v>-3.999999999327509E-6</v>
      </c>
      <c r="Y95" s="166">
        <f>SUMPRODUCT($A95:$C95,'Zero Test'!$Z$60:$AB$60)</f>
        <v>9.7333333316969238E-6</v>
      </c>
      <c r="Z95" s="166">
        <f>SUMPRODUCT($A95:$C95,'Zero Test'!$Z$61:$AB$61)</f>
        <v>-1.7333333330419176E-6</v>
      </c>
      <c r="AA95" s="342">
        <f>SUMPRODUCT($A95:$D95,'Zero Test'!$AI$59:$AL$59)</f>
        <v>-5.9259259248327324E-8</v>
      </c>
      <c r="AB95" s="324">
        <f>SUMPRODUCT($A95:$D95,'Zero Test'!$AI$60:$AL$60)</f>
        <v>-8.2627160479950773E-6</v>
      </c>
      <c r="AC95" s="324">
        <f>SUMPRODUCT($A95:$D95,'Zero Test'!$AI$61:$AL$61)</f>
        <v>8.1185185171543358E-6</v>
      </c>
      <c r="AD95" s="343">
        <f>SUMPRODUCT($A95:$D95,'Zero Test'!$AI$62:$AL$62)</f>
        <v>-1.3135802466928307E-6</v>
      </c>
      <c r="AE95" s="142">
        <f>SUMPRODUCT(A95:E95,'Zero Test'!$BL$59:$BP$59)</f>
        <v>1.1993161640426052E-6</v>
      </c>
      <c r="AF95" s="142">
        <f>SUMPRODUCT(A95:E95,'Zero Test'!$BL$60:$BP$60)</f>
        <v>-3.0662106336463817E-5</v>
      </c>
      <c r="AG95" s="142">
        <f>SUMPRODUCT(A95:E95,'Zero Test'!$BL$61:$BP$61)</f>
        <v>3.2080339865607965E-5</v>
      </c>
      <c r="AH95" s="142">
        <f>SUMPRODUCT(A95:E95,'Zero Test'!$BL$62:$BP$62)</f>
        <v>-8.9105407509336085E-6</v>
      </c>
      <c r="AI95" s="144">
        <f>SUMPRODUCT(A95:E95,'Zero Test'!$BL$63:$BP$63)</f>
        <v>7.3948713304517914E-7</v>
      </c>
    </row>
    <row r="96" spans="1:35" ht="18" customHeight="1" x14ac:dyDescent="0.2">
      <c r="A96" s="254">
        <v>1</v>
      </c>
      <c r="B96" s="255">
        <f t="shared" ref="B96:B112" si="12">B95+0.02*($A$7-$B$63)</f>
        <v>3.3000000000000016</v>
      </c>
      <c r="C96" s="256">
        <f t="shared" si="1"/>
        <v>10.890000000000011</v>
      </c>
      <c r="D96" s="335">
        <f t="shared" si="2"/>
        <v>35.937000000000054</v>
      </c>
      <c r="E96" s="257">
        <f t="shared" si="3"/>
        <v>118.59210000000024</v>
      </c>
      <c r="F96" s="189">
        <f>'Zero Test'!$P$27+'Zero Test'!$P$28*'Chart Data'!B96</f>
        <v>2.841666666666669</v>
      </c>
      <c r="G96" s="154">
        <f t="shared" si="4"/>
        <v>2.7685180600215653</v>
      </c>
      <c r="H96" s="188">
        <f t="shared" si="10"/>
        <v>2.9148152733117727</v>
      </c>
      <c r="I96" s="156"/>
      <c r="J96" s="171">
        <f>'Zero Test'!$Z$30+'Chart Data'!B96*'Zero Test'!$Z$31+'Chart Data'!B96^2*'Zero Test'!$Z$32</f>
        <v>2.955500000000006</v>
      </c>
      <c r="K96" s="166">
        <f t="shared" si="11"/>
        <v>2.9490624661767089</v>
      </c>
      <c r="L96" s="170">
        <f t="shared" si="5"/>
        <v>2.9619375338233032</v>
      </c>
      <c r="M96" s="168"/>
      <c r="N96" s="323">
        <f>'Zero Test'!$AI$30+B96*'Zero Test'!$AI$31+B96^2*'Zero Test'!$AI$32+B96^3*'Zero Test'!$AI$33</f>
        <v>2.9555000000005234</v>
      </c>
      <c r="O96" s="325">
        <f t="shared" si="6"/>
        <v>2.9499727424090252</v>
      </c>
      <c r="P96" s="324">
        <f t="shared" si="7"/>
        <v>2.9610272575920216</v>
      </c>
      <c r="Q96" s="322"/>
      <c r="R96" s="146">
        <f>SUMPRODUCT(A96:E96,'Zero Test'!$BN$43:$BR$43)</f>
        <v>2.9555000000015386</v>
      </c>
      <c r="S96" s="142">
        <f t="shared" si="8"/>
        <v>2.9494554241702184</v>
      </c>
      <c r="T96" s="187">
        <f t="shared" si="9"/>
        <v>2.9615445758328587</v>
      </c>
      <c r="U96" s="142"/>
      <c r="V96" s="153">
        <f>SUMPRODUCT($A96:$B96,'Zero Test'!$P$52:$Q$52)</f>
        <v>3.0686507936504527E-4</v>
      </c>
      <c r="W96" s="156">
        <f>SUMPRODUCT($A96:$B96,'Zero Test'!$P$53:$Q$53)</f>
        <v>2.6780952380949582E-4</v>
      </c>
      <c r="X96" s="165">
        <f>SUMPRODUCT($A96:$C96,'Zero Test'!$Z$59:$AB$59)</f>
        <v>-4.0238095231330251E-6</v>
      </c>
      <c r="Y96" s="166">
        <f>SUMPRODUCT($A96:$C96,'Zero Test'!$Z$60:$AB$60)</f>
        <v>9.3499999984280257E-6</v>
      </c>
      <c r="Z96" s="166">
        <f>SUMPRODUCT($A96:$C96,'Zero Test'!$Z$61:$AB$61)</f>
        <v>-1.6261904759170733E-6</v>
      </c>
      <c r="AA96" s="342">
        <f>SUMPRODUCT($A96:$D96,'Zero Test'!$AI$59:$AL$59)</f>
        <v>3.3174603169131223E-7</v>
      </c>
      <c r="AB96" s="324">
        <f>SUMPRODUCT($A96:$D96,'Zero Test'!$AI$60:$AL$60)</f>
        <v>-1.0540370368600091E-5</v>
      </c>
      <c r="AC96" s="324">
        <f>SUMPRODUCT($A96:$D96,'Zero Test'!$AI$61:$AL$61)</f>
        <v>9.2626984111419963E-6</v>
      </c>
      <c r="AD96" s="343">
        <f>SUMPRODUCT($A96:$D96,'Zero Test'!$AI$62:$AL$62)</f>
        <v>-1.4518518516078753E-6</v>
      </c>
      <c r="AE96" s="142">
        <f>SUMPRODUCT(A96:E96,'Zero Test'!$BL$59:$BP$59)</f>
        <v>1.1066574397061767E-6</v>
      </c>
      <c r="AF96" s="142">
        <f>SUMPRODUCT(A96:E96,'Zero Test'!$BL$60:$BP$60)</f>
        <v>-2.4226524730056303E-5</v>
      </c>
      <c r="AG96" s="142">
        <f>SUMPRODUCT(A96:E96,'Zero Test'!$BL$61:$BP$61)</f>
        <v>2.3657129924524109E-5</v>
      </c>
      <c r="AH96" s="142">
        <f>SUMPRODUCT(A96:E96,'Zero Test'!$BL$62:$BP$62)</f>
        <v>-5.8978094586603527E-6</v>
      </c>
      <c r="AI96" s="144">
        <f>SUMPRODUCT(A96:E96,'Zero Test'!$BL$63:$BP$63)</f>
        <v>4.2225958886540817E-7</v>
      </c>
    </row>
    <row r="97" spans="1:35" ht="18" customHeight="1" x14ac:dyDescent="0.2">
      <c r="A97" s="254">
        <v>1</v>
      </c>
      <c r="B97" s="255">
        <f t="shared" si="12"/>
        <v>3.4000000000000017</v>
      </c>
      <c r="C97" s="256">
        <f t="shared" si="1"/>
        <v>11.560000000000011</v>
      </c>
      <c r="D97" s="335">
        <f t="shared" si="2"/>
        <v>39.304000000000059</v>
      </c>
      <c r="E97" s="257">
        <f t="shared" si="3"/>
        <v>133.63360000000026</v>
      </c>
      <c r="F97" s="189">
        <f>'Zero Test'!$P$27+'Zero Test'!$P$28*'Chart Data'!B97</f>
        <v>2.9166666666666692</v>
      </c>
      <c r="G97" s="154">
        <f t="shared" si="4"/>
        <v>2.8417903021216087</v>
      </c>
      <c r="H97" s="188">
        <f t="shared" si="10"/>
        <v>2.9915430312117297</v>
      </c>
      <c r="I97" s="156"/>
      <c r="J97" s="171">
        <f>'Zero Test'!$Z$30+'Chart Data'!B97*'Zero Test'!$Z$31+'Chart Data'!B97^2*'Zero Test'!$Z$32</f>
        <v>3.022000000000006</v>
      </c>
      <c r="K97" s="166">
        <f t="shared" si="11"/>
        <v>3.0156596050482976</v>
      </c>
      <c r="L97" s="170">
        <f t="shared" si="5"/>
        <v>3.0283403949517145</v>
      </c>
      <c r="M97" s="168"/>
      <c r="N97" s="323">
        <f>'Zero Test'!$AI$30+B97*'Zero Test'!$AI$31+B97^2*'Zero Test'!$AI$32+B97^3*'Zero Test'!$AI$33</f>
        <v>3.0220000000005482</v>
      </c>
      <c r="O97" s="325">
        <f t="shared" si="6"/>
        <v>3.0163580666038503</v>
      </c>
      <c r="P97" s="324">
        <f t="shared" si="7"/>
        <v>3.0276419333972462</v>
      </c>
      <c r="Q97" s="322"/>
      <c r="R97" s="146">
        <f>SUMPRODUCT(A97:E97,'Zero Test'!$BN$43:$BR$43)</f>
        <v>3.0220000000016705</v>
      </c>
      <c r="S97" s="142">
        <f t="shared" si="8"/>
        <v>3.0159143398356338</v>
      </c>
      <c r="T97" s="187">
        <f t="shared" si="9"/>
        <v>3.0280856601677071</v>
      </c>
      <c r="U97" s="142"/>
      <c r="V97" s="153">
        <f>SUMPRODUCT($A97:$B97,'Zero Test'!$P$52:$Q$52)</f>
        <v>2.2317460317457802E-4</v>
      </c>
      <c r="W97" s="156">
        <f>SUMPRODUCT($A97:$B97,'Zero Test'!$P$53:$Q$53)</f>
        <v>3.0128571428568267E-4</v>
      </c>
      <c r="X97" s="165">
        <f>SUMPRODUCT($A97:$C97,'Zero Test'!$Z$59:$AB$59)</f>
        <v>-3.9999999993275056E-6</v>
      </c>
      <c r="Y97" s="166">
        <f>SUMPRODUCT($A97:$C97,'Zero Test'!$Z$60:$AB$60)</f>
        <v>8.8952380937425861E-6</v>
      </c>
      <c r="Z97" s="166">
        <f>SUMPRODUCT($A97:$C97,'Zero Test'!$Z$61:$AB$61)</f>
        <v>-1.504761904508918E-6</v>
      </c>
      <c r="AA97" s="342">
        <f>SUMPRODUCT($A97:$D97,'Zero Test'!$AI$59:$AL$59)</f>
        <v>7.1111111099270114E-7</v>
      </c>
      <c r="AB97" s="324">
        <f>SUMPRODUCT($A97:$D97,'Zero Test'!$AI$60:$AL$60)</f>
        <v>-1.2618835976716366E-5</v>
      </c>
      <c r="AC97" s="324">
        <f>SUMPRODUCT($A97:$D97,'Zero Test'!$AI$61:$AL$61)</f>
        <v>1.0273015871289703E-5</v>
      </c>
      <c r="AD97" s="343">
        <f>SUMPRODUCT($A97:$D97,'Zero Test'!$AI$62:$AL$62)</f>
        <v>-1.5703703701064815E-6</v>
      </c>
      <c r="AE97" s="142">
        <f>SUMPRODUCT(A97:E97,'Zero Test'!$BL$59:$BP$59)</f>
        <v>9.6293034250874226E-7</v>
      </c>
      <c r="AF97" s="142">
        <f>SUMPRODUCT(A97:E97,'Zero Test'!$BL$60:$BP$60)</f>
        <v>-1.6933820670354599E-5</v>
      </c>
      <c r="AG97" s="142">
        <f>SUMPRODUCT(A97:E97,'Zero Test'!$BL$61:$BP$61)</f>
        <v>1.4405127300447414E-5</v>
      </c>
      <c r="AH97" s="142">
        <f>SUMPRODUCT(A97:E97,'Zero Test'!$BL$62:$BP$62)</f>
        <v>-2.6427348767632487E-6</v>
      </c>
      <c r="AI97" s="144">
        <f>SUMPRODUCT(A97:E97,'Zero Test'!$BL$63:$BP$63)</f>
        <v>8.3076917859342149E-8</v>
      </c>
    </row>
    <row r="98" spans="1:35" ht="18" customHeight="1" x14ac:dyDescent="0.2">
      <c r="A98" s="254">
        <v>1</v>
      </c>
      <c r="B98" s="255">
        <f t="shared" si="12"/>
        <v>3.5000000000000018</v>
      </c>
      <c r="C98" s="256">
        <f t="shared" si="1"/>
        <v>12.250000000000012</v>
      </c>
      <c r="D98" s="335">
        <f t="shared" si="2"/>
        <v>42.875000000000064</v>
      </c>
      <c r="E98" s="257">
        <f t="shared" si="3"/>
        <v>150.06250000000031</v>
      </c>
      <c r="F98" s="189">
        <f>'Zero Test'!$P$27+'Zero Test'!$P$28*'Chart Data'!B98</f>
        <v>2.9916666666666694</v>
      </c>
      <c r="G98" s="154">
        <f t="shared" si="4"/>
        <v>2.9149052852912858</v>
      </c>
      <c r="H98" s="188">
        <f t="shared" si="10"/>
        <v>3.0684280480420529</v>
      </c>
      <c r="I98" s="156"/>
      <c r="J98" s="171">
        <f>'Zero Test'!$Z$30+'Chart Data'!B98*'Zero Test'!$Z$31+'Chart Data'!B98^2*'Zero Test'!$Z$32</f>
        <v>3.0875000000000061</v>
      </c>
      <c r="K98" s="166">
        <f t="shared" si="11"/>
        <v>3.0812521756706133</v>
      </c>
      <c r="L98" s="170">
        <f t="shared" si="5"/>
        <v>3.093747824329399</v>
      </c>
      <c r="M98" s="168"/>
      <c r="N98" s="323">
        <f>'Zero Test'!$AI$30+B98*'Zero Test'!$AI$31+B98^2*'Zero Test'!$AI$32+B98^3*'Zero Test'!$AI$33</f>
        <v>3.0875000000005746</v>
      </c>
      <c r="O98" s="325">
        <f t="shared" si="6"/>
        <v>3.0817636353773699</v>
      </c>
      <c r="P98" s="324">
        <f t="shared" si="7"/>
        <v>3.0932363646237793</v>
      </c>
      <c r="Q98" s="322"/>
      <c r="R98" s="146">
        <f>SUMPRODUCT(A98:E98,'Zero Test'!$BN$43:$BR$43)</f>
        <v>3.0875000000018029</v>
      </c>
      <c r="S98" s="142">
        <f t="shared" si="8"/>
        <v>3.0812817456071531</v>
      </c>
      <c r="T98" s="187">
        <f t="shared" si="9"/>
        <v>3.0937182543964528</v>
      </c>
      <c r="U98" s="142"/>
      <c r="V98" s="153">
        <f>SUMPRODUCT($A98:$B98,'Zero Test'!$P$52:$Q$52)</f>
        <v>1.3948412698411034E-4</v>
      </c>
      <c r="W98" s="156">
        <f>SUMPRODUCT($A98:$B98,'Zero Test'!$P$53:$Q$53)</f>
        <v>3.3476190476186974E-4</v>
      </c>
      <c r="X98" s="165">
        <f>SUMPRODUCT($A98:$C98,'Zero Test'!$Z$59:$AB$59)</f>
        <v>-3.9285714279109439E-6</v>
      </c>
      <c r="Y98" s="166">
        <f>SUMPRODUCT($A98:$C98,'Zero Test'!$Z$60:$AB$60)</f>
        <v>8.3690476176405781E-6</v>
      </c>
      <c r="Z98" s="166">
        <f>SUMPRODUCT($A98:$C98,'Zero Test'!$Z$61:$AB$61)</f>
        <v>-1.3690476188174466E-6</v>
      </c>
      <c r="AA98" s="342">
        <f>SUMPRODUCT($A98:$D98,'Zero Test'!$AI$59:$AL$59)</f>
        <v>1.0714285712496664E-6</v>
      </c>
      <c r="AB98" s="324">
        <f>SUMPRODUCT($A98:$D98,'Zero Test'!$AI$60:$AL$60)</f>
        <v>-1.4464285711856032E-5</v>
      </c>
      <c r="AC98" s="324">
        <f>SUMPRODUCT($A98:$D98,'Zero Test'!$AI$61:$AL$61)</f>
        <v>1.1130952379082102E-5</v>
      </c>
      <c r="AD98" s="343">
        <f>SUMPRODUCT($A98:$D98,'Zero Test'!$AI$62:$AL$62)</f>
        <v>-1.666666666386599E-6</v>
      </c>
      <c r="AE98" s="142">
        <f>SUMPRODUCT(A98:E98,'Zero Test'!$BL$59:$BP$59)</f>
        <v>7.7266478669575644E-7</v>
      </c>
      <c r="AF98" s="142">
        <f>SUMPRODUCT(A98:E98,'Zero Test'!$BL$60:$BP$60)</f>
        <v>-8.9629115250415906E-6</v>
      </c>
      <c r="AG98" s="142">
        <f>SUMPRODUCT(A98:E98,'Zero Test'!$BL$61:$BP$61)</f>
        <v>4.5372593304351515E-6</v>
      </c>
      <c r="AH98" s="142">
        <f>SUMPRODUCT(A98:E98,'Zero Test'!$BL$62:$BP$62)</f>
        <v>7.812499509357541E-7</v>
      </c>
      <c r="AI98" s="144">
        <f>SUMPRODUCT(A98:E98,'Zero Test'!$BL$63:$BP$63)</f>
        <v>-2.7043267532383513E-7</v>
      </c>
    </row>
    <row r="99" spans="1:35" ht="18" customHeight="1" x14ac:dyDescent="0.2">
      <c r="A99" s="254">
        <v>1</v>
      </c>
      <c r="B99" s="255">
        <f t="shared" si="12"/>
        <v>3.6000000000000019</v>
      </c>
      <c r="C99" s="256">
        <f t="shared" si="1"/>
        <v>12.960000000000013</v>
      </c>
      <c r="D99" s="335">
        <f t="shared" si="2"/>
        <v>46.65600000000007</v>
      </c>
      <c r="E99" s="257">
        <f t="shared" si="3"/>
        <v>167.96160000000035</v>
      </c>
      <c r="F99" s="189">
        <f>'Zero Test'!$P$27+'Zero Test'!$P$28*'Chart Data'!B99</f>
        <v>3.0666666666666695</v>
      </c>
      <c r="G99" s="154">
        <f t="shared" si="4"/>
        <v>2.9878742954392656</v>
      </c>
      <c r="H99" s="188">
        <f t="shared" si="10"/>
        <v>3.1454590378940734</v>
      </c>
      <c r="I99" s="156"/>
      <c r="J99" s="171">
        <f>'Zero Test'!$Z$30+'Chart Data'!B99*'Zero Test'!$Z$31+'Chart Data'!B99^2*'Zero Test'!$Z$32</f>
        <v>3.1520000000000064</v>
      </c>
      <c r="K99" s="166">
        <f t="shared" si="11"/>
        <v>3.1458339695828994</v>
      </c>
      <c r="L99" s="170">
        <f t="shared" si="5"/>
        <v>3.1581660304171133</v>
      </c>
      <c r="M99" s="168"/>
      <c r="N99" s="323">
        <f>'Zero Test'!$AI$30+B99*'Zero Test'!$AI$31+B99^2*'Zero Test'!$AI$32+B99^3*'Zero Test'!$AI$33</f>
        <v>3.1520000000006019</v>
      </c>
      <c r="O99" s="325">
        <f t="shared" si="6"/>
        <v>3.1461950695102461</v>
      </c>
      <c r="P99" s="324">
        <f t="shared" si="7"/>
        <v>3.1578049304909577</v>
      </c>
      <c r="Q99" s="322"/>
      <c r="R99" s="146">
        <f>SUMPRODUCT(A99:E99,'Zero Test'!$BN$43:$BR$43)</f>
        <v>3.1520000000019373</v>
      </c>
      <c r="S99" s="142">
        <f t="shared" si="8"/>
        <v>3.1455614381401475</v>
      </c>
      <c r="T99" s="187">
        <f t="shared" si="9"/>
        <v>3.158438561863727</v>
      </c>
      <c r="U99" s="142"/>
      <c r="V99" s="153">
        <f>SUMPRODUCT($A99:$B99,'Zero Test'!$P$52:$Q$52)</f>
        <v>5.5793650793643096E-5</v>
      </c>
      <c r="W99" s="156">
        <f>SUMPRODUCT($A99:$B99,'Zero Test'!$P$53:$Q$53)</f>
        <v>3.682380952380566E-4</v>
      </c>
      <c r="X99" s="165">
        <f>SUMPRODUCT($A99:$C99,'Zero Test'!$Z$59:$AB$59)</f>
        <v>-3.8095238088833364E-6</v>
      </c>
      <c r="Y99" s="166">
        <f>SUMPRODUCT($A99:$C99,'Zero Test'!$Z$60:$AB$60)</f>
        <v>7.7714285701219947E-6</v>
      </c>
      <c r="Z99" s="166">
        <f>SUMPRODUCT($A99:$C99,'Zero Test'!$Z$61:$AB$61)</f>
        <v>-1.2190476188426659E-6</v>
      </c>
      <c r="AA99" s="342">
        <f>SUMPRODUCT($A99:$D99,'Zero Test'!$AI$59:$AL$59)</f>
        <v>1.4052910050560619E-6</v>
      </c>
      <c r="AB99" s="324">
        <f>SUMPRODUCT($A99:$D99,'Zero Test'!$AI$60:$AL$60)</f>
        <v>-1.6042892413530843E-5</v>
      </c>
      <c r="AC99" s="324">
        <f>SUMPRODUCT($A99:$D99,'Zero Test'!$AI$61:$AL$61)</f>
        <v>1.1817989416003648E-5</v>
      </c>
      <c r="AD99" s="343">
        <f>SUMPRODUCT($A99:$D99,'Zero Test'!$AI$62:$AL$62)</f>
        <v>-1.7382716046461725E-6</v>
      </c>
      <c r="AE99" s="142">
        <f>SUMPRODUCT(A99:E99,'Zero Test'!$BL$59:$BP$59)</f>
        <v>5.4192914795443822E-7</v>
      </c>
      <c r="AF99" s="142">
        <f>SUMPRODUCT(A99:E99,'Zero Test'!$BL$60:$BP$60)</f>
        <v>-5.1835568582836271E-7</v>
      </c>
      <c r="AG99" s="142">
        <f>SUMPRODUCT(A99:E99,'Zero Test'!$BL$61:$BP$61)</f>
        <v>-5.7059825476282744E-6</v>
      </c>
      <c r="AH99" s="142">
        <f>SUMPRODUCT(A99:E99,'Zero Test'!$BL$62:$BP$62)</f>
        <v>4.2917376222050864E-6</v>
      </c>
      <c r="AI99" s="144">
        <f>SUMPRODUCT(A99:E99,'Zero Test'!$BL$63:$BP$63)</f>
        <v>-6.2974355019398737E-7</v>
      </c>
    </row>
    <row r="100" spans="1:35" ht="18" customHeight="1" x14ac:dyDescent="0.2">
      <c r="A100" s="254">
        <v>1</v>
      </c>
      <c r="B100" s="255">
        <f t="shared" si="12"/>
        <v>3.700000000000002</v>
      </c>
      <c r="C100" s="256">
        <f t="shared" si="1"/>
        <v>13.690000000000014</v>
      </c>
      <c r="D100" s="335">
        <f t="shared" si="2"/>
        <v>50.653000000000077</v>
      </c>
      <c r="E100" s="257">
        <f t="shared" si="3"/>
        <v>187.41610000000037</v>
      </c>
      <c r="F100" s="189">
        <f>'Zero Test'!$P$27+'Zero Test'!$P$28*'Chart Data'!B100</f>
        <v>3.1416666666666693</v>
      </c>
      <c r="G100" s="154">
        <f t="shared" si="4"/>
        <v>3.0607083178296004</v>
      </c>
      <c r="H100" s="188">
        <f t="shared" si="10"/>
        <v>3.2226250155037381</v>
      </c>
      <c r="I100" s="156"/>
      <c r="J100" s="171">
        <f>'Zero Test'!$Z$30+'Chart Data'!B100*'Zero Test'!$Z$31+'Chart Data'!B100^2*'Zero Test'!$Z$32</f>
        <v>3.2155000000000067</v>
      </c>
      <c r="K100" s="166">
        <f t="shared" si="11"/>
        <v>3.2093978487159256</v>
      </c>
      <c r="L100" s="170">
        <f t="shared" si="5"/>
        <v>3.2216021512840878</v>
      </c>
      <c r="M100" s="168"/>
      <c r="N100" s="323">
        <f>'Zero Test'!$AI$30+B100*'Zero Test'!$AI$31+B100^2*'Zero Test'!$AI$32+B100^3*'Zero Test'!$AI$33</f>
        <v>3.2155000000006293</v>
      </c>
      <c r="O100" s="325">
        <f t="shared" si="6"/>
        <v>3.2096568130980354</v>
      </c>
      <c r="P100" s="324">
        <f t="shared" si="7"/>
        <v>3.2213431869032232</v>
      </c>
      <c r="Q100" s="322"/>
      <c r="R100" s="146">
        <f>SUMPRODUCT(A100:E100,'Zero Test'!$BN$43:$BR$43)</f>
        <v>3.2155000000020717</v>
      </c>
      <c r="S100" s="142">
        <f t="shared" si="8"/>
        <v>3.2087700572125444</v>
      </c>
      <c r="T100" s="187">
        <f t="shared" si="9"/>
        <v>3.222229942791599</v>
      </c>
      <c r="U100" s="142"/>
      <c r="V100" s="153">
        <f>SUMPRODUCT($A100:$B100,'Zero Test'!$P$52:$Q$52)</f>
        <v>-2.789682539682415E-5</v>
      </c>
      <c r="W100" s="156">
        <f>SUMPRODUCT($A100:$B100,'Zero Test'!$P$53:$Q$53)</f>
        <v>4.0171428571424345E-4</v>
      </c>
      <c r="X100" s="165">
        <f>SUMPRODUCT($A100:$C100,'Zero Test'!$Z$59:$AB$59)</f>
        <v>-3.6428571422446901E-6</v>
      </c>
      <c r="Y100" s="166">
        <f>SUMPRODUCT($A100:$C100,'Zero Test'!$Z$60:$AB$60)</f>
        <v>7.1023809511868631E-6</v>
      </c>
      <c r="Z100" s="166">
        <f>SUMPRODUCT($A100:$C100,'Zero Test'!$Z$61:$AB$61)</f>
        <v>-1.0547619045845725E-6</v>
      </c>
      <c r="AA100" s="342">
        <f>SUMPRODUCT($A100:$D100,'Zero Test'!$AI$59:$AL$59)</f>
        <v>1.7052910050056945E-6</v>
      </c>
      <c r="AB100" s="324">
        <f>SUMPRODUCT($A100:$D100,'Zero Test'!$AI$60:$AL$60)</f>
        <v>-1.7320828921252632E-5</v>
      </c>
      <c r="AC100" s="324">
        <f>SUMPRODUCT($A100:$D100,'Zero Test'!$AI$61:$AL$61)</f>
        <v>1.2315608463539041E-5</v>
      </c>
      <c r="AD100" s="343">
        <f>SUMPRODUCT($A100:$D100,'Zero Test'!$AI$62:$AL$62)</f>
        <v>-1.7827160490831498E-6</v>
      </c>
      <c r="AE100" s="142">
        <f>SUMPRODUCT(A100:E100,'Zero Test'!$BL$59:$BP$59)</f>
        <v>2.7833026341396081E-7</v>
      </c>
      <c r="AF100" s="142">
        <f>SUMPRODUCT(A100:E100,'Zero Test'!$BL$60:$BP$60)</f>
        <v>8.169647431542984E-6</v>
      </c>
      <c r="AG100" s="142">
        <f>SUMPRODUCT(A100:E100,'Zero Test'!$BL$61:$BP$61)</f>
        <v>-1.6056542795020272E-5</v>
      </c>
      <c r="AH100" s="142">
        <f>SUMPRODUCT(A100:E100,'Zero Test'!$BL$62:$BP$62)</f>
        <v>7.797346376401987E-6</v>
      </c>
      <c r="AI100" s="144">
        <f>SUMPRODUCT(A100:E100,'Zero Test'!$BL$63:$BP$63)</f>
        <v>-9.8543263041982925E-7</v>
      </c>
    </row>
    <row r="101" spans="1:35" ht="18" customHeight="1" x14ac:dyDescent="0.2">
      <c r="A101" s="254">
        <v>1</v>
      </c>
      <c r="B101" s="255">
        <f t="shared" si="12"/>
        <v>3.800000000000002</v>
      </c>
      <c r="C101" s="256">
        <f t="shared" si="1"/>
        <v>14.440000000000015</v>
      </c>
      <c r="D101" s="335">
        <f t="shared" si="2"/>
        <v>54.872000000000085</v>
      </c>
      <c r="E101" s="257">
        <f t="shared" si="3"/>
        <v>208.51360000000045</v>
      </c>
      <c r="F101" s="189">
        <f>'Zero Test'!$P$27+'Zero Test'!$P$28*'Chart Data'!B101</f>
        <v>3.2166666666666694</v>
      </c>
      <c r="G101" s="154">
        <f t="shared" si="4"/>
        <v>3.1334178881830206</v>
      </c>
      <c r="H101" s="188">
        <f t="shared" si="10"/>
        <v>3.2999154451503183</v>
      </c>
      <c r="I101" s="156"/>
      <c r="J101" s="171">
        <f>'Zero Test'!$Z$30+'Chart Data'!B101*'Zero Test'!$Z$31+'Chart Data'!B101^2*'Zero Test'!$Z$32</f>
        <v>3.2780000000000071</v>
      </c>
      <c r="K101" s="166">
        <f t="shared" si="11"/>
        <v>3.2719358570317416</v>
      </c>
      <c r="L101" s="170">
        <f t="shared" si="5"/>
        <v>3.2840641429682726</v>
      </c>
      <c r="M101" s="168"/>
      <c r="N101" s="323">
        <f>'Zero Test'!$AI$30+B101*'Zero Test'!$AI$31+B101^2*'Zero Test'!$AI$32+B101^3*'Zero Test'!$AI$33</f>
        <v>3.2780000000006582</v>
      </c>
      <c r="O101" s="325">
        <f t="shared" si="6"/>
        <v>3.2721518409991668</v>
      </c>
      <c r="P101" s="324">
        <f t="shared" si="7"/>
        <v>3.2838481590021495</v>
      </c>
      <c r="Q101" s="322"/>
      <c r="R101" s="146">
        <f>SUMPRODUCT(A101:E101,'Zero Test'!$BN$43:$BR$43)</f>
        <v>3.2780000000022049</v>
      </c>
      <c r="S101" s="142">
        <f t="shared" si="8"/>
        <v>3.2709341833839054</v>
      </c>
      <c r="T101" s="187">
        <f t="shared" si="9"/>
        <v>3.2850658166205045</v>
      </c>
      <c r="U101" s="142"/>
      <c r="V101" s="153">
        <f>SUMPRODUCT($A101:$B101,'Zero Test'!$P$52:$Q$52)</f>
        <v>-1.115873015872914E-4</v>
      </c>
      <c r="W101" s="156">
        <f>SUMPRODUCT($A101:$B101,'Zero Test'!$P$53:$Q$53)</f>
        <v>4.3519047619043052E-4</v>
      </c>
      <c r="X101" s="165">
        <f>SUMPRODUCT($A101:$C101,'Zero Test'!$Z$59:$AB$59)</f>
        <v>-3.4285714279949981E-6</v>
      </c>
      <c r="Y101" s="166">
        <f>SUMPRODUCT($A101:$C101,'Zero Test'!$Z$60:$AB$60)</f>
        <v>6.3619047608351494E-6</v>
      </c>
      <c r="Z101" s="166">
        <f>SUMPRODUCT($A101:$C101,'Zero Test'!$Z$61:$AB$61)</f>
        <v>-8.7619047604316474E-7</v>
      </c>
      <c r="AA101" s="342">
        <f>SUMPRODUCT($A101:$D101,'Zero Test'!$AI$59:$AL$59)</f>
        <v>1.9640211636924316E-6</v>
      </c>
      <c r="AB101" s="324">
        <f>SUMPRODUCT($A101:$D101,'Zero Test'!$AI$60:$AL$60)</f>
        <v>-1.8264268074533207E-5</v>
      </c>
      <c r="AC101" s="324">
        <f>SUMPRODUCT($A101:$D101,'Zero Test'!$AI$61:$AL$61)</f>
        <v>1.2605291003172953E-5</v>
      </c>
      <c r="AD101" s="343">
        <f>SUMPRODUCT($A101:$D101,'Zero Test'!$AI$62:$AL$62)</f>
        <v>-1.7975308638954824E-6</v>
      </c>
      <c r="AE101" s="142">
        <f>SUMPRODUCT(A101:E101,'Zero Test'!$BL$59:$BP$59)</f>
        <v>-8.9865683547516069E-9</v>
      </c>
      <c r="AF101" s="142">
        <f>SUMPRODUCT(A101:E101,'Zero Test'!$BL$60:$BP$60)</f>
        <v>1.6845257387299115E-5</v>
      </c>
      <c r="AG101" s="142">
        <f>SUMPRODUCT(A101:E101,'Zero Test'!$BL$61:$BP$61)</f>
        <v>-2.6218801772185697E-5</v>
      </c>
      <c r="AH101" s="142">
        <f>SUMPRODUCT(A101:E101,'Zero Test'!$BL$62:$BP$62)</f>
        <v>1.1197720094472665E-5</v>
      </c>
      <c r="AI101" s="144">
        <f>SUMPRODUCT(A101:E101,'Zero Test'!$BL$63:$BP$63)</f>
        <v>-1.3271794038289332E-6</v>
      </c>
    </row>
    <row r="102" spans="1:35" ht="18" customHeight="1" x14ac:dyDescent="0.2">
      <c r="A102" s="254">
        <v>1</v>
      </c>
      <c r="B102" s="255">
        <f t="shared" si="12"/>
        <v>3.9000000000000021</v>
      </c>
      <c r="C102" s="256">
        <f t="shared" si="1"/>
        <v>15.210000000000017</v>
      </c>
      <c r="D102" s="335">
        <f t="shared" si="2"/>
        <v>59.319000000000095</v>
      </c>
      <c r="E102" s="257">
        <f t="shared" si="3"/>
        <v>231.34410000000051</v>
      </c>
      <c r="F102" s="189">
        <f>'Zero Test'!$P$27+'Zero Test'!$P$28*'Chart Data'!B102</f>
        <v>3.2916666666666696</v>
      </c>
      <c r="G102" s="154">
        <f t="shared" si="4"/>
        <v>3.2060129896795</v>
      </c>
      <c r="H102" s="188">
        <f t="shared" si="10"/>
        <v>3.3773203436538393</v>
      </c>
      <c r="I102" s="156"/>
      <c r="J102" s="171">
        <f>'Zero Test'!$Z$30+'Chart Data'!B102*'Zero Test'!$Z$31+'Chart Data'!B102^2*'Zero Test'!$Z$32</f>
        <v>3.3395000000000068</v>
      </c>
      <c r="K102" s="166">
        <f t="shared" si="11"/>
        <v>3.3334394701803061</v>
      </c>
      <c r="L102" s="170">
        <f t="shared" si="5"/>
        <v>3.3455605298197075</v>
      </c>
      <c r="M102" s="168"/>
      <c r="N102" s="323">
        <f>'Zero Test'!$AI$30+B102*'Zero Test'!$AI$31+B102^2*'Zero Test'!$AI$32+B102^3*'Zero Test'!$AI$33</f>
        <v>3.3395000000006871</v>
      </c>
      <c r="O102" s="325">
        <f t="shared" si="6"/>
        <v>3.333681237942582</v>
      </c>
      <c r="P102" s="324">
        <f t="shared" si="7"/>
        <v>3.3453187620587923</v>
      </c>
      <c r="Q102" s="322"/>
      <c r="R102" s="146">
        <f>SUMPRODUCT(A102:E102,'Zero Test'!$BN$43:$BR$43)</f>
        <v>3.339500000002336</v>
      </c>
      <c r="S102" s="142">
        <f t="shared" si="8"/>
        <v>3.3320864184074042</v>
      </c>
      <c r="T102" s="187">
        <f t="shared" si="9"/>
        <v>3.3469135815972679</v>
      </c>
      <c r="U102" s="142"/>
      <c r="V102" s="153">
        <f>SUMPRODUCT($A102:$B102,'Zero Test'!$P$52:$Q$52)</f>
        <v>-1.9527777777775864E-4</v>
      </c>
      <c r="W102" s="156">
        <f>SUMPRODUCT($A102:$B102,'Zero Test'!$P$53:$Q$53)</f>
        <v>4.6866666666661738E-4</v>
      </c>
      <c r="X102" s="165">
        <f>SUMPRODUCT($A102:$C102,'Zero Test'!$Z$59:$AB$59)</f>
        <v>-3.1666666661342671E-6</v>
      </c>
      <c r="Y102" s="166">
        <f>SUMPRODUCT($A102:$C102,'Zero Test'!$Z$60:$AB$60)</f>
        <v>5.5499999990668943E-6</v>
      </c>
      <c r="Z102" s="166">
        <f>SUMPRODUCT($A102:$C102,'Zero Test'!$Z$61:$AB$61)</f>
        <v>-6.8333333321844428E-7</v>
      </c>
      <c r="AA102" s="342">
        <f>SUMPRODUCT($A102:$D102,'Zero Test'!$AI$59:$AL$59)</f>
        <v>2.1740740737100664E-6</v>
      </c>
      <c r="AB102" s="324">
        <f>SUMPRODUCT($A102:$D102,'Zero Test'!$AI$60:$AL$60)</f>
        <v>-1.8839382712884482E-5</v>
      </c>
      <c r="AC102" s="324">
        <f>SUMPRODUCT($A102:$D102,'Zero Test'!$AI$61:$AL$61)</f>
        <v>1.2668518516389867E-5</v>
      </c>
      <c r="AD102" s="343">
        <f>SUMPRODUCT($A102:$D102,'Zero Test'!$AI$62:$AL$62)</f>
        <v>-1.7802469132811046E-6</v>
      </c>
      <c r="AE102" s="142">
        <f>SUMPRODUCT(A102:E102,'Zero Test'!$BL$59:$BP$59)</f>
        <v>-3.0933758733892903E-7</v>
      </c>
      <c r="AF102" s="142">
        <f>SUMPRODUCT(A102:E102,'Zero Test'!$BL$60:$BP$60)</f>
        <v>2.5226992717637849E-5</v>
      </c>
      <c r="AG102" s="142">
        <f>SUMPRODUCT(A102:E102,'Zero Test'!$BL$61:$BP$61)</f>
        <v>-3.5869575738739674E-5</v>
      </c>
      <c r="AH102" s="142">
        <f>SUMPRODUCT(A102:E102,'Zero Test'!$BL$62:$BP$62)</f>
        <v>1.4383528298953169E-5</v>
      </c>
      <c r="AI102" s="144">
        <f>SUMPRODUCT(A102:E102,'Zero Test'!$BL$63:$BP$63)</f>
        <v>-1.6437659224079057E-6</v>
      </c>
    </row>
    <row r="103" spans="1:35" ht="18" customHeight="1" x14ac:dyDescent="0.2">
      <c r="A103" s="254">
        <v>1</v>
      </c>
      <c r="B103" s="255">
        <f t="shared" si="12"/>
        <v>4.0000000000000018</v>
      </c>
      <c r="C103" s="256">
        <f t="shared" si="1"/>
        <v>16.000000000000014</v>
      </c>
      <c r="D103" s="335">
        <f t="shared" si="2"/>
        <v>64.000000000000085</v>
      </c>
      <c r="E103" s="257">
        <f t="shared" si="3"/>
        <v>256.00000000000045</v>
      </c>
      <c r="F103" s="189">
        <f>'Zero Test'!$P$27+'Zero Test'!$P$28*'Chart Data'!B103</f>
        <v>3.3666666666666694</v>
      </c>
      <c r="G103" s="154">
        <f t="shared" si="4"/>
        <v>3.2785029891479045</v>
      </c>
      <c r="H103" s="188">
        <f t="shared" si="10"/>
        <v>3.4548303441854342</v>
      </c>
      <c r="I103" s="156"/>
      <c r="J103" s="171">
        <f>'Zero Test'!$Z$30+'Chart Data'!B103*'Zero Test'!$Z$31+'Chart Data'!B103^2*'Zero Test'!$Z$32</f>
        <v>3.4000000000000066</v>
      </c>
      <c r="K103" s="166">
        <f t="shared" si="11"/>
        <v>3.3939000028403874</v>
      </c>
      <c r="L103" s="170">
        <f t="shared" si="5"/>
        <v>3.4060999971596257</v>
      </c>
      <c r="M103" s="168"/>
      <c r="N103" s="323">
        <f>'Zero Test'!$AI$30+B103*'Zero Test'!$AI$31+B103^2*'Zero Test'!$AI$32+B103^3*'Zero Test'!$AI$33</f>
        <v>3.4000000000007171</v>
      </c>
      <c r="O103" s="325">
        <f t="shared" si="6"/>
        <v>3.3942435786368077</v>
      </c>
      <c r="P103" s="324">
        <f t="shared" si="7"/>
        <v>3.4057564213646265</v>
      </c>
      <c r="Q103" s="322"/>
      <c r="R103" s="146">
        <f>SUMPRODUCT(A103:E103,'Zero Test'!$BN$43:$BR$43)</f>
        <v>3.4000000000024651</v>
      </c>
      <c r="S103" s="142">
        <f t="shared" si="8"/>
        <v>3.3922618900227386</v>
      </c>
      <c r="T103" s="187">
        <f t="shared" si="9"/>
        <v>3.4077381099821915</v>
      </c>
      <c r="U103" s="142"/>
      <c r="V103" s="153">
        <f>SUMPRODUCT($A103:$B103,'Zero Test'!$P$52:$Q$52)</f>
        <v>-2.7896825396822545E-4</v>
      </c>
      <c r="W103" s="156">
        <f>SUMPRODUCT($A103:$B103,'Zero Test'!$P$53:$Q$53)</f>
        <v>5.0214285714280423E-4</v>
      </c>
      <c r="X103" s="165">
        <f>SUMPRODUCT($A103:$C103,'Zero Test'!$Z$59:$AB$59)</f>
        <v>-2.8571428566624972E-6</v>
      </c>
      <c r="Y103" s="166">
        <f>SUMPRODUCT($A103:$C103,'Zero Test'!$Z$60:$AB$60)</f>
        <v>4.6666666658820843E-6</v>
      </c>
      <c r="Z103" s="166">
        <f>SUMPRODUCT($A103:$C103,'Zero Test'!$Z$61:$AB$61)</f>
        <v>-4.7619047611041451E-7</v>
      </c>
      <c r="AA103" s="342">
        <f>SUMPRODUCT($A103:$D103,'Zero Test'!$AI$59:$AL$59)</f>
        <v>2.3280423276524867E-6</v>
      </c>
      <c r="AB103" s="324">
        <f>SUMPRODUCT($A103:$D103,'Zero Test'!$AI$60:$AL$60)</f>
        <v>-1.9012345675818373E-5</v>
      </c>
      <c r="AC103" s="324">
        <f>SUMPRODUCT($A103:$D103,'Zero Test'!$AI$61:$AL$61)</f>
        <v>1.248677248467432E-5</v>
      </c>
      <c r="AD103" s="343">
        <f>SUMPRODUCT($A103:$D103,'Zero Test'!$AI$62:$AL$62)</f>
        <v>-1.7283950614379609E-6</v>
      </c>
      <c r="AE103" s="142">
        <f>SUMPRODUCT(A103:E103,'Zero Test'!$BL$59:$BP$59)</f>
        <v>-6.1050057208390145E-7</v>
      </c>
      <c r="AF103" s="142">
        <f>SUMPRODUCT(A103:E103,'Zero Test'!$BL$60:$BP$60)</f>
        <v>3.3007730934723166E-5</v>
      </c>
      <c r="AG103" s="142">
        <f>SUMPRODUCT(A103:E103,'Zero Test'!$BL$61:$BP$61)</f>
        <v>-4.4658116853462607E-5</v>
      </c>
      <c r="AH103" s="142">
        <f>SUMPRODUCT(A103:E103,'Zero Test'!$BL$62:$BP$62)</f>
        <v>1.7236466153968625E-5</v>
      </c>
      <c r="AI103" s="144">
        <f>SUMPRODUCT(A103:E103,'Zero Test'!$BL$63:$BP$63)</f>
        <v>-1.923076802302299E-6</v>
      </c>
    </row>
    <row r="104" spans="1:35" ht="18" customHeight="1" x14ac:dyDescent="0.2">
      <c r="A104" s="254">
        <v>1</v>
      </c>
      <c r="B104" s="255">
        <f t="shared" si="12"/>
        <v>4.1000000000000014</v>
      </c>
      <c r="C104" s="256">
        <f t="shared" si="1"/>
        <v>16.810000000000013</v>
      </c>
      <c r="D104" s="335">
        <f t="shared" si="2"/>
        <v>68.921000000000078</v>
      </c>
      <c r="E104" s="257">
        <f t="shared" si="3"/>
        <v>282.57610000000045</v>
      </c>
      <c r="F104" s="189">
        <f>'Zero Test'!$P$27+'Zero Test'!$P$28*'Chart Data'!B104</f>
        <v>3.4416666666666691</v>
      </c>
      <c r="G104" s="154">
        <f t="shared" si="4"/>
        <v>3.3508966051064237</v>
      </c>
      <c r="H104" s="188">
        <f t="shared" si="10"/>
        <v>3.5324367282269145</v>
      </c>
      <c r="I104" s="156"/>
      <c r="J104" s="171">
        <f>'Zero Test'!$Z$30+'Chart Data'!B104*'Zero Test'!$Z$31+'Chart Data'!B104^2*'Zero Test'!$Z$32</f>
        <v>3.4595000000000065</v>
      </c>
      <c r="K104" s="166">
        <f t="shared" si="11"/>
        <v>3.4533091528194269</v>
      </c>
      <c r="L104" s="170">
        <f t="shared" si="5"/>
        <v>3.4656908471805861</v>
      </c>
      <c r="M104" s="168"/>
      <c r="N104" s="323">
        <f>'Zero Test'!$AI$30+B104*'Zero Test'!$AI$31+B104^2*'Zero Test'!$AI$32+B104^3*'Zero Test'!$AI$33</f>
        <v>3.4595000000007481</v>
      </c>
      <c r="O104" s="325">
        <f t="shared" si="6"/>
        <v>3.4538340240014556</v>
      </c>
      <c r="P104" s="324">
        <f t="shared" si="7"/>
        <v>3.4651659760000406</v>
      </c>
      <c r="Q104" s="322"/>
      <c r="R104" s="146">
        <f>SUMPRODUCT(A104:E104,'Zero Test'!$BN$43:$BR$43)</f>
        <v>3.4595000000025902</v>
      </c>
      <c r="S104" s="142">
        <f t="shared" si="8"/>
        <v>3.4514956405264505</v>
      </c>
      <c r="T104" s="187">
        <f t="shared" si="9"/>
        <v>3.4675043594787298</v>
      </c>
      <c r="U104" s="142"/>
      <c r="V104" s="153">
        <f>SUMPRODUCT($A104:$B104,'Zero Test'!$P$52:$Q$52)</f>
        <v>-3.626587301586927E-4</v>
      </c>
      <c r="W104" s="156">
        <f>SUMPRODUCT($A104:$B104,'Zero Test'!$P$53:$Q$53)</f>
        <v>5.3561904761899087E-4</v>
      </c>
      <c r="X104" s="165">
        <f>SUMPRODUCT($A104:$C104,'Zero Test'!$Z$59:$AB$59)</f>
        <v>-2.4999999995796817E-6</v>
      </c>
      <c r="Y104" s="166">
        <f>SUMPRODUCT($A104:$C104,'Zero Test'!$Z$60:$AB$60)</f>
        <v>3.7119047612806786E-6</v>
      </c>
      <c r="Z104" s="166">
        <f>SUMPRODUCT($A104:$C104,'Zero Test'!$Z$61:$AB$61)</f>
        <v>-2.5476190471906867E-7</v>
      </c>
      <c r="AA104" s="342">
        <f>SUMPRODUCT($A104:$D104,'Zero Test'!$AI$59:$AL$59)</f>
        <v>2.4185185181135128E-6</v>
      </c>
      <c r="AB104" s="324">
        <f>SUMPRODUCT($A104:$D104,'Zero Test'!$AI$60:$AL$60)</f>
        <v>-1.8749329802846633E-5</v>
      </c>
      <c r="AC104" s="324">
        <f>SUMPRODUCT($A104:$D104,'Zero Test'!$AI$61:$AL$61)</f>
        <v>1.2041534389511119E-5</v>
      </c>
      <c r="AD104" s="343">
        <f>SUMPRODUCT($A104:$D104,'Zero Test'!$AI$62:$AL$62)</f>
        <v>-1.6395061725640165E-6</v>
      </c>
      <c r="AE104" s="142">
        <f>SUMPRODUCT(A104:E104,'Zero Test'!$BL$59:$BP$59)</f>
        <v>-8.9871483969296328E-7</v>
      </c>
      <c r="AF104" s="142">
        <f>SUMPRODUCT(A104:E104,'Zero Test'!$BL$60:$BP$60)</f>
        <v>3.9854708526689334E-5</v>
      </c>
      <c r="AG104" s="142">
        <f>SUMPRODUCT(A104:E104,'Zero Test'!$BL$61:$BP$61)</f>
        <v>-5.2206113174298012E-5</v>
      </c>
      <c r="AH104" s="142">
        <f>SUMPRODUCT(A104:E104,'Zero Test'!$BL$62:$BP$62)</f>
        <v>1.9629254465233564E-5</v>
      </c>
      <c r="AI104" s="144">
        <f>SUMPRODUCT(A104:E104,'Zero Test'!$BL$63:$BP$63)</f>
        <v>-2.1520992238164622E-6</v>
      </c>
    </row>
    <row r="105" spans="1:35" ht="18" customHeight="1" x14ac:dyDescent="0.2">
      <c r="A105" s="254">
        <v>1</v>
      </c>
      <c r="B105" s="255">
        <f t="shared" si="12"/>
        <v>4.2000000000000011</v>
      </c>
      <c r="C105" s="256">
        <f t="shared" si="1"/>
        <v>17.640000000000008</v>
      </c>
      <c r="D105" s="335">
        <f t="shared" si="2"/>
        <v>74.088000000000051</v>
      </c>
      <c r="E105" s="257">
        <f t="shared" si="3"/>
        <v>311.16960000000029</v>
      </c>
      <c r="F105" s="189">
        <f>'Zero Test'!$P$27+'Zero Test'!$P$28*'Chart Data'!B105</f>
        <v>3.5166666666666688</v>
      </c>
      <c r="G105" s="154">
        <f t="shared" si="4"/>
        <v>3.4232019005380558</v>
      </c>
      <c r="H105" s="188">
        <f t="shared" si="10"/>
        <v>3.6101314327952818</v>
      </c>
      <c r="I105" s="156"/>
      <c r="J105" s="171">
        <f>'Zero Test'!$Z$30+'Chart Data'!B105*'Zero Test'!$Z$31+'Chart Data'!B105^2*'Zero Test'!$Z$32</f>
        <v>3.5180000000000069</v>
      </c>
      <c r="K105" s="166">
        <f t="shared" si="11"/>
        <v>3.5116596050482984</v>
      </c>
      <c r="L105" s="170">
        <f t="shared" si="5"/>
        <v>3.5243403949517154</v>
      </c>
      <c r="M105" s="168"/>
      <c r="N105" s="323">
        <f>'Zero Test'!$AI$30+B105*'Zero Test'!$AI$31+B105^2*'Zero Test'!$AI$32+B105^3*'Zero Test'!$AI$33</f>
        <v>3.5180000000007805</v>
      </c>
      <c r="O105" s="325">
        <f t="shared" si="6"/>
        <v>3.512443049478541</v>
      </c>
      <c r="P105" s="324">
        <f t="shared" si="7"/>
        <v>3.52355695052302</v>
      </c>
      <c r="Q105" s="322"/>
      <c r="R105" s="146">
        <f>SUMPRODUCT(A105:E105,'Zero Test'!$BN$43:$BR$43)</f>
        <v>3.518000000002711</v>
      </c>
      <c r="S105" s="142">
        <f t="shared" si="8"/>
        <v>3.5098205529310347</v>
      </c>
      <c r="T105" s="187">
        <f t="shared" si="9"/>
        <v>3.5261794470743872</v>
      </c>
      <c r="U105" s="142"/>
      <c r="V105" s="153">
        <f>SUMPRODUCT($A105:$B105,'Zero Test'!$P$52:$Q$52)</f>
        <v>-4.4634920634915951E-4</v>
      </c>
      <c r="W105" s="156">
        <f>SUMPRODUCT($A105:$B105,'Zero Test'!$P$53:$Q$53)</f>
        <v>5.6909523809517773E-4</v>
      </c>
      <c r="X105" s="165">
        <f>SUMPRODUCT($A105:$C105,'Zero Test'!$Z$59:$AB$59)</f>
        <v>-2.095238094885834E-6</v>
      </c>
      <c r="Y105" s="166">
        <f>SUMPRODUCT($A105:$C105,'Zero Test'!$Z$60:$AB$60)</f>
        <v>2.6857142852627246E-6</v>
      </c>
      <c r="Z105" s="166">
        <f>SUMPRODUCT($A105:$C105,'Zero Test'!$Z$61:$AB$61)</f>
        <v>-1.9047619044415225E-8</v>
      </c>
      <c r="AA105" s="342">
        <f>SUMPRODUCT($A105:$D105,'Zero Test'!$AI$59:$AL$59)</f>
        <v>2.4380952376869242E-6</v>
      </c>
      <c r="AB105" s="324">
        <f>SUMPRODUCT($A105:$D105,'Zero Test'!$AI$60:$AL$60)</f>
        <v>-1.8016507933481176E-5</v>
      </c>
      <c r="AC105" s="324">
        <f>SUMPRODUCT($A105:$D105,'Zero Test'!$AI$61:$AL$61)</f>
        <v>1.1314285712384585E-5</v>
      </c>
      <c r="AD105" s="343">
        <f>SUMPRODUCT($A105:$D105,'Zero Test'!$AI$62:$AL$62)</f>
        <v>-1.5111111108571953E-6</v>
      </c>
      <c r="AE105" s="142">
        <f>SUMPRODUCT(A105:E105,'Zero Test'!$BL$59:$BP$59)</f>
        <v>-1.1586812458281865E-6</v>
      </c>
      <c r="AF105" s="142">
        <f>SUMPRODUCT(A105:E105,'Zero Test'!$BL$60:$BP$60)</f>
        <v>4.5409520957644372E-5</v>
      </c>
      <c r="AG105" s="142">
        <f>SUMPRODUCT(A105:E105,'Zero Test'!$BL$61:$BP$61)</f>
        <v>-5.8107688658364225E-5</v>
      </c>
      <c r="AH105" s="142">
        <f>SUMPRODUCT(A105:E105,'Zero Test'!$BL$62:$BP$62)</f>
        <v>2.1425639680050946E-5</v>
      </c>
      <c r="AI105" s="144">
        <f>SUMPRODUCT(A105:E105,'Zero Test'!$BL$63:$BP$63)</f>
        <v>-2.3169229314137985E-6</v>
      </c>
    </row>
    <row r="106" spans="1:35" ht="18" customHeight="1" x14ac:dyDescent="0.2">
      <c r="A106" s="254">
        <v>1</v>
      </c>
      <c r="B106" s="255">
        <f t="shared" si="12"/>
        <v>4.3000000000000007</v>
      </c>
      <c r="C106" s="256">
        <f t="shared" si="1"/>
        <v>18.490000000000006</v>
      </c>
      <c r="D106" s="335">
        <f t="shared" si="2"/>
        <v>79.507000000000033</v>
      </c>
      <c r="E106" s="257">
        <f t="shared" si="3"/>
        <v>341.8801000000002</v>
      </c>
      <c r="F106" s="189">
        <f>'Zero Test'!$P$27+'Zero Test'!$P$28*'Chart Data'!B106</f>
        <v>3.5916666666666686</v>
      </c>
      <c r="G106" s="154">
        <f t="shared" si="4"/>
        <v>3.4954262940099219</v>
      </c>
      <c r="H106" s="188">
        <f t="shared" si="10"/>
        <v>3.6879070393234152</v>
      </c>
      <c r="I106" s="156"/>
      <c r="J106" s="171">
        <f>'Zero Test'!$Z$30+'Chart Data'!B106*'Zero Test'!$Z$31+'Chart Data'!B106^2*'Zero Test'!$Z$32</f>
        <v>3.5755000000000066</v>
      </c>
      <c r="K106" s="166">
        <f t="shared" si="11"/>
        <v>3.5689455719150334</v>
      </c>
      <c r="L106" s="170">
        <f t="shared" si="5"/>
        <v>3.5820544280849798</v>
      </c>
      <c r="M106" s="168"/>
      <c r="N106" s="323">
        <f>'Zero Test'!$AI$30+B106*'Zero Test'!$AI$31+B106^2*'Zero Test'!$AI$32+B106^3*'Zero Test'!$AI$33</f>
        <v>3.5755000000008126</v>
      </c>
      <c r="O106" s="325">
        <f t="shared" si="6"/>
        <v>3.5700547838554058</v>
      </c>
      <c r="P106" s="324">
        <f t="shared" si="7"/>
        <v>3.5809452161462194</v>
      </c>
      <c r="Q106" s="322"/>
      <c r="R106" s="146">
        <f>SUMPRODUCT(A106:E106,'Zero Test'!$BN$43:$BR$43)</f>
        <v>3.5755000000028256</v>
      </c>
      <c r="S106" s="142">
        <f t="shared" si="8"/>
        <v>3.5672650359030031</v>
      </c>
      <c r="T106" s="187">
        <f t="shared" si="9"/>
        <v>3.5837349641026481</v>
      </c>
      <c r="U106" s="142"/>
      <c r="V106" s="153">
        <f>SUMPRODUCT($A106:$B106,'Zero Test'!$P$52:$Q$52)</f>
        <v>-5.3003968253962632E-4</v>
      </c>
      <c r="W106" s="156">
        <f>SUMPRODUCT($A106:$B106,'Zero Test'!$P$53:$Q$53)</f>
        <v>6.0257142857136458E-4</v>
      </c>
      <c r="X106" s="165">
        <f>SUMPRODUCT($A106:$C106,'Zero Test'!$Z$59:$AB$59)</f>
        <v>-1.6428571425809407E-6</v>
      </c>
      <c r="Y106" s="166">
        <f>SUMPRODUCT($A106:$C106,'Zero Test'!$Z$60:$AB$60)</f>
        <v>1.5880952378282293E-6</v>
      </c>
      <c r="Z106" s="166">
        <f>SUMPRODUCT($A106:$C106,'Zero Test'!$Z$61:$AB$61)</f>
        <v>2.3095238091355261E-7</v>
      </c>
      <c r="AA106" s="342">
        <f>SUMPRODUCT($A106:$D106,'Zero Test'!$AI$59:$AL$59)</f>
        <v>2.3793650789666901E-6</v>
      </c>
      <c r="AB106" s="324">
        <f>SUMPRODUCT($A106:$D106,'Zero Test'!$AI$60:$AL$60)</f>
        <v>-1.6780052907233917E-5</v>
      </c>
      <c r="AC106" s="324">
        <f>SUMPRODUCT($A106:$D106,'Zero Test'!$AI$61:$AL$61)</f>
        <v>1.0286507934779553E-5</v>
      </c>
      <c r="AD106" s="343">
        <f>SUMPRODUCT($A106:$D106,'Zero Test'!$AI$62:$AL$62)</f>
        <v>-1.3407407405154591E-6</v>
      </c>
      <c r="AE106" s="142">
        <f>SUMPRODUCT(A106:E106,'Zero Test'!$BL$59:$BP$59)</f>
        <v>-1.3735621847089301E-6</v>
      </c>
      <c r="AF106" s="142">
        <f>SUMPRODUCT(A106:E106,'Zero Test'!$BL$60:$BP$60)</f>
        <v>4.9288122667656611E-5</v>
      </c>
      <c r="AG106" s="142">
        <f>SUMPRODUCT(A106:E106,'Zero Test'!$BL$61:$BP$61)</f>
        <v>-6.1929403161939227E-5</v>
      </c>
      <c r="AH106" s="142">
        <f>SUMPRODUCT(A106:E106,'Zero Test'!$BL$62:$BP$62)</f>
        <v>2.248039388731346E-5</v>
      </c>
      <c r="AI106" s="144">
        <f>SUMPRODUCT(A106:E106,'Zero Test'!$BL$63:$BP$63)</f>
        <v>-2.4027402337165082E-6</v>
      </c>
    </row>
    <row r="107" spans="1:35" ht="18" customHeight="1" x14ac:dyDescent="0.2">
      <c r="A107" s="254">
        <v>1</v>
      </c>
      <c r="B107" s="255">
        <f t="shared" si="12"/>
        <v>4.4000000000000004</v>
      </c>
      <c r="C107" s="256">
        <f t="shared" si="1"/>
        <v>19.360000000000003</v>
      </c>
      <c r="D107" s="335">
        <f t="shared" si="2"/>
        <v>85.184000000000026</v>
      </c>
      <c r="E107" s="257">
        <f t="shared" si="3"/>
        <v>374.8096000000001</v>
      </c>
      <c r="F107" s="189">
        <f>'Zero Test'!$P$27+'Zero Test'!$P$28*'Chart Data'!B107</f>
        <v>3.6666666666666683</v>
      </c>
      <c r="G107" s="154">
        <f t="shared" si="4"/>
        <v>3.567576583709037</v>
      </c>
      <c r="H107" s="188">
        <f t="shared" si="10"/>
        <v>3.7657567496242996</v>
      </c>
      <c r="I107" s="156"/>
      <c r="J107" s="171">
        <f>'Zero Test'!$Z$30+'Chart Data'!B107*'Zero Test'!$Z$31+'Chart Data'!B107^2*'Zero Test'!$Z$32</f>
        <v>3.6320000000000063</v>
      </c>
      <c r="K107" s="166">
        <f t="shared" si="11"/>
        <v>3.625163141126186</v>
      </c>
      <c r="L107" s="170">
        <f t="shared" si="5"/>
        <v>3.6388368588738267</v>
      </c>
      <c r="M107" s="168"/>
      <c r="N107" s="323">
        <f>'Zero Test'!$AI$30+B107*'Zero Test'!$AI$31+B107^2*'Zero Test'!$AI$32+B107^3*'Zero Test'!$AI$33</f>
        <v>3.6320000000008466</v>
      </c>
      <c r="O107" s="325">
        <f t="shared" si="6"/>
        <v>3.6266451623330278</v>
      </c>
      <c r="P107" s="324">
        <f t="shared" si="7"/>
        <v>3.6373548376686653</v>
      </c>
      <c r="Q107" s="322"/>
      <c r="R107" s="146">
        <f>SUMPRODUCT(A107:E107,'Zero Test'!$BN$43:$BR$43)</f>
        <v>3.6320000000029333</v>
      </c>
      <c r="S107" s="142">
        <f t="shared" si="8"/>
        <v>3.6238493120551425</v>
      </c>
      <c r="T107" s="187">
        <f t="shared" si="9"/>
        <v>3.6401506879507242</v>
      </c>
      <c r="U107" s="142"/>
      <c r="V107" s="153">
        <f>SUMPRODUCT($A107:$B107,'Zero Test'!$P$52:$Q$52)</f>
        <v>-6.1373015873009357E-4</v>
      </c>
      <c r="W107" s="156">
        <f>SUMPRODUCT($A107:$B107,'Zero Test'!$P$53:$Q$53)</f>
        <v>6.3604761904755122E-4</v>
      </c>
      <c r="X107" s="165">
        <f>SUMPRODUCT($A107:$C107,'Zero Test'!$Z$59:$AB$59)</f>
        <v>-1.1428571426650016E-6</v>
      </c>
      <c r="Y107" s="166">
        <f>SUMPRODUCT($A107:$C107,'Zero Test'!$Z$60:$AB$60)</f>
        <v>4.1904761897714512E-7</v>
      </c>
      <c r="Z107" s="166">
        <f>SUMPRODUCT($A107:$C107,'Zero Test'!$Z$61:$AB$61)</f>
        <v>4.9523809515483313E-7</v>
      </c>
      <c r="AA107" s="342">
        <f>SUMPRODUCT($A107:$D107,'Zero Test'!$AI$59:$AL$59)</f>
        <v>2.2349206345464952E-6</v>
      </c>
      <c r="AB107" s="324">
        <f>SUMPRODUCT($A107:$D107,'Zero Test'!$AI$60:$AL$60)</f>
        <v>-1.5006137563616611E-5</v>
      </c>
      <c r="AC107" s="324">
        <f>SUMPRODUCT($A107:$D107,'Zero Test'!$AI$61:$AL$61)</f>
        <v>8.9396825381804512E-6</v>
      </c>
      <c r="AD107" s="343">
        <f>SUMPRODUCT($A107:$D107,'Zero Test'!$AI$62:$AL$62)</f>
        <v>-1.1259259257367455E-6</v>
      </c>
      <c r="AE107" s="142">
        <f>SUMPRODUCT(A107:E107,'Zero Test'!$BL$59:$BP$59)</f>
        <v>-1.52498158911352E-6</v>
      </c>
      <c r="AF107" s="142">
        <f>SUMPRODUCT(A107:E107,'Zero Test'!$BL$60:$BP$60)</f>
        <v>5.1080827072774206E-5</v>
      </c>
      <c r="AG107" s="142">
        <f>SUMPRODUCT(A107:E107,'Zero Test'!$BL$61:$BP$61)</f>
        <v>-6.3210252440473215E-5</v>
      </c>
      <c r="AH107" s="142">
        <f>SUMPRODUCT(A107:E107,'Zero Test'!$BL$62:$BP$62)</f>
        <v>2.2639314817503959E-5</v>
      </c>
      <c r="AI107" s="144">
        <f>SUMPRODUCT(A107:E107,'Zero Test'!$BL$63:$BP$63)</f>
        <v>-2.3938460035058591E-6</v>
      </c>
    </row>
    <row r="108" spans="1:35" ht="18" customHeight="1" x14ac:dyDescent="0.2">
      <c r="A108" s="254">
        <v>1</v>
      </c>
      <c r="B108" s="255">
        <f t="shared" si="12"/>
        <v>4.5</v>
      </c>
      <c r="C108" s="256">
        <f t="shared" si="1"/>
        <v>20.25</v>
      </c>
      <c r="D108" s="335">
        <f t="shared" si="2"/>
        <v>91.125</v>
      </c>
      <c r="E108" s="257">
        <f t="shared" si="3"/>
        <v>410.0625</v>
      </c>
      <c r="F108" s="189">
        <f>'Zero Test'!$P$27+'Zero Test'!$P$28*'Chart Data'!B108</f>
        <v>3.741666666666668</v>
      </c>
      <c r="G108" s="154">
        <f t="shared" si="4"/>
        <v>3.6396589799866992</v>
      </c>
      <c r="H108" s="188">
        <f t="shared" si="10"/>
        <v>3.8436743533466369</v>
      </c>
      <c r="I108" s="156"/>
      <c r="J108" s="171">
        <f>'Zero Test'!$Z$30+'Chart Data'!B108*'Zero Test'!$Z$31+'Chart Data'!B108^2*'Zero Test'!$Z$32</f>
        <v>3.6875000000000062</v>
      </c>
      <c r="K108" s="166">
        <f t="shared" si="11"/>
        <v>3.6803103530122039</v>
      </c>
      <c r="L108" s="170">
        <f t="shared" si="5"/>
        <v>3.6946896469878086</v>
      </c>
      <c r="M108" s="168"/>
      <c r="N108" s="323">
        <f>'Zero Test'!$AI$30+B108*'Zero Test'!$AI$31+B108^2*'Zero Test'!$AI$32+B108^3*'Zero Test'!$AI$33</f>
        <v>3.6875000000008815</v>
      </c>
      <c r="O108" s="325">
        <f t="shared" si="6"/>
        <v>3.6821806276206215</v>
      </c>
      <c r="P108" s="324">
        <f t="shared" si="7"/>
        <v>3.6928193723811416</v>
      </c>
      <c r="Q108" s="322"/>
      <c r="R108" s="146">
        <f>SUMPRODUCT(A108:E108,'Zero Test'!$BN$43:$BR$43)</f>
        <v>3.6875000000030327</v>
      </c>
      <c r="S108" s="142">
        <f t="shared" si="8"/>
        <v>3.6795783724152078</v>
      </c>
      <c r="T108" s="187">
        <f t="shared" si="9"/>
        <v>3.6954216275908576</v>
      </c>
      <c r="U108" s="142"/>
      <c r="V108" s="153">
        <f>SUMPRODUCT($A108:$B108,'Zero Test'!$P$52:$Q$52)</f>
        <v>-6.9742063492056038E-4</v>
      </c>
      <c r="W108" s="156">
        <f>SUMPRODUCT($A108:$B108,'Zero Test'!$P$53:$Q$53)</f>
        <v>6.6952380952373808E-4</v>
      </c>
      <c r="X108" s="165">
        <f>SUMPRODUCT($A108:$C108,'Zero Test'!$Z$59:$AB$59)</f>
        <v>-5.9523809513802365E-7</v>
      </c>
      <c r="Y108" s="166">
        <f>SUMPRODUCT($A108:$C108,'Zero Test'!$Z$60:$AB$60)</f>
        <v>-8.2142857129047372E-7</v>
      </c>
      <c r="Z108" s="166">
        <f>SUMPRODUCT($A108:$C108,'Zero Test'!$Z$61:$AB$61)</f>
        <v>7.7380952367942634E-7</v>
      </c>
      <c r="AA108" s="342">
        <f>SUMPRODUCT($A108:$D108,'Zero Test'!$AI$59:$AL$59)</f>
        <v>1.9973544970203086E-6</v>
      </c>
      <c r="AB108" s="324">
        <f>SUMPRODUCT($A108:$D108,'Zero Test'!$AI$60:$AL$60)</f>
        <v>-1.2660934742141062E-5</v>
      </c>
      <c r="AC108" s="324">
        <f>SUMPRODUCT($A108:$D108,'Zero Test'!$AI$61:$AL$61)</f>
        <v>7.2552910040719247E-6</v>
      </c>
      <c r="AD108" s="343">
        <f>SUMPRODUCT($A108:$D108,'Zero Test'!$AI$62:$AL$62)</f>
        <v>-8.6419753071899911E-7</v>
      </c>
      <c r="AE108" s="142">
        <f>SUMPRODUCT(A108:E108,'Zero Test'!$BL$59:$BP$59)</f>
        <v>-1.5930249303780031E-6</v>
      </c>
      <c r="AF108" s="142">
        <f>SUMPRODUCT(A108:E108,'Zero Test'!$BL$60:$BP$60)</f>
        <v>5.0352306565004321E-5</v>
      </c>
      <c r="AG108" s="142">
        <f>SUMPRODUCT(A108:E108,'Zero Test'!$BL$61:$BP$61)</f>
        <v>-6.14616681485795E-5</v>
      </c>
      <c r="AH108" s="142">
        <f>SUMPRODUCT(A108:E108,'Zero Test'!$BL$62:$BP$62)</f>
        <v>2.1739225842692857E-5</v>
      </c>
      <c r="AI108" s="144">
        <f>SUMPRODUCT(A108:E108,'Zero Test'!$BL$63:$BP$63)</f>
        <v>-2.273637677721943E-6</v>
      </c>
    </row>
    <row r="109" spans="1:35" ht="18" customHeight="1" x14ac:dyDescent="0.2">
      <c r="A109" s="254">
        <v>1</v>
      </c>
      <c r="B109" s="255">
        <f t="shared" si="12"/>
        <v>4.5999999999999996</v>
      </c>
      <c r="C109" s="256">
        <f t="shared" si="1"/>
        <v>21.159999999999997</v>
      </c>
      <c r="D109" s="335">
        <f t="shared" si="2"/>
        <v>97.33599999999997</v>
      </c>
      <c r="E109" s="257">
        <f t="shared" si="3"/>
        <v>447.74559999999985</v>
      </c>
      <c r="F109" s="189">
        <f>'Zero Test'!$P$27+'Zero Test'!$P$28*'Chart Data'!B109</f>
        <v>3.8166666666666678</v>
      </c>
      <c r="G109" s="154">
        <f t="shared" si="4"/>
        <v>3.7116791429657314</v>
      </c>
      <c r="H109" s="188">
        <f t="shared" si="10"/>
        <v>3.9216541903676041</v>
      </c>
      <c r="I109" s="156"/>
      <c r="J109" s="171">
        <f>'Zero Test'!$Z$30+'Chart Data'!B109*'Zero Test'!$Z$31+'Chart Data'!B109^2*'Zero Test'!$Z$32</f>
        <v>3.7420000000000062</v>
      </c>
      <c r="K109" s="166">
        <f t="shared" si="11"/>
        <v>3.7343870143999527</v>
      </c>
      <c r="L109" s="170">
        <f t="shared" si="5"/>
        <v>3.7496129856000597</v>
      </c>
      <c r="M109" s="168"/>
      <c r="N109" s="323">
        <f>'Zero Test'!$AI$30+B109*'Zero Test'!$AI$31+B109^2*'Zero Test'!$AI$32+B109^3*'Zero Test'!$AI$33</f>
        <v>3.7420000000009179</v>
      </c>
      <c r="O109" s="325">
        <f t="shared" si="6"/>
        <v>3.7366189144306605</v>
      </c>
      <c r="P109" s="324">
        <f t="shared" si="7"/>
        <v>3.7473810855711753</v>
      </c>
      <c r="Q109" s="322"/>
      <c r="R109" s="146">
        <f>SUMPRODUCT(A109:E109,'Zero Test'!$BN$43:$BR$43)</f>
        <v>3.7420000000031228</v>
      </c>
      <c r="S109" s="142">
        <f t="shared" si="8"/>
        <v>3.7344279645928862</v>
      </c>
      <c r="T109" s="187">
        <f t="shared" si="9"/>
        <v>3.7495720354133595</v>
      </c>
      <c r="U109" s="142"/>
      <c r="V109" s="153">
        <f>SUMPRODUCT($A109:$B109,'Zero Test'!$P$52:$Q$52)</f>
        <v>-7.8111111111102719E-4</v>
      </c>
      <c r="W109" s="156">
        <f>SUMPRODUCT($A109:$B109,'Zero Test'!$P$53:$Q$53)</f>
        <v>7.0299999999992493E-4</v>
      </c>
      <c r="X109" s="165">
        <f>SUMPRODUCT($A109:$C109,'Zero Test'!$Z$59:$AB$59)</f>
        <v>-6.7762635780344027E-21</v>
      </c>
      <c r="Y109" s="166">
        <f>SUMPRODUCT($A109:$C109,'Zero Test'!$Z$60:$AB$60)</f>
        <v>-2.1333333329746814E-6</v>
      </c>
      <c r="Z109" s="166">
        <f>SUMPRODUCT($A109:$C109,'Zero Test'!$Z$61:$AB$61)</f>
        <v>1.0666666664873305E-6</v>
      </c>
      <c r="AA109" s="342">
        <f>SUMPRODUCT($A109:$D109,'Zero Test'!$AI$59:$AL$59)</f>
        <v>1.6592592589818964E-6</v>
      </c>
      <c r="AB109" s="324">
        <f>SUMPRODUCT($A109:$D109,'Zero Test'!$AI$60:$AL$60)</f>
        <v>-9.7106172823193488E-6</v>
      </c>
      <c r="AC109" s="324">
        <f>SUMPRODUCT($A109:$D109,'Zero Test'!$AI$61:$AL$61)</f>
        <v>5.2148148139386733E-6</v>
      </c>
      <c r="AD109" s="343">
        <f>SUMPRODUCT($A109:$D109,'Zero Test'!$AI$62:$AL$62)</f>
        <v>-5.5308641966017136E-7</v>
      </c>
      <c r="AE109" s="142">
        <f>SUMPRODUCT(A109:E109,'Zero Test'!$BL$59:$BP$59)</f>
        <v>-1.5562392183964989E-6</v>
      </c>
      <c r="AF109" s="142">
        <f>SUMPRODUCT(A109:E109,'Zero Test'!$BL$60:$BP$60)</f>
        <v>4.6641592512329175E-5</v>
      </c>
      <c r="AG109" s="142">
        <f>SUMPRODUCT(A109:E109,'Zero Test'!$BL$61:$BP$61)</f>
        <v>-5.6167517840041876E-5</v>
      </c>
      <c r="AH109" s="142">
        <f>SUMPRODUCT(A109:E109,'Zero Test'!$BL$62:$BP$62)</f>
        <v>1.9607975976541382E-5</v>
      </c>
      <c r="AI109" s="144">
        <f>SUMPRODUCT(A109:E109,'Zero Test'!$BL$63:$BP$63)</f>
        <v>-2.0246152574637842E-6</v>
      </c>
    </row>
    <row r="110" spans="1:35" ht="18" customHeight="1" x14ac:dyDescent="0.2">
      <c r="A110" s="254">
        <v>1</v>
      </c>
      <c r="B110" s="255">
        <f t="shared" si="12"/>
        <v>4.6999999999999993</v>
      </c>
      <c r="C110" s="256">
        <f t="shared" si="1"/>
        <v>22.089999999999993</v>
      </c>
      <c r="D110" s="335">
        <f t="shared" si="2"/>
        <v>103.82299999999995</v>
      </c>
      <c r="E110" s="257">
        <f t="shared" si="3"/>
        <v>487.96809999999965</v>
      </c>
      <c r="F110" s="189">
        <f>'Zero Test'!$P$27+'Zero Test'!$P$28*'Chart Data'!B110</f>
        <v>3.8916666666666675</v>
      </c>
      <c r="G110" s="154">
        <f t="shared" si="4"/>
        <v>3.7836422226101565</v>
      </c>
      <c r="H110" s="188">
        <f t="shared" si="10"/>
        <v>3.9996911107231785</v>
      </c>
      <c r="I110" s="156"/>
      <c r="J110" s="171">
        <f>'Zero Test'!$Z$30+'Chart Data'!B110*'Zero Test'!$Z$31+'Chart Data'!B110^2*'Zero Test'!$Z$32</f>
        <v>3.7955000000000063</v>
      </c>
      <c r="K110" s="166">
        <f t="shared" si="11"/>
        <v>3.7873943307627047</v>
      </c>
      <c r="L110" s="170">
        <f t="shared" si="5"/>
        <v>3.8036056692373079</v>
      </c>
      <c r="M110" s="168"/>
      <c r="N110" s="323">
        <f>'Zero Test'!$AI$30+B110*'Zero Test'!$AI$31+B110^2*'Zero Test'!$AI$32+B110^3*'Zero Test'!$AI$33</f>
        <v>3.7955000000009549</v>
      </c>
      <c r="O110" s="325">
        <f t="shared" si="6"/>
        <v>3.7899137449300855</v>
      </c>
      <c r="P110" s="324">
        <f t="shared" si="7"/>
        <v>3.8010862550718243</v>
      </c>
      <c r="Q110" s="322"/>
      <c r="R110" s="146">
        <f>SUMPRODUCT(A110:E110,'Zero Test'!$BN$43:$BR$43)</f>
        <v>3.7955000000032024</v>
      </c>
      <c r="S110" s="142">
        <f t="shared" si="8"/>
        <v>3.7883174923944138</v>
      </c>
      <c r="T110" s="187">
        <f t="shared" si="9"/>
        <v>3.802682507611991</v>
      </c>
      <c r="U110" s="142"/>
      <c r="V110" s="153">
        <f>SUMPRODUCT($A110:$B110,'Zero Test'!$P$52:$Q$52)</f>
        <v>-8.6480158730149444E-4</v>
      </c>
      <c r="W110" s="156">
        <f>SUMPRODUCT($A110:$B110,'Zero Test'!$P$53:$Q$53)</f>
        <v>7.3647619047611157E-4</v>
      </c>
      <c r="X110" s="165">
        <f>SUMPRODUCT($A110:$C110,'Zero Test'!$Z$59:$AB$59)</f>
        <v>6.4285714274904901E-7</v>
      </c>
      <c r="Y110" s="166">
        <f>SUMPRODUCT($A110:$C110,'Zero Test'!$Z$60:$AB$60)</f>
        <v>-3.5166666660754102E-6</v>
      </c>
      <c r="Z110" s="166">
        <f>SUMPRODUCT($A110:$C110,'Zero Test'!$Z$61:$AB$61)</f>
        <v>1.3738095235785525E-6</v>
      </c>
      <c r="AA110" s="342">
        <f>SUMPRODUCT($A110:$D110,'Zero Test'!$AI$59:$AL$59)</f>
        <v>1.2132275130250923E-6</v>
      </c>
      <c r="AB110" s="324">
        <f>SUMPRODUCT($A110:$D110,'Zero Test'!$AI$60:$AL$60)</f>
        <v>-6.1213580236631161E-6</v>
      </c>
      <c r="AC110" s="324">
        <f>SUMPRODUCT($A110:$D110,'Zero Test'!$AI$61:$AL$61)</f>
        <v>2.7997354492650711E-6</v>
      </c>
      <c r="AD110" s="343">
        <f>SUMPRODUCT($A110:$D110,'Zero Test'!$AI$62:$AL$62)</f>
        <v>-1.901234567582E-7</v>
      </c>
      <c r="AE110" s="142">
        <f>SUMPRODUCT(A110:E110,'Zero Test'!$BL$59:$BP$59)</f>
        <v>-1.3916330016217147E-6</v>
      </c>
      <c r="AF110" s="142">
        <f>SUMPRODUCT(A110:E110,'Zero Test'!$BL$60:$BP$60)</f>
        <v>3.9462075258706042E-5</v>
      </c>
      <c r="AG110" s="142">
        <f>SUMPRODUCT(A110:E110,'Zero Test'!$BL$61:$BP$61)</f>
        <v>-4.678410496781072E-5</v>
      </c>
      <c r="AH110" s="142">
        <f>SUMPRODUCT(A110:E110,'Zero Test'!$BL$62:$BP$62)</f>
        <v>1.6064439874298973E-5</v>
      </c>
      <c r="AI110" s="144">
        <f>SUMPRODUCT(A110:E110,'Zero Test'!$BL$63:$BP$63)</f>
        <v>-1.628381307989434E-6</v>
      </c>
    </row>
    <row r="111" spans="1:35" ht="18" customHeight="1" x14ac:dyDescent="0.2">
      <c r="A111" s="254">
        <v>1</v>
      </c>
      <c r="B111" s="255">
        <f t="shared" si="12"/>
        <v>4.7999999999999989</v>
      </c>
      <c r="C111" s="256">
        <f t="shared" si="1"/>
        <v>23.039999999999988</v>
      </c>
      <c r="D111" s="335">
        <f t="shared" si="2"/>
        <v>110.59199999999991</v>
      </c>
      <c r="E111" s="257">
        <f t="shared" si="3"/>
        <v>530.84159999999952</v>
      </c>
      <c r="F111" s="189">
        <f>'Zero Test'!$P$27+'Zero Test'!$P$28*'Chart Data'!B111</f>
        <v>3.9666666666666672</v>
      </c>
      <c r="G111" s="154">
        <f t="shared" si="4"/>
        <v>3.8555528993631079</v>
      </c>
      <c r="H111" s="188">
        <f t="shared" si="10"/>
        <v>4.0777804339702266</v>
      </c>
      <c r="I111" s="156"/>
      <c r="J111" s="171">
        <f>'Zero Test'!$Z$30+'Chart Data'!B111*'Zero Test'!$Z$31+'Chart Data'!B111^2*'Zero Test'!$Z$32</f>
        <v>3.8480000000000065</v>
      </c>
      <c r="K111" s="166">
        <f t="shared" si="11"/>
        <v>3.8393344682351906</v>
      </c>
      <c r="L111" s="170">
        <f t="shared" si="5"/>
        <v>3.8566655317648224</v>
      </c>
      <c r="M111" s="168"/>
      <c r="N111" s="323">
        <f>'Zero Test'!$AI$30+B111*'Zero Test'!$AI$31+B111^2*'Zero Test'!$AI$32+B111^3*'Zero Test'!$AI$33</f>
        <v>3.848000000000992</v>
      </c>
      <c r="O111" s="325">
        <f t="shared" si="6"/>
        <v>3.8420234116047203</v>
      </c>
      <c r="P111" s="324">
        <f t="shared" si="7"/>
        <v>3.8539765883972636</v>
      </c>
      <c r="Q111" s="322"/>
      <c r="R111" s="146">
        <f>SUMPRODUCT(A111:E111,'Zero Test'!$BN$43:$BR$43)</f>
        <v>3.8480000000032697</v>
      </c>
      <c r="S111" s="142">
        <f t="shared" si="8"/>
        <v>3.8410663739893249</v>
      </c>
      <c r="T111" s="187">
        <f t="shared" si="9"/>
        <v>3.8549336260172145</v>
      </c>
      <c r="U111" s="142"/>
      <c r="V111" s="153">
        <f>SUMPRODUCT($A111:$B111,'Zero Test'!$P$52:$Q$52)</f>
        <v>-9.4849206349196082E-4</v>
      </c>
      <c r="W111" s="156">
        <f>SUMPRODUCT($A111:$B111,'Zero Test'!$P$53:$Q$53)</f>
        <v>7.6995238095229842E-4</v>
      </c>
      <c r="X111" s="165">
        <f>SUMPRODUCT($A111:$C111,'Zero Test'!$Z$59:$AB$59)</f>
        <v>1.3333333331091505E-6</v>
      </c>
      <c r="Y111" s="166">
        <f>SUMPRODUCT($A111:$C111,'Zero Test'!$Z$60:$AB$60)</f>
        <v>-4.9714285705927414E-6</v>
      </c>
      <c r="Z111" s="166">
        <f>SUMPRODUCT($A111:$C111,'Zero Test'!$Z$61:$AB$61)</f>
        <v>1.6952380949530804E-6</v>
      </c>
      <c r="AA111" s="342">
        <f>SUMPRODUCT($A111:$D111,'Zero Test'!$AI$59:$AL$59)</f>
        <v>6.5185185174371652E-7</v>
      </c>
      <c r="AB111" s="324">
        <f>SUMPRODUCT($A111:$D111,'Zero Test'!$AI$60:$AL$60)</f>
        <v>-1.8593298056841703E-6</v>
      </c>
      <c r="AC111" s="324">
        <f>SUMPRODUCT($A111:$D111,'Zero Test'!$AI$61:$AL$61)</f>
        <v>-8.4656084640738656E-9</v>
      </c>
      <c r="AD111" s="343">
        <f>SUMPRODUCT($A111:$D111,'Zero Test'!$AI$62:$AL$62)</f>
        <v>2.2716049378895684E-7</v>
      </c>
      <c r="AE111" s="142">
        <f>SUMPRODUCT(A111:E111,'Zero Test'!$BL$59:$BP$59)</f>
        <v>-1.0746763670639158E-6</v>
      </c>
      <c r="AF111" s="142">
        <f>SUMPRODUCT(A111:E111,'Zero Test'!$BL$60:$BP$60)</f>
        <v>2.8301504124044266E-5</v>
      </c>
      <c r="AG111" s="142">
        <f>SUMPRODUCT(A111:E111,'Zero Test'!$BL$61:$BP$61)</f>
        <v>-3.2740168883994315E-5</v>
      </c>
      <c r="AH111" s="142">
        <f>SUMPRODUCT(A111:E111,'Zero Test'!$BL$62:$BP$62)</f>
        <v>1.09185178328048E-5</v>
      </c>
      <c r="AI111" s="144">
        <f>SUMPRODUCT(A111:E111,'Zero Test'!$BL$63:$BP$63)</f>
        <v>-1.0656409587156727E-6</v>
      </c>
    </row>
    <row r="112" spans="1:35" ht="18" customHeight="1" x14ac:dyDescent="0.2">
      <c r="A112" s="254">
        <v>1</v>
      </c>
      <c r="B112" s="255">
        <f t="shared" si="12"/>
        <v>4.8999999999999986</v>
      </c>
      <c r="C112" s="256">
        <f t="shared" si="1"/>
        <v>24.009999999999987</v>
      </c>
      <c r="D112" s="335">
        <f t="shared" si="2"/>
        <v>117.6489999999999</v>
      </c>
      <c r="E112" s="257">
        <f t="shared" si="3"/>
        <v>576.48009999999942</v>
      </c>
      <c r="F112" s="189">
        <f>'Zero Test'!$P$27+'Zero Test'!$P$28*'Chart Data'!B112</f>
        <v>4.041666666666667</v>
      </c>
      <c r="G112" s="154">
        <f t="shared" si="4"/>
        <v>3.9274154240262984</v>
      </c>
      <c r="H112" s="188">
        <f t="shared" si="10"/>
        <v>4.1559179093070355</v>
      </c>
      <c r="I112" s="156"/>
      <c r="J112" s="171">
        <f>'Zero Test'!$Z$30+'Chart Data'!B112*'Zero Test'!$Z$31+'Chart Data'!B112^2*'Zero Test'!$Z$32</f>
        <v>3.8995000000000064</v>
      </c>
      <c r="K112" s="166">
        <f t="shared" si="11"/>
        <v>3.8902101408153662</v>
      </c>
      <c r="L112" s="170">
        <f t="shared" si="5"/>
        <v>3.9087898591846466</v>
      </c>
      <c r="M112" s="168"/>
      <c r="N112" s="323">
        <f>'Zero Test'!$AI$30+B112*'Zero Test'!$AI$31+B112^2*'Zero Test'!$AI$32+B112^3*'Zero Test'!$AI$33</f>
        <v>3.8995000000010309</v>
      </c>
      <c r="O112" s="325">
        <f t="shared" si="6"/>
        <v>3.8929192900694733</v>
      </c>
      <c r="P112" s="324">
        <f t="shared" si="7"/>
        <v>3.9060807099325885</v>
      </c>
      <c r="Q112" s="322"/>
      <c r="R112" s="146">
        <f>SUMPRODUCT(A112:E112,'Zero Test'!$BN$43:$BR$43)</f>
        <v>3.8995000000033233</v>
      </c>
      <c r="S112" s="142">
        <f t="shared" si="8"/>
        <v>3.8923649574094066</v>
      </c>
      <c r="T112" s="187">
        <f t="shared" si="9"/>
        <v>3.90663504259724</v>
      </c>
      <c r="U112" s="142"/>
      <c r="V112" s="153">
        <f>SUMPRODUCT($A112:$B112,'Zero Test'!$P$52:$Q$52)</f>
        <v>-1.0321825396824281E-3</v>
      </c>
      <c r="W112" s="156">
        <f>SUMPRODUCT($A112:$B112,'Zero Test'!$P$53:$Q$53)</f>
        <v>8.0342857142848528E-4</v>
      </c>
      <c r="X112" s="165">
        <f>SUMPRODUCT($A112:$C112,'Zero Test'!$Z$59:$AB$59)</f>
        <v>2.0714285710802976E-6</v>
      </c>
      <c r="Y112" s="166">
        <f>SUMPRODUCT($A112:$C112,'Zero Test'!$Z$60:$AB$60)</f>
        <v>-6.4976190465266208E-6</v>
      </c>
      <c r="Z112" s="166">
        <f>SUMPRODUCT($A112:$C112,'Zero Test'!$Z$61:$AB$61)</f>
        <v>2.0309523806109261E-6</v>
      </c>
      <c r="AA112" s="342">
        <f>SUMPRODUCT($A112:$D112,'Zero Test'!$AI$59:$AL$59)</f>
        <v>-3.2275132268302443E-8</v>
      </c>
      <c r="AB112" s="324">
        <f>SUMPRODUCT($A112:$D112,'Zero Test'!$AI$60:$AL$60)</f>
        <v>3.1092945321053566E-6</v>
      </c>
      <c r="AC112" s="324">
        <f>SUMPRODUCT($A112:$D112,'Zero Test'!$AI$61:$AL$61)</f>
        <v>-3.228306877764279E-6</v>
      </c>
      <c r="AD112" s="343">
        <f>SUMPRODUCT($A112:$D112,'Zero Test'!$AI$62:$AL$62)</f>
        <v>7.0123456778336136E-7</v>
      </c>
      <c r="AE112" s="142">
        <f>SUMPRODUCT(A112:E112,'Zero Test'!$BL$59:$BP$59)</f>
        <v>-5.793009402922265E-7</v>
      </c>
      <c r="AF112" s="142">
        <f>SUMPRODUCT(A112:E112,'Zero Test'!$BL$60:$BP$60)</f>
        <v>1.262198740424169E-5</v>
      </c>
      <c r="AG112" s="142">
        <f>SUMPRODUCT(A112:E112,'Zero Test'!$BL$61:$BP$61)</f>
        <v>-1.3436884839884873E-5</v>
      </c>
      <c r="AH112" s="142">
        <f>SUMPRODUCT(A112:E112,'Zero Test'!$BL$62:$BP$62)</f>
        <v>3.9711357904884115E-6</v>
      </c>
      <c r="AI112" s="144">
        <f>SUMPRODUCT(A112:E112,'Zero Test'!$BL$63:$BP$63)</f>
        <v>-3.162019032184704E-7</v>
      </c>
    </row>
    <row r="113" spans="1:35" ht="18" customHeight="1" x14ac:dyDescent="0.2">
      <c r="A113" s="258">
        <v>1</v>
      </c>
      <c r="B113" s="259">
        <f>B112+0.02*($A$7-$B$63)</f>
        <v>4.9999999999999982</v>
      </c>
      <c r="C113" s="260">
        <f t="shared" si="1"/>
        <v>24.999999999999982</v>
      </c>
      <c r="D113" s="333">
        <f t="shared" si="2"/>
        <v>124.99999999999987</v>
      </c>
      <c r="E113" s="261">
        <f t="shared" si="3"/>
        <v>624.99999999999909</v>
      </c>
      <c r="F113" s="190">
        <f>'Zero Test'!$P$27+'Zero Test'!$P$28*'Chart Data'!B113</f>
        <v>4.1166666666666671</v>
      </c>
      <c r="G113" s="242">
        <f t="shared" si="4"/>
        <v>3.9992336559960946</v>
      </c>
      <c r="H113" s="192">
        <f t="shared" si="10"/>
        <v>4.2340996773372392</v>
      </c>
      <c r="I113" s="157"/>
      <c r="J113" s="172">
        <f>'Zero Test'!$Z$30+'Chart Data'!B113*'Zero Test'!$Z$31+'Chart Data'!B113^2*'Zero Test'!$Z$32</f>
        <v>3.9500000000000064</v>
      </c>
      <c r="K113" s="173">
        <f t="shared" si="11"/>
        <v>3.9400242782916086</v>
      </c>
      <c r="L113" s="191">
        <f t="shared" si="5"/>
        <v>3.9599757217084042</v>
      </c>
      <c r="M113" s="174"/>
      <c r="N113" s="326">
        <f>'Zero Test'!$AI$30+B113*'Zero Test'!$AI$31+B113^2*'Zero Test'!$AI$32+B113^3*'Zero Test'!$AI$33</f>
        <v>3.9500000000010713</v>
      </c>
      <c r="O113" s="327">
        <f t="shared" si="6"/>
        <v>3.9425888802391325</v>
      </c>
      <c r="P113" s="328">
        <f t="shared" si="7"/>
        <v>3.9574111197630102</v>
      </c>
      <c r="Q113" s="329"/>
      <c r="R113" s="147">
        <f>SUMPRODUCT(A113:E113,'Zero Test'!$BN$43:$BR$43)</f>
        <v>3.9500000000033628</v>
      </c>
      <c r="S113" s="148">
        <f t="shared" si="8"/>
        <v>3.9418631027874498</v>
      </c>
      <c r="T113" s="193">
        <f t="shared" si="9"/>
        <v>3.9581368972192759</v>
      </c>
      <c r="U113" s="148"/>
      <c r="V113" s="264">
        <f>SUMPRODUCT($A113:$B113,'Zero Test'!$P$52:$Q$52)</f>
        <v>-1.1158730158728953E-3</v>
      </c>
      <c r="W113" s="157">
        <f>SUMPRODUCT($A113:$B113,'Zero Test'!$P$53:$Q$53)</f>
        <v>8.3690476190467192E-4</v>
      </c>
      <c r="X113" s="274">
        <f>SUMPRODUCT($A113:$C113,'Zero Test'!$Z$59:$AB$59)</f>
        <v>2.8571428566624972E-6</v>
      </c>
      <c r="Y113" s="173">
        <f>SUMPRODUCT($A113:$C113,'Zero Test'!$Z$60:$AB$60)</f>
        <v>-8.0952380938770755E-6</v>
      </c>
      <c r="Z113" s="173">
        <f>SUMPRODUCT($A113:$C113,'Zero Test'!$Z$61:$AB$61)</f>
        <v>2.380952380552081E-6</v>
      </c>
      <c r="AA113" s="344">
        <f>SUMPRODUCT($A113:$D113,'Zero Test'!$AI$59:$AL$59)</f>
        <v>-8.4656084641719859E-7</v>
      </c>
      <c r="AB113" s="328">
        <f>SUMPRODUCT($A113:$D113,'Zero Test'!$AI$60:$AL$60)</f>
        <v>8.8183421501936577E-6</v>
      </c>
      <c r="AC113" s="328">
        <f>SUMPRODUCT($A113:$D113,'Zero Test'!$AI$61:$AL$61)</f>
        <v>-6.8783068771510075E-6</v>
      </c>
      <c r="AD113" s="345">
        <f>SUMPRODUCT($A113:$D113,'Zero Test'!$AI$62:$AL$62)</f>
        <v>1.2345679010270758E-6</v>
      </c>
      <c r="AE113" s="148">
        <f>SUMPRODUCT(A113:E113,'Zero Test'!$BL$59:$BP$59)</f>
        <v>1.2210011456656282E-7</v>
      </c>
      <c r="AF113" s="148">
        <f>SUMPRODUCT(A113:E113,'Zero Test'!$BL$60:$BP$60)</f>
        <v>-8.1400076288457024E-6</v>
      </c>
      <c r="AG113" s="148">
        <f>SUMPRODUCT(A113:E113,'Zero Test'!$BL$61:$BP$61)</f>
        <v>1.1752136014069221E-5</v>
      </c>
      <c r="AH113" s="148">
        <f>SUMPRODUCT(A113:E113,'Zero Test'!$BL$62:$BP$62)</f>
        <v>-4.985754672635033E-6</v>
      </c>
      <c r="AI113" s="275">
        <f>SUMPRODUCT(A113:E113,'Zero Test'!$BL$63:$BP$63)</f>
        <v>6.4102560076744657E-7</v>
      </c>
    </row>
  </sheetData>
  <sheetProtection sheet="1" objects="1"/>
  <phoneticPr fontId="27" type="noConversion"/>
  <pageMargins left="0.75" right="0.75" top="0.17" bottom="0.23" header="0.17" footer="0.18"/>
  <pageSetup scale="27" orientation="landscape" r:id="rId1"/>
  <headerFooter alignWithMargins="0">
    <oddFooter>&amp;L&amp;F&amp;CPage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Readme</vt:lpstr>
      <vt:lpstr>Zero Test</vt:lpstr>
      <vt:lpstr>Chart Data</vt:lpstr>
      <vt:lpstr>Curves 1</vt:lpstr>
      <vt:lpstr>Residuals 1</vt:lpstr>
      <vt:lpstr>Curves 2</vt:lpstr>
      <vt:lpstr>Residuals 2</vt:lpstr>
      <vt:lpstr>Curves 3</vt:lpstr>
      <vt:lpstr>Residuals 3</vt:lpstr>
      <vt:lpstr>Curves 4</vt:lpstr>
      <vt:lpstr>Residuals 4</vt:lpstr>
      <vt:lpstr>conc</vt:lpstr>
      <vt:lpstr>df</vt:lpstr>
      <vt:lpstr>n</vt:lpstr>
      <vt:lpstr>nn</vt:lpstr>
      <vt:lpstr>p</vt:lpstr>
      <vt:lpstr>'Zero Test'!Print_Area</vt:lpstr>
      <vt:lpstr>t</vt:lpstr>
      <vt:lpstr>X</vt:lpstr>
      <vt:lpstr>xcubed</vt:lpstr>
      <vt:lpstr>xsquared</vt:lpstr>
      <vt:lpstr>xx</vt:lpstr>
      <vt:lpstr>Y</vt:lpstr>
      <vt:lpstr>zeroX</vt:lpstr>
      <vt:lpstr>zeroY</vt:lpstr>
    </vt:vector>
  </TitlesOfParts>
  <Company>Research Triangle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Calibration of Measurement System</dc:title>
  <dc:subject>Traceability Ptotocol - Calibration</dc:subject>
  <dc:creator>Michael Messner, RTI</dc:creator>
  <cp:keywords>Calibration, Traceability, Regression</cp:keywords>
  <dc:description>Linear, quadratic, cubic, and quartic models are supported.  Uncertainty of candidate standards is predicted.  Candidate standards are assayed and their concentrations are estimated, together with 95% uncertainty estimates.</dc:description>
  <cp:lastModifiedBy>Robert S Wright</cp:lastModifiedBy>
  <cp:lastPrinted>2005-12-13T20:00:26Z</cp:lastPrinted>
  <dcterms:created xsi:type="dcterms:W3CDTF">1997-09-17T17:03:37Z</dcterms:created>
  <dcterms:modified xsi:type="dcterms:W3CDTF">2016-03-01T15:04:07Z</dcterms:modified>
</cp:coreProperties>
</file>