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bhagat\Documents\Kari\OAR\MOVES\E89 Fuel effects study\"/>
    </mc:Choice>
  </mc:AlternateContent>
  <bookViews>
    <workbookView xWindow="240" yWindow="30" windowWidth="12315" windowHeight="7935"/>
  </bookViews>
  <sheets>
    <sheet name="ReadMe" sheetId="4" r:id="rId1"/>
    <sheet name="Calculator" sheetId="3" r:id="rId2"/>
    <sheet name="Models" sheetId="1" r:id="rId3"/>
  </sheets>
  <definedNames>
    <definedName name="coeffs" comment="sets of coefficients for EPAct models">Models!$D$4:$O$30</definedName>
    <definedName name="ModelList1">Models!$A$6:$A$30</definedName>
    <definedName name="ModelList2">Models!$B$6:$B$30</definedName>
    <definedName name="models">Models!$D$4:$O$30</definedName>
  </definedNames>
  <calcPr calcId="152511"/>
</workbook>
</file>

<file path=xl/calcChain.xml><?xml version="1.0" encoding="utf-8"?>
<calcChain xmlns="http://schemas.openxmlformats.org/spreadsheetml/2006/main">
  <c r="J6" i="3" l="1"/>
  <c r="J7" i="3"/>
  <c r="J8" i="3"/>
  <c r="J9" i="3"/>
  <c r="J10" i="3"/>
  <c r="J11" i="3"/>
  <c r="J12" i="3"/>
  <c r="J13" i="3"/>
  <c r="J14" i="3"/>
  <c r="J15" i="3"/>
  <c r="J5" i="3"/>
  <c r="I6" i="3"/>
  <c r="I7" i="3"/>
  <c r="I8" i="3"/>
  <c r="I9" i="3"/>
  <c r="I10" i="3"/>
  <c r="I11" i="3"/>
  <c r="I12" i="3"/>
  <c r="I13" i="3"/>
  <c r="I14" i="3"/>
  <c r="I15" i="3"/>
  <c r="I5" i="3"/>
  <c r="E5" i="1"/>
  <c r="F5" i="1" s="1"/>
  <c r="G5" i="1" s="1"/>
  <c r="H5" i="1" s="1"/>
  <c r="I5" i="1" s="1"/>
  <c r="J5" i="1" s="1"/>
  <c r="K5" i="1" s="1"/>
  <c r="L5" i="1" s="1"/>
  <c r="M5" i="1" s="1"/>
  <c r="N5" i="1" s="1"/>
  <c r="O5" i="1" s="1"/>
  <c r="K9" i="3" l="1"/>
  <c r="K7" i="3"/>
  <c r="K5" i="3"/>
  <c r="K10" i="3" s="1"/>
  <c r="L8" i="3"/>
  <c r="L11" i="3" s="1"/>
  <c r="L6" i="3"/>
  <c r="K6" i="3"/>
  <c r="K8" i="3"/>
  <c r="K11" i="3" s="1"/>
  <c r="L5" i="3"/>
  <c r="L7" i="3"/>
  <c r="L9" i="3"/>
  <c r="M16" i="3"/>
  <c r="K12" i="3" l="1"/>
  <c r="K15" i="3"/>
  <c r="K13" i="3"/>
  <c r="L13" i="3"/>
  <c r="L15" i="3"/>
  <c r="L10" i="3"/>
  <c r="L12" i="3"/>
  <c r="L14" i="3"/>
  <c r="K14" i="3"/>
  <c r="O16" i="3"/>
  <c r="N16" i="3"/>
  <c r="M5" i="3" l="1"/>
  <c r="M6" i="3" l="1"/>
  <c r="O5" i="3"/>
  <c r="N5" i="3"/>
  <c r="D22" i="3" l="1"/>
  <c r="M7" i="3"/>
  <c r="O6" i="3"/>
  <c r="N6" i="3"/>
  <c r="D23" i="3" l="1"/>
  <c r="M8" i="3"/>
  <c r="N7" i="3"/>
  <c r="O7" i="3"/>
  <c r="D24" i="3" l="1"/>
  <c r="N8" i="3"/>
  <c r="O8" i="3"/>
  <c r="M9" i="3"/>
  <c r="D25" i="3" l="1"/>
  <c r="M10" i="3"/>
  <c r="N9" i="3"/>
  <c r="O9" i="3"/>
  <c r="D26" i="3" l="1"/>
  <c r="N10" i="3"/>
  <c r="O10" i="3"/>
  <c r="M11" i="3"/>
  <c r="D27" i="3" l="1"/>
  <c r="M12" i="3"/>
  <c r="N11" i="3"/>
  <c r="O11" i="3"/>
  <c r="D28" i="3" l="1"/>
  <c r="M13" i="3"/>
  <c r="N12" i="3"/>
  <c r="O12" i="3"/>
  <c r="D29" i="3" l="1"/>
  <c r="M14" i="3"/>
  <c r="N13" i="3"/>
  <c r="O13" i="3"/>
  <c r="D30" i="3" l="1"/>
  <c r="M15" i="3"/>
  <c r="N14" i="3"/>
  <c r="O14" i="3"/>
  <c r="O15" i="3" l="1"/>
  <c r="D31" i="3"/>
  <c r="N15" i="3"/>
  <c r="B16" i="3" l="1"/>
  <c r="D32" i="3"/>
  <c r="D33" i="3" s="1"/>
</calcChain>
</file>

<file path=xl/sharedStrings.xml><?xml version="1.0" encoding="utf-8"?>
<sst xmlns="http://schemas.openxmlformats.org/spreadsheetml/2006/main" count="151" uniqueCount="79">
  <si>
    <t>Intercept</t>
  </si>
  <si>
    <t>RVP</t>
  </si>
  <si>
    <t>T50</t>
  </si>
  <si>
    <t>T90</t>
  </si>
  <si>
    <t>Full</t>
  </si>
  <si>
    <t>Reduced</t>
  </si>
  <si>
    <t>Ethanol</t>
  </si>
  <si>
    <t>Units</t>
  </si>
  <si>
    <t>vol.%</t>
  </si>
  <si>
    <t>psi</t>
  </si>
  <si>
    <t>deg.F</t>
  </si>
  <si>
    <t>Term</t>
  </si>
  <si>
    <t>T50*T50</t>
  </si>
  <si>
    <t>Mean</t>
  </si>
  <si>
    <t>StdDev</t>
  </si>
  <si>
    <t>Base</t>
  </si>
  <si>
    <t>EtOH</t>
  </si>
  <si>
    <t>Arom</t>
  </si>
  <si>
    <t>EtOH*EtOH</t>
  </si>
  <si>
    <t>EtOH*RVP</t>
  </si>
  <si>
    <t>EtOH*T50</t>
  </si>
  <si>
    <t>EtOH*T90</t>
  </si>
  <si>
    <t>EtOH*Arom</t>
  </si>
  <si>
    <t>Base Fuel</t>
  </si>
  <si>
    <t>Fuel Properties</t>
  </si>
  <si>
    <t>Test Fuel</t>
  </si>
  <si>
    <t>Fuel Property Standardization</t>
  </si>
  <si>
    <t>Model Calculations</t>
  </si>
  <si>
    <t>Aromatics</t>
  </si>
  <si>
    <t>Test</t>
  </si>
  <si>
    <t>Plot Calculations</t>
  </si>
  <si>
    <t>Property</t>
  </si>
  <si>
    <t>THC_bag1</t>
  </si>
  <si>
    <t>THC_bag2</t>
  </si>
  <si>
    <t>CH4_bag1</t>
  </si>
  <si>
    <t>CH4_bag2</t>
  </si>
  <si>
    <t>NMOG_bag1</t>
  </si>
  <si>
    <t>NMOG_bag2</t>
  </si>
  <si>
    <t>CO_bag1</t>
  </si>
  <si>
    <t>CO_bag2</t>
  </si>
  <si>
    <t>NOx_bag1</t>
  </si>
  <si>
    <t>NOx_bag2</t>
  </si>
  <si>
    <t>PM_bag1</t>
  </si>
  <si>
    <t>PM_bag2</t>
  </si>
  <si>
    <t>Standardized Fuel Parameters</t>
  </si>
  <si>
    <t>Model name</t>
  </si>
  <si>
    <t>Fuel matrix</t>
  </si>
  <si>
    <t>Acetaldehyde_bag1</t>
  </si>
  <si>
    <t>Acetaldehyde_bag2</t>
  </si>
  <si>
    <t>Formaldehyde_bag1</t>
  </si>
  <si>
    <t>Formaldehyde_bag2</t>
  </si>
  <si>
    <t>Acrolein_bag1</t>
  </si>
  <si>
    <t>Ethanol_bag1</t>
  </si>
  <si>
    <t>Ethanol_bag2</t>
  </si>
  <si>
    <t>Benzene_bag1</t>
  </si>
  <si>
    <t>1,3-Butadiene_bag1</t>
  </si>
  <si>
    <t>Ethane_bag1</t>
  </si>
  <si>
    <t>Ethane_bag2</t>
  </si>
  <si>
    <t>Statistic</t>
  </si>
  <si>
    <t>StDev</t>
  </si>
  <si>
    <t>Sum</t>
  </si>
  <si>
    <t>β</t>
  </si>
  <si>
    <r>
      <t>Model Coefficients (</t>
    </r>
    <r>
      <rPr>
        <b/>
        <sz val="11"/>
        <color theme="1"/>
        <rFont val="Symbol"/>
        <family val="1"/>
        <charset val="2"/>
      </rPr>
      <t>b</t>
    </r>
    <r>
      <rPr>
        <b/>
        <sz val="11"/>
        <color theme="1"/>
        <rFont val="Calibri"/>
        <family val="2"/>
        <scheme val="minor"/>
      </rPr>
      <t>)</t>
    </r>
  </si>
  <si>
    <r>
      <rPr>
        <b/>
        <i/>
        <sz val="11"/>
        <color theme="1" tint="0.34998626667073579"/>
        <rFont val="Calibri"/>
        <family val="2"/>
        <scheme val="minor"/>
      </rPr>
      <t>Z</t>
    </r>
    <r>
      <rPr>
        <b/>
        <vertAlign val="subscript"/>
        <sz val="11"/>
        <color theme="1" tint="0.34998626667073579"/>
        <rFont val="Calibri"/>
        <family val="2"/>
        <scheme val="minor"/>
      </rPr>
      <t>base</t>
    </r>
  </si>
  <si>
    <r>
      <rPr>
        <b/>
        <i/>
        <sz val="11"/>
        <color theme="1" tint="0.34998626667073579"/>
        <rFont val="Calibri"/>
        <family val="2"/>
        <scheme val="minor"/>
      </rPr>
      <t>Z</t>
    </r>
    <r>
      <rPr>
        <b/>
        <vertAlign val="subscript"/>
        <sz val="11"/>
        <color theme="1" tint="0.34998626667073579"/>
        <rFont val="Calibri"/>
        <family val="2"/>
        <scheme val="minor"/>
      </rPr>
      <t>test</t>
    </r>
  </si>
  <si>
    <t>Predicted emission difference for Test vs. Base fuel:</t>
  </si>
  <si>
    <t xml:space="preserve">Model coefficients were taken from Tables ES-1 through ES-4, and standardized fuel parameters from Table 7, of EPA-420-R-13-002.  </t>
  </si>
  <si>
    <r>
      <t xml:space="preserve">EPAct Model Calculator for Tier 2 Exhaust Fuel Effects </t>
    </r>
    <r>
      <rPr>
        <b/>
        <i/>
        <sz val="10"/>
        <color theme="1"/>
        <rFont val="Calibri"/>
        <family val="2"/>
        <scheme val="minor"/>
      </rPr>
      <t>(Edit values in pink cells)</t>
    </r>
  </si>
  <si>
    <t>NMHC_bag1</t>
  </si>
  <si>
    <t>NMHC_bag2</t>
  </si>
  <si>
    <t>Range</t>
  </si>
  <si>
    <t>0-20%</t>
  </si>
  <si>
    <t>15-35%</t>
  </si>
  <si>
    <t>7-10 psi</t>
  </si>
  <si>
    <t>150-240F</t>
  </si>
  <si>
    <t>300-340F</t>
  </si>
  <si>
    <t>Emission model:</t>
  </si>
  <si>
    <t xml:space="preserve">This calculator applies the fuel effects models described in the Executive Summary of this report: "Assessing the Effect of Five Gasoline Properties on Exhaust Emissions from Light-Duty Vehicles Certified to Tier-2 Standards, Analysis of Data from EPAct Phase 3", document number EPA-420-R-13-002.  Reports and data are available in the Tier 3 docket and at the following Web address: http://www.epa.gov/otaq/models/moves/epact.htm
Models labeled as "_bag1" represent "Cold-start" emissions, based on results for Bag 1 of the LA92 cycle.  Similarly, those labeled as "_bag2" represent results for "hot-running" emissions, based on results from Bag 2 of the LA92.  The coefficients shown here are "standardized coefficients," representing the change in the natural logarithm of emissions due to a change in the fuel property of one standard deviation, calculated with reference to the fuel matrix used in the project.   It is important to note that the coefficients represent abstract quantities that cannot be directly interpreted in terms of fuel properties themselves (vol.%, psi, °F, etc.).  However, the coefficients for different fuel properties can be directly compared, allowing assessment of the relative importance of the effects of the fuel properties on the emissions constituent modeled.  A positive coefficient indicates an increase in emissions with an increase in the fuel property, or a decline in emissions with a decrease in the fuel property.   Similarly, a negative coefficient indicates a decrease in emissions with an increase in the fuel property, or an increase in emissions with a decrease in the fuel property.
The study design and analysis of the data were structured so as to allow assessment of fuel effects as though they were independent of each other.  However, it is difficult to modify one property in an actual fuel without affecting others, so it is critical to consider the interaction of all five fuel properties when applying or interpreting the model results.  Users should also observe the ranges for inputs in the "Fuel Properties" table, which describe the ranges covered by the test fuel matrix.
Emission impacts shown here are based entirely on the EPAct/V2/E-89 dataset, which examined the effects of the five fuel properties in a fleet of 15 properly-operating model year 2008 vehicles, and do not reflect the impact of other fuel properties (such as sulfur) or the behavior of other vehicle populations.  Thus, this calculator should not be considered an inventory modeling tool.  (Note also that these models do not describe evaporative emissions, which contribute significantly to overall inventories and can behave quite differently from exhaust emissions with respect to fuel property impacts.)  Similarly, this calculator does not pertain to compliance with the reformulated gasoline emission performance requirements, which are based on the Complex Model as specified by the Clean Air Act and EPA regulations.
Questions about this calculator or the EPAct fuel effects study can be directed to:
Aron Butler
Assessment and Standards Division
US EPA Office of Transportation and Air Quality
butler.aron@epa.gov
734-214-4011
</t>
  </si>
  <si>
    <t>Delta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</si>
</sst>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
    <numFmt numFmtId="166" formatCode="0.0%"/>
    <numFmt numFmtId="167" formatCode="0.00000"/>
  </numFmts>
  <fonts count="18" x14ac:knownFonts="1">
    <font>
      <sz val="11"/>
      <color theme="1"/>
      <name val="Calibri"/>
      <family val="2"/>
      <scheme val="minor"/>
    </font>
    <font>
      <b/>
      <sz val="11"/>
      <color theme="1"/>
      <name val="Calibri"/>
      <family val="2"/>
      <scheme val="minor"/>
    </font>
    <font>
      <b/>
      <sz val="14"/>
      <color rgb="FF00B0F0"/>
      <name val="Calibri"/>
      <family val="2"/>
      <scheme val="minor"/>
    </font>
    <font>
      <b/>
      <sz val="11"/>
      <color rgb="FF00B0F0"/>
      <name val="Calibri"/>
      <family val="2"/>
      <scheme val="minor"/>
    </font>
    <font>
      <b/>
      <sz val="12"/>
      <color rgb="FF00B0F0"/>
      <name val="Calibri"/>
      <family val="2"/>
      <scheme val="minor"/>
    </font>
    <font>
      <sz val="11"/>
      <name val="Calibri"/>
      <family val="2"/>
      <scheme val="minor"/>
    </font>
    <font>
      <b/>
      <sz val="11"/>
      <name val="Calibri"/>
      <family val="2"/>
      <scheme val="minor"/>
    </font>
    <font>
      <b/>
      <i/>
      <sz val="14"/>
      <color theme="1"/>
      <name val="Calibri"/>
      <family val="2"/>
      <scheme val="minor"/>
    </font>
    <font>
      <b/>
      <sz val="11"/>
      <color theme="1" tint="0.34998626667073579"/>
      <name val="Calibri"/>
      <family val="2"/>
      <scheme val="minor"/>
    </font>
    <font>
      <sz val="11"/>
      <color theme="0" tint="-0.34998626667073579"/>
      <name val="Calibri"/>
      <family val="2"/>
      <scheme val="minor"/>
    </font>
    <font>
      <b/>
      <i/>
      <sz val="10"/>
      <color theme="1"/>
      <name val="Calibri"/>
      <family val="2"/>
      <scheme val="minor"/>
    </font>
    <font>
      <b/>
      <i/>
      <sz val="16"/>
      <color theme="1"/>
      <name val="Arial"/>
      <family val="2"/>
    </font>
    <font>
      <b/>
      <sz val="16"/>
      <color theme="1"/>
      <name val="Calibri"/>
      <family val="2"/>
      <scheme val="minor"/>
    </font>
    <font>
      <b/>
      <sz val="11"/>
      <color theme="1"/>
      <name val="Symbol"/>
      <family val="1"/>
      <charset val="2"/>
    </font>
    <font>
      <b/>
      <i/>
      <sz val="11"/>
      <color theme="1" tint="0.34998626667073579"/>
      <name val="Arial"/>
      <family val="2"/>
    </font>
    <font>
      <b/>
      <i/>
      <sz val="11"/>
      <color theme="1" tint="0.34998626667073579"/>
      <name val="Calibri"/>
      <family val="2"/>
      <scheme val="minor"/>
    </font>
    <font>
      <b/>
      <vertAlign val="subscript"/>
      <sz val="11"/>
      <color theme="1" tint="0.34998626667073579"/>
      <name val="Calibri"/>
      <family val="2"/>
      <scheme val="minor"/>
    </font>
    <font>
      <sz val="10"/>
      <color theme="1"/>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25">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thin">
        <color theme="0" tint="-0.24994659260841701"/>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95">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0" fillId="0" borderId="0" xfId="0" applyBorder="1"/>
    <xf numFmtId="0" fontId="4" fillId="0" borderId="0" xfId="0" applyFont="1" applyBorder="1" applyAlignment="1">
      <alignment horizontal="right"/>
    </xf>
    <xf numFmtId="0" fontId="2" fillId="0" borderId="0" xfId="0" applyFont="1" applyBorder="1"/>
    <xf numFmtId="0" fontId="3" fillId="0" borderId="0" xfId="0" applyFont="1" applyBorder="1"/>
    <xf numFmtId="0" fontId="0" fillId="0" borderId="0" xfId="0" applyAlignment="1">
      <alignment horizontal="left"/>
    </xf>
    <xf numFmtId="0" fontId="5" fillId="0" borderId="2" xfId="0" applyFont="1" applyBorder="1" applyAlignment="1">
      <alignment horizontal="center"/>
    </xf>
    <xf numFmtId="0" fontId="5" fillId="0" borderId="0" xfId="0" applyFont="1"/>
    <xf numFmtId="0" fontId="5" fillId="0" borderId="0" xfId="0"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165" fontId="5" fillId="0" borderId="17" xfId="0" applyNumberFormat="1" applyFont="1" applyFill="1" applyBorder="1" applyAlignment="1">
      <alignment horizontal="center"/>
    </xf>
    <xf numFmtId="2" fontId="5" fillId="0" borderId="17" xfId="0" applyNumberFormat="1" applyFont="1" applyFill="1" applyBorder="1" applyAlignment="1">
      <alignment horizontal="center"/>
    </xf>
    <xf numFmtId="0" fontId="5" fillId="0" borderId="0" xfId="0" applyFont="1" applyFill="1"/>
    <xf numFmtId="0" fontId="7" fillId="0" borderId="0" xfId="0" applyFont="1"/>
    <xf numFmtId="0" fontId="8" fillId="0" borderId="10" xfId="0" applyFont="1" applyBorder="1" applyAlignment="1">
      <alignment horizontal="center"/>
    </xf>
    <xf numFmtId="0" fontId="9" fillId="0" borderId="2" xfId="0" applyFont="1" applyBorder="1" applyAlignment="1">
      <alignment horizontal="center"/>
    </xf>
    <xf numFmtId="164" fontId="9" fillId="0" borderId="0" xfId="0" applyNumberFormat="1"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6" xfId="0" applyFont="1" applyBorder="1" applyAlignment="1">
      <alignment horizontal="center"/>
    </xf>
    <xf numFmtId="0" fontId="9" fillId="0" borderId="5" xfId="0" applyFont="1" applyBorder="1" applyAlignment="1">
      <alignment horizontal="center"/>
    </xf>
    <xf numFmtId="0" fontId="9" fillId="0" borderId="0" xfId="0" applyFont="1" applyFill="1" applyBorder="1" applyAlignment="1">
      <alignment horizontal="center"/>
    </xf>
    <xf numFmtId="0" fontId="6" fillId="0" borderId="0" xfId="0" applyFont="1"/>
    <xf numFmtId="0" fontId="1" fillId="6" borderId="0" xfId="0" applyFont="1" applyFill="1" applyAlignment="1">
      <alignment horizontal="center"/>
    </xf>
    <xf numFmtId="0" fontId="0" fillId="2" borderId="0" xfId="0" applyFill="1" applyAlignment="1">
      <alignment horizontal="center"/>
    </xf>
    <xf numFmtId="0" fontId="0" fillId="5" borderId="0" xfId="0" applyFill="1" applyAlignment="1">
      <alignment horizontal="left"/>
    </xf>
    <xf numFmtId="0" fontId="0" fillId="6" borderId="11" xfId="0" applyFill="1" applyBorder="1" applyAlignment="1">
      <alignment horizontal="center"/>
    </xf>
    <xf numFmtId="0" fontId="0" fillId="2" borderId="11" xfId="0" applyFill="1" applyBorder="1" applyAlignment="1">
      <alignment horizontal="left"/>
    </xf>
    <xf numFmtId="0" fontId="0" fillId="2" borderId="11" xfId="0" applyFill="1" applyBorder="1" applyAlignment="1">
      <alignment horizontal="center"/>
    </xf>
    <xf numFmtId="0" fontId="0" fillId="2" borderId="0" xfId="0" applyFill="1" applyAlignment="1">
      <alignment horizontal="left"/>
    </xf>
    <xf numFmtId="0" fontId="1" fillId="2" borderId="11" xfId="0" applyFont="1" applyFill="1" applyBorder="1" applyAlignment="1">
      <alignment horizontal="left"/>
    </xf>
    <xf numFmtId="0" fontId="1" fillId="2" borderId="11" xfId="0" applyFont="1" applyFill="1" applyBorder="1" applyAlignment="1">
      <alignment horizontal="center"/>
    </xf>
    <xf numFmtId="0" fontId="1" fillId="5" borderId="11" xfId="0" applyFont="1" applyFill="1" applyBorder="1" applyAlignment="1">
      <alignment horizontal="left"/>
    </xf>
    <xf numFmtId="0" fontId="5" fillId="0" borderId="0" xfId="0" applyFont="1" applyFill="1" applyBorder="1" applyAlignment="1">
      <alignment horizontal="left"/>
    </xf>
    <xf numFmtId="0" fontId="6" fillId="0" borderId="0" xfId="0" applyFont="1" applyFill="1" applyBorder="1" applyAlignment="1">
      <alignment horizontal="left"/>
    </xf>
    <xf numFmtId="0" fontId="1" fillId="5" borderId="0" xfId="0" applyFont="1" applyFill="1" applyBorder="1" applyAlignment="1">
      <alignment horizontal="left"/>
    </xf>
    <xf numFmtId="165" fontId="5" fillId="4" borderId="18" xfId="0" applyNumberFormat="1" applyFont="1" applyFill="1" applyBorder="1" applyAlignment="1">
      <alignment horizontal="center"/>
    </xf>
    <xf numFmtId="165" fontId="5" fillId="4" borderId="19" xfId="0" applyNumberFormat="1" applyFont="1" applyFill="1" applyBorder="1" applyAlignment="1">
      <alignment horizontal="center"/>
    </xf>
    <xf numFmtId="165" fontId="5" fillId="4" borderId="20" xfId="0" applyNumberFormat="1" applyFont="1" applyFill="1" applyBorder="1" applyAlignment="1">
      <alignment horizontal="center"/>
    </xf>
    <xf numFmtId="165" fontId="5" fillId="4" borderId="21" xfId="0" applyNumberFormat="1" applyFont="1" applyFill="1" applyBorder="1" applyAlignment="1">
      <alignment horizontal="center"/>
    </xf>
    <xf numFmtId="1" fontId="5" fillId="4" borderId="20" xfId="0" applyNumberFormat="1" applyFont="1" applyFill="1" applyBorder="1" applyAlignment="1">
      <alignment horizontal="center"/>
    </xf>
    <xf numFmtId="1" fontId="5" fillId="4" borderId="21" xfId="0" applyNumberFormat="1" applyFont="1" applyFill="1" applyBorder="1" applyAlignment="1">
      <alignment horizontal="center"/>
    </xf>
    <xf numFmtId="1" fontId="5" fillId="4" borderId="22" xfId="0" applyNumberFormat="1" applyFont="1" applyFill="1" applyBorder="1" applyAlignment="1">
      <alignment horizontal="center"/>
    </xf>
    <xf numFmtId="1" fontId="5" fillId="4" borderId="23" xfId="0" applyNumberFormat="1" applyFont="1" applyFill="1" applyBorder="1" applyAlignment="1">
      <alignment horizontal="center"/>
    </xf>
    <xf numFmtId="0" fontId="8" fillId="0" borderId="0" xfId="0" applyFont="1" applyFill="1" applyBorder="1" applyAlignment="1">
      <alignment horizontal="center"/>
    </xf>
    <xf numFmtId="0" fontId="11" fillId="0" borderId="0" xfId="0" applyFont="1" applyBorder="1" applyAlignment="1">
      <alignment horizontal="center"/>
    </xf>
    <xf numFmtId="0" fontId="12" fillId="0" borderId="0" xfId="0" applyFont="1" applyBorder="1" applyAlignment="1">
      <alignment horizontal="center"/>
    </xf>
    <xf numFmtId="0" fontId="12" fillId="0" borderId="0" xfId="0" applyFont="1" applyAlignment="1">
      <alignment horizontal="center"/>
    </xf>
    <xf numFmtId="0" fontId="0" fillId="0" borderId="0" xfId="0" applyAlignment="1">
      <alignment vertical="center"/>
    </xf>
    <xf numFmtId="0" fontId="1" fillId="0" borderId="1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14" fillId="0" borderId="16"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Fill="1" applyBorder="1" applyAlignment="1"/>
    <xf numFmtId="0" fontId="0" fillId="0" borderId="0" xfId="0" applyFill="1" applyBorder="1"/>
    <xf numFmtId="0" fontId="8" fillId="0" borderId="12" xfId="0" applyFont="1" applyFill="1" applyBorder="1" applyAlignment="1">
      <alignment horizontal="center"/>
    </xf>
    <xf numFmtId="167" fontId="0" fillId="6" borderId="0" xfId="0" applyNumberFormat="1" applyFill="1" applyAlignment="1">
      <alignment horizontal="center"/>
    </xf>
    <xf numFmtId="1" fontId="0" fillId="6" borderId="0" xfId="0" applyNumberFormat="1" applyFill="1" applyAlignment="1">
      <alignment horizontal="center"/>
    </xf>
    <xf numFmtId="167" fontId="0" fillId="2" borderId="0" xfId="0" applyNumberFormat="1" applyFill="1" applyAlignment="1">
      <alignment horizontal="center"/>
    </xf>
    <xf numFmtId="167" fontId="0" fillId="2" borderId="11" xfId="0" applyNumberFormat="1" applyFill="1" applyBorder="1" applyAlignment="1">
      <alignment horizontal="center"/>
    </xf>
    <xf numFmtId="0" fontId="9" fillId="0" borderId="2" xfId="0" applyNumberFormat="1" applyFont="1" applyBorder="1" applyAlignment="1">
      <alignment horizontal="center"/>
    </xf>
    <xf numFmtId="0" fontId="9" fillId="0" borderId="0" xfId="0" applyNumberFormat="1" applyFont="1" applyBorder="1" applyAlignment="1">
      <alignment horizontal="center"/>
    </xf>
    <xf numFmtId="0" fontId="9" fillId="0" borderId="3" xfId="0" applyNumberFormat="1" applyFont="1" applyBorder="1" applyAlignment="1">
      <alignment horizontal="center"/>
    </xf>
    <xf numFmtId="0" fontId="9" fillId="0" borderId="4" xfId="0" applyNumberFormat="1" applyFont="1" applyBorder="1" applyAlignment="1">
      <alignment horizontal="center"/>
    </xf>
    <xf numFmtId="0" fontId="9" fillId="0" borderId="6" xfId="0" applyNumberFormat="1" applyFont="1" applyBorder="1" applyAlignment="1">
      <alignment horizontal="center"/>
    </xf>
    <xf numFmtId="0" fontId="9" fillId="0" borderId="5" xfId="0" applyNumberFormat="1" applyFont="1" applyBorder="1" applyAlignment="1">
      <alignment horizontal="center"/>
    </xf>
    <xf numFmtId="0" fontId="17" fillId="0" borderId="0" xfId="0" applyFont="1" applyBorder="1" applyAlignment="1">
      <alignment vertical="top" wrapText="1"/>
    </xf>
    <xf numFmtId="0" fontId="8" fillId="0" borderId="2" xfId="0" applyFont="1" applyFill="1" applyBorder="1" applyAlignment="1"/>
    <xf numFmtId="0" fontId="0" fillId="0" borderId="0" xfId="0" applyAlignment="1">
      <alignment horizontal="left" vertical="top" wrapText="1"/>
    </xf>
    <xf numFmtId="0" fontId="8" fillId="5" borderId="13" xfId="0" applyFont="1" applyFill="1" applyBorder="1" applyAlignment="1">
      <alignment horizontal="center"/>
    </xf>
    <xf numFmtId="0" fontId="8" fillId="5" borderId="15" xfId="0" applyFont="1" applyFill="1" applyBorder="1" applyAlignment="1">
      <alignment horizontal="center"/>
    </xf>
    <xf numFmtId="166" fontId="6" fillId="3" borderId="7" xfId="0" applyNumberFormat="1" applyFont="1" applyFill="1" applyBorder="1" applyAlignment="1">
      <alignment horizontal="center"/>
    </xf>
    <xf numFmtId="166" fontId="6" fillId="3" borderId="9" xfId="0" applyNumberFormat="1" applyFont="1" applyFill="1" applyBorder="1" applyAlignment="1">
      <alignment horizontal="center"/>
    </xf>
    <xf numFmtId="166" fontId="6" fillId="3" borderId="8" xfId="0" applyNumberFormat="1" applyFont="1" applyFill="1" applyBorder="1" applyAlignment="1">
      <alignment horizontal="center"/>
    </xf>
    <xf numFmtId="0" fontId="1" fillId="5" borderId="13"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1" fillId="4" borderId="7" xfId="0" applyFont="1" applyFill="1" applyBorder="1" applyAlignment="1">
      <alignment horizontal="center"/>
    </xf>
    <xf numFmtId="0" fontId="1" fillId="4" borderId="9" xfId="0" applyFont="1" applyFill="1" applyBorder="1" applyAlignment="1">
      <alignment horizontal="center"/>
    </xf>
    <xf numFmtId="0" fontId="1" fillId="4" borderId="8" xfId="0" applyFont="1" applyFill="1" applyBorder="1" applyAlignment="1">
      <alignment horizontal="center"/>
    </xf>
    <xf numFmtId="0" fontId="1" fillId="6" borderId="11" xfId="0" applyFont="1" applyFill="1" applyBorder="1" applyAlignment="1">
      <alignment horizontal="center"/>
    </xf>
    <xf numFmtId="0" fontId="1" fillId="2" borderId="11"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Contribution of Model Terms to Emission Effect</a:t>
            </a:r>
            <a:r>
              <a:rPr lang="en-US" sz="1400" baseline="0"/>
              <a:t> as </a:t>
            </a:r>
            <a:r>
              <a:rPr lang="en-US" sz="1400">
                <a:latin typeface="+mn-lt"/>
                <a:cs typeface="Times New Roman"/>
              </a:rPr>
              <a:t>Δln(Emission)</a:t>
            </a:r>
          </a:p>
          <a:p>
            <a:pPr>
              <a:defRPr/>
            </a:pPr>
            <a:r>
              <a:rPr lang="en-US" sz="1200">
                <a:latin typeface="+mn-lt"/>
                <a:cs typeface="Times New Roman"/>
              </a:rPr>
              <a:t>(</a:t>
            </a:r>
            <a:r>
              <a:rPr lang="en-US" sz="1200" i="1">
                <a:latin typeface="+mn-lt"/>
                <a:cs typeface="Times New Roman"/>
              </a:rPr>
              <a:t>Green bar</a:t>
            </a:r>
            <a:r>
              <a:rPr lang="en-US" sz="1200" i="1" baseline="0">
                <a:latin typeface="+mn-lt"/>
                <a:cs typeface="Times New Roman"/>
              </a:rPr>
              <a:t> is sum of blue bars and indicates net effect</a:t>
            </a:r>
            <a:r>
              <a:rPr lang="en-US" sz="1200" baseline="0">
                <a:latin typeface="+mn-lt"/>
                <a:cs typeface="Times New Roman"/>
              </a:rPr>
              <a:t>)</a:t>
            </a:r>
            <a:endParaRPr lang="en-US" sz="1200">
              <a:latin typeface="+mn-lt"/>
            </a:endParaRPr>
          </a:p>
        </c:rich>
      </c:tx>
      <c:overlay val="0"/>
    </c:title>
    <c:autoTitleDeleted val="0"/>
    <c:plotArea>
      <c:layout/>
      <c:barChart>
        <c:barDir val="col"/>
        <c:grouping val="clustered"/>
        <c:varyColors val="0"/>
        <c:ser>
          <c:idx val="0"/>
          <c:order val="0"/>
          <c:tx>
            <c:strRef>
              <c:f>Calculator!$O$4</c:f>
              <c:strCache>
                <c:ptCount val="1"/>
                <c:pt idx="0">
                  <c:v>Ztest</c:v>
                </c:pt>
              </c:strCache>
            </c:strRef>
          </c:tx>
          <c:invertIfNegative val="0"/>
          <c:dPt>
            <c:idx val="11"/>
            <c:invertIfNegative val="0"/>
            <c:bubble3D val="0"/>
            <c:spPr>
              <a:solidFill>
                <a:schemeClr val="accent3"/>
              </a:solidFill>
            </c:spPr>
          </c:dPt>
          <c:cat>
            <c:strRef>
              <c:f>Calculator!$C$22:$C$33</c:f>
              <c:strCache>
                <c:ptCount val="12"/>
                <c:pt idx="0">
                  <c:v>EtOH</c:v>
                </c:pt>
                <c:pt idx="1">
                  <c:v>Arom</c:v>
                </c:pt>
                <c:pt idx="2">
                  <c:v>RVP</c:v>
                </c:pt>
                <c:pt idx="3">
                  <c:v>T50</c:v>
                </c:pt>
                <c:pt idx="4">
                  <c:v>T90</c:v>
                </c:pt>
                <c:pt idx="5">
                  <c:v>EtOH*EtOH</c:v>
                </c:pt>
                <c:pt idx="6">
                  <c:v>T50*T50</c:v>
                </c:pt>
                <c:pt idx="7">
                  <c:v>EtOH*Arom</c:v>
                </c:pt>
                <c:pt idx="8">
                  <c:v>EtOH*RVP</c:v>
                </c:pt>
                <c:pt idx="9">
                  <c:v>EtOH*T50</c:v>
                </c:pt>
                <c:pt idx="10">
                  <c:v>EtOH*T90</c:v>
                </c:pt>
                <c:pt idx="11">
                  <c:v>Sum</c:v>
                </c:pt>
              </c:strCache>
            </c:strRef>
          </c:cat>
          <c:val>
            <c:numRef>
              <c:f>Calculator!$D$22:$D$33</c:f>
              <c:numCache>
                <c:formatCode>General</c:formatCode>
                <c:ptCount val="12"/>
                <c:pt idx="0">
                  <c:v>0.10176967603490827</c:v>
                </c:pt>
                <c:pt idx="1">
                  <c:v>0</c:v>
                </c:pt>
                <c:pt idx="2">
                  <c:v>0</c:v>
                </c:pt>
                <c:pt idx="3">
                  <c:v>-0.28237406425762657</c:v>
                </c:pt>
                <c:pt idx="4">
                  <c:v>0</c:v>
                </c:pt>
                <c:pt idx="5">
                  <c:v>8.3342239932520171E-2</c:v>
                </c:pt>
                <c:pt idx="6">
                  <c:v>9.198593986119585E-3</c:v>
                </c:pt>
                <c:pt idx="7">
                  <c:v>-2.3305744635398997E-2</c:v>
                </c:pt>
                <c:pt idx="8">
                  <c:v>0</c:v>
                </c:pt>
                <c:pt idx="9">
                  <c:v>-7.7177131254926368E-2</c:v>
                </c:pt>
                <c:pt idx="10">
                  <c:v>0</c:v>
                </c:pt>
                <c:pt idx="11">
                  <c:v>-0.18854643019440392</c:v>
                </c:pt>
              </c:numCache>
            </c:numRef>
          </c:val>
        </c:ser>
        <c:dLbls>
          <c:showLegendKey val="0"/>
          <c:showVal val="0"/>
          <c:showCatName val="0"/>
          <c:showSerName val="0"/>
          <c:showPercent val="0"/>
          <c:showBubbleSize val="0"/>
        </c:dLbls>
        <c:gapWidth val="150"/>
        <c:axId val="474351744"/>
        <c:axId val="474352136"/>
      </c:barChart>
      <c:catAx>
        <c:axId val="474351744"/>
        <c:scaling>
          <c:orientation val="minMax"/>
        </c:scaling>
        <c:delete val="0"/>
        <c:axPos val="b"/>
        <c:numFmt formatCode="General" sourceLinked="0"/>
        <c:majorTickMark val="out"/>
        <c:minorTickMark val="none"/>
        <c:tickLblPos val="nextTo"/>
        <c:txPr>
          <a:bodyPr rot="-5400000" vert="horz"/>
          <a:lstStyle/>
          <a:p>
            <a:pPr>
              <a:defRPr b="1"/>
            </a:pPr>
            <a:endParaRPr lang="en-US"/>
          </a:p>
        </c:txPr>
        <c:crossAx val="474352136"/>
        <c:crosses val="autoZero"/>
        <c:auto val="1"/>
        <c:lblAlgn val="ctr"/>
        <c:lblOffset val="100"/>
        <c:noMultiLvlLbl val="0"/>
      </c:catAx>
      <c:valAx>
        <c:axId val="474352136"/>
        <c:scaling>
          <c:orientation val="minMax"/>
        </c:scaling>
        <c:delete val="1"/>
        <c:axPos val="l"/>
        <c:title>
          <c:tx>
            <c:rich>
              <a:bodyPr rot="-5400000" vert="horz"/>
              <a:lstStyle/>
              <a:p>
                <a:pPr>
                  <a:defRPr sz="2000">
                    <a:latin typeface="+mn-lt"/>
                    <a:cs typeface="Times New Roman"/>
                  </a:defRPr>
                </a:pPr>
                <a:r>
                  <a:rPr lang="el-GR" sz="2000" i="1">
                    <a:latin typeface="Arial" pitchFamily="34" charset="0"/>
                    <a:cs typeface="Arial" pitchFamily="34" charset="0"/>
                  </a:rPr>
                  <a:t>β</a:t>
                </a:r>
                <a:r>
                  <a:rPr lang="en-US" sz="2000">
                    <a:latin typeface="+mn-lt"/>
                    <a:cs typeface="Times New Roman"/>
                  </a:rPr>
                  <a:t>(</a:t>
                </a:r>
                <a:r>
                  <a:rPr lang="en-US" sz="2000" i="1">
                    <a:latin typeface="+mn-lt"/>
                    <a:cs typeface="Times New Roman"/>
                  </a:rPr>
                  <a:t>Z</a:t>
                </a:r>
                <a:r>
                  <a:rPr lang="en-US" sz="2000" baseline="-25000">
                    <a:latin typeface="+mn-lt"/>
                    <a:cs typeface="Times New Roman"/>
                  </a:rPr>
                  <a:t>test</a:t>
                </a:r>
                <a:r>
                  <a:rPr lang="en-US" sz="2000">
                    <a:latin typeface="+mn-lt"/>
                    <a:cs typeface="Times New Roman"/>
                  </a:rPr>
                  <a:t>-</a:t>
                </a:r>
                <a:r>
                  <a:rPr lang="en-US" sz="2000" i="1">
                    <a:latin typeface="+mn-lt"/>
                    <a:cs typeface="Times New Roman"/>
                  </a:rPr>
                  <a:t>Z</a:t>
                </a:r>
                <a:r>
                  <a:rPr lang="en-US" sz="2000" baseline="-25000">
                    <a:latin typeface="+mn-lt"/>
                    <a:cs typeface="Times New Roman"/>
                  </a:rPr>
                  <a:t>base</a:t>
                </a:r>
                <a:r>
                  <a:rPr lang="en-US" sz="2000">
                    <a:latin typeface="+mn-lt"/>
                    <a:cs typeface="Times New Roman"/>
                  </a:rPr>
                  <a:t>) </a:t>
                </a:r>
                <a:endParaRPr lang="en-US" sz="2000">
                  <a:latin typeface="+mn-lt"/>
                </a:endParaRPr>
              </a:p>
            </c:rich>
          </c:tx>
          <c:overlay val="0"/>
        </c:title>
        <c:numFmt formatCode="General" sourceLinked="1"/>
        <c:majorTickMark val="out"/>
        <c:minorTickMark val="none"/>
        <c:tickLblPos val="none"/>
        <c:crossAx val="474351744"/>
        <c:crosses val="autoZero"/>
        <c:crossBetween val="between"/>
      </c:valAx>
    </c:plotArea>
    <c:plotVisOnly val="1"/>
    <c:dispBlanksAs val="gap"/>
    <c:showDLblsOverMax val="0"/>
  </c:chart>
  <c:spPr>
    <a:ln w="19050">
      <a:solidFill>
        <a:schemeClr val="tx1"/>
      </a:solidFill>
    </a:ln>
  </c:spPr>
  <c:txPr>
    <a:bodyPr/>
    <a:lstStyle/>
    <a:p>
      <a:pPr>
        <a:defRPr sz="1100"/>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57150</xdr:rowOff>
    </xdr:from>
    <xdr:to>
      <xdr:col>0</xdr:col>
      <xdr:colOff>2228850</xdr:colOff>
      <xdr:row>8</xdr:row>
      <xdr:rowOff>142875</xdr:rowOff>
    </xdr:to>
    <xdr:sp macro="" textlink="">
      <xdr:nvSpPr>
        <xdr:cNvPr id="2" name="Right Arrow 1"/>
        <xdr:cNvSpPr/>
      </xdr:nvSpPr>
      <xdr:spPr>
        <a:xfrm>
          <a:off x="133350" y="304800"/>
          <a:ext cx="2095500" cy="1228725"/>
        </a:xfrm>
        <a:prstGeom prst="rightArrow">
          <a:avLst>
            <a:gd name="adj1" fmla="val 50000"/>
            <a:gd name="adj2" fmla="val 49225"/>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1.  Enter fuel properties for Base and Test fuel</a:t>
          </a:r>
        </a:p>
      </xdr:txBody>
    </xdr:sp>
    <xdr:clientData/>
  </xdr:twoCellAnchor>
  <xdr:twoCellAnchor>
    <xdr:from>
      <xdr:col>0</xdr:col>
      <xdr:colOff>133350</xdr:colOff>
      <xdr:row>10</xdr:row>
      <xdr:rowOff>1</xdr:rowOff>
    </xdr:from>
    <xdr:to>
      <xdr:col>0</xdr:col>
      <xdr:colOff>2228850</xdr:colOff>
      <xdr:row>12</xdr:row>
      <xdr:rowOff>142875</xdr:rowOff>
    </xdr:to>
    <xdr:sp macro="" textlink="">
      <xdr:nvSpPr>
        <xdr:cNvPr id="3" name="Right Arrow 2"/>
        <xdr:cNvSpPr/>
      </xdr:nvSpPr>
      <xdr:spPr>
        <a:xfrm>
          <a:off x="133350" y="1771651"/>
          <a:ext cx="2095500" cy="523874"/>
        </a:xfrm>
        <a:prstGeom prst="rightArrow">
          <a:avLst>
            <a:gd name="adj1" fmla="val 50000"/>
            <a:gd name="adj2" fmla="val 117273"/>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2.  Select a</a:t>
          </a:r>
          <a:r>
            <a:rPr lang="en-US" sz="1100" baseline="0"/>
            <a:t> model</a:t>
          </a:r>
          <a:endParaRPr lang="en-US" sz="1100"/>
        </a:p>
      </xdr:txBody>
    </xdr:sp>
    <xdr:clientData/>
  </xdr:twoCellAnchor>
  <xdr:twoCellAnchor>
    <xdr:from>
      <xdr:col>0</xdr:col>
      <xdr:colOff>133350</xdr:colOff>
      <xdr:row>14</xdr:row>
      <xdr:rowOff>9526</xdr:rowOff>
    </xdr:from>
    <xdr:to>
      <xdr:col>0</xdr:col>
      <xdr:colOff>2228850</xdr:colOff>
      <xdr:row>16</xdr:row>
      <xdr:rowOff>152400</xdr:rowOff>
    </xdr:to>
    <xdr:sp macro="" textlink="">
      <xdr:nvSpPr>
        <xdr:cNvPr id="4" name="Right Arrow 3"/>
        <xdr:cNvSpPr/>
      </xdr:nvSpPr>
      <xdr:spPr>
        <a:xfrm>
          <a:off x="133350" y="2352676"/>
          <a:ext cx="2095500" cy="523874"/>
        </a:xfrm>
        <a:prstGeom prst="rightArrow">
          <a:avLst>
            <a:gd name="adj1" fmla="val 50000"/>
            <a:gd name="adj2" fmla="val 117273"/>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3.</a:t>
          </a:r>
          <a:r>
            <a:rPr lang="en-US" sz="1100" baseline="0"/>
            <a:t>  Read results</a:t>
          </a:r>
          <a:endParaRPr lang="en-US" sz="1100"/>
        </a:p>
      </xdr:txBody>
    </xdr:sp>
    <xdr:clientData/>
  </xdr:twoCellAnchor>
  <xdr:twoCellAnchor>
    <xdr:from>
      <xdr:col>1</xdr:col>
      <xdr:colOff>0</xdr:colOff>
      <xdr:row>17</xdr:row>
      <xdr:rowOff>6568</xdr:rowOff>
    </xdr:from>
    <xdr:to>
      <xdr:col>9</xdr:col>
      <xdr:colOff>847725</xdr:colOff>
      <xdr:row>38</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9"/>
  <sheetViews>
    <sheetView tabSelected="1" view="pageLayout" topLeftCell="A7" zoomScaleNormal="100" workbookViewId="0">
      <selection activeCell="B2" sqref="B2:M39"/>
    </sheetView>
  </sheetViews>
  <sheetFormatPr defaultRowHeight="15" x14ac:dyDescent="0.25"/>
  <cols>
    <col min="1" max="1" width="2.85546875" customWidth="1"/>
  </cols>
  <sheetData>
    <row r="2" spans="2:13" ht="15" customHeight="1" x14ac:dyDescent="0.25">
      <c r="B2" s="78" t="s">
        <v>77</v>
      </c>
      <c r="C2" s="78"/>
      <c r="D2" s="78"/>
      <c r="E2" s="78"/>
      <c r="F2" s="78"/>
      <c r="G2" s="78"/>
      <c r="H2" s="78"/>
      <c r="I2" s="78"/>
      <c r="J2" s="78"/>
      <c r="K2" s="78"/>
      <c r="L2" s="78"/>
      <c r="M2" s="78"/>
    </row>
    <row r="3" spans="2:13" x14ac:dyDescent="0.25">
      <c r="B3" s="78"/>
      <c r="C3" s="78"/>
      <c r="D3" s="78"/>
      <c r="E3" s="78"/>
      <c r="F3" s="78"/>
      <c r="G3" s="78"/>
      <c r="H3" s="78"/>
      <c r="I3" s="78"/>
      <c r="J3" s="78"/>
      <c r="K3" s="78"/>
      <c r="L3" s="78"/>
      <c r="M3" s="78"/>
    </row>
    <row r="4" spans="2:13" x14ac:dyDescent="0.25">
      <c r="B4" s="78"/>
      <c r="C4" s="78"/>
      <c r="D4" s="78"/>
      <c r="E4" s="78"/>
      <c r="F4" s="78"/>
      <c r="G4" s="78"/>
      <c r="H4" s="78"/>
      <c r="I4" s="78"/>
      <c r="J4" s="78"/>
      <c r="K4" s="78"/>
      <c r="L4" s="78"/>
      <c r="M4" s="78"/>
    </row>
    <row r="5" spans="2:13" x14ac:dyDescent="0.25">
      <c r="B5" s="78"/>
      <c r="C5" s="78"/>
      <c r="D5" s="78"/>
      <c r="E5" s="78"/>
      <c r="F5" s="78"/>
      <c r="G5" s="78"/>
      <c r="H5" s="78"/>
      <c r="I5" s="78"/>
      <c r="J5" s="78"/>
      <c r="K5" s="78"/>
      <c r="L5" s="78"/>
      <c r="M5" s="78"/>
    </row>
    <row r="6" spans="2:13" x14ac:dyDescent="0.25">
      <c r="B6" s="78"/>
      <c r="C6" s="78"/>
      <c r="D6" s="78"/>
      <c r="E6" s="78"/>
      <c r="F6" s="78"/>
      <c r="G6" s="78"/>
      <c r="H6" s="78"/>
      <c r="I6" s="78"/>
      <c r="J6" s="78"/>
      <c r="K6" s="78"/>
      <c r="L6" s="78"/>
      <c r="M6" s="78"/>
    </row>
    <row r="7" spans="2:13" x14ac:dyDescent="0.25">
      <c r="B7" s="78"/>
      <c r="C7" s="78"/>
      <c r="D7" s="78"/>
      <c r="E7" s="78"/>
      <c r="F7" s="78"/>
      <c r="G7" s="78"/>
      <c r="H7" s="78"/>
      <c r="I7" s="78"/>
      <c r="J7" s="78"/>
      <c r="K7" s="78"/>
      <c r="L7" s="78"/>
      <c r="M7" s="78"/>
    </row>
    <row r="8" spans="2:13" x14ac:dyDescent="0.25">
      <c r="B8" s="78"/>
      <c r="C8" s="78"/>
      <c r="D8" s="78"/>
      <c r="E8" s="78"/>
      <c r="F8" s="78"/>
      <c r="G8" s="78"/>
      <c r="H8" s="78"/>
      <c r="I8" s="78"/>
      <c r="J8" s="78"/>
      <c r="K8" s="78"/>
      <c r="L8" s="78"/>
      <c r="M8" s="78"/>
    </row>
    <row r="9" spans="2:13" x14ac:dyDescent="0.25">
      <c r="B9" s="78"/>
      <c r="C9" s="78"/>
      <c r="D9" s="78"/>
      <c r="E9" s="78"/>
      <c r="F9" s="78"/>
      <c r="G9" s="78"/>
      <c r="H9" s="78"/>
      <c r="I9" s="78"/>
      <c r="J9" s="78"/>
      <c r="K9" s="78"/>
      <c r="L9" s="78"/>
      <c r="M9" s="78"/>
    </row>
    <row r="10" spans="2:13" x14ac:dyDescent="0.25">
      <c r="B10" s="78"/>
      <c r="C10" s="78"/>
      <c r="D10" s="78"/>
      <c r="E10" s="78"/>
      <c r="F10" s="78"/>
      <c r="G10" s="78"/>
      <c r="H10" s="78"/>
      <c r="I10" s="78"/>
      <c r="J10" s="78"/>
      <c r="K10" s="78"/>
      <c r="L10" s="78"/>
      <c r="M10" s="78"/>
    </row>
    <row r="11" spans="2:13" x14ac:dyDescent="0.25">
      <c r="B11" s="78"/>
      <c r="C11" s="78"/>
      <c r="D11" s="78"/>
      <c r="E11" s="78"/>
      <c r="F11" s="78"/>
      <c r="G11" s="78"/>
      <c r="H11" s="78"/>
      <c r="I11" s="78"/>
      <c r="J11" s="78"/>
      <c r="K11" s="78"/>
      <c r="L11" s="78"/>
      <c r="M11" s="78"/>
    </row>
    <row r="12" spans="2:13" x14ac:dyDescent="0.25">
      <c r="B12" s="78"/>
      <c r="C12" s="78"/>
      <c r="D12" s="78"/>
      <c r="E12" s="78"/>
      <c r="F12" s="78"/>
      <c r="G12" s="78"/>
      <c r="H12" s="78"/>
      <c r="I12" s="78"/>
      <c r="J12" s="78"/>
      <c r="K12" s="78"/>
      <c r="L12" s="78"/>
      <c r="M12" s="78"/>
    </row>
    <row r="13" spans="2:13" x14ac:dyDescent="0.25">
      <c r="B13" s="78"/>
      <c r="C13" s="78"/>
      <c r="D13" s="78"/>
      <c r="E13" s="78"/>
      <c r="F13" s="78"/>
      <c r="G13" s="78"/>
      <c r="H13" s="78"/>
      <c r="I13" s="78"/>
      <c r="J13" s="78"/>
      <c r="K13" s="78"/>
      <c r="L13" s="78"/>
      <c r="M13" s="78"/>
    </row>
    <row r="14" spans="2:13" x14ac:dyDescent="0.25">
      <c r="B14" s="78"/>
      <c r="C14" s="78"/>
      <c r="D14" s="78"/>
      <c r="E14" s="78"/>
      <c r="F14" s="78"/>
      <c r="G14" s="78"/>
      <c r="H14" s="78"/>
      <c r="I14" s="78"/>
      <c r="J14" s="78"/>
      <c r="K14" s="78"/>
      <c r="L14" s="78"/>
      <c r="M14" s="78"/>
    </row>
    <row r="15" spans="2:13" x14ac:dyDescent="0.25">
      <c r="B15" s="78"/>
      <c r="C15" s="78"/>
      <c r="D15" s="78"/>
      <c r="E15" s="78"/>
      <c r="F15" s="78"/>
      <c r="G15" s="78"/>
      <c r="H15" s="78"/>
      <c r="I15" s="78"/>
      <c r="J15" s="78"/>
      <c r="K15" s="78"/>
      <c r="L15" s="78"/>
      <c r="M15" s="78"/>
    </row>
    <row r="16" spans="2:13" x14ac:dyDescent="0.25">
      <c r="B16" s="78"/>
      <c r="C16" s="78"/>
      <c r="D16" s="78"/>
      <c r="E16" s="78"/>
      <c r="F16" s="78"/>
      <c r="G16" s="78"/>
      <c r="H16" s="78"/>
      <c r="I16" s="78"/>
      <c r="J16" s="78"/>
      <c r="K16" s="78"/>
      <c r="L16" s="78"/>
      <c r="M16" s="78"/>
    </row>
    <row r="17" spans="2:13" x14ac:dyDescent="0.25">
      <c r="B17" s="78"/>
      <c r="C17" s="78"/>
      <c r="D17" s="78"/>
      <c r="E17" s="78"/>
      <c r="F17" s="78"/>
      <c r="G17" s="78"/>
      <c r="H17" s="78"/>
      <c r="I17" s="78"/>
      <c r="J17" s="78"/>
      <c r="K17" s="78"/>
      <c r="L17" s="78"/>
      <c r="M17" s="78"/>
    </row>
    <row r="18" spans="2:13" x14ac:dyDescent="0.25">
      <c r="B18" s="78"/>
      <c r="C18" s="78"/>
      <c r="D18" s="78"/>
      <c r="E18" s="78"/>
      <c r="F18" s="78"/>
      <c r="G18" s="78"/>
      <c r="H18" s="78"/>
      <c r="I18" s="78"/>
      <c r="J18" s="78"/>
      <c r="K18" s="78"/>
      <c r="L18" s="78"/>
      <c r="M18" s="78"/>
    </row>
    <row r="19" spans="2:13" x14ac:dyDescent="0.25">
      <c r="B19" s="78"/>
      <c r="C19" s="78"/>
      <c r="D19" s="78"/>
      <c r="E19" s="78"/>
      <c r="F19" s="78"/>
      <c r="G19" s="78"/>
      <c r="H19" s="78"/>
      <c r="I19" s="78"/>
      <c r="J19" s="78"/>
      <c r="K19" s="78"/>
      <c r="L19" s="78"/>
      <c r="M19" s="78"/>
    </row>
    <row r="20" spans="2:13" x14ac:dyDescent="0.25">
      <c r="B20" s="78"/>
      <c r="C20" s="78"/>
      <c r="D20" s="78"/>
      <c r="E20" s="78"/>
      <c r="F20" s="78"/>
      <c r="G20" s="78"/>
      <c r="H20" s="78"/>
      <c r="I20" s="78"/>
      <c r="J20" s="78"/>
      <c r="K20" s="78"/>
      <c r="L20" s="78"/>
      <c r="M20" s="78"/>
    </row>
    <row r="21" spans="2:13" x14ac:dyDescent="0.25">
      <c r="B21" s="78"/>
      <c r="C21" s="78"/>
      <c r="D21" s="78"/>
      <c r="E21" s="78"/>
      <c r="F21" s="78"/>
      <c r="G21" s="78"/>
      <c r="H21" s="78"/>
      <c r="I21" s="78"/>
      <c r="J21" s="78"/>
      <c r="K21" s="78"/>
      <c r="L21" s="78"/>
      <c r="M21" s="78"/>
    </row>
    <row r="22" spans="2:13" x14ac:dyDescent="0.25">
      <c r="B22" s="78"/>
      <c r="C22" s="78"/>
      <c r="D22" s="78"/>
      <c r="E22" s="78"/>
      <c r="F22" s="78"/>
      <c r="G22" s="78"/>
      <c r="H22" s="78"/>
      <c r="I22" s="78"/>
      <c r="J22" s="78"/>
      <c r="K22" s="78"/>
      <c r="L22" s="78"/>
      <c r="M22" s="78"/>
    </row>
    <row r="23" spans="2:13" x14ac:dyDescent="0.25">
      <c r="B23" s="78"/>
      <c r="C23" s="78"/>
      <c r="D23" s="78"/>
      <c r="E23" s="78"/>
      <c r="F23" s="78"/>
      <c r="G23" s="78"/>
      <c r="H23" s="78"/>
      <c r="I23" s="78"/>
      <c r="J23" s="78"/>
      <c r="K23" s="78"/>
      <c r="L23" s="78"/>
      <c r="M23" s="78"/>
    </row>
    <row r="24" spans="2:13" x14ac:dyDescent="0.25">
      <c r="B24" s="78"/>
      <c r="C24" s="78"/>
      <c r="D24" s="78"/>
      <c r="E24" s="78"/>
      <c r="F24" s="78"/>
      <c r="G24" s="78"/>
      <c r="H24" s="78"/>
      <c r="I24" s="78"/>
      <c r="J24" s="78"/>
      <c r="K24" s="78"/>
      <c r="L24" s="78"/>
      <c r="M24" s="78"/>
    </row>
    <row r="25" spans="2:13" x14ac:dyDescent="0.25">
      <c r="B25" s="78"/>
      <c r="C25" s="78"/>
      <c r="D25" s="78"/>
      <c r="E25" s="78"/>
      <c r="F25" s="78"/>
      <c r="G25" s="78"/>
      <c r="H25" s="78"/>
      <c r="I25" s="78"/>
      <c r="J25" s="78"/>
      <c r="K25" s="78"/>
      <c r="L25" s="78"/>
      <c r="M25" s="78"/>
    </row>
    <row r="26" spans="2:13" x14ac:dyDescent="0.25">
      <c r="B26" s="78"/>
      <c r="C26" s="78"/>
      <c r="D26" s="78"/>
      <c r="E26" s="78"/>
      <c r="F26" s="78"/>
      <c r="G26" s="78"/>
      <c r="H26" s="78"/>
      <c r="I26" s="78"/>
      <c r="J26" s="78"/>
      <c r="K26" s="78"/>
      <c r="L26" s="78"/>
      <c r="M26" s="78"/>
    </row>
    <row r="27" spans="2:13" x14ac:dyDescent="0.25">
      <c r="B27" s="78"/>
      <c r="C27" s="78"/>
      <c r="D27" s="78"/>
      <c r="E27" s="78"/>
      <c r="F27" s="78"/>
      <c r="G27" s="78"/>
      <c r="H27" s="78"/>
      <c r="I27" s="78"/>
      <c r="J27" s="78"/>
      <c r="K27" s="78"/>
      <c r="L27" s="78"/>
      <c r="M27" s="78"/>
    </row>
    <row r="28" spans="2:13" x14ac:dyDescent="0.25">
      <c r="B28" s="78"/>
      <c r="C28" s="78"/>
      <c r="D28" s="78"/>
      <c r="E28" s="78"/>
      <c r="F28" s="78"/>
      <c r="G28" s="78"/>
      <c r="H28" s="78"/>
      <c r="I28" s="78"/>
      <c r="J28" s="78"/>
      <c r="K28" s="78"/>
      <c r="L28" s="78"/>
      <c r="M28" s="78"/>
    </row>
    <row r="29" spans="2:13" x14ac:dyDescent="0.25">
      <c r="B29" s="78"/>
      <c r="C29" s="78"/>
      <c r="D29" s="78"/>
      <c r="E29" s="78"/>
      <c r="F29" s="78"/>
      <c r="G29" s="78"/>
      <c r="H29" s="78"/>
      <c r="I29" s="78"/>
      <c r="J29" s="78"/>
      <c r="K29" s="78"/>
      <c r="L29" s="78"/>
      <c r="M29" s="78"/>
    </row>
    <row r="30" spans="2:13" x14ac:dyDescent="0.25">
      <c r="B30" s="78"/>
      <c r="C30" s="78"/>
      <c r="D30" s="78"/>
      <c r="E30" s="78"/>
      <c r="F30" s="78"/>
      <c r="G30" s="78"/>
      <c r="H30" s="78"/>
      <c r="I30" s="78"/>
      <c r="J30" s="78"/>
      <c r="K30" s="78"/>
      <c r="L30" s="78"/>
      <c r="M30" s="78"/>
    </row>
    <row r="31" spans="2:13" x14ac:dyDescent="0.25">
      <c r="B31" s="78"/>
      <c r="C31" s="78"/>
      <c r="D31" s="78"/>
      <c r="E31" s="78"/>
      <c r="F31" s="78"/>
      <c r="G31" s="78"/>
      <c r="H31" s="78"/>
      <c r="I31" s="78"/>
      <c r="J31" s="78"/>
      <c r="K31" s="78"/>
      <c r="L31" s="78"/>
      <c r="M31" s="78"/>
    </row>
    <row r="32" spans="2:13" x14ac:dyDescent="0.25">
      <c r="B32" s="78"/>
      <c r="C32" s="78"/>
      <c r="D32" s="78"/>
      <c r="E32" s="78"/>
      <c r="F32" s="78"/>
      <c r="G32" s="78"/>
      <c r="H32" s="78"/>
      <c r="I32" s="78"/>
      <c r="J32" s="78"/>
      <c r="K32" s="78"/>
      <c r="L32" s="78"/>
      <c r="M32" s="78"/>
    </row>
    <row r="33" spans="2:13" x14ac:dyDescent="0.25">
      <c r="B33" s="78"/>
      <c r="C33" s="78"/>
      <c r="D33" s="78"/>
      <c r="E33" s="78"/>
      <c r="F33" s="78"/>
      <c r="G33" s="78"/>
      <c r="H33" s="78"/>
      <c r="I33" s="78"/>
      <c r="J33" s="78"/>
      <c r="K33" s="78"/>
      <c r="L33" s="78"/>
      <c r="M33" s="78"/>
    </row>
    <row r="34" spans="2:13" x14ac:dyDescent="0.25">
      <c r="B34" s="78"/>
      <c r="C34" s="78"/>
      <c r="D34" s="78"/>
      <c r="E34" s="78"/>
      <c r="F34" s="78"/>
      <c r="G34" s="78"/>
      <c r="H34" s="78"/>
      <c r="I34" s="78"/>
      <c r="J34" s="78"/>
      <c r="K34" s="78"/>
      <c r="L34" s="78"/>
      <c r="M34" s="78"/>
    </row>
    <row r="35" spans="2:13" x14ac:dyDescent="0.25">
      <c r="B35" s="78"/>
      <c r="C35" s="78"/>
      <c r="D35" s="78"/>
      <c r="E35" s="78"/>
      <c r="F35" s="78"/>
      <c r="G35" s="78"/>
      <c r="H35" s="78"/>
      <c r="I35" s="78"/>
      <c r="J35" s="78"/>
      <c r="K35" s="78"/>
      <c r="L35" s="78"/>
      <c r="M35" s="78"/>
    </row>
    <row r="36" spans="2:13" x14ac:dyDescent="0.25">
      <c r="B36" s="78"/>
      <c r="C36" s="78"/>
      <c r="D36" s="78"/>
      <c r="E36" s="78"/>
      <c r="F36" s="78"/>
      <c r="G36" s="78"/>
      <c r="H36" s="78"/>
      <c r="I36" s="78"/>
      <c r="J36" s="78"/>
      <c r="K36" s="78"/>
      <c r="L36" s="78"/>
      <c r="M36" s="78"/>
    </row>
    <row r="37" spans="2:13" x14ac:dyDescent="0.25">
      <c r="B37" s="78"/>
      <c r="C37" s="78"/>
      <c r="D37" s="78"/>
      <c r="E37" s="78"/>
      <c r="F37" s="78"/>
      <c r="G37" s="78"/>
      <c r="H37" s="78"/>
      <c r="I37" s="78"/>
      <c r="J37" s="78"/>
      <c r="K37" s="78"/>
      <c r="L37" s="78"/>
      <c r="M37" s="78"/>
    </row>
    <row r="38" spans="2:13" x14ac:dyDescent="0.25">
      <c r="B38" s="78"/>
      <c r="C38" s="78"/>
      <c r="D38" s="78"/>
      <c r="E38" s="78"/>
      <c r="F38" s="78"/>
      <c r="G38" s="78"/>
      <c r="H38" s="78"/>
      <c r="I38" s="78"/>
      <c r="J38" s="78"/>
      <c r="K38" s="78"/>
      <c r="L38" s="78"/>
      <c r="M38" s="78"/>
    </row>
    <row r="39" spans="2:13" x14ac:dyDescent="0.25">
      <c r="B39" s="78"/>
      <c r="C39" s="78"/>
      <c r="D39" s="78"/>
      <c r="E39" s="78"/>
      <c r="F39" s="78"/>
      <c r="G39" s="78"/>
      <c r="H39" s="78"/>
      <c r="I39" s="78"/>
      <c r="J39" s="78"/>
      <c r="K39" s="78"/>
      <c r="L39" s="78"/>
      <c r="M39" s="78"/>
    </row>
  </sheetData>
  <mergeCells count="1">
    <mergeCell ref="B2:M39"/>
  </mergeCells>
  <pageMargins left="0.7" right="0.7" top="0.75" bottom="0.75" header="0.3" footer="0.3"/>
  <pageSetup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38"/>
  <sheetViews>
    <sheetView zoomScaleNormal="100" workbookViewId="0">
      <selection activeCell="B1" sqref="B1"/>
    </sheetView>
  </sheetViews>
  <sheetFormatPr defaultRowHeight="15" x14ac:dyDescent="0.25"/>
  <cols>
    <col min="1" max="1" width="35.5703125" customWidth="1"/>
    <col min="2" max="6" width="12.85546875" customWidth="1"/>
    <col min="7" max="7" width="2.85546875" customWidth="1"/>
    <col min="8" max="15" width="12.85546875" customWidth="1"/>
    <col min="16" max="16" width="9.5703125" bestFit="1" customWidth="1"/>
  </cols>
  <sheetData>
    <row r="1" spans="2:18" ht="22.5" customHeight="1" x14ac:dyDescent="0.3">
      <c r="B1" s="17" t="s">
        <v>67</v>
      </c>
    </row>
    <row r="2" spans="2:18" ht="15" customHeight="1" thickBot="1" x14ac:dyDescent="0.4">
      <c r="B2" s="4"/>
      <c r="C2" s="5"/>
      <c r="D2" s="5"/>
      <c r="E2" s="6"/>
      <c r="F2" s="4"/>
      <c r="G2" s="4"/>
      <c r="H2" s="7"/>
      <c r="I2" s="4"/>
      <c r="J2" s="4"/>
      <c r="K2" s="4"/>
      <c r="L2" s="4"/>
      <c r="M2" s="49"/>
      <c r="N2" s="50"/>
      <c r="O2" s="51"/>
    </row>
    <row r="3" spans="2:18" s="52" customFormat="1" ht="18" customHeight="1" x14ac:dyDescent="0.25">
      <c r="B3" s="84" t="s">
        <v>24</v>
      </c>
      <c r="C3" s="85"/>
      <c r="D3" s="85"/>
      <c r="E3" s="85"/>
      <c r="F3" s="86"/>
      <c r="G3" s="53"/>
      <c r="H3" s="87" t="s">
        <v>26</v>
      </c>
      <c r="I3" s="88"/>
      <c r="J3" s="88"/>
      <c r="K3" s="88"/>
      <c r="L3" s="88"/>
      <c r="M3" s="87" t="s">
        <v>27</v>
      </c>
      <c r="N3" s="88"/>
      <c r="O3" s="89"/>
    </row>
    <row r="4" spans="2:18" s="52" customFormat="1" ht="18" customHeight="1" x14ac:dyDescent="0.25">
      <c r="B4" s="54" t="s">
        <v>31</v>
      </c>
      <c r="C4" s="55" t="s">
        <v>7</v>
      </c>
      <c r="D4" s="55" t="s">
        <v>70</v>
      </c>
      <c r="E4" s="55" t="s">
        <v>23</v>
      </c>
      <c r="F4" s="56" t="s">
        <v>25</v>
      </c>
      <c r="G4" s="53"/>
      <c r="H4" s="57" t="s">
        <v>11</v>
      </c>
      <c r="I4" s="58" t="s">
        <v>13</v>
      </c>
      <c r="J4" s="58" t="s">
        <v>14</v>
      </c>
      <c r="K4" s="58" t="s">
        <v>15</v>
      </c>
      <c r="L4" s="58" t="s">
        <v>29</v>
      </c>
      <c r="M4" s="61" t="s">
        <v>61</v>
      </c>
      <c r="N4" s="58" t="s">
        <v>63</v>
      </c>
      <c r="O4" s="62" t="s">
        <v>64</v>
      </c>
      <c r="P4" s="59"/>
      <c r="Q4" s="60"/>
      <c r="R4" s="60"/>
    </row>
    <row r="5" spans="2:18" ht="15" customHeight="1" x14ac:dyDescent="0.25">
      <c r="B5" s="9" t="s">
        <v>6</v>
      </c>
      <c r="C5" s="11" t="s">
        <v>8</v>
      </c>
      <c r="D5" s="11" t="s">
        <v>71</v>
      </c>
      <c r="E5" s="40">
        <v>10</v>
      </c>
      <c r="F5" s="41">
        <v>20</v>
      </c>
      <c r="G5" s="14"/>
      <c r="H5" s="19" t="s">
        <v>16</v>
      </c>
      <c r="I5" s="20">
        <f>IF(VLOOKUP($B$12,Models!$B$6:$O$30,2,FALSE)="Reduced",HLOOKUP($H5,Models!$E$33:$O$37,4,FALSE),HLOOKUP($H5,Models!$E$33:$O$37,2,FALSE))</f>
        <v>10.313703703703702</v>
      </c>
      <c r="J5" s="20">
        <f>IF(VLOOKUP($B$12,Models!$B$6:$O$30,2,FALSE)="Reduced",HLOOKUP($H5,Models!$E$33:$O$37,5,FALSE),HLOOKUP($H5,Models!$E$33:$O$37,3,FALSE))</f>
        <v>7.8795573617129158</v>
      </c>
      <c r="K5" s="20">
        <f>IFERROR((E5-$I5)/$J5,0)</f>
        <v>-3.9812351037381954E-2</v>
      </c>
      <c r="L5" s="20">
        <f>IFERROR((F5-$I5)/$J5,0)</f>
        <v>1.2292944706973514</v>
      </c>
      <c r="M5" s="70">
        <f>VLOOKUP($B$12,Models!$B$6:$O$30,HLOOKUP($H5,Models!$D$4:$O$5,2,FALSE),FALSE)</f>
        <v>8.0189999999999997E-2</v>
      </c>
      <c r="N5" s="71">
        <f>$M5*K5</f>
        <v>-3.1925524296876587E-3</v>
      </c>
      <c r="O5" s="72">
        <f>$M5*L5</f>
        <v>9.8577123605220612E-2</v>
      </c>
      <c r="P5" s="4"/>
    </row>
    <row r="6" spans="2:18" ht="15" customHeight="1" x14ac:dyDescent="0.25">
      <c r="B6" s="9" t="s">
        <v>28</v>
      </c>
      <c r="C6" s="11" t="s">
        <v>8</v>
      </c>
      <c r="D6" s="11" t="s">
        <v>72</v>
      </c>
      <c r="E6" s="42">
        <v>15</v>
      </c>
      <c r="F6" s="43">
        <v>15</v>
      </c>
      <c r="G6" s="14"/>
      <c r="H6" s="19" t="s">
        <v>17</v>
      </c>
      <c r="I6" s="20">
        <f>IF(VLOOKUP($B$12,Models!$B$6:$O$30,2,FALSE)="Reduced",HLOOKUP($H6,Models!$E$33:$O$37,4,FALSE),HLOOKUP($H6,Models!$E$33:$O$37,2,FALSE))</f>
        <v>25.62962962962963</v>
      </c>
      <c r="J6" s="20">
        <f>IF(VLOOKUP($B$12,Models!$B$6:$O$30,2,FALSE)="Reduced",HLOOKUP($H6,Models!$E$33:$O$37,5,FALSE),HLOOKUP($H6,Models!$E$33:$O$37,3,FALSE))</f>
        <v>10.015365687659632</v>
      </c>
      <c r="K6" s="20">
        <f t="shared" ref="K6:L9" si="0">IFERROR((E6-$I6)/$J6,0)</f>
        <v>-1.0613321531261568</v>
      </c>
      <c r="L6" s="20">
        <f t="shared" si="0"/>
        <v>-1.0613321531261568</v>
      </c>
      <c r="M6" s="70">
        <f>VLOOKUP($B$12,Models!$B$6:$O$30,HLOOKUP($H6,Models!$D$4:$O$5,2,FALSE),FALSE)</f>
        <v>8.7819999999999995E-2</v>
      </c>
      <c r="N6" s="71">
        <f>$M6*K6</f>
        <v>-9.320618968753909E-2</v>
      </c>
      <c r="O6" s="72">
        <f>$M6*L6</f>
        <v>-9.320618968753909E-2</v>
      </c>
      <c r="P6" s="4"/>
    </row>
    <row r="7" spans="2:18" ht="15" customHeight="1" x14ac:dyDescent="0.25">
      <c r="B7" s="9" t="s">
        <v>1</v>
      </c>
      <c r="C7" s="11" t="s">
        <v>9</v>
      </c>
      <c r="D7" s="11" t="s">
        <v>73</v>
      </c>
      <c r="E7" s="42">
        <v>7</v>
      </c>
      <c r="F7" s="43">
        <v>7</v>
      </c>
      <c r="G7" s="15"/>
      <c r="H7" s="19" t="s">
        <v>1</v>
      </c>
      <c r="I7" s="20">
        <f>IF(VLOOKUP($B$12,Models!$B$6:$O$30,2,FALSE)="Reduced",HLOOKUP($H7,Models!$E$33:$O$37,4,FALSE),HLOOKUP($H7,Models!$E$33:$O$37,2,FALSE))</f>
        <v>8.517777777777777</v>
      </c>
      <c r="J7" s="20">
        <f>IF(VLOOKUP($B$12,Models!$B$6:$O$30,2,FALSE)="Reduced",HLOOKUP($H7,Models!$E$33:$O$37,5,FALSE),HLOOKUP($H7,Models!$E$33:$O$37,3,FALSE))</f>
        <v>1.6113738365213832</v>
      </c>
      <c r="K7" s="20">
        <f t="shared" si="0"/>
        <v>-0.94191536648897045</v>
      </c>
      <c r="L7" s="20">
        <f t="shared" si="0"/>
        <v>-0.94191536648897045</v>
      </c>
      <c r="M7" s="70">
        <f>VLOOKUP($B$12,Models!$B$6:$O$30,HLOOKUP($H7,Models!$D$4:$O$5,2,FALSE),FALSE)</f>
        <v>-4.224E-2</v>
      </c>
      <c r="N7" s="71">
        <f t="shared" ref="N7:N15" si="1">$M7*K7</f>
        <v>3.9786505080494111E-2</v>
      </c>
      <c r="O7" s="72">
        <f t="shared" ref="O7:O15" si="2">$M7*L7</f>
        <v>3.9786505080494111E-2</v>
      </c>
      <c r="P7" s="4"/>
    </row>
    <row r="8" spans="2:18" ht="15" customHeight="1" x14ac:dyDescent="0.25">
      <c r="B8" s="9" t="s">
        <v>2</v>
      </c>
      <c r="C8" s="11" t="s">
        <v>10</v>
      </c>
      <c r="D8" s="11" t="s">
        <v>74</v>
      </c>
      <c r="E8" s="44">
        <v>220</v>
      </c>
      <c r="F8" s="45">
        <v>160</v>
      </c>
      <c r="G8" s="14"/>
      <c r="H8" s="19" t="s">
        <v>2</v>
      </c>
      <c r="I8" s="20">
        <f>IF(VLOOKUP($B$12,Models!$B$6:$O$30,2,FALSE)="Reduced",HLOOKUP($H8,Models!$E$33:$O$37,4,FALSE),HLOOKUP($H8,Models!$E$33:$O$37,2,FALSE))</f>
        <v>190.61111111111111</v>
      </c>
      <c r="J8" s="20">
        <f>IF(VLOOKUP($B$12,Models!$B$6:$O$30,2,FALSE)="Reduced",HLOOKUP($H8,Models!$E$33:$O$37,5,FALSE),HLOOKUP($H8,Models!$E$33:$O$37,3,FALSE))</f>
        <v>28.579111970557118</v>
      </c>
      <c r="K8" s="20">
        <f t="shared" si="0"/>
        <v>1.0283345724375907</v>
      </c>
      <c r="L8" s="20">
        <f t="shared" si="0"/>
        <v>-1.0711008495521979</v>
      </c>
      <c r="M8" s="70">
        <f>VLOOKUP($B$12,Models!$B$6:$O$30,HLOOKUP($H8,Models!$D$4:$O$5,2,FALSE),FALSE)</f>
        <v>0.13450000000000001</v>
      </c>
      <c r="N8" s="71">
        <f t="shared" si="1"/>
        <v>0.13831099999285595</v>
      </c>
      <c r="O8" s="72">
        <f t="shared" si="2"/>
        <v>-0.14406306426477061</v>
      </c>
      <c r="P8" s="4"/>
    </row>
    <row r="9" spans="2:18" ht="15" customHeight="1" thickBot="1" x14ac:dyDescent="0.3">
      <c r="B9" s="12" t="s">
        <v>3</v>
      </c>
      <c r="C9" s="13" t="s">
        <v>10</v>
      </c>
      <c r="D9" s="13" t="s">
        <v>75</v>
      </c>
      <c r="E9" s="46">
        <v>300</v>
      </c>
      <c r="F9" s="47">
        <v>300</v>
      </c>
      <c r="G9" s="14"/>
      <c r="H9" s="19" t="s">
        <v>3</v>
      </c>
      <c r="I9" s="20">
        <f>IF(VLOOKUP($B$12,Models!$B$6:$O$30,2,FALSE)="Reduced",HLOOKUP($H9,Models!$E$33:$O$37,4,FALSE),HLOOKUP($H9,Models!$E$33:$O$37,2,FALSE))</f>
        <v>320.5333333333333</v>
      </c>
      <c r="J9" s="20">
        <f>IF(VLOOKUP($B$12,Models!$B$6:$O$30,2,FALSE)="Reduced",HLOOKUP($H9,Models!$E$33:$O$37,5,FALSE),HLOOKUP($H9,Models!$E$33:$O$37,3,FALSE))</f>
        <v>19.480127941453173</v>
      </c>
      <c r="K9" s="20">
        <f t="shared" si="0"/>
        <v>-1.0540656301152385</v>
      </c>
      <c r="L9" s="20">
        <f t="shared" si="0"/>
        <v>-1.0540656301152385</v>
      </c>
      <c r="M9" s="70">
        <f>VLOOKUP($B$12,Models!$B$6:$O$30,HLOOKUP($H9,Models!$D$4:$O$5,2,FALSE),FALSE)</f>
        <v>0</v>
      </c>
      <c r="N9" s="71">
        <f t="shared" si="1"/>
        <v>0</v>
      </c>
      <c r="O9" s="72">
        <f t="shared" si="2"/>
        <v>0</v>
      </c>
      <c r="P9" s="4"/>
    </row>
    <row r="10" spans="2:18" ht="15" customHeight="1" x14ac:dyDescent="0.25">
      <c r="B10" s="10"/>
      <c r="C10" s="10"/>
      <c r="D10" s="10"/>
      <c r="E10" s="10"/>
      <c r="F10" s="10"/>
      <c r="G10" s="16"/>
      <c r="H10" s="19" t="s">
        <v>18</v>
      </c>
      <c r="I10" s="20">
        <f>IF(VLOOKUP($B$12,Models!$B$6:$O$30,2,FALSE)="Reduced",HLOOKUP($H10,Models!$E$33:$O$37,4,FALSE),HLOOKUP($H10,Models!$E$33:$O$37,2,FALSE))</f>
        <v>0.96296296296296335</v>
      </c>
      <c r="J10" s="20">
        <f>IF(VLOOKUP($B$12,Models!$B$6:$O$30,2,FALSE)="Reduced",HLOOKUP($H10,Models!$E$33:$O$37,5,FALSE),HLOOKUP($H10,Models!$E$33:$O$37,3,FALSE))</f>
        <v>0.80276916001516485</v>
      </c>
      <c r="K10" s="20">
        <f>IFERROR((K5*K5-$I10)/$J10,0)</f>
        <v>-1.1975770714082719</v>
      </c>
      <c r="L10" s="20">
        <f>IFERROR((L5*L5-$I10)/$J10,0)</f>
        <v>0.68288863104028819</v>
      </c>
      <c r="M10" s="70">
        <f>VLOOKUP($B$12,Models!$B$6:$O$30,HLOOKUP($H10,Models!$D$4:$O$5,2,FALSE),FALSE)</f>
        <v>4.4319999999999998E-2</v>
      </c>
      <c r="N10" s="71">
        <f t="shared" si="1"/>
        <v>-5.3076615804814604E-2</v>
      </c>
      <c r="O10" s="72">
        <f t="shared" si="2"/>
        <v>3.026562412770557E-2</v>
      </c>
      <c r="P10" s="4"/>
    </row>
    <row r="11" spans="2:18" ht="15" customHeight="1" thickBot="1" x14ac:dyDescent="0.3">
      <c r="B11" s="3" t="s">
        <v>76</v>
      </c>
      <c r="E11" s="10"/>
      <c r="F11" s="10"/>
      <c r="G11" s="10"/>
      <c r="H11" s="19" t="s">
        <v>12</v>
      </c>
      <c r="I11" s="20">
        <f>IF(VLOOKUP($B$12,Models!$B$6:$O$30,2,FALSE)="Reduced",HLOOKUP($H11,Models!$E$33:$O$37,4,FALSE),HLOOKUP($H11,Models!$E$33:$O$37,2,FALSE))</f>
        <v>0.96296296296296269</v>
      </c>
      <c r="J11" s="20">
        <f>IF(VLOOKUP($B$12,Models!$B$6:$O$30,2,FALSE)="Reduced",HLOOKUP($H11,Models!$E$33:$O$37,5,FALSE),HLOOKUP($H11,Models!$E$33:$O$37,3,FALSE))</f>
        <v>0.73976609551508432</v>
      </c>
      <c r="K11" s="20">
        <f>IFERROR((K8*K8-$I11)/$J11,0)</f>
        <v>0.12775528708386558</v>
      </c>
      <c r="L11" s="20">
        <f>IFERROR((L8*L8-$I11)/$J11,0)</f>
        <v>0.24912478155700959</v>
      </c>
      <c r="M11" s="70">
        <f>VLOOKUP($B$12,Models!$B$6:$O$30,HLOOKUP($H11,Models!$D$4:$O$5,2,FALSE),FALSE)</f>
        <v>7.5789999999999996E-2</v>
      </c>
      <c r="N11" s="71">
        <f t="shared" si="1"/>
        <v>9.6825732080861714E-3</v>
      </c>
      <c r="O11" s="72">
        <f t="shared" si="2"/>
        <v>1.8881167194205756E-2</v>
      </c>
      <c r="P11" s="4"/>
    </row>
    <row r="12" spans="2:18" ht="15" customHeight="1" thickBot="1" x14ac:dyDescent="0.3">
      <c r="B12" s="90" t="s">
        <v>36</v>
      </c>
      <c r="C12" s="91"/>
      <c r="D12" s="91"/>
      <c r="E12" s="91"/>
      <c r="F12" s="92"/>
      <c r="G12" s="10"/>
      <c r="H12" s="19" t="s">
        <v>22</v>
      </c>
      <c r="I12" s="20">
        <f>IF(VLOOKUP($B$12,Models!$B$6:$O$30,2,FALSE)="Reduced",HLOOKUP($H12,Models!$E$33:$O$37,4,FALSE),HLOOKUP($H12,Models!$E$33:$O$37,2,FALSE))</f>
        <v>-3.6737759496824549E-2</v>
      </c>
      <c r="J12" s="20">
        <f>IF(VLOOKUP($B$12,Models!$B$6:$O$30,2,FALSE)="Reduced",HLOOKUP($H12,Models!$E$33:$O$37,5,FALSE),HLOOKUP($H12,Models!$E$33:$O$37,3,FALSE))</f>
        <v>0.97846089758776722</v>
      </c>
      <c r="K12" s="20">
        <f>IFERROR((K5*K6-$I12)/$J12,0)</f>
        <v>8.0730755760485565E-2</v>
      </c>
      <c r="L12" s="20">
        <f>IFERROR((L5*L6-$I12)/$J12,0)</f>
        <v>-1.2958637294963955</v>
      </c>
      <c r="M12" s="70">
        <f>VLOOKUP($B$12,Models!$B$6:$O$30,HLOOKUP($H12,Models!$D$4:$O$5,2,FALSE),FALSE)</f>
        <v>1.6930000000000001E-2</v>
      </c>
      <c r="N12" s="71">
        <f t="shared" si="1"/>
        <v>1.3667716950250207E-3</v>
      </c>
      <c r="O12" s="72">
        <f t="shared" si="2"/>
        <v>-2.1938972940373978E-2</v>
      </c>
      <c r="P12" s="4"/>
    </row>
    <row r="13" spans="2:18" ht="15" customHeight="1" x14ac:dyDescent="0.25">
      <c r="G13" s="10"/>
      <c r="H13" s="19" t="s">
        <v>19</v>
      </c>
      <c r="I13" s="20">
        <f>IF(VLOOKUP($B$12,Models!$B$6:$O$30,2,FALSE)="Reduced",HLOOKUP($H13,Models!$E$33:$O$37,4,FALSE),HLOOKUP($H13,Models!$E$33:$O$37,2,FALSE))</f>
        <v>-9.9235199966212231E-2</v>
      </c>
      <c r="J13" s="20">
        <f>IF(VLOOKUP($B$12,Models!$B$6:$O$30,2,FALSE)="Reduced",HLOOKUP($H13,Models!$E$33:$O$37,5,FALSE),HLOOKUP($H13,Models!$E$33:$O$37,3,FALSE))</f>
        <v>0.99961547095694803</v>
      </c>
      <c r="K13" s="20">
        <f>IFERROR((K5*K7-$I13)/$J13,0)</f>
        <v>0.13678766401391998</v>
      </c>
      <c r="L13" s="20">
        <f>IFERROR((L5*L7-$I13)/$J13,0)</f>
        <v>-1.0590633925564195</v>
      </c>
      <c r="M13" s="70">
        <f>VLOOKUP($B$12,Models!$B$6:$O$30,HLOOKUP($H13,Models!$D$4:$O$5,2,FALSE),FALSE)</f>
        <v>0</v>
      </c>
      <c r="N13" s="71">
        <f t="shared" si="1"/>
        <v>0</v>
      </c>
      <c r="O13" s="72">
        <f t="shared" si="2"/>
        <v>0</v>
      </c>
      <c r="P13" s="4"/>
    </row>
    <row r="14" spans="2:18" ht="15" customHeight="1" x14ac:dyDescent="0.25">
      <c r="G14" s="10"/>
      <c r="H14" s="19" t="s">
        <v>20</v>
      </c>
      <c r="I14" s="20">
        <f>IF(VLOOKUP($B$12,Models!$B$6:$O$30,2,FALSE)="Reduced",HLOOKUP($H14,Models!$E$33:$O$37,4,FALSE),HLOOKUP($H14,Models!$E$33:$O$37,2,FALSE))</f>
        <v>-0.54134173413591913</v>
      </c>
      <c r="J14" s="20">
        <f>IF(VLOOKUP($B$12,Models!$B$6:$O$30,2,FALSE)="Reduced",HLOOKUP($H14,Models!$E$33:$O$37,5,FALSE),HLOOKUP($H14,Models!$E$33:$O$37,3,FALSE))</f>
        <v>0.76915293101927018</v>
      </c>
      <c r="K14" s="20">
        <f>IFERROR((K5*K8-$I14)/$J14,0)</f>
        <v>0.65058754504261362</v>
      </c>
      <c r="L14" s="20">
        <f>IFERROR((L5*L8-$I14)/$J14,0)</f>
        <v>-1.0080656089424793</v>
      </c>
      <c r="M14" s="70">
        <f>VLOOKUP($B$12,Models!$B$6:$O$30,HLOOKUP($H14,Models!$D$4:$O$5,2,FALSE),FALSE)</f>
        <v>4.6530000000000002E-2</v>
      </c>
      <c r="N14" s="71">
        <f t="shared" si="1"/>
        <v>3.0271838470832813E-2</v>
      </c>
      <c r="O14" s="72">
        <f t="shared" si="2"/>
        <v>-4.6905292784093562E-2</v>
      </c>
      <c r="P14" s="4"/>
    </row>
    <row r="15" spans="2:18" ht="15" customHeight="1" thickBot="1" x14ac:dyDescent="0.3">
      <c r="B15" s="26" t="s">
        <v>65</v>
      </c>
      <c r="C15" s="10"/>
      <c r="D15" s="10"/>
      <c r="E15" s="10"/>
      <c r="F15" s="10"/>
      <c r="G15" s="10"/>
      <c r="H15" s="19" t="s">
        <v>21</v>
      </c>
      <c r="I15" s="20">
        <f>IF(VLOOKUP($B$12,Models!$B$6:$O$30,2,FALSE)="Reduced",HLOOKUP($H15,Models!$E$33:$O$37,4,FALSE),HLOOKUP($H15,Models!$E$33:$O$37,2,FALSE))</f>
        <v>1.6327654831524825E-2</v>
      </c>
      <c r="J15" s="20">
        <f>IF(VLOOKUP($B$12,Models!$B$6:$O$30,2,FALSE)="Reduced",HLOOKUP($H15,Models!$E$33:$O$37,5,FALSE),HLOOKUP($H15,Models!$E$33:$O$37,3,FALSE))</f>
        <v>0.97282496231079274</v>
      </c>
      <c r="K15" s="20">
        <f>IFERROR((K5*K9-$I15)/$J15,0)</f>
        <v>2.6353328753165595E-2</v>
      </c>
      <c r="L15" s="20">
        <f>IFERROR((L5*L9-$I15)/$J15,0)</f>
        <v>-1.3487366756786916</v>
      </c>
      <c r="M15" s="70">
        <f>VLOOKUP($B$12,Models!$B$6:$O$30,HLOOKUP($H15,Models!$D$4:$O$5,2,FALSE),FALSE)</f>
        <v>0</v>
      </c>
      <c r="N15" s="71">
        <f t="shared" si="1"/>
        <v>0</v>
      </c>
      <c r="O15" s="72">
        <f t="shared" si="2"/>
        <v>0</v>
      </c>
      <c r="P15" s="4"/>
    </row>
    <row r="16" spans="2:18" ht="15" customHeight="1" thickBot="1" x14ac:dyDescent="0.3">
      <c r="B16" s="81">
        <f>(EXP(SUM(O5:O15))/EXP(SUM(N5:N15))-1)</f>
        <v>-0.17183794917904971</v>
      </c>
      <c r="C16" s="82"/>
      <c r="D16" s="82"/>
      <c r="E16" s="82"/>
      <c r="F16" s="83"/>
      <c r="G16" s="10"/>
      <c r="H16" s="22" t="s">
        <v>0</v>
      </c>
      <c r="I16" s="23"/>
      <c r="J16" s="23"/>
      <c r="K16" s="23"/>
      <c r="L16" s="23"/>
      <c r="M16" s="73">
        <f>VLOOKUP($B$12,Models!$B$6:$O$30,HLOOKUP($H16,Models!$D$4:$O$5,2,FALSE),FALSE)</f>
        <v>-0.95208999999999999</v>
      </c>
      <c r="N16" s="74">
        <f>$M16</f>
        <v>-0.95208999999999999</v>
      </c>
      <c r="O16" s="75">
        <f>$M16</f>
        <v>-0.95208999999999999</v>
      </c>
      <c r="P16" s="4"/>
    </row>
    <row r="17" spans="2:16" x14ac:dyDescent="0.25">
      <c r="B17" s="10"/>
      <c r="C17" s="10"/>
      <c r="D17" s="10"/>
      <c r="E17" s="10"/>
      <c r="F17" s="10"/>
    </row>
    <row r="18" spans="2:16" ht="15" customHeight="1" x14ac:dyDescent="0.25">
      <c r="L18" s="76"/>
      <c r="M18" s="76"/>
      <c r="N18" s="76"/>
      <c r="O18" s="76"/>
      <c r="P18" s="25"/>
    </row>
    <row r="19" spans="2:16" ht="15.75" thickBot="1" x14ac:dyDescent="0.3">
      <c r="L19" s="76"/>
      <c r="M19" s="76"/>
      <c r="N19" s="76"/>
      <c r="O19" s="76"/>
    </row>
    <row r="20" spans="2:16" x14ac:dyDescent="0.25">
      <c r="C20" s="79" t="s">
        <v>30</v>
      </c>
      <c r="D20" s="80"/>
      <c r="E20" s="77"/>
      <c r="F20" s="63"/>
      <c r="L20" s="76"/>
      <c r="M20" s="76"/>
      <c r="N20" s="76"/>
      <c r="O20" s="76"/>
    </row>
    <row r="21" spans="2:16" x14ac:dyDescent="0.25">
      <c r="C21" s="18" t="s">
        <v>11</v>
      </c>
      <c r="D21" s="65" t="s">
        <v>78</v>
      </c>
      <c r="F21" s="48"/>
      <c r="L21" s="76"/>
      <c r="M21" s="76"/>
      <c r="N21" s="76"/>
      <c r="O21" s="76"/>
    </row>
    <row r="22" spans="2:16" x14ac:dyDescent="0.25">
      <c r="C22" s="19" t="s">
        <v>16</v>
      </c>
      <c r="D22" s="21">
        <f t="shared" ref="D22:D32" si="3">(O5-N5)</f>
        <v>0.10176967603490827</v>
      </c>
      <c r="F22" s="25"/>
      <c r="L22" s="76"/>
      <c r="M22" s="76"/>
      <c r="N22" s="76"/>
      <c r="O22" s="76"/>
    </row>
    <row r="23" spans="2:16" x14ac:dyDescent="0.25">
      <c r="C23" s="19" t="s">
        <v>17</v>
      </c>
      <c r="D23" s="21">
        <f t="shared" si="3"/>
        <v>0</v>
      </c>
      <c r="F23" s="25"/>
      <c r="L23" s="76"/>
      <c r="M23" s="76"/>
      <c r="N23" s="76"/>
      <c r="O23" s="76"/>
    </row>
    <row r="24" spans="2:16" x14ac:dyDescent="0.25">
      <c r="C24" s="19" t="s">
        <v>1</v>
      </c>
      <c r="D24" s="21">
        <f t="shared" si="3"/>
        <v>0</v>
      </c>
      <c r="F24" s="25"/>
      <c r="L24" s="76"/>
      <c r="M24" s="76"/>
      <c r="N24" s="76"/>
      <c r="O24" s="76"/>
    </row>
    <row r="25" spans="2:16" x14ac:dyDescent="0.25">
      <c r="C25" s="19" t="s">
        <v>2</v>
      </c>
      <c r="D25" s="21">
        <f t="shared" si="3"/>
        <v>-0.28237406425762657</v>
      </c>
      <c r="F25" s="25"/>
      <c r="L25" s="76"/>
      <c r="M25" s="76"/>
      <c r="N25" s="76"/>
      <c r="O25" s="76"/>
    </row>
    <row r="26" spans="2:16" x14ac:dyDescent="0.25">
      <c r="C26" s="19" t="s">
        <v>3</v>
      </c>
      <c r="D26" s="21">
        <f t="shared" si="3"/>
        <v>0</v>
      </c>
      <c r="F26" s="25"/>
      <c r="L26" s="76"/>
      <c r="M26" s="76"/>
      <c r="N26" s="76"/>
      <c r="O26" s="76"/>
    </row>
    <row r="27" spans="2:16" x14ac:dyDescent="0.25">
      <c r="C27" s="19" t="s">
        <v>18</v>
      </c>
      <c r="D27" s="21">
        <f t="shared" si="3"/>
        <v>8.3342239932520171E-2</v>
      </c>
      <c r="F27" s="25"/>
      <c r="L27" s="76"/>
      <c r="M27" s="76"/>
      <c r="N27" s="76"/>
      <c r="O27" s="76"/>
    </row>
    <row r="28" spans="2:16" x14ac:dyDescent="0.25">
      <c r="C28" s="19" t="s">
        <v>12</v>
      </c>
      <c r="D28" s="21">
        <f t="shared" si="3"/>
        <v>9.198593986119585E-3</v>
      </c>
      <c r="F28" s="25"/>
      <c r="L28" s="76"/>
      <c r="M28" s="76"/>
      <c r="N28" s="76"/>
      <c r="O28" s="76"/>
    </row>
    <row r="29" spans="2:16" x14ac:dyDescent="0.25">
      <c r="C29" s="19" t="s">
        <v>22</v>
      </c>
      <c r="D29" s="21">
        <f t="shared" si="3"/>
        <v>-2.3305744635398997E-2</v>
      </c>
      <c r="F29" s="25"/>
      <c r="L29" s="76"/>
      <c r="M29" s="76"/>
      <c r="N29" s="76"/>
      <c r="O29" s="76"/>
    </row>
    <row r="30" spans="2:16" x14ac:dyDescent="0.25">
      <c r="C30" s="19" t="s">
        <v>19</v>
      </c>
      <c r="D30" s="21">
        <f t="shared" si="3"/>
        <v>0</v>
      </c>
      <c r="F30" s="25"/>
      <c r="L30" s="76"/>
      <c r="M30" s="76"/>
      <c r="N30" s="76"/>
      <c r="O30" s="76"/>
    </row>
    <row r="31" spans="2:16" x14ac:dyDescent="0.25">
      <c r="C31" s="19" t="s">
        <v>20</v>
      </c>
      <c r="D31" s="21">
        <f t="shared" si="3"/>
        <v>-7.7177131254926368E-2</v>
      </c>
      <c r="F31" s="25"/>
      <c r="L31" s="76"/>
      <c r="M31" s="76"/>
      <c r="N31" s="76"/>
      <c r="O31" s="76"/>
    </row>
    <row r="32" spans="2:16" x14ac:dyDescent="0.25">
      <c r="C32" s="19" t="s">
        <v>21</v>
      </c>
      <c r="D32" s="21">
        <f t="shared" si="3"/>
        <v>0</v>
      </c>
      <c r="F32" s="25"/>
      <c r="L32" s="76"/>
      <c r="M32" s="76"/>
      <c r="N32" s="76"/>
      <c r="O32" s="76"/>
    </row>
    <row r="33" spans="3:15" ht="15.75" thickBot="1" x14ac:dyDescent="0.3">
      <c r="C33" s="22" t="s">
        <v>60</v>
      </c>
      <c r="D33" s="24">
        <f>SUM(D22:D32)</f>
        <v>-0.18854643019440392</v>
      </c>
      <c r="F33" s="64"/>
      <c r="L33" s="76"/>
      <c r="M33" s="76"/>
      <c r="N33" s="76"/>
      <c r="O33" s="76"/>
    </row>
    <row r="34" spans="3:15" x14ac:dyDescent="0.25">
      <c r="L34" s="76"/>
      <c r="M34" s="76"/>
      <c r="N34" s="76"/>
      <c r="O34" s="76"/>
    </row>
    <row r="35" spans="3:15" x14ac:dyDescent="0.25">
      <c r="L35" s="76"/>
      <c r="M35" s="76"/>
      <c r="N35" s="76"/>
      <c r="O35" s="76"/>
    </row>
    <row r="36" spans="3:15" x14ac:dyDescent="0.25">
      <c r="L36" s="76"/>
      <c r="M36" s="76"/>
      <c r="N36" s="76"/>
      <c r="O36" s="76"/>
    </row>
    <row r="37" spans="3:15" x14ac:dyDescent="0.25">
      <c r="L37" s="76"/>
      <c r="M37" s="76"/>
      <c r="N37" s="76"/>
      <c r="O37" s="76"/>
    </row>
    <row r="38" spans="3:15" x14ac:dyDescent="0.25">
      <c r="L38" s="76"/>
      <c r="M38" s="76"/>
      <c r="N38" s="76"/>
      <c r="O38" s="76"/>
    </row>
  </sheetData>
  <mergeCells count="6">
    <mergeCell ref="C20:D20"/>
    <mergeCell ref="B16:F16"/>
    <mergeCell ref="B3:F3"/>
    <mergeCell ref="H3:L3"/>
    <mergeCell ref="M3:O3"/>
    <mergeCell ref="B12:F12"/>
  </mergeCells>
  <dataValidations count="1">
    <dataValidation type="list" allowBlank="1" showErrorMessage="1" sqref="B12:F12">
      <formula1>ModelList2</formula1>
    </dataValidation>
  </dataValidations>
  <pageMargins left="0.7" right="0.7" top="0.75" bottom="0.75" header="0.3" footer="0.3"/>
  <pageSetup orientation="portrait" r:id="rId1"/>
  <ignoredErrors>
    <ignoredError sqref="N16:O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7"/>
  <sheetViews>
    <sheetView zoomScaleNormal="100" workbookViewId="0">
      <pane ySplit="4" topLeftCell="A5" activePane="bottomLeft" state="frozen"/>
      <selection pane="bottomLeft" activeCell="N13" sqref="N13"/>
    </sheetView>
  </sheetViews>
  <sheetFormatPr defaultRowHeight="15" x14ac:dyDescent="0.25"/>
  <cols>
    <col min="1" max="1" width="2.42578125" style="1" customWidth="1"/>
    <col min="2" max="2" width="22.140625" style="8" customWidth="1"/>
    <col min="3" max="3" width="14.140625" style="8" customWidth="1"/>
    <col min="4" max="4" width="12.7109375" style="1" customWidth="1"/>
    <col min="5" max="15" width="11" style="1" customWidth="1"/>
  </cols>
  <sheetData>
    <row r="1" spans="1:15" x14ac:dyDescent="0.25">
      <c r="B1" s="8" t="s">
        <v>66</v>
      </c>
    </row>
    <row r="3" spans="1:15" x14ac:dyDescent="0.25">
      <c r="B3" s="29"/>
      <c r="C3" s="29"/>
      <c r="D3" s="93" t="s">
        <v>62</v>
      </c>
      <c r="E3" s="93"/>
      <c r="F3" s="93"/>
      <c r="G3" s="93"/>
      <c r="H3" s="93"/>
      <c r="I3" s="93"/>
      <c r="J3" s="93"/>
      <c r="K3" s="93"/>
      <c r="L3" s="93"/>
      <c r="M3" s="93"/>
      <c r="N3" s="93"/>
      <c r="O3" s="93"/>
    </row>
    <row r="4" spans="1:15" s="3" customFormat="1" x14ac:dyDescent="0.25">
      <c r="A4" s="2"/>
      <c r="B4" s="39"/>
      <c r="C4" s="39"/>
      <c r="D4" s="27" t="s">
        <v>0</v>
      </c>
      <c r="E4" s="27" t="s">
        <v>16</v>
      </c>
      <c r="F4" s="27" t="s">
        <v>17</v>
      </c>
      <c r="G4" s="27" t="s">
        <v>1</v>
      </c>
      <c r="H4" s="27" t="s">
        <v>2</v>
      </c>
      <c r="I4" s="27" t="s">
        <v>3</v>
      </c>
      <c r="J4" s="27" t="s">
        <v>18</v>
      </c>
      <c r="K4" s="27" t="s">
        <v>12</v>
      </c>
      <c r="L4" s="27" t="s">
        <v>22</v>
      </c>
      <c r="M4" s="27" t="s">
        <v>19</v>
      </c>
      <c r="N4" s="27" t="s">
        <v>20</v>
      </c>
      <c r="O4" s="27" t="s">
        <v>21</v>
      </c>
    </row>
    <row r="5" spans="1:15" x14ac:dyDescent="0.25">
      <c r="B5" s="36" t="s">
        <v>45</v>
      </c>
      <c r="C5" s="36" t="s">
        <v>46</v>
      </c>
      <c r="D5" s="30">
        <v>3</v>
      </c>
      <c r="E5" s="30">
        <f>D5+1</f>
        <v>4</v>
      </c>
      <c r="F5" s="30">
        <f t="shared" ref="F5:O5" si="0">E5+1</f>
        <v>5</v>
      </c>
      <c r="G5" s="30">
        <f t="shared" si="0"/>
        <v>6</v>
      </c>
      <c r="H5" s="30">
        <f t="shared" si="0"/>
        <v>7</v>
      </c>
      <c r="I5" s="30">
        <f t="shared" si="0"/>
        <v>8</v>
      </c>
      <c r="J5" s="30">
        <f t="shared" si="0"/>
        <v>9</v>
      </c>
      <c r="K5" s="30">
        <f t="shared" si="0"/>
        <v>10</v>
      </c>
      <c r="L5" s="30">
        <f t="shared" si="0"/>
        <v>11</v>
      </c>
      <c r="M5" s="30">
        <f t="shared" si="0"/>
        <v>12</v>
      </c>
      <c r="N5" s="30">
        <f t="shared" si="0"/>
        <v>13</v>
      </c>
      <c r="O5" s="30">
        <f t="shared" si="0"/>
        <v>14</v>
      </c>
    </row>
    <row r="6" spans="1:15" x14ac:dyDescent="0.25">
      <c r="B6" s="29" t="s">
        <v>55</v>
      </c>
      <c r="C6" s="29" t="s">
        <v>5</v>
      </c>
      <c r="D6" s="66">
        <v>-5.8371009880000004</v>
      </c>
      <c r="E6" s="66">
        <v>-1.7291936000000001E-2</v>
      </c>
      <c r="F6" s="66">
        <v>2.6732511E-2</v>
      </c>
      <c r="G6" s="67"/>
      <c r="H6" s="66">
        <v>0.124708663</v>
      </c>
      <c r="I6" s="66">
        <v>0.100361308</v>
      </c>
      <c r="J6" s="67"/>
      <c r="K6" s="67"/>
      <c r="L6" s="67"/>
      <c r="M6" s="67"/>
      <c r="N6" s="67"/>
      <c r="O6" s="67"/>
    </row>
    <row r="7" spans="1:15" x14ac:dyDescent="0.25">
      <c r="B7" s="29" t="s">
        <v>47</v>
      </c>
      <c r="C7" s="29" t="s">
        <v>4</v>
      </c>
      <c r="D7" s="66">
        <v>-5.2322862559926513</v>
      </c>
      <c r="E7" s="66">
        <v>0.81448985392398121</v>
      </c>
      <c r="F7" s="66">
        <v>3.4834516236880025E-2</v>
      </c>
      <c r="G7" s="66">
        <v>-4.1699932132688459E-2</v>
      </c>
      <c r="H7" s="66">
        <v>8.6702799110155021E-2</v>
      </c>
      <c r="I7" s="66">
        <v>3.8012767405054722E-2</v>
      </c>
      <c r="J7" s="66">
        <v>-0.16694471248547016</v>
      </c>
      <c r="K7" s="66">
        <v>6.6653264374342894E-2</v>
      </c>
      <c r="L7" s="66">
        <v>1.8402452868077165E-2</v>
      </c>
      <c r="M7" s="66">
        <v>2.1939986973616803E-2</v>
      </c>
      <c r="N7" s="67"/>
      <c r="O7" s="67"/>
    </row>
    <row r="8" spans="1:15" x14ac:dyDescent="0.25">
      <c r="B8" s="29" t="s">
        <v>48</v>
      </c>
      <c r="C8" s="29" t="s">
        <v>5</v>
      </c>
      <c r="D8" s="66">
        <v>-9.4188500000000008</v>
      </c>
      <c r="E8" s="66">
        <v>0.15204000000000001</v>
      </c>
      <c r="F8" s="66">
        <v>7.9909999999999995E-2</v>
      </c>
      <c r="G8" s="67"/>
      <c r="H8" s="66">
        <v>-2.997E-2</v>
      </c>
      <c r="I8" s="66">
        <v>-7.8359999999999999E-2</v>
      </c>
      <c r="J8" s="67"/>
      <c r="K8" s="67"/>
      <c r="L8" s="67"/>
      <c r="M8" s="67"/>
      <c r="N8" s="67"/>
      <c r="O8" s="67"/>
    </row>
    <row r="9" spans="1:15" x14ac:dyDescent="0.25">
      <c r="B9" s="29" t="s">
        <v>51</v>
      </c>
      <c r="C9" s="29" t="s">
        <v>4</v>
      </c>
      <c r="D9" s="66">
        <v>-7.9338066834647218</v>
      </c>
      <c r="E9" s="66">
        <v>0.24757177487615639</v>
      </c>
      <c r="F9" s="66">
        <v>0.11217173806830619</v>
      </c>
      <c r="G9" s="66">
        <v>-6.4501187535178986E-2</v>
      </c>
      <c r="H9" s="66">
        <v>0.18803634594083082</v>
      </c>
      <c r="I9" s="66">
        <v>0.24887572673800326</v>
      </c>
      <c r="J9" s="66">
        <v>-8.3100824615078756E-2</v>
      </c>
      <c r="K9" s="67"/>
      <c r="L9" s="67"/>
      <c r="M9" s="67"/>
      <c r="N9" s="66">
        <v>-0.11857518351352413</v>
      </c>
      <c r="O9" s="66">
        <v>4.6166605687131462E-2</v>
      </c>
    </row>
    <row r="10" spans="1:15" x14ac:dyDescent="0.25">
      <c r="B10" s="29" t="s">
        <v>54</v>
      </c>
      <c r="C10" s="29" t="s">
        <v>5</v>
      </c>
      <c r="D10" s="66">
        <v>-4.1028700000000002</v>
      </c>
      <c r="E10" s="66">
        <v>-4.6800000000000001E-3</v>
      </c>
      <c r="F10" s="66">
        <v>0.40565000000000001</v>
      </c>
      <c r="G10" s="67"/>
      <c r="H10" s="66">
        <v>4.1419999999999998E-2</v>
      </c>
      <c r="I10" s="66">
        <v>1.133E-2</v>
      </c>
      <c r="J10" s="67"/>
      <c r="K10" s="67"/>
      <c r="L10" s="67"/>
      <c r="M10" s="67"/>
      <c r="N10" s="67"/>
      <c r="O10" s="67"/>
    </row>
    <row r="11" spans="1:15" x14ac:dyDescent="0.25">
      <c r="B11" s="29" t="s">
        <v>34</v>
      </c>
      <c r="C11" s="29" t="s">
        <v>4</v>
      </c>
      <c r="D11" s="66">
        <v>-3.0074000000000001</v>
      </c>
      <c r="E11" s="66">
        <v>6.9940000000000002E-2</v>
      </c>
      <c r="F11" s="66">
        <v>-0.1053</v>
      </c>
      <c r="G11" s="66">
        <v>-3.2750000000000001E-2</v>
      </c>
      <c r="H11" s="66">
        <v>7.5539999999999996E-2</v>
      </c>
      <c r="I11" s="67"/>
      <c r="J11" s="66">
        <v>2.844E-2</v>
      </c>
      <c r="K11" s="66">
        <v>5.1700000000000003E-2</v>
      </c>
      <c r="L11" s="66">
        <v>2.0879999999999999E-2</v>
      </c>
      <c r="M11" s="66">
        <v>1.082E-2</v>
      </c>
      <c r="N11" s="66">
        <v>3.048E-2</v>
      </c>
      <c r="O11" s="67"/>
    </row>
    <row r="12" spans="1:15" x14ac:dyDescent="0.25">
      <c r="B12" s="29" t="s">
        <v>35</v>
      </c>
      <c r="C12" s="29" t="s">
        <v>4</v>
      </c>
      <c r="D12" s="66">
        <v>-5.7074999999999996</v>
      </c>
      <c r="E12" s="66">
        <v>5.8599999999999999E-2</v>
      </c>
      <c r="F12" s="66">
        <v>-9.8360000000000003E-2</v>
      </c>
      <c r="G12" s="66">
        <v>-2.0490000000000001E-2</v>
      </c>
      <c r="H12" s="66">
        <v>4.394E-2</v>
      </c>
      <c r="I12" s="66">
        <v>2.5749999999999999E-2</v>
      </c>
      <c r="J12" s="67"/>
      <c r="K12" s="66">
        <v>1.227E-2</v>
      </c>
      <c r="L12" s="66">
        <v>8.7690000000000008E-3</v>
      </c>
      <c r="M12" s="67"/>
      <c r="N12" s="67"/>
      <c r="O12" s="67"/>
    </row>
    <row r="13" spans="1:15" x14ac:dyDescent="0.25">
      <c r="B13" s="29" t="s">
        <v>38</v>
      </c>
      <c r="C13" s="29" t="s">
        <v>4</v>
      </c>
      <c r="D13" s="66">
        <v>1.3466</v>
      </c>
      <c r="E13" s="66">
        <v>-0.10489999999999999</v>
      </c>
      <c r="F13" s="66">
        <v>-1.242E-2</v>
      </c>
      <c r="G13" s="66">
        <v>-7.62E-3</v>
      </c>
      <c r="H13" s="66">
        <v>-3.2730000000000002E-2</v>
      </c>
      <c r="I13" s="66">
        <v>-0.15706000000000001</v>
      </c>
      <c r="J13" s="66">
        <v>7.3039999999999994E-2</v>
      </c>
      <c r="K13" s="66">
        <v>5.3589999999999999E-2</v>
      </c>
      <c r="L13" s="66">
        <v>2.086E-2</v>
      </c>
      <c r="M13" s="66">
        <v>1.5959999999999998E-2</v>
      </c>
      <c r="N13" s="66">
        <v>0.10639999999999999</v>
      </c>
      <c r="O13" s="67"/>
    </row>
    <row r="14" spans="1:15" x14ac:dyDescent="0.25">
      <c r="B14" s="29" t="s">
        <v>39</v>
      </c>
      <c r="C14" s="29" t="s">
        <v>4</v>
      </c>
      <c r="D14" s="66">
        <v>-1.3893</v>
      </c>
      <c r="E14" s="67"/>
      <c r="F14" s="66">
        <v>9.128E-2</v>
      </c>
      <c r="G14" s="66">
        <v>2.989E-2</v>
      </c>
      <c r="H14" s="66">
        <v>2.606E-2</v>
      </c>
      <c r="I14" s="66">
        <v>4.4019999999999997E-2</v>
      </c>
      <c r="J14" s="67"/>
      <c r="K14" s="67"/>
      <c r="L14" s="67"/>
      <c r="M14" s="67"/>
      <c r="N14" s="67"/>
      <c r="O14" s="67"/>
    </row>
    <row r="15" spans="1:15" x14ac:dyDescent="0.25">
      <c r="B15" s="29" t="s">
        <v>56</v>
      </c>
      <c r="C15" s="29" t="s">
        <v>5</v>
      </c>
      <c r="D15" s="66">
        <v>-4.3078625019999999</v>
      </c>
      <c r="E15" s="66">
        <v>0.12042858300000001</v>
      </c>
      <c r="F15" s="66">
        <v>-0.17281776500000001</v>
      </c>
      <c r="G15" s="67"/>
      <c r="H15" s="66">
        <v>0.216898917</v>
      </c>
      <c r="I15" s="66">
        <v>9.5308473000000005E-2</v>
      </c>
      <c r="J15" s="67"/>
      <c r="K15" s="67"/>
      <c r="L15" s="67"/>
      <c r="M15" s="67"/>
      <c r="N15" s="67"/>
      <c r="O15" s="67"/>
    </row>
    <row r="16" spans="1:15" x14ac:dyDescent="0.25">
      <c r="B16" s="29" t="s">
        <v>57</v>
      </c>
      <c r="C16" s="29" t="s">
        <v>5</v>
      </c>
      <c r="D16" s="66">
        <v>-7.724078147368366</v>
      </c>
      <c r="E16" s="66">
        <v>7.3447896216663991E-2</v>
      </c>
      <c r="F16" s="66">
        <v>-0.12603205098075632</v>
      </c>
      <c r="G16" s="67"/>
      <c r="H16" s="66">
        <v>0.18146260030341155</v>
      </c>
      <c r="I16" s="66">
        <v>0.13218575978702879</v>
      </c>
      <c r="J16" s="67"/>
      <c r="K16" s="67"/>
      <c r="L16" s="67"/>
      <c r="M16" s="67"/>
      <c r="N16" s="67"/>
      <c r="O16" s="67"/>
    </row>
    <row r="17" spans="2:15" x14ac:dyDescent="0.25">
      <c r="B17" s="29" t="s">
        <v>52</v>
      </c>
      <c r="C17" s="29" t="s">
        <v>4</v>
      </c>
      <c r="D17" s="66">
        <v>-4.9080458826282083</v>
      </c>
      <c r="E17" s="66">
        <v>1.4626534370779094</v>
      </c>
      <c r="F17" s="67"/>
      <c r="G17" s="66">
        <v>-6.0541677603261179E-2</v>
      </c>
      <c r="H17" s="66">
        <v>7.0291083442600558E-2</v>
      </c>
      <c r="I17" s="66">
        <v>-9.9228641959550792E-2</v>
      </c>
      <c r="J17" s="66">
        <v>-0.49699441435616687</v>
      </c>
      <c r="K17" s="66">
        <v>0.11080436642486048</v>
      </c>
      <c r="L17" s="67"/>
      <c r="M17" s="67"/>
      <c r="N17" s="67"/>
      <c r="O17" s="67"/>
    </row>
    <row r="18" spans="2:15" x14ac:dyDescent="0.25">
      <c r="B18" s="29" t="s">
        <v>53</v>
      </c>
      <c r="C18" s="29" t="s">
        <v>5</v>
      </c>
      <c r="D18" s="66">
        <v>-9.3071999999999999</v>
      </c>
      <c r="E18" s="66">
        <v>0.92332000000000003</v>
      </c>
      <c r="F18" s="66">
        <v>-0.37723000000000001</v>
      </c>
      <c r="G18" s="67"/>
      <c r="H18" s="66">
        <v>-1.9099999999999999E-2</v>
      </c>
      <c r="I18" s="66">
        <v>-0.30173</v>
      </c>
      <c r="J18" s="67"/>
      <c r="K18" s="67"/>
      <c r="L18" s="67"/>
      <c r="M18" s="67"/>
      <c r="N18" s="67"/>
      <c r="O18" s="67"/>
    </row>
    <row r="19" spans="2:15" x14ac:dyDescent="0.25">
      <c r="B19" s="29" t="s">
        <v>49</v>
      </c>
      <c r="C19" s="29" t="s">
        <v>4</v>
      </c>
      <c r="D19" s="66">
        <v>-5.977074399876253</v>
      </c>
      <c r="E19" s="66">
        <v>0.22986241805296198</v>
      </c>
      <c r="F19" s="66">
        <v>2.8223827105566441E-2</v>
      </c>
      <c r="G19" s="66">
        <v>-4.7178420182182462E-2</v>
      </c>
      <c r="H19" s="66">
        <v>0.16717743326199649</v>
      </c>
      <c r="I19" s="66">
        <v>0.13017960468718345</v>
      </c>
      <c r="J19" s="67"/>
      <c r="K19" s="66">
        <v>5.2617266276852113E-2</v>
      </c>
      <c r="L19" s="66">
        <v>1.6505284512847496E-2</v>
      </c>
      <c r="M19" s="67"/>
      <c r="N19" s="66">
        <v>-1.6268334073109895E-2</v>
      </c>
      <c r="O19" s="66">
        <v>2.0042899006919565E-2</v>
      </c>
    </row>
    <row r="20" spans="2:15" x14ac:dyDescent="0.25">
      <c r="B20" s="29" t="s">
        <v>50</v>
      </c>
      <c r="C20" s="29" t="s">
        <v>5</v>
      </c>
      <c r="D20" s="66">
        <v>-8.6574058767873758</v>
      </c>
      <c r="E20" s="66">
        <v>8.4563941963772857E-2</v>
      </c>
      <c r="F20" s="66">
        <v>1.5745313728627922E-2</v>
      </c>
      <c r="G20" s="67"/>
      <c r="H20" s="66">
        <v>1.8629587158546033E-2</v>
      </c>
      <c r="I20" s="66">
        <v>-8.1377439397915488E-2</v>
      </c>
      <c r="J20" s="67"/>
      <c r="K20" s="67"/>
      <c r="L20" s="67"/>
      <c r="M20" s="67"/>
      <c r="N20" s="67"/>
      <c r="O20" s="67"/>
    </row>
    <row r="21" spans="2:15" x14ac:dyDescent="0.25">
      <c r="B21" s="29" t="s">
        <v>68</v>
      </c>
      <c r="C21" s="29" t="s">
        <v>4</v>
      </c>
      <c r="D21" s="66">
        <v>-1.0315000000000001</v>
      </c>
      <c r="E21" s="66">
        <v>3.0939999999999999E-2</v>
      </c>
      <c r="F21" s="66">
        <v>9.461E-2</v>
      </c>
      <c r="G21" s="67">
        <v>-4.5679999999999998E-2</v>
      </c>
      <c r="H21" s="66">
        <v>0.13689000000000001</v>
      </c>
      <c r="I21" s="66">
        <v>2.1600000000000001E-2</v>
      </c>
      <c r="J21" s="67">
        <v>4.6120000000000001E-2</v>
      </c>
      <c r="K21" s="67">
        <v>7.5340000000000004E-2</v>
      </c>
      <c r="L21" s="67">
        <v>2.0449999999999999E-2</v>
      </c>
      <c r="M21" s="67"/>
      <c r="N21" s="67">
        <v>4.7289999999999999E-2</v>
      </c>
      <c r="O21" s="67">
        <v>2.4410000000000001E-2</v>
      </c>
    </row>
    <row r="22" spans="2:15" x14ac:dyDescent="0.25">
      <c r="B22" s="29" t="s">
        <v>69</v>
      </c>
      <c r="C22" s="29" t="s">
        <v>4</v>
      </c>
      <c r="D22" s="66">
        <v>-5.3253000000000004</v>
      </c>
      <c r="E22" s="66"/>
      <c r="F22" s="66">
        <v>3.9870000000000003E-2</v>
      </c>
      <c r="G22" s="67">
        <v>-5.8810000000000001E-2</v>
      </c>
      <c r="H22" s="66">
        <v>4.548E-2</v>
      </c>
      <c r="I22" s="66">
        <v>8.2019999999999996E-2</v>
      </c>
      <c r="J22" s="67"/>
      <c r="K22" s="67">
        <v>4.7739999999999998E-2</v>
      </c>
      <c r="L22" s="67"/>
      <c r="M22" s="67"/>
      <c r="N22" s="67"/>
      <c r="O22" s="67"/>
    </row>
    <row r="23" spans="2:15" x14ac:dyDescent="0.25">
      <c r="B23" s="29" t="s">
        <v>36</v>
      </c>
      <c r="C23" s="29" t="s">
        <v>4</v>
      </c>
      <c r="D23" s="66">
        <v>-0.95208999999999999</v>
      </c>
      <c r="E23" s="66">
        <v>8.0189999999999997E-2</v>
      </c>
      <c r="F23" s="66">
        <v>8.7819999999999995E-2</v>
      </c>
      <c r="G23" s="66">
        <v>-4.224E-2</v>
      </c>
      <c r="H23" s="66">
        <v>0.13450000000000001</v>
      </c>
      <c r="I23" s="66"/>
      <c r="J23" s="66">
        <v>4.4319999999999998E-2</v>
      </c>
      <c r="K23" s="66">
        <v>7.5789999999999996E-2</v>
      </c>
      <c r="L23" s="66">
        <v>1.6930000000000001E-2</v>
      </c>
      <c r="M23" s="67"/>
      <c r="N23" s="66">
        <v>4.6530000000000002E-2</v>
      </c>
      <c r="O23" s="66"/>
    </row>
    <row r="24" spans="2:15" x14ac:dyDescent="0.25">
      <c r="B24" s="29" t="s">
        <v>37</v>
      </c>
      <c r="C24" s="29" t="s">
        <v>4</v>
      </c>
      <c r="D24" s="66">
        <v>-5.2359669000611939</v>
      </c>
      <c r="E24" s="66">
        <v>2.6727070671914738E-2</v>
      </c>
      <c r="F24" s="66">
        <v>3.6336731375636214E-2</v>
      </c>
      <c r="G24" s="66">
        <v>-4.7859175126143551E-2</v>
      </c>
      <c r="H24" s="66">
        <v>4.915128833488222E-2</v>
      </c>
      <c r="I24" s="66">
        <v>7.2517859183159283E-2</v>
      </c>
      <c r="J24" s="67"/>
      <c r="K24" s="66">
        <v>5.3488036419240874E-2</v>
      </c>
      <c r="L24" s="66">
        <v>2.171277079157009E-2</v>
      </c>
      <c r="M24" s="67"/>
      <c r="N24" s="66">
        <v>2.5859399242030172E-2</v>
      </c>
      <c r="O24" s="67"/>
    </row>
    <row r="25" spans="2:15" x14ac:dyDescent="0.25">
      <c r="B25" s="29" t="s">
        <v>40</v>
      </c>
      <c r="C25" s="29" t="s">
        <v>4</v>
      </c>
      <c r="D25" s="66">
        <v>-2.8593506</v>
      </c>
      <c r="E25" s="66">
        <v>6.7501599999999995E-2</v>
      </c>
      <c r="F25" s="66">
        <v>0.13393089999999999</v>
      </c>
      <c r="G25" s="67"/>
      <c r="H25" s="66">
        <v>4.7820700000000001E-2</v>
      </c>
      <c r="I25" s="67"/>
      <c r="J25" s="67"/>
      <c r="K25" s="67"/>
      <c r="L25" s="66">
        <v>-2.3685500000000002E-2</v>
      </c>
      <c r="M25" s="67"/>
      <c r="N25" s="67"/>
      <c r="O25" s="67"/>
    </row>
    <row r="26" spans="2:15" x14ac:dyDescent="0.25">
      <c r="B26" s="29" t="s">
        <v>41</v>
      </c>
      <c r="C26" s="29" t="s">
        <v>4</v>
      </c>
      <c r="D26" s="66">
        <v>-4.5692120000000003</v>
      </c>
      <c r="E26" s="66">
        <v>6.2988699999999995E-2</v>
      </c>
      <c r="F26" s="66">
        <v>4.4061999999999997E-2</v>
      </c>
      <c r="G26" s="67"/>
      <c r="H26" s="67"/>
      <c r="I26" s="67"/>
      <c r="J26" s="67"/>
      <c r="K26" s="67"/>
      <c r="L26" s="67"/>
      <c r="M26" s="67"/>
      <c r="N26" s="67"/>
      <c r="O26" s="67"/>
    </row>
    <row r="27" spans="2:15" x14ac:dyDescent="0.25">
      <c r="B27" s="29" t="s">
        <v>42</v>
      </c>
      <c r="C27" s="29" t="s">
        <v>4</v>
      </c>
      <c r="D27" s="66">
        <v>0.65590000000000004</v>
      </c>
      <c r="E27" s="66">
        <v>0.15820000000000001</v>
      </c>
      <c r="F27" s="66">
        <v>0.38329999999999997</v>
      </c>
      <c r="G27" s="67"/>
      <c r="H27" s="66">
        <v>5.5E-2</v>
      </c>
      <c r="I27" s="66">
        <v>0.2923</v>
      </c>
      <c r="J27" s="67"/>
      <c r="K27" s="66">
        <v>9.35E-2</v>
      </c>
      <c r="L27" s="67"/>
      <c r="M27" s="67"/>
      <c r="N27" s="67"/>
      <c r="O27" s="67"/>
    </row>
    <row r="28" spans="2:15" x14ac:dyDescent="0.25">
      <c r="B28" s="29" t="s">
        <v>43</v>
      </c>
      <c r="C28" s="29" t="s">
        <v>4</v>
      </c>
      <c r="D28" s="66">
        <v>-1.3107</v>
      </c>
      <c r="E28" s="66">
        <v>0.11260000000000001</v>
      </c>
      <c r="F28" s="66">
        <v>0.16619999999999999</v>
      </c>
      <c r="G28" s="67"/>
      <c r="H28" s="67"/>
      <c r="I28" s="66">
        <v>0.1072</v>
      </c>
      <c r="J28" s="67"/>
      <c r="K28" s="67"/>
      <c r="L28" s="67"/>
      <c r="M28" s="67"/>
      <c r="N28" s="67"/>
      <c r="O28" s="67"/>
    </row>
    <row r="29" spans="2:15" x14ac:dyDescent="0.25">
      <c r="B29" s="29" t="s">
        <v>32</v>
      </c>
      <c r="C29" s="29" t="s">
        <v>4</v>
      </c>
      <c r="D29" s="66">
        <v>-0.86639999999999995</v>
      </c>
      <c r="E29" s="66">
        <v>5.4820000000000001E-2</v>
      </c>
      <c r="F29" s="66">
        <v>6.7580000000000001E-2</v>
      </c>
      <c r="G29" s="66">
        <v>-4.453E-2</v>
      </c>
      <c r="H29" s="66">
        <v>0.1288</v>
      </c>
      <c r="I29" s="66">
        <v>1.8270000000000002E-2</v>
      </c>
      <c r="J29" s="66">
        <v>4.3610000000000003E-2</v>
      </c>
      <c r="K29" s="66">
        <v>7.3639999999999997E-2</v>
      </c>
      <c r="L29" s="66">
        <v>1.7919999999999998E-2</v>
      </c>
      <c r="M29" s="67"/>
      <c r="N29" s="66">
        <v>4.446E-2</v>
      </c>
      <c r="O29" s="66">
        <v>2.145E-2</v>
      </c>
    </row>
    <row r="30" spans="2:15" x14ac:dyDescent="0.25">
      <c r="B30" s="29" t="s">
        <v>33</v>
      </c>
      <c r="C30" s="29" t="s">
        <v>4</v>
      </c>
      <c r="D30" s="66">
        <v>-4.6529999999999996</v>
      </c>
      <c r="E30" s="66">
        <v>3.2680000000000001E-2</v>
      </c>
      <c r="F30" s="66">
        <v>-1.9529999999999999E-2</v>
      </c>
      <c r="G30" s="66">
        <v>-3.5529999999999999E-2</v>
      </c>
      <c r="H30" s="66">
        <v>5.008E-2</v>
      </c>
      <c r="I30" s="66">
        <v>5.1360000000000003E-2</v>
      </c>
      <c r="J30" s="67"/>
      <c r="K30" s="66">
        <v>3.3730000000000003E-2</v>
      </c>
      <c r="L30" s="67"/>
      <c r="M30" s="67"/>
      <c r="N30" s="67"/>
      <c r="O30" s="67"/>
    </row>
    <row r="32" spans="2:15" x14ac:dyDescent="0.25">
      <c r="B32" s="37"/>
      <c r="C32" s="33"/>
      <c r="D32" s="94" t="s">
        <v>44</v>
      </c>
      <c r="E32" s="94"/>
      <c r="F32" s="94"/>
      <c r="G32" s="94"/>
      <c r="H32" s="94"/>
      <c r="I32" s="94"/>
      <c r="J32" s="94"/>
      <c r="K32" s="94"/>
      <c r="L32" s="94"/>
      <c r="M32" s="94"/>
      <c r="N32" s="94"/>
      <c r="O32" s="94"/>
    </row>
    <row r="33" spans="2:15" x14ac:dyDescent="0.25">
      <c r="B33" s="38"/>
      <c r="C33" s="34" t="s">
        <v>46</v>
      </c>
      <c r="D33" s="35" t="s">
        <v>58</v>
      </c>
      <c r="E33" s="35" t="s">
        <v>16</v>
      </c>
      <c r="F33" s="35" t="s">
        <v>17</v>
      </c>
      <c r="G33" s="35" t="s">
        <v>1</v>
      </c>
      <c r="H33" s="35" t="s">
        <v>2</v>
      </c>
      <c r="I33" s="35" t="s">
        <v>3</v>
      </c>
      <c r="J33" s="35" t="s">
        <v>18</v>
      </c>
      <c r="K33" s="35" t="s">
        <v>12</v>
      </c>
      <c r="L33" s="35" t="s">
        <v>22</v>
      </c>
      <c r="M33" s="35" t="s">
        <v>19</v>
      </c>
      <c r="N33" s="35" t="s">
        <v>20</v>
      </c>
      <c r="O33" s="35" t="s">
        <v>21</v>
      </c>
    </row>
    <row r="34" spans="2:15" x14ac:dyDescent="0.25">
      <c r="B34" s="37"/>
      <c r="C34" s="33" t="s">
        <v>4</v>
      </c>
      <c r="D34" s="28" t="s">
        <v>13</v>
      </c>
      <c r="E34" s="68">
        <v>10.313703703703702</v>
      </c>
      <c r="F34" s="68">
        <v>25.62962962962963</v>
      </c>
      <c r="G34" s="68">
        <v>8.517777777777777</v>
      </c>
      <c r="H34" s="68">
        <v>190.61111111111111</v>
      </c>
      <c r="I34" s="68">
        <v>320.5333333333333</v>
      </c>
      <c r="J34" s="68">
        <v>0.96296296296296335</v>
      </c>
      <c r="K34" s="68">
        <v>0.96296296296296269</v>
      </c>
      <c r="L34" s="68">
        <v>-3.6737759496824549E-2</v>
      </c>
      <c r="M34" s="68">
        <v>-9.9235199966212231E-2</v>
      </c>
      <c r="N34" s="68">
        <v>-0.54134173413591913</v>
      </c>
      <c r="O34" s="68">
        <v>1.6327654831524825E-2</v>
      </c>
    </row>
    <row r="35" spans="2:15" x14ac:dyDescent="0.25">
      <c r="B35" s="37"/>
      <c r="C35" s="31" t="s">
        <v>4</v>
      </c>
      <c r="D35" s="32" t="s">
        <v>59</v>
      </c>
      <c r="E35" s="69">
        <v>7.8795573617129158</v>
      </c>
      <c r="F35" s="69">
        <v>10.015365687659632</v>
      </c>
      <c r="G35" s="69">
        <v>1.6113738365213832</v>
      </c>
      <c r="H35" s="69">
        <v>28.579111970557118</v>
      </c>
      <c r="I35" s="69">
        <v>19.480127941453173</v>
      </c>
      <c r="J35" s="69">
        <v>0.80276916001516485</v>
      </c>
      <c r="K35" s="69">
        <v>0.73976609551508432</v>
      </c>
      <c r="L35" s="69">
        <v>0.97846089758776722</v>
      </c>
      <c r="M35" s="69">
        <v>0.99961547095694803</v>
      </c>
      <c r="N35" s="69">
        <v>0.76915293101927018</v>
      </c>
      <c r="O35" s="69">
        <v>0.97282496231079274</v>
      </c>
    </row>
    <row r="36" spans="2:15" x14ac:dyDescent="0.25">
      <c r="B36" s="37"/>
      <c r="C36" s="33" t="s">
        <v>5</v>
      </c>
      <c r="D36" s="28" t="s">
        <v>13</v>
      </c>
      <c r="E36" s="68">
        <v>11.018181818181818</v>
      </c>
      <c r="F36" s="68">
        <v>24.390909090909091</v>
      </c>
      <c r="G36" s="68"/>
      <c r="H36" s="68">
        <v>197</v>
      </c>
      <c r="I36" s="68">
        <v>323.52727272727276</v>
      </c>
      <c r="J36" s="68"/>
      <c r="K36" s="68"/>
      <c r="L36" s="68"/>
      <c r="M36" s="68"/>
      <c r="N36" s="68"/>
      <c r="O36" s="68"/>
    </row>
    <row r="37" spans="2:15" x14ac:dyDescent="0.25">
      <c r="B37" s="37"/>
      <c r="C37" s="33" t="s">
        <v>5</v>
      </c>
      <c r="D37" s="28" t="s">
        <v>59</v>
      </c>
      <c r="E37" s="68">
        <v>8.0592466374740237</v>
      </c>
      <c r="F37" s="68">
        <v>9.9242586166881548</v>
      </c>
      <c r="G37" s="68"/>
      <c r="H37" s="68">
        <v>23.453613794040354</v>
      </c>
      <c r="I37" s="68">
        <v>19.601484173862495</v>
      </c>
      <c r="J37" s="68"/>
      <c r="K37" s="68"/>
      <c r="L37" s="68"/>
      <c r="M37" s="68"/>
      <c r="N37" s="68"/>
      <c r="O37" s="68"/>
    </row>
  </sheetData>
  <sortState ref="B6:O28">
    <sortCondition ref="B6:B28"/>
  </sortState>
  <mergeCells count="2">
    <mergeCell ref="D3:O3"/>
    <mergeCell ref="D32:O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ReadMe</vt:lpstr>
      <vt:lpstr>Calculator</vt:lpstr>
      <vt:lpstr>Models</vt:lpstr>
      <vt:lpstr>coeffs</vt:lpstr>
      <vt:lpstr>ModelList1</vt:lpstr>
      <vt:lpstr>ModelList2</vt:lpstr>
      <vt:lpstr>models</vt:lpstr>
    </vt:vector>
  </TitlesOfParts>
  <Company>US EPA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EPAct Model Calculator for Tier 2 Exhaust Fuel EffectsGasoline Properties</dc:title>
  <dc:subject>This calculator applies the fuel effects models described in the Executive Summary of this report: "Assessing the Effect of Five Gasoline Properties on Exhaust Emissions from Light-Duty Vehicles Certified to Tier-2 Standards, Analysis of Data from EPAct Phase 3"  ( EPA-420-R-13-002)</dc:subject>
  <dc:creator>U.S. EPA;OAR;Office of Transportation and Air Quality;Testing and Advanced Technology Division</dc:creator>
  <cp:keywords>calculator;fuel;model;gasoline;properties;light duty;tier 2;standards;EPAct Phase 3;EPA-420-R-13-002;420r13002</cp:keywords>
  <cp:lastModifiedBy>Bhagat, Dhruti</cp:lastModifiedBy>
  <cp:lastPrinted>2013-05-17T13:12:48Z</cp:lastPrinted>
  <dcterms:created xsi:type="dcterms:W3CDTF">2013-01-18T19:18:47Z</dcterms:created>
  <dcterms:modified xsi:type="dcterms:W3CDTF">2016-05-20T15:30:48Z</dcterms:modified>
</cp:coreProperties>
</file>