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DDIXON\Desktop\"/>
    </mc:Choice>
  </mc:AlternateContent>
  <workbookProtection workbookPassword="C969" lockStructure="1"/>
  <bookViews>
    <workbookView xWindow="48" yWindow="732" windowWidth="15480" windowHeight="10920" tabRatio="759"/>
  </bookViews>
  <sheets>
    <sheet name="Registration FAQs" sheetId="28" r:id="rId1"/>
    <sheet name="Instructions" sheetId="1" r:id="rId2"/>
    <sheet name="Inputs" sheetId="13" r:id="rId3"/>
    <sheet name="Controls and Restrictions" sheetId="26" r:id="rId4"/>
    <sheet name="Total Emissions" sheetId="25" r:id="rId5"/>
    <sheet name="Output-Summary Printout" sheetId="8" r:id="rId6"/>
    <sheet name="Change Log" sheetId="14" state="hidden" r:id="rId7"/>
    <sheet name="Emission Factors" sheetId="9" state="hidden" r:id="rId8"/>
    <sheet name="Fuel Energy Content" sheetId="23" state="hidden" r:id="rId9"/>
    <sheet name="Additional References" sheetId="20" state="hidden" r:id="rId10"/>
    <sheet name="EPA Regional Contact Info" sheetId="24" state="hidden" r:id="rId11"/>
  </sheets>
  <definedNames>
    <definedName name="_xlnm._FilterDatabase" localSheetId="10" hidden="1">'EPA Regional Contact Info'!$A$4:$N$55</definedName>
    <definedName name="CO_PM10_Attainment_List">Inputs!$E$3:$E$5</definedName>
    <definedName name="Control_Device_Used">'Controls and Restrictions'!$C$4</definedName>
    <definedName name="Control_Device_Yes_No_List">'Controls and Restrictions'!$F$4:$F$5</definedName>
    <definedName name="Conveyorized">Inputs!$C$42</definedName>
    <definedName name="Conveyorized_Yes_No_List">Inputs!$E$75:$E$76</definedName>
    <definedName name="Default_Degreaser_Density">'Additional References'!$C$33</definedName>
    <definedName name="Degreasing_Type_List">Inputs!$E$71:$E$72</definedName>
    <definedName name="Distillate_Oil_Actual_Sulfur_Content">'Additional References'!$B$23</definedName>
    <definedName name="Distillate_Oil_Allowable_Sulfur_Content">'Additional References'!$C$23</definedName>
    <definedName name="Heater_Allowable_Hours_of_Operation">'Additional References'!$B$29</definedName>
    <definedName name="Heater_Capacity">Inputs!$C$49</definedName>
    <definedName name="Heater_Fuel">Inputs!$C$50</definedName>
    <definedName name="Heater_Fuel_Combusted_2012">Inputs!$C$51</definedName>
    <definedName name="Heater_Fuels_List">Inputs!$E$79:$E$82</definedName>
    <definedName name="Heater_Used">Inputs!$C$48</definedName>
    <definedName name="LPG_Actual_Sulfur_Content">'Additional References'!$B$25</definedName>
    <definedName name="LPG_Allowable_Sulfur_Content">'Additional References'!$C$25</definedName>
    <definedName name="Max_Solvent_2012">Inputs!$C$44</definedName>
    <definedName name="Natural_Gas_Actual_Sulfur_Content">'Additional References'!$B$24</definedName>
    <definedName name="Natural_Gas_Allowable_Sulfur_Content">'Additional References'!$C$24</definedName>
    <definedName name="Operating_Procedures_Used">'Controls and Restrictions'!$C$7</definedName>
    <definedName name="Ozone_Attainment_List">Inputs!$E$8:$E$13</definedName>
    <definedName name="_xlnm.Print_Area" localSheetId="2">Inputs!$A$1:$C$64</definedName>
    <definedName name="_xlnm.Print_Area" localSheetId="1">Instructions!$A$1:$E$48</definedName>
    <definedName name="_xlnm.Print_Area" localSheetId="5">'Output-Summary Printout'!$A$1:$F$42</definedName>
    <definedName name="_xlnm.Print_Area" localSheetId="0">'Registration FAQs'!$B$1:$C$37</definedName>
    <definedName name="SO2_PM2.5_Attainment_List">Inputs!$E$16:$E$17</definedName>
    <definedName name="Solvent_density">Inputs!$C$46</definedName>
    <definedName name="Solvent_Type">Inputs!$C$41</definedName>
    <definedName name="Solvent_Used_in_2012">Inputs!$C$43</definedName>
    <definedName name="State_List">Inputs!$E$22:$E$68</definedName>
    <definedName name="User_Distillate_Sulfur_Content">Inputs!$C$53</definedName>
    <definedName name="VOC_Percent_Reduction">'Controls and Restrictions'!$F$8</definedName>
  </definedNames>
  <calcPr calcId="152511"/>
  <customWorkbookViews>
    <customWorkbookView name="rhamel - Personal View" guid="{8C263A95-99F9-4260-B64A-0E771D03F536}" mergeInterval="0" personalView="1" maximized="1" windowWidth="1256" windowHeight="803" tabRatio="910" activeSheetId="8"/>
  </customWorkbookViews>
</workbook>
</file>

<file path=xl/calcChain.xml><?xml version="1.0" encoding="utf-8"?>
<calcChain xmlns="http://schemas.openxmlformats.org/spreadsheetml/2006/main">
  <c r="B51" i="13" l="1"/>
  <c r="C46" i="13" l="1"/>
  <c r="F5" i="25" s="1"/>
  <c r="D33" i="20"/>
  <c r="C53" i="13" l="1"/>
  <c r="B19" i="20" l="1"/>
  <c r="C9" i="26" s="1"/>
  <c r="B18" i="20"/>
  <c r="C6" i="26" s="1"/>
  <c r="D10" i="9"/>
  <c r="E10" i="9" s="1"/>
  <c r="F8" i="26" l="1"/>
  <c r="F11" i="25" s="1"/>
  <c r="C10" i="9"/>
  <c r="E27" i="9"/>
  <c r="C27" i="9"/>
  <c r="E26" i="9"/>
  <c r="C26" i="9"/>
  <c r="E25" i="9"/>
  <c r="C25" i="9"/>
  <c r="E24" i="9"/>
  <c r="C24" i="9"/>
  <c r="E23" i="9"/>
  <c r="C23" i="9"/>
  <c r="E22" i="9"/>
  <c r="C22" i="9"/>
  <c r="E21" i="9"/>
  <c r="C21" i="9"/>
  <c r="E20" i="9"/>
  <c r="C20" i="9"/>
  <c r="E19" i="9"/>
  <c r="C19" i="9"/>
  <c r="E18" i="9"/>
  <c r="C18" i="9"/>
  <c r="E17" i="9"/>
  <c r="C17" i="9"/>
  <c r="E16" i="9"/>
  <c r="C16" i="9"/>
  <c r="E15" i="9"/>
  <c r="C15" i="9"/>
  <c r="E14" i="9"/>
  <c r="C14" i="9"/>
  <c r="E13" i="9"/>
  <c r="C13" i="9"/>
  <c r="E12" i="9"/>
  <c r="C12" i="9"/>
  <c r="E11" i="9"/>
  <c r="C11" i="9"/>
  <c r="E9" i="9"/>
  <c r="C9" i="9"/>
  <c r="E8" i="9"/>
  <c r="C8" i="9"/>
  <c r="E7" i="9"/>
  <c r="C7" i="9"/>
  <c r="C5" i="9" l="1"/>
  <c r="F6" i="25" l="1"/>
  <c r="D6" i="25"/>
  <c r="H6" i="25"/>
  <c r="C6" i="25"/>
  <c r="C7" i="25" s="1"/>
  <c r="G6" i="25"/>
  <c r="E6" i="25"/>
  <c r="E23" i="13"/>
  <c r="E24" i="13"/>
  <c r="E25" i="13"/>
  <c r="E26" i="13"/>
  <c r="E27" i="13"/>
  <c r="E28" i="13"/>
  <c r="E29" i="13"/>
  <c r="E30" i="13"/>
  <c r="E31" i="13"/>
  <c r="E32" i="13"/>
  <c r="E33" i="13"/>
  <c r="E34" i="13"/>
  <c r="E35" i="13"/>
  <c r="E36" i="13"/>
  <c r="E37" i="13"/>
  <c r="E38" i="13"/>
  <c r="E39" i="13"/>
  <c r="E40" i="13"/>
  <c r="E41" i="13"/>
  <c r="E42" i="13"/>
  <c r="E43" i="13"/>
  <c r="E44" i="13"/>
  <c r="E45" i="13"/>
  <c r="E47" i="13"/>
  <c r="E48" i="13"/>
  <c r="E50" i="13"/>
  <c r="E51" i="13"/>
  <c r="E52" i="13"/>
  <c r="E53" i="13"/>
  <c r="E54" i="13"/>
  <c r="E55" i="13"/>
  <c r="E56" i="13"/>
  <c r="E57" i="13"/>
  <c r="E58" i="13"/>
  <c r="E59" i="13"/>
  <c r="E60" i="13"/>
  <c r="E61" i="13"/>
  <c r="E62" i="13"/>
  <c r="E63" i="13"/>
  <c r="E64" i="13"/>
  <c r="E65" i="13"/>
  <c r="E66" i="13"/>
  <c r="E67" i="13"/>
  <c r="E68" i="13"/>
  <c r="E22" i="13"/>
  <c r="L22" i="8" l="1"/>
  <c r="L20" i="8"/>
  <c r="L18" i="8"/>
  <c r="L16" i="8"/>
  <c r="L14" i="8"/>
  <c r="L12" i="8"/>
  <c r="E5" i="8" l="1"/>
  <c r="E4" i="8"/>
  <c r="E3" i="8"/>
  <c r="H7" i="25" l="1"/>
  <c r="C22" i="8" s="1"/>
  <c r="G7" i="25"/>
  <c r="C20" i="8" s="1"/>
  <c r="D7" i="25"/>
  <c r="C14" i="8" s="1"/>
  <c r="C12" i="8"/>
  <c r="B5" i="8" l="1"/>
  <c r="B4" i="8"/>
  <c r="F22" i="8" l="1"/>
  <c r="F20" i="8"/>
  <c r="F18" i="8"/>
  <c r="F16" i="8"/>
  <c r="F14" i="8"/>
  <c r="F12" i="8"/>
  <c r="A33" i="8" l="1"/>
  <c r="C25" i="13"/>
  <c r="D38" i="8" s="1"/>
  <c r="C24" i="13"/>
  <c r="D37" i="8" s="1"/>
  <c r="C23" i="13"/>
  <c r="D36" i="8" s="1"/>
  <c r="C22" i="13"/>
  <c r="D35" i="8" s="1"/>
  <c r="C21" i="13"/>
  <c r="C20" i="13"/>
  <c r="C19" i="13"/>
  <c r="C18" i="13"/>
  <c r="D41" i="8" s="1"/>
  <c r="C17" i="13"/>
  <c r="D40" i="8" s="1"/>
  <c r="C16" i="13"/>
  <c r="D34" i="8" s="1"/>
  <c r="B15" i="13"/>
  <c r="E7" i="25" l="1"/>
  <c r="C16" i="8" s="1"/>
  <c r="B3" i="8"/>
  <c r="B13" i="23" l="1"/>
  <c r="B12" i="23"/>
  <c r="B11" i="23"/>
  <c r="E12" i="25" l="1"/>
  <c r="E13" i="25" s="1"/>
  <c r="E16" i="8" s="1"/>
  <c r="G12" i="25"/>
  <c r="G13" i="25" s="1"/>
  <c r="E20" i="8" s="1"/>
  <c r="D12" i="25"/>
  <c r="D13" i="25" s="1"/>
  <c r="E14" i="8" s="1"/>
  <c r="C12" i="25"/>
  <c r="C13" i="25" s="1"/>
  <c r="E12" i="8" s="1"/>
  <c r="K12" i="8" s="1"/>
  <c r="F12" i="25"/>
  <c r="F13" i="25" s="1"/>
  <c r="E18" i="8" s="1"/>
  <c r="H12" i="25"/>
  <c r="H13" i="25" s="1"/>
  <c r="E22" i="8" s="1"/>
  <c r="K22" i="8" l="1"/>
  <c r="M22" i="8"/>
  <c r="M12" i="8"/>
  <c r="K14" i="8"/>
  <c r="M14" i="8"/>
  <c r="K20" i="8"/>
  <c r="M20" i="8"/>
  <c r="K18" i="8"/>
  <c r="M18" i="8"/>
  <c r="K16" i="8"/>
  <c r="M16" i="8"/>
  <c r="B2" i="1"/>
  <c r="A30" i="8" l="1"/>
  <c r="A32" i="8" s="1"/>
  <c r="B1" i="1"/>
  <c r="F7" i="25" l="1"/>
  <c r="C18" i="8" s="1"/>
</calcChain>
</file>

<file path=xl/sharedStrings.xml><?xml version="1.0" encoding="utf-8"?>
<sst xmlns="http://schemas.openxmlformats.org/spreadsheetml/2006/main" count="1063" uniqueCount="471">
  <si>
    <t>Pollutant</t>
  </si>
  <si>
    <t>(tons/yr)</t>
  </si>
  <si>
    <t>volatile organic compound</t>
  </si>
  <si>
    <t>VOC</t>
  </si>
  <si>
    <t>Purpose</t>
  </si>
  <si>
    <t>Facility Information</t>
  </si>
  <si>
    <t>Name</t>
  </si>
  <si>
    <t>Address</t>
  </si>
  <si>
    <t>Telephone</t>
  </si>
  <si>
    <t>Email</t>
  </si>
  <si>
    <t>Facility Contact</t>
  </si>
  <si>
    <t>Attainment</t>
  </si>
  <si>
    <t>Source Category Description</t>
  </si>
  <si>
    <t>Minor Source</t>
  </si>
  <si>
    <t>Nonattainment - extreme</t>
  </si>
  <si>
    <t>Nonattainment - severe</t>
  </si>
  <si>
    <t>Nonattainment - serious</t>
  </si>
  <si>
    <t>John Doe</t>
  </si>
  <si>
    <t>555-555-5555</t>
  </si>
  <si>
    <t>john.doe@acme.com</t>
  </si>
  <si>
    <t>101 Acme Way</t>
  </si>
  <si>
    <t>Date</t>
  </si>
  <si>
    <t>Change made by:</t>
  </si>
  <si>
    <t>Description</t>
  </si>
  <si>
    <t>Contact Information</t>
  </si>
  <si>
    <t>Workbook Version</t>
  </si>
  <si>
    <t>Instructions - Please read prior to filling out workbook</t>
  </si>
  <si>
    <t>Exceeds minor source threshold.</t>
  </si>
  <si>
    <t>Below minor source threshold.</t>
  </si>
  <si>
    <t>Icon Key</t>
  </si>
  <si>
    <t>Facility Name:</t>
  </si>
  <si>
    <t>Facility Address:</t>
  </si>
  <si>
    <t>Email:</t>
  </si>
  <si>
    <t>Emission Factors</t>
  </si>
  <si>
    <t>Data Key 1</t>
  </si>
  <si>
    <t>EF Denominator</t>
  </si>
  <si>
    <t>EF Numerator</t>
  </si>
  <si>
    <t>Source</t>
  </si>
  <si>
    <t>Initial workbook version.</t>
  </si>
  <si>
    <t>Affiliation:</t>
  </si>
  <si>
    <t>Abt Associates</t>
  </si>
  <si>
    <t>QA performed by:</t>
  </si>
  <si>
    <t>Air Basin Attainment Status</t>
  </si>
  <si>
    <t>1:  Facility Information</t>
  </si>
  <si>
    <t>2:  Facility Contact</t>
  </si>
  <si>
    <t>3:  Air Basin Attainment Status</t>
  </si>
  <si>
    <t>Steps to Complete this Workbook</t>
  </si>
  <si>
    <r>
      <t xml:space="preserve">On the </t>
    </r>
    <r>
      <rPr>
        <b/>
        <i/>
        <sz val="10"/>
        <rFont val="Arial"/>
        <family val="2"/>
      </rPr>
      <t>Inputs</t>
    </r>
    <r>
      <rPr>
        <sz val="10"/>
        <rFont val="Arial"/>
        <family val="2"/>
      </rPr>
      <t xml:space="preserve"> worksheet, replace the default contact information with information specific to your facility's primary contact.</t>
    </r>
  </si>
  <si>
    <t>Additional References</t>
  </si>
  <si>
    <t>Data Element</t>
  </si>
  <si>
    <t>new source review</t>
  </si>
  <si>
    <t>Yes</t>
  </si>
  <si>
    <t>No</t>
  </si>
  <si>
    <t>Fuel and Process</t>
  </si>
  <si>
    <t xml:space="preserve">Value </t>
  </si>
  <si>
    <t>Facility Use Questions</t>
  </si>
  <si>
    <t>4:  Facility Use Information</t>
  </si>
  <si>
    <t>CO Attainment Status (select one):</t>
  </si>
  <si>
    <r>
      <t>SO</t>
    </r>
    <r>
      <rPr>
        <vertAlign val="subscript"/>
        <sz val="10"/>
        <rFont val="Arial"/>
        <family val="2"/>
      </rPr>
      <t>2</t>
    </r>
    <r>
      <rPr>
        <sz val="10"/>
        <rFont val="Arial"/>
        <family val="2"/>
      </rPr>
      <t xml:space="preserve"> Attainment Status (select one):</t>
    </r>
  </si>
  <si>
    <r>
      <t>PM</t>
    </r>
    <r>
      <rPr>
        <vertAlign val="subscript"/>
        <sz val="10"/>
        <rFont val="Arial"/>
        <family val="2"/>
      </rPr>
      <t>10</t>
    </r>
    <r>
      <rPr>
        <sz val="10"/>
        <rFont val="Arial"/>
        <family val="2"/>
      </rPr>
      <t xml:space="preserve"> Attainment Status (select one):</t>
    </r>
  </si>
  <si>
    <t>CO</t>
  </si>
  <si>
    <r>
      <t>NO</t>
    </r>
    <r>
      <rPr>
        <b/>
        <vertAlign val="subscript"/>
        <sz val="10"/>
        <rFont val="Arial"/>
        <family val="2"/>
      </rPr>
      <t>x</t>
    </r>
  </si>
  <si>
    <r>
      <t>SO</t>
    </r>
    <r>
      <rPr>
        <b/>
        <vertAlign val="subscript"/>
        <sz val="10"/>
        <rFont val="Arial"/>
        <family val="2"/>
      </rPr>
      <t>2</t>
    </r>
  </si>
  <si>
    <r>
      <t>PM</t>
    </r>
    <r>
      <rPr>
        <b/>
        <vertAlign val="subscript"/>
        <sz val="10"/>
        <rFont val="Arial"/>
        <family val="2"/>
      </rPr>
      <t>10</t>
    </r>
  </si>
  <si>
    <r>
      <t>PM</t>
    </r>
    <r>
      <rPr>
        <b/>
        <vertAlign val="subscript"/>
        <sz val="10"/>
        <rFont val="Arial"/>
        <family val="2"/>
      </rPr>
      <t>2.5</t>
    </r>
  </si>
  <si>
    <t>Natural Gas</t>
  </si>
  <si>
    <t>LPG</t>
  </si>
  <si>
    <t>Oil - Distillate</t>
  </si>
  <si>
    <t>1000 gal</t>
  </si>
  <si>
    <r>
      <t>SO</t>
    </r>
    <r>
      <rPr>
        <vertAlign val="subscript"/>
        <sz val="10"/>
        <rFont val="Arial"/>
        <family val="2"/>
      </rPr>
      <t>2</t>
    </r>
  </si>
  <si>
    <r>
      <t>PM</t>
    </r>
    <r>
      <rPr>
        <vertAlign val="subscript"/>
        <sz val="10"/>
        <rFont val="Arial"/>
        <family val="2"/>
      </rPr>
      <t>10</t>
    </r>
  </si>
  <si>
    <r>
      <t>PM</t>
    </r>
    <r>
      <rPr>
        <vertAlign val="subscript"/>
        <sz val="10"/>
        <rFont val="Arial"/>
        <family val="2"/>
      </rPr>
      <t>2.5</t>
    </r>
  </si>
  <si>
    <t>MMBtu</t>
  </si>
  <si>
    <t>bbl</t>
  </si>
  <si>
    <t>U.S. Environmental Protection Agency, Direct Emissions from Stationary Combustion Sources, EPA430-K-08-003, May 2008, http://www.epa.gov/climateleadership/documents/resources/stationarycombustionguidance.pdf.</t>
  </si>
  <si>
    <t>Btu</t>
  </si>
  <si>
    <r>
      <t>ft</t>
    </r>
    <r>
      <rPr>
        <vertAlign val="superscript"/>
        <sz val="10"/>
        <rFont val="Arial"/>
        <family val="2"/>
      </rPr>
      <t>3</t>
    </r>
  </si>
  <si>
    <r>
      <t xml:space="preserve">U.S. Energy Information Administration, </t>
    </r>
    <r>
      <rPr>
        <b/>
        <sz val="10"/>
        <rFont val="Arial"/>
        <family val="2"/>
      </rPr>
      <t>Annual Energy Review 2011</t>
    </r>
    <r>
      <rPr>
        <sz val="10"/>
        <rFont val="Arial"/>
        <family val="2"/>
      </rPr>
      <t xml:space="preserve">, </t>
    </r>
    <r>
      <rPr>
        <i/>
        <sz val="10"/>
        <rFont val="Arial"/>
        <family val="2"/>
      </rPr>
      <t>Table A4. Approximate Heat Content of Natural Gas</t>
    </r>
    <r>
      <rPr>
        <sz val="10"/>
        <rFont val="Arial"/>
        <family val="2"/>
      </rPr>
      <t>, September 2012,  http://www.eia.gov/totalenergy/data/annual/pdf/aer.pdf.</t>
    </r>
  </si>
  <si>
    <r>
      <t xml:space="preserve">U.S. Energy Information Administration, </t>
    </r>
    <r>
      <rPr>
        <b/>
        <sz val="10"/>
        <rFont val="Arial"/>
        <family val="2"/>
      </rPr>
      <t>Annual Energy Review 2011</t>
    </r>
    <r>
      <rPr>
        <sz val="10"/>
        <rFont val="Arial"/>
        <family val="2"/>
      </rPr>
      <t xml:space="preserve">, </t>
    </r>
    <r>
      <rPr>
        <i/>
        <sz val="10"/>
        <rFont val="Arial"/>
        <family val="2"/>
      </rPr>
      <t>Table A1. Approximate Heat Content of Petroleum Products (Million Btu per Barrel)</t>
    </r>
    <r>
      <rPr>
        <sz val="10"/>
        <rFont val="Arial"/>
        <family val="2"/>
      </rPr>
      <t>, September 2012, http://www.eia.gov/totalenergy/data/annual/pdf/aer.pdf.</t>
    </r>
  </si>
  <si>
    <t>Units Same as Source</t>
  </si>
  <si>
    <t>Fuel Energy Content</t>
  </si>
  <si>
    <t>Fuel</t>
  </si>
  <si>
    <t>Energy Content</t>
  </si>
  <si>
    <t>Energy Content Numerator</t>
  </si>
  <si>
    <t>Energy Content Denominator</t>
  </si>
  <si>
    <t>Units Converted to Match Emission Factors</t>
  </si>
  <si>
    <t>carbon monoxide</t>
  </si>
  <si>
    <t>nitrogen oxides</t>
  </si>
  <si>
    <t>sulfur dioxide</t>
  </si>
  <si>
    <t>million British thermal units</t>
  </si>
  <si>
    <t>Units</t>
  </si>
  <si>
    <t xml:space="preserve">jonathan_dorn@abtassoc.com </t>
  </si>
  <si>
    <t>EPA Regional Contact Information</t>
  </si>
  <si>
    <t>Regional Contact Information</t>
  </si>
  <si>
    <t>State</t>
  </si>
  <si>
    <t>State Abbreviation</t>
  </si>
  <si>
    <t>EPA Region</t>
  </si>
  <si>
    <t>Alternate Name</t>
  </si>
  <si>
    <t>Alt Telephone</t>
  </si>
  <si>
    <t>Alt Email</t>
  </si>
  <si>
    <t>Address 1</t>
  </si>
  <si>
    <t>Address 2</t>
  </si>
  <si>
    <t>City</t>
  </si>
  <si>
    <t>ZIP</t>
  </si>
  <si>
    <t>Alabama</t>
  </si>
  <si>
    <t>AL</t>
  </si>
  <si>
    <t>Ana Oquendo</t>
  </si>
  <si>
    <t>404-562-9781</t>
  </si>
  <si>
    <t>oquendo.ana@epa.gov</t>
  </si>
  <si>
    <t>Lorinda Shepherd</t>
  </si>
  <si>
    <t>404-562-8435</t>
  </si>
  <si>
    <t>shepherd.lorinda@epa.gov</t>
  </si>
  <si>
    <t>61 Forsyth Street, S.W.</t>
  </si>
  <si>
    <t>12th Floor</t>
  </si>
  <si>
    <t>Atlanta</t>
  </si>
  <si>
    <t>GA</t>
  </si>
  <si>
    <t>30303-8960</t>
  </si>
  <si>
    <t>Alaska</t>
  </si>
  <si>
    <t>AK</t>
  </si>
  <si>
    <t>Bill Todd</t>
  </si>
  <si>
    <t>206-553-6914</t>
  </si>
  <si>
    <t>todd.bill@epa.gov</t>
  </si>
  <si>
    <t>None</t>
  </si>
  <si>
    <t>1200 Sixth Avenue</t>
  </si>
  <si>
    <t>MC: AWT-107</t>
  </si>
  <si>
    <t>Seattle</t>
  </si>
  <si>
    <t>WA</t>
  </si>
  <si>
    <t>Arizona</t>
  </si>
  <si>
    <t>AZ</t>
  </si>
  <si>
    <t>Geoffrey Glass</t>
  </si>
  <si>
    <t>415-972-3498</t>
  </si>
  <si>
    <t>glass.geoffrey@epa.gov</t>
  </si>
  <si>
    <t>Roberto Gutierrez</t>
  </si>
  <si>
    <t>415-947-4276</t>
  </si>
  <si>
    <t>Gutierrez.roberto@epa.gov</t>
  </si>
  <si>
    <t xml:space="preserve">75 Hawthorne St. </t>
  </si>
  <si>
    <t>MC: AIR-3</t>
  </si>
  <si>
    <t>San Francisco</t>
  </si>
  <si>
    <t>CA</t>
  </si>
  <si>
    <t>Arkansas</t>
  </si>
  <si>
    <t>AR</t>
  </si>
  <si>
    <t>Bonnie Braganza</t>
  </si>
  <si>
    <t>214-665-7340</t>
  </si>
  <si>
    <t>braganza.bonnie@epa.gov</t>
  </si>
  <si>
    <t>1445 Ross Avenue, Suite 1200</t>
  </si>
  <si>
    <t>MC: 6PD</t>
  </si>
  <si>
    <t>Dallas</t>
  </si>
  <si>
    <t>TX</t>
  </si>
  <si>
    <t>75202-2733</t>
  </si>
  <si>
    <t>California</t>
  </si>
  <si>
    <t>Colorado</t>
  </si>
  <si>
    <t>Claudia Smith</t>
  </si>
  <si>
    <t>303-312-6520</t>
  </si>
  <si>
    <t>smith.claudia@epa.gov</t>
  </si>
  <si>
    <t>Kathleen Paser</t>
  </si>
  <si>
    <t>303-312-6526</t>
  </si>
  <si>
    <t>paser.kathleen@epa.gov</t>
  </si>
  <si>
    <t>1595 Wynkoop St.</t>
  </si>
  <si>
    <t>MC: 8P-AR</t>
  </si>
  <si>
    <t>Denver</t>
  </si>
  <si>
    <t>80202-1129</t>
  </si>
  <si>
    <t>Connecticut</t>
  </si>
  <si>
    <t>CT</t>
  </si>
  <si>
    <t xml:space="preserve">Brendan McCahill </t>
  </si>
  <si>
    <t>617-918-1652</t>
  </si>
  <si>
    <t>McCahill.brendan@epa.gov</t>
  </si>
  <si>
    <t>5 Post Office Square</t>
  </si>
  <si>
    <t>MC: OEP</t>
  </si>
  <si>
    <t>Boston</t>
  </si>
  <si>
    <t>MA</t>
  </si>
  <si>
    <t>02109-3912</t>
  </si>
  <si>
    <t>Florida</t>
  </si>
  <si>
    <t>FL</t>
  </si>
  <si>
    <t>Hawaii</t>
  </si>
  <si>
    <t>HI</t>
  </si>
  <si>
    <t>Idaho</t>
  </si>
  <si>
    <t>ID</t>
  </si>
  <si>
    <t>Illinois</t>
  </si>
  <si>
    <t>IL</t>
  </si>
  <si>
    <t>Kaushal Gupta</t>
  </si>
  <si>
    <t>312-886-6803</t>
  </si>
  <si>
    <t>gupta.kaushal@epa.gov</t>
  </si>
  <si>
    <t>77 West Jackson Boulevard</t>
  </si>
  <si>
    <t>Rm#: 18130</t>
  </si>
  <si>
    <t>Chicago</t>
  </si>
  <si>
    <t>60604-3507</t>
  </si>
  <si>
    <t>Indiana</t>
  </si>
  <si>
    <t>IN</t>
  </si>
  <si>
    <t>Iowa</t>
  </si>
  <si>
    <t>IA</t>
  </si>
  <si>
    <t>Bob Webber</t>
  </si>
  <si>
    <t>913-551-7251</t>
  </si>
  <si>
    <t>webber.robert@epa.gov</t>
  </si>
  <si>
    <t xml:space="preserve">KS  </t>
  </si>
  <si>
    <t>Kansas</t>
  </si>
  <si>
    <t>KS</t>
  </si>
  <si>
    <t>Kentucky</t>
  </si>
  <si>
    <t>KY</t>
  </si>
  <si>
    <t>LA</t>
  </si>
  <si>
    <t>Maine</t>
  </si>
  <si>
    <t>ME</t>
  </si>
  <si>
    <t>Massachusetts</t>
  </si>
  <si>
    <t>Michigan</t>
  </si>
  <si>
    <t>MI</t>
  </si>
  <si>
    <t>Minnesota</t>
  </si>
  <si>
    <t>MN</t>
  </si>
  <si>
    <t>Mississippi</t>
  </si>
  <si>
    <t>MS</t>
  </si>
  <si>
    <t>Missouri</t>
  </si>
  <si>
    <t>MO</t>
  </si>
  <si>
    <t>Montana</t>
  </si>
  <si>
    <t>MT</t>
  </si>
  <si>
    <t>Nebraska</t>
  </si>
  <si>
    <t>NE</t>
  </si>
  <si>
    <t>Nevada</t>
  </si>
  <si>
    <t>NV</t>
  </si>
  <si>
    <t>New Hampshire</t>
  </si>
  <si>
    <t>NH</t>
  </si>
  <si>
    <t>New Jersey</t>
  </si>
  <si>
    <t>NJ</t>
  </si>
  <si>
    <t>Gavin Lau</t>
  </si>
  <si>
    <t>212-637-3708</t>
  </si>
  <si>
    <t>lau.gavin@epa.gov</t>
  </si>
  <si>
    <t>Umesh Dholakia</t>
  </si>
  <si>
    <t>212-637-4023</t>
  </si>
  <si>
    <t>Dholakia.umesh@epa.gov</t>
  </si>
  <si>
    <t>290 Broadway</t>
  </si>
  <si>
    <t>25th Floor</t>
  </si>
  <si>
    <t>New York</t>
  </si>
  <si>
    <t>NY</t>
  </si>
  <si>
    <t>10007-1866</t>
  </si>
  <si>
    <t>New Mexico</t>
  </si>
  <si>
    <t>NM</t>
  </si>
  <si>
    <t>North Carolina</t>
  </si>
  <si>
    <t>NC</t>
  </si>
  <si>
    <t>North Dakota</t>
  </si>
  <si>
    <t>ND</t>
  </si>
  <si>
    <t>Ohio</t>
  </si>
  <si>
    <t>OH</t>
  </si>
  <si>
    <t>Oklahoma</t>
  </si>
  <si>
    <t>OK</t>
  </si>
  <si>
    <t>Oregon</t>
  </si>
  <si>
    <t>OR</t>
  </si>
  <si>
    <t>Rhode Island</t>
  </si>
  <si>
    <t>RI</t>
  </si>
  <si>
    <t>South Carolina</t>
  </si>
  <si>
    <t>SC</t>
  </si>
  <si>
    <t>South Dakota</t>
  </si>
  <si>
    <t>SD</t>
  </si>
  <si>
    <t>Tennessee</t>
  </si>
  <si>
    <t>TN</t>
  </si>
  <si>
    <t>Texas</t>
  </si>
  <si>
    <t>Utah</t>
  </si>
  <si>
    <t>UT</t>
  </si>
  <si>
    <t>Vermont</t>
  </si>
  <si>
    <t>VT</t>
  </si>
  <si>
    <t>Washington</t>
  </si>
  <si>
    <t>Wisconsin</t>
  </si>
  <si>
    <t>WI</t>
  </si>
  <si>
    <t>Wyoming</t>
  </si>
  <si>
    <t>WY</t>
  </si>
  <si>
    <t>Delaware</t>
  </si>
  <si>
    <t>DE</t>
  </si>
  <si>
    <t>District of Columbia</t>
  </si>
  <si>
    <t>DC</t>
  </si>
  <si>
    <t>Maryland</t>
  </si>
  <si>
    <t>MD</t>
  </si>
  <si>
    <t>Pennsylvania</t>
  </si>
  <si>
    <t>PA</t>
  </si>
  <si>
    <t>Virginia</t>
  </si>
  <si>
    <t>VA</t>
  </si>
  <si>
    <t>West Virginia</t>
  </si>
  <si>
    <t>WV</t>
  </si>
  <si>
    <t>Albuquerque</t>
  </si>
  <si>
    <t>Zip Code</t>
  </si>
  <si>
    <t>Primary Contact Name</t>
  </si>
  <si>
    <t>Primary Contact Telephone</t>
  </si>
  <si>
    <t>Primary Contact Email</t>
  </si>
  <si>
    <t>Alternate Contact Name</t>
  </si>
  <si>
    <t>Alternate Contact Telephone</t>
  </si>
  <si>
    <t>Alternate Contact Email</t>
  </si>
  <si>
    <t>Name:</t>
  </si>
  <si>
    <t>Address:</t>
  </si>
  <si>
    <t>Telephone:</t>
  </si>
  <si>
    <t>1997 8-Hr Ozone Attainment Status (select one):</t>
  </si>
  <si>
    <r>
      <t>CO and PM</t>
    </r>
    <r>
      <rPr>
        <b/>
        <vertAlign val="subscript"/>
        <sz val="10"/>
        <rFont val="Arial"/>
        <family val="2"/>
      </rPr>
      <t>10</t>
    </r>
    <r>
      <rPr>
        <b/>
        <sz val="10"/>
        <rFont val="Arial"/>
        <family val="2"/>
      </rPr>
      <t xml:space="preserve"> Attainment Status List</t>
    </r>
  </si>
  <si>
    <t>Nonattainment - moderate</t>
  </si>
  <si>
    <t>Ozone Attainment Status List</t>
  </si>
  <si>
    <t>Nonattainment - marginal</t>
  </si>
  <si>
    <r>
      <t>SO</t>
    </r>
    <r>
      <rPr>
        <b/>
        <vertAlign val="subscript"/>
        <sz val="10"/>
        <rFont val="Arial"/>
        <family val="2"/>
      </rPr>
      <t>2</t>
    </r>
    <r>
      <rPr>
        <b/>
        <sz val="10"/>
        <rFont val="Arial"/>
        <family val="2"/>
      </rPr>
      <t xml:space="preserve"> and PM</t>
    </r>
    <r>
      <rPr>
        <b/>
        <vertAlign val="subscript"/>
        <sz val="10"/>
        <rFont val="Arial"/>
        <family val="2"/>
      </rPr>
      <t>2.5</t>
    </r>
    <r>
      <rPr>
        <b/>
        <sz val="10"/>
        <rFont val="Arial"/>
        <family val="2"/>
      </rPr>
      <t xml:space="preserve"> Attainment Status List</t>
    </r>
  </si>
  <si>
    <t>Nonattainment</t>
  </si>
  <si>
    <t>Registration Calculator Inputs</t>
  </si>
  <si>
    <t>Explanation of Text Colors and Cell Shading</t>
  </si>
  <si>
    <t>Cells shaded gray do not need to be completed.</t>
  </si>
  <si>
    <t>Acronyms/Definitions</t>
  </si>
  <si>
    <t>NSR</t>
  </si>
  <si>
    <t>particulate matter less than or equal to 10 micrometers (µm) in size</t>
  </si>
  <si>
    <t>particulate matter less than or equal to 2.5 micrometers (µm) in size</t>
  </si>
  <si>
    <t>EF</t>
  </si>
  <si>
    <t>emission factor</t>
  </si>
  <si>
    <t xml:space="preserve">http://www.epa.gov/oar/oaqps/greenbk/ancl.html </t>
  </si>
  <si>
    <t>Total Emissions</t>
  </si>
  <si>
    <t>Threshold</t>
  </si>
  <si>
    <t>Registration Summary</t>
  </si>
  <si>
    <r>
      <t>NO</t>
    </r>
    <r>
      <rPr>
        <vertAlign val="subscript"/>
        <sz val="10"/>
        <rFont val="Arial"/>
        <family val="2"/>
      </rPr>
      <t>X</t>
    </r>
  </si>
  <si>
    <t>EPA</t>
  </si>
  <si>
    <t>U.S. Environmental Protection Agency</t>
  </si>
  <si>
    <t>Emissions Source:</t>
  </si>
  <si>
    <t>TOTAL</t>
  </si>
  <si>
    <t>scf</t>
  </si>
  <si>
    <t>standard cubic feet</t>
  </si>
  <si>
    <r>
      <t>PM</t>
    </r>
    <r>
      <rPr>
        <vertAlign val="subscript"/>
        <sz val="10"/>
        <rFont val="Arial"/>
        <family val="2"/>
      </rPr>
      <t>2.5</t>
    </r>
    <r>
      <rPr>
        <sz val="10"/>
        <rFont val="Arial"/>
        <family val="2"/>
      </rPr>
      <t xml:space="preserve"> Attainment Status (select one):</t>
    </r>
  </si>
  <si>
    <t>Emission Control Questions</t>
  </si>
  <si>
    <t>CE</t>
  </si>
  <si>
    <t>Registration Determination</t>
  </si>
  <si>
    <t>Major Source</t>
  </si>
  <si>
    <t>Exceeds major source threshold.</t>
  </si>
  <si>
    <t>Exceeds Major Source Threshold Determination</t>
  </si>
  <si>
    <t>Allowable Emissions</t>
  </si>
  <si>
    <t>Estimated Actual Emissions</t>
  </si>
  <si>
    <t>Allowable Emissions (tons/yr):</t>
  </si>
  <si>
    <r>
      <t xml:space="preserve">On the </t>
    </r>
    <r>
      <rPr>
        <b/>
        <i/>
        <sz val="10"/>
        <rFont val="Arial"/>
        <family val="2"/>
      </rPr>
      <t>Inputs</t>
    </r>
    <r>
      <rPr>
        <sz val="10"/>
        <rFont val="Arial"/>
        <family val="2"/>
      </rPr>
      <t xml:space="preserve"> worksheet, replace the default facility information with information specific to your facility.</t>
    </r>
  </si>
  <si>
    <r>
      <t xml:space="preserve">On the </t>
    </r>
    <r>
      <rPr>
        <b/>
        <i/>
        <sz val="10"/>
        <rFont val="Arial"/>
        <family val="2"/>
      </rPr>
      <t>Inputs</t>
    </r>
    <r>
      <rPr>
        <sz val="10"/>
        <rFont val="Arial"/>
        <family val="2"/>
      </rPr>
      <t xml:space="preserve"> worksheet, select the air basin attainment status for each pollutant from the drop-down lists for the air basin in which your facility resides. This information is necessary since the pollutant thresholds that trigger registration requirements vary by attainment status. If you are unsure of the appropriate attainment statuses for the air basin in which your facility is located, refer to EPA's Green Book (available by clicking on the link below) or ask your EPA Regional contact for help. Your EPA Regional contact will be listed on the </t>
    </r>
    <r>
      <rPr>
        <b/>
        <i/>
        <sz val="10"/>
        <rFont val="Arial"/>
        <family val="2"/>
      </rPr>
      <t>Inputs</t>
    </r>
    <r>
      <rPr>
        <sz val="10"/>
        <rFont val="Arial"/>
        <family val="2"/>
      </rPr>
      <t xml:space="preserve"> worksheet once you have selected the correct state in which your facility resides.</t>
    </r>
  </si>
  <si>
    <t>control efficiency</t>
  </si>
  <si>
    <t>Potential annual emissions from a source calculated using the maximum rated capacity of the source (unless the source is subject to practically and legally enforceable limits which restrict the operating rate, or hours of operation, or both) and any applicable standards as set forth in 40 CFR parts 60 and 61.</t>
  </si>
  <si>
    <t xml:space="preserve">Estimates of actual emissions take into account equipment, operating conditions, and air pollution control measures and are calculated using the actual operating hours, production rates, in-place control equipment, and types of materials processed, stored, or combusted during the preceding calendar year (e.g., 2012). </t>
  </si>
  <si>
    <t>TRIBAL NEW SOURCE REVIEW PROGRAM</t>
  </si>
  <si>
    <t>Registration for Existing True Minor Sources of Air Pollution in Indian Country</t>
  </si>
  <si>
    <t>What is the Tribal New Source Review Rule?</t>
  </si>
  <si>
    <t>Do I need to register my minor source?</t>
  </si>
  <si>
    <t>How do I register my true minor source?</t>
  </si>
  <si>
    <t>How often must I register?</t>
  </si>
  <si>
    <t>This is a one-time registration for your true minor source.  However, after registration, you must notify your EPA Regional Office in writing if:</t>
  </si>
  <si>
    <t>May I register using my own emission information, rather than using the Registration Calculators?</t>
  </si>
  <si>
    <t>How does registration relate to obtaining a permit?</t>
  </si>
  <si>
    <t>Registration steps for existing true minor sources:</t>
  </si>
  <si>
    <r>
      <t xml:space="preserve">How do I determine if my source is a </t>
    </r>
    <r>
      <rPr>
        <b/>
        <i/>
        <sz val="10"/>
        <rFont val="Arial"/>
        <family val="2"/>
      </rPr>
      <t>true minor</t>
    </r>
    <r>
      <rPr>
        <b/>
        <sz val="10"/>
        <rFont val="Arial"/>
        <family val="2"/>
      </rPr>
      <t xml:space="preserve"> source?</t>
    </r>
  </si>
  <si>
    <t>1.</t>
  </si>
  <si>
    <t>2.</t>
  </si>
  <si>
    <t>3.</t>
  </si>
  <si>
    <t>4.</t>
  </si>
  <si>
    <t>5.</t>
  </si>
  <si>
    <t>If you have any questions about registration or completing the calculators, please contact your EPA Regional Office.</t>
  </si>
  <si>
    <r>
      <t xml:space="preserve">The </t>
    </r>
    <r>
      <rPr>
        <b/>
        <i/>
        <sz val="10"/>
        <rFont val="Arial"/>
        <family val="2"/>
      </rPr>
      <t>Total Emissions</t>
    </r>
    <r>
      <rPr>
        <sz val="10"/>
        <rFont val="Arial"/>
        <family val="2"/>
      </rPr>
      <t xml:space="preserve"> worksheet provides a summary of your estimated actual emissions and allowable emissions by source. The </t>
    </r>
    <r>
      <rPr>
        <b/>
        <i/>
        <sz val="10"/>
        <rFont val="Arial"/>
        <family val="2"/>
      </rPr>
      <t>Output-Summary Printout</t>
    </r>
    <r>
      <rPr>
        <sz val="10"/>
        <rFont val="Arial"/>
        <family val="2"/>
      </rPr>
      <t xml:space="preserve"> worksheet provides a facility-level summary of your estimated actual emissions and allowable emissions and indicates whether or not your facility is required to register under the Tribal New Source Review Rule.    </t>
    </r>
  </si>
  <si>
    <t>6:  Emissions Summaries</t>
  </si>
  <si>
    <t>5: Emission Controls and
    Operational Restrictions</t>
  </si>
  <si>
    <t>Emission Controls and Operational Restrictions</t>
  </si>
  <si>
    <t>Once completed, the calculator’s Output-Summary Printout worksheet will provide information on your registration requirements.</t>
  </si>
  <si>
    <t>Lenexa</t>
  </si>
  <si>
    <r>
      <t xml:space="preserve">Text in </t>
    </r>
    <r>
      <rPr>
        <b/>
        <sz val="10"/>
        <color rgb="FFFF0000"/>
        <rFont val="Arial"/>
        <family val="2"/>
      </rPr>
      <t>red</t>
    </r>
    <r>
      <rPr>
        <sz val="10"/>
        <rFont val="Arial"/>
        <family val="2"/>
      </rPr>
      <t xml:space="preserve"> or </t>
    </r>
    <r>
      <rPr>
        <b/>
        <sz val="10"/>
        <color rgb="FFCC6600"/>
        <rFont val="Arial"/>
        <family val="2"/>
      </rPr>
      <t>brown</t>
    </r>
    <r>
      <rPr>
        <sz val="10"/>
        <rFont val="Arial"/>
        <family val="2"/>
      </rPr>
      <t xml:space="preserve"> is a disclaimer or calculated value and cannot be changed.</t>
    </r>
  </si>
  <si>
    <r>
      <t xml:space="preserve">Text in </t>
    </r>
    <r>
      <rPr>
        <b/>
        <sz val="10"/>
        <color indexed="12"/>
        <rFont val="Arial"/>
        <family val="2"/>
      </rPr>
      <t>blue</t>
    </r>
    <r>
      <rPr>
        <sz val="10"/>
        <rFont val="Arial"/>
        <family val="2"/>
      </rPr>
      <t xml:space="preserve"> is to be overwritten, as necessary, with your facility's inputs.</t>
    </r>
  </si>
  <si>
    <r>
      <t xml:space="preserve">Text in </t>
    </r>
    <r>
      <rPr>
        <b/>
        <sz val="10"/>
        <rFont val="Arial"/>
        <family val="2"/>
      </rPr>
      <t>black</t>
    </r>
    <r>
      <rPr>
        <sz val="10"/>
        <rFont val="Arial"/>
        <family val="2"/>
      </rPr>
      <t xml:space="preserve"> is a title, heading or calculated value and cannot be changed.</t>
    </r>
  </si>
  <si>
    <r>
      <t xml:space="preserve">Note: Your facility's information and estimates will be entered on the </t>
    </r>
    <r>
      <rPr>
        <b/>
        <i/>
        <sz val="10"/>
        <rFont val="Arial"/>
        <family val="2"/>
      </rPr>
      <t>Inputs</t>
    </r>
    <r>
      <rPr>
        <sz val="10"/>
        <rFont val="Arial"/>
        <family val="2"/>
      </rPr>
      <t xml:space="preserve"> and </t>
    </r>
    <r>
      <rPr>
        <b/>
        <i/>
        <sz val="10"/>
        <rFont val="Arial"/>
        <family val="2"/>
      </rPr>
      <t>Controls and Restrictions</t>
    </r>
    <r>
      <rPr>
        <sz val="10"/>
        <rFont val="Arial"/>
        <family val="2"/>
      </rPr>
      <t xml:space="preserve"> worksheets.</t>
    </r>
  </si>
  <si>
    <t>Jonathan Dorn
Matt Hynson</t>
  </si>
  <si>
    <t>MMscf</t>
  </si>
  <si>
    <t xml:space="preserve">The Tribal New Source Review (NSR) Rule protects public health and the environment in Indian country as new facilities are built, and existing facilities expand, without unduly burdening economic development.  The Tribal NSR Rule establishes a registration program that will allow the United States Environmental Protection Agency (EPA) to develop and maintain a record of minor source emissions in Indian country.  The EPA developed the Excel Workbook Registration Calculators for you (the source owner/operator) to use to determine if you must register and to facilitate the registration process, if required.  
</t>
  </si>
  <si>
    <r>
      <rPr>
        <sz val="10"/>
        <rFont val="Arial"/>
        <family val="2"/>
      </rPr>
      <t xml:space="preserve">Please visit EPA's Tribal Air website at </t>
    </r>
    <r>
      <rPr>
        <u/>
        <sz val="10"/>
        <color theme="10"/>
        <rFont val="Arial"/>
        <family val="2"/>
      </rPr>
      <t xml:space="preserve">http://www.epa.gov/air/tribal/tribalnsr.html </t>
    </r>
    <r>
      <rPr>
        <sz val="10"/>
        <rFont val="Arial"/>
        <family val="2"/>
      </rPr>
      <t>for more information about the Tribal NSR Rule.</t>
    </r>
  </si>
  <si>
    <t>You are exempt from the registration requirement if your source is subject to the registration requirements under 40 CFR 49.138—Rule for the registration of air pollution sources and the reporting of emissions (also known as the Federal Air Rules for Reservations (FARR)).  The FARR is a set of federal air rules that only apply to 39 Indian Reservations in Idaho, Oregon, and Washington. 
If your air pollution source is not located on one of the 39 Indian Reservations in Idaho, Oregon, or Washington, you must register your source with your EPA Regional Office (the reviewing authority) by March 1, 2013 if you own or operate an existing true minor air pollution source (as defined in 40 CFR 49.152(d)) and your source’s emissions are equal to or greater than the cutoff levels listed in Table 1 at 40 CFR 49.153.</t>
  </si>
  <si>
    <t>True minor source means a source, not including exempt emissions units and activities listed in 40 CFR 49.153(c), that emits or has the potential to emit regulated NSR pollutants in amounts that are less than the major source thresholds in 40 CFR 52.21, (generally 100 to 250 tons per year), but equal to or greater than the minor NSR thresholds in Table 1 at 40 CFR 49.153, without the need to take an enforceable restriction to reduce its potential to emit to such levels.  That is, a true minor source is a minor source that is not a synthetic minor source.  The potential to emit includes fugitive emissions, to the extent that they are quantifiable, only if the source belongs to one of the source categories listed in 40 CFR 51, Appendix S, paragraph II.A.4(iii).</t>
  </si>
  <si>
    <t>The EPA has provided this registration calculator to assist you in determining your registration requirements. Completing this calculator will:</t>
  </si>
  <si>
    <r>
      <t>help you determine if you need to register your air pollution emission source, based on your emission level and area’s attainment status</t>
    </r>
    <r>
      <rPr>
        <b/>
        <sz val="10"/>
        <rFont val="Arial"/>
        <family val="2"/>
      </rPr>
      <t>;</t>
    </r>
    <r>
      <rPr>
        <sz val="10"/>
        <rFont val="Arial"/>
        <family val="2"/>
      </rPr>
      <t xml:space="preserve"> and</t>
    </r>
  </si>
  <si>
    <t>your source relocates (send report no later than 30 days prior to relocation);</t>
  </si>
  <si>
    <t>your source has a new owner/operator (send report within 90 days after change in ownership); or</t>
  </si>
  <si>
    <t>your source closes (send report within 90 days after cessation of all operations).</t>
  </si>
  <si>
    <t>The Registration Calculators are provided for the convenience of most minor sources, which are unlikely to have tracked emissions data since minor sources in Indian country have been unregulated until now.  However, if you have actual emission data from your source you may choose not to use the calculator(s), but your registration information must comply with all of the requirements in 40 CFR 49.160 and be submitted using the form provided on EPA's Tribal Air website. Please click on the URL below to access the form.</t>
  </si>
  <si>
    <t xml:space="preserve">http://www.epa.gov/air/tribal/pdfs/existing_source_registration_rev.pdf </t>
  </si>
  <si>
    <r>
      <t xml:space="preserve">Registering your source does not relieve you of the requirement to obtain any required permit.  Please note that </t>
    </r>
    <r>
      <rPr>
        <i/>
        <sz val="10"/>
        <rFont val="Arial"/>
        <family val="2"/>
      </rPr>
      <t>registering</t>
    </r>
    <r>
      <rPr>
        <sz val="10"/>
        <rFont val="Arial"/>
        <family val="2"/>
      </rPr>
      <t xml:space="preserve"> your source and </t>
    </r>
    <r>
      <rPr>
        <i/>
        <sz val="10"/>
        <rFont val="Arial"/>
        <family val="2"/>
      </rPr>
      <t>obtaining a permit</t>
    </r>
    <r>
      <rPr>
        <sz val="10"/>
        <rFont val="Arial"/>
        <family val="2"/>
      </rPr>
      <t xml:space="preserve">, if needed, are two different and separate requirements.  The emissions information generated by the Registration Calculators is different than the emissions information needed for a permit application, thus you may </t>
    </r>
    <r>
      <rPr>
        <b/>
        <i/>
        <sz val="10"/>
        <rFont val="Arial"/>
        <family val="2"/>
      </rPr>
      <t>not</t>
    </r>
    <r>
      <rPr>
        <sz val="10"/>
        <rFont val="Arial"/>
        <family val="2"/>
      </rPr>
      <t xml:space="preserve"> use the Registration Calculator emissions information when applying for a permit.</t>
    </r>
  </si>
  <si>
    <t>Complete this calculator and all other calculators that are applicable to your true minor source as accurately as possible.</t>
  </si>
  <si>
    <t>Georgia</t>
  </si>
  <si>
    <t xml:space="preserve">11201 Renner Blvd. </t>
  </si>
  <si>
    <t xml:space="preserve">MC: AWMD/APCO </t>
  </si>
  <si>
    <t>Louisiana</t>
  </si>
  <si>
    <t>million standard cubic feet</t>
  </si>
  <si>
    <t>State List</t>
  </si>
  <si>
    <t>Tracey Westfield</t>
  </si>
  <si>
    <t>Estimated Actual Emissions for 2012 (tons/yr):</t>
  </si>
  <si>
    <t>Estimated Actual Emissions
for 2012</t>
  </si>
  <si>
    <t>Actual Emission Factor</t>
  </si>
  <si>
    <t>Allowable Emission Factor</t>
  </si>
  <si>
    <t>wt%</t>
  </si>
  <si>
    <t>weight percentage</t>
  </si>
  <si>
    <t>Solvents</t>
  </si>
  <si>
    <t>Heater</t>
  </si>
  <si>
    <t>Degreasing Solvent Type</t>
  </si>
  <si>
    <t>Cold</t>
  </si>
  <si>
    <t>Vaporized</t>
  </si>
  <si>
    <t>Yes/No Answer</t>
  </si>
  <si>
    <t>Solvent Used</t>
  </si>
  <si>
    <t>lb</t>
  </si>
  <si>
    <t>U.S. Environmental Protection Agency, AP-42, Fifth Edition, Volume I, Chapter 4: Evaporation Loss Sources, Section 4.6: Solvent Degreasing, 1981, available electronically at http://www.epa.gov/ttnchie1/ap42/ch04/final/c4s06.pdf.</t>
  </si>
  <si>
    <t>tons of solvent</t>
  </si>
  <si>
    <t>U.S. Environmental Protection Agency in collaboration with the Eastern Regional Technical Advisory Committee, 2009, http://ertac.us/compare/state_comparison_ERTAC_SS_version7.2_23nov2009.xls. Based on emissions factors in AP-42, Fifth Edition, Volume I, Chapter 1: External Combustion Sources, http://www.epa.gov/ttn/chief/ap42/ch01/index.html.</t>
  </si>
  <si>
    <r>
      <t>NO</t>
    </r>
    <r>
      <rPr>
        <vertAlign val="subscript"/>
        <sz val="10"/>
        <rFont val="Arial"/>
        <family val="2"/>
      </rPr>
      <t>x</t>
    </r>
  </si>
  <si>
    <t>Total PM</t>
  </si>
  <si>
    <t>U.S. Environmental Protection Agency in collaboration with the Eastern Regional Technical Advisory Committee, 2009, http://ertac.us/compare/state_comparison_ERTAC_SS_version7.2_23nov2009.xls. Based on emissions factors in AP-42, Fifth Edition, Volume I, Chapter 1: External Combustion Sources, http://www.epa.gov/ttn/chief/ap42/ch01/index.html. Sulfur content of average natural gas = 2% and of PTE natural gas = 20%, based on AP-42 and NSR permits, for example see the Niland Power Project  Title V Engineering Review at http://yosemite.epa.gov/r9/air/epss.nsf/6924c72e5ea10d5e882561b100685e04/2b921e8cde424cc8882577690060ad88/$FILE/Niland%20Power%20Project%20Title%20V%20Engineering%20Review%2007.2010.doc</t>
  </si>
  <si>
    <t>U.S. Environmental Protection Agency in collaboration with the Eastern Regional Technical Advisory Committee, 2009, http://ertac.us/compare/state_comparison_ERTAC_SS_version7.2_23nov2009.xls. Based on emissions factors in AP-42, Fifth Edition, Volume I, Chapter 1: External Combustion Sources, http://www.epa.gov/ttn/chief/ap42/ch01/index.html. The PM emission factors have been adjusted based on new test data as discussed in ftp://ftp.epa.gov/EmisInventory/2002finalnei/documentation/point/pm_adjustment_2002_nei.pdf.</t>
  </si>
  <si>
    <t>U.S. Environmental Protection Agency in collaboration with the Eastern Regional Technical Advisory Committee, 2009, http://ertac.us/compare/state_comparison_ERTAC_SS_version7.2_23nov2009.xls. Based on natural gas emissions factors in AP-42, Fifth Edition, Volume I, Chapter 1: External Combustion Sources, http://www.epa.gov/ttn/chief/ap42/ch01/index.html.</t>
  </si>
  <si>
    <t>U.S. Environmental Protection Agency in collaboration with the Eastern Regional Technical Advisory Committee, 2009, http://ertac.us/compare/state_comparison_ERTAC_SS_version7.2_23nov2009.xls. Based on natural gas emissions factors in AP-42, Fifth Edition, Volume I, Chapter 1: External Combustion Sources, http://www.epa.gov/ttn/chief/ap42/ch01/index.html. Sulfur content of average LPG = 2% and of PTE natural gas = 20%, based on AP-42 and NSR permits, for example see the Niland Power Project  Title V Engineering Review at http://yosemite.epa.gov/r9/air/epss.nsf/6924c72e5ea10d5e882561b100685e04/2b921e8cde424cc8882577690060ad88/$FILE/Niland%20Power%20Project%20Title%20V%20Engineering%20Review%2007.2010.doc</t>
  </si>
  <si>
    <t>U.S. Environmental Protection Agency in collaboration with the Eastern Regional Technical Advisory Committee, 2009, http://ertac.us/compare/state_comparison_ERTAC_SS_version7.2_23nov2009.xls. Based on natural gas emissions factors in AP-42, Fifth Edition, Volume I, Chapter 1: External Combustion Sources, http://www.epa.gov/ttn/chief/ap42/ch01/index.html. The PM emission factors have been adjusted based on new test data as discussed in ftp://ftp.epa.gov/EmisInventory/2002finalnei/documentation/point/pm_adjustment_2002_nei.pdf.</t>
  </si>
  <si>
    <t>Solvent Degreasing Registration Calculator</t>
  </si>
  <si>
    <t>What kind of fuel does your facility's heater use?</t>
  </si>
  <si>
    <t>Heater Fuels</t>
  </si>
  <si>
    <t>Electricity</t>
  </si>
  <si>
    <t>Yes/No</t>
  </si>
  <si>
    <t>Control device emission reduction (%)</t>
  </si>
  <si>
    <t>Operating procedure emission reduction (%)</t>
  </si>
  <si>
    <t>What is the sulfur content of the distillate oil (wt%)? (Enter 0 if you do not have this information)</t>
  </si>
  <si>
    <t>%</t>
  </si>
  <si>
    <t>Emissions Reductions</t>
  </si>
  <si>
    <t>Control Device</t>
  </si>
  <si>
    <t>Operating Procedures</t>
  </si>
  <si>
    <t>Control Device and Operating Procedures</t>
  </si>
  <si>
    <t>Cold Cleaner Degreasing Default VOC Emissions Reduction</t>
  </si>
  <si>
    <t>Vapor Degreasing Default VOC Emissions Reduction</t>
  </si>
  <si>
    <t>Conveyorized Degreasing Default VOC Emissions Reduction</t>
  </si>
  <si>
    <t>Reductions to be used:</t>
  </si>
  <si>
    <t>Based of of emissions reduction factors in U.S. Environmental Protection Agency, AP-42, Fifth Edition, Volume I, Chapter 4: Evaporation Loss Sources, Section 4.6: Solvent Degreasing, Table 4.6-3. 1981. Available electronically at http://www.epa.gov/ttnchie1/ap42/ch04/final/c4s06.pdf.</t>
  </si>
  <si>
    <t>Sulfur Contents</t>
  </si>
  <si>
    <t>percent</t>
  </si>
  <si>
    <t>Average value is used for calculation of actuals and is from U.S. Environmental Protection Agency 1993. Emissions Factor Documentation for AP-42 Section 1.11 Waste Oil Combustion. Table 2-1. Available electronically at: http://www.epa.gov/ttnchie1/ap42/ch01/bgdocs/b01s11.pdf. The allowable value is from 40 CFR 49.130(d)(2).</t>
  </si>
  <si>
    <t>grains/100 scf</t>
  </si>
  <si>
    <t>Average value from U.S. Environmental Protection Agency, AP-42, Fifth Edition, Volume I, Chapter 1: External Combustion, Section 1.4: Natural Gas Combustion, 1998, available at http://www.epa.gov/ttn/chief/ap42/ch01/final/c01s04.pdf. Allowable value from 40 CFR Section 49.130(d)(8); 1.1 grams S per standard cubic meter = 48 grains per 100 scf</t>
  </si>
  <si>
    <t>Misc</t>
  </si>
  <si>
    <t>Allowable Heater Hours of Operation</t>
  </si>
  <si>
    <t>hours</t>
  </si>
  <si>
    <t>Heater Questions</t>
  </si>
  <si>
    <t>Total VOC Emissions Reduction (%)</t>
  </si>
  <si>
    <t>Heater Emissions Factors</t>
  </si>
  <si>
    <t>Degreasing Emissions Factors</t>
  </si>
  <si>
    <r>
      <t xml:space="preserve">You will need to enter information on the degreasing operations at your facility.  This workbook automatically calculates air pollutant emissions based on this information.  Some sample data have already been entered (in blue font) to assist with filling this out.  You will need to replace these sample data with your own.  The last tab along the bottom of this workbook, called the </t>
    </r>
    <r>
      <rPr>
        <b/>
        <i/>
        <sz val="10"/>
        <rFont val="Arial"/>
        <family val="2"/>
      </rPr>
      <t>Output-Summary Printout</t>
    </r>
    <r>
      <rPr>
        <sz val="10"/>
        <rFont val="Arial"/>
        <family val="2"/>
      </rPr>
      <t>, is a one-page summary of your facility's emissions and, based on the information entered, indicates whether your facility is required to register under the Tribal New Source Review Rule.  Please read all instructions below before using this workbook.  All worksheets in this workbook are printer-friendly. If necessary, print this page for reference while completing the worksheets.</t>
    </r>
  </si>
  <si>
    <r>
      <t xml:space="preserve">Owners/operators of facilities with degreasing operations must evaluate the emissions of air pollutants from their facility to determine the need to register their facility under the Tribal New Source Review Rule. This workbook should </t>
    </r>
    <r>
      <rPr>
        <b/>
        <i/>
        <sz val="10"/>
        <rFont val="Arial"/>
        <family val="2"/>
      </rPr>
      <t>not</t>
    </r>
    <r>
      <rPr>
        <sz val="10"/>
        <rFont val="Arial"/>
        <family val="2"/>
      </rPr>
      <t xml:space="preserve"> be used for permitting purposes.</t>
    </r>
  </si>
  <si>
    <t>Acme Degreasing</t>
  </si>
  <si>
    <t>Did your facility use a conveyorized degreasing process in 2012?</t>
  </si>
  <si>
    <t>Solvent density (lb/gal)</t>
  </si>
  <si>
    <t>Average</t>
  </si>
  <si>
    <t>Allowable</t>
  </si>
  <si>
    <t>Category</t>
  </si>
  <si>
    <t>Low End (lb/gal)</t>
  </si>
  <si>
    <t>High End (lb/gal)</t>
  </si>
  <si>
    <t>Average (lb/gal)</t>
  </si>
  <si>
    <t>Surface Cleaners</t>
  </si>
  <si>
    <t>Emission Inventory Improvement Program, Volume 3, Chapter 13, Auto Body Refinishing, Table 13.4-2 VOC Parameters of Conventional (Pre-Regulation) Auto Body Refinishing Products, January 2000, available at http://www.epa.gov/ttn/chief/eiip/techreport/volume03/iii13_march2005.pdf (accessed December 2012).</t>
  </si>
  <si>
    <t>What is the heat capacity of your heater? (in MMBtu/hr)</t>
  </si>
  <si>
    <t>Note: If your facility operated for only a portion of 2012, estimate the following information as if you had been operating for the whole year. For example, if your facility operated for only three months in 2012 and used a heater that burns distillate oil, you should multiply the gallons of fuel combusted in those three months by four to project the gallons of fuel used for the entire 12 months.</t>
  </si>
  <si>
    <t>Sulfur content of distillate oil (wt%)</t>
  </si>
  <si>
    <t>Surface Cleaner Density</t>
  </si>
  <si>
    <t>Did your facility heat solvents in calendar year 2012?</t>
  </si>
  <si>
    <r>
      <t xml:space="preserve">On the </t>
    </r>
    <r>
      <rPr>
        <b/>
        <i/>
        <sz val="10"/>
        <rFont val="Arial"/>
        <family val="2"/>
      </rPr>
      <t xml:space="preserve">Controls and Restrictions </t>
    </r>
    <r>
      <rPr>
        <sz val="10"/>
        <rFont val="Arial"/>
        <family val="2"/>
      </rPr>
      <t>worksheet, indicate whether your facility used any control devices for solvent emissions in calendar year 2012. Examples of applicable control devices include covers or enclosed degreasing chambers, a solvent drainage facility, safety switches and thermostats, and a solid fluid spray stream. Enter an estimate of the percent reduction in solvent emissions due to these control devices, if you have this information. If you do not have this information, enter 0 and a default percentage will be selected for you. Indicate whether your facility used any enhanced operating procedures to reduce solvent emissions in 2012. Examples of applicable procedures include reclamation of waste solvent, reduced exhaust ventilation, and reduced conveyor speeds. Enter an estimate of the percent reduction in solvent emissions due to these operating procedures, if you have this information. If you do not have this information, enter 0 and a default percentage will be selected for you.</t>
    </r>
  </si>
  <si>
    <t>Solvent degreasing describes the process of using organic solvents to remove grease, fats, oils, wax, or soil from metal, glass, or plastic products. There are three main types of solvent cleaning equipment: cold cleaners, open top vapor degreasers. Cold cleaners are the simplest option, and clean by either spray or immersion with a cold solvent.  Open top vapor degreasers use the condensation from hot solvent vapor to clean parts. Degreasing operations can be performed in batches or in continuously loaded conveyorized processes. Emissions from degreasers and solvent cleaners depend on the equipment being used. For cold cleaners, the biggest source of emissions comes from the evaporation of VOCs in waste solvent. Emissions from open top vapor degreasers come primarily from the diffusion and convection of solvent vapor. Control strategies for these emissions include proper disposal of waste solvents, low pressure solvent sprays, and enclosed spray chambers.</t>
  </si>
  <si>
    <r>
      <t xml:space="preserve">This workbook is an aid to assist facility owners/operators in determining their need to register their facility under the Tribal New Source Review Rule. Owners/operators should provide the best estimate of inputs required in this workbook based on their facility's existing available records, actual test data, manufacturers' data and/or fuel (instrumentation) meters. If a source owner/operator has a more accurate methodology for estimating emissions, he/she is not obligated to use this registration calculator; however, the source owner/operator must comply with all of the applicable requirements in 40 CFR 49.160 and submit all registration information using the forms provided on EPA's Tribal Air website. For example, if you believe that the actual emissions in calendar year 2012 estimated using this calculator are not representative of the emissions that your source actually emitted, you may submit your own estimate of actual emissions and the rationale for the actual emissions.
</t>
    </r>
    <r>
      <rPr>
        <b/>
        <i/>
        <sz val="10"/>
        <color rgb="FFFF0000"/>
        <rFont val="Arial"/>
        <family val="2"/>
      </rPr>
      <t>Please note that the emissions information generated by this registration calculator is different than the emissions information needed for a permit application, thus you may not use the registration calculator emission estimates when applying for a permit (if required).</t>
    </r>
  </si>
  <si>
    <t>Did your facility use cold or vaporized solvent in calendar year 2012?</t>
  </si>
  <si>
    <t>Enter the average density of solvent used at your facility for degreasing operations in 2012 (in lb/gal). (Enter 0 if you do not have this information)</t>
  </si>
  <si>
    <t xml:space="preserve">Did your facility use control devices for solvent emissions, such as an enclosed degreasing chamber, in calendar year 2012? </t>
  </si>
  <si>
    <t>Did your facility use different operating procedures to reduce solvent emissions, such as recycling waste solvent, in 2012?</t>
  </si>
  <si>
    <t>Assuming continous operation in 2012.</t>
  </si>
  <si>
    <t>Corrected density formula in allowable VOC calculation.</t>
  </si>
  <si>
    <t>Jonathan Dorn</t>
  </si>
  <si>
    <t>Updated region 6 telephone number. Updated calculations to use "make-up solvent" as opposed to total solvent used. Corrected error on control worksheet.</t>
  </si>
  <si>
    <t>Enter the maximum volume of make-up solvent that your facility could have used for degreasing operations in 2012 (in gallons).</t>
  </si>
  <si>
    <t xml:space="preserve">Enter the volume of make-up solvent used at your facility for degreasing operations in 2012 (in gallons). </t>
  </si>
  <si>
    <t>Solvent added to a degreaser in calendar year 2012 to make up for solvent lost through evaporation, carryout, splashing, leakage, or disposal.</t>
  </si>
  <si>
    <t>Make-up Solvent</t>
  </si>
  <si>
    <r>
      <t xml:space="preserve">On the </t>
    </r>
    <r>
      <rPr>
        <b/>
        <i/>
        <sz val="10"/>
        <rFont val="Arial"/>
        <family val="2"/>
      </rPr>
      <t xml:space="preserve">Inputs </t>
    </r>
    <r>
      <rPr>
        <sz val="10"/>
        <rFont val="Arial"/>
        <family val="2"/>
      </rPr>
      <t xml:space="preserve">worksheet, enter information about degreasing processes at your facility. Indicate whether your facility used cold or vaporized (boiled) solvent in degreasing processes in 2012. Select whether your facility uses a conveyorized degreasing process. Enter an estimate of the total volume of make-up solvent used in degreasing operations at your facility during calendar year 2012 (in gallons) and an estimate of the maximum volume of make-up solvent that could have been used in degreasing operations at your facility during calendar year 2012 (in gallons). Select whether your facility heats solvents. If your facility does not heat solvents, you may proceed to the </t>
    </r>
    <r>
      <rPr>
        <b/>
        <i/>
        <sz val="10"/>
        <rFont val="Arial"/>
        <family val="2"/>
      </rPr>
      <t xml:space="preserve">Controls and Restrictions </t>
    </r>
    <r>
      <rPr>
        <sz val="10"/>
        <rFont val="Arial"/>
        <family val="2"/>
      </rPr>
      <t>worksheet. If your facility heats solvents, enter the heat capacity of the heater used for solvents in MMBtu/hr. Select the type of fuel that is used in your facility's heater. Enter an estimate of the volume of fuel combusted in your heater during calendar year 2012 (use units of MMscf for natural gas and 1000 gal for LPF and distillate oil; for example, if your facility burned 2,000 gallons of distillate oil in your heater in 2012, enter 2). If your facility used distillate oil in its heater, enter an estimate of the sulfur content of this fuel (in wt%). If you do not have this information, enter 0 and a default sulfur content will be selected for you.</t>
    </r>
  </si>
  <si>
    <t>By what percentage did these control devices reduce VOC emissions in 2012? (Enter 0 if you do not have this information)</t>
  </si>
  <si>
    <t>By what percentage did these operating procedures reduce VOC emissions in 2012? (Enter 0 if you do not have this information)</t>
  </si>
  <si>
    <t>2/26/2013</t>
  </si>
  <si>
    <t>Updated data validations to be compatible with Excel 2007</t>
  </si>
  <si>
    <t>v1.3 (last updated 2013.02.26)</t>
  </si>
  <si>
    <r>
      <t xml:space="preserve">If the Output-Summary Printout worksheet indicates that you </t>
    </r>
    <r>
      <rPr>
        <b/>
        <i/>
        <sz val="10"/>
        <rFont val="Arial"/>
        <family val="2"/>
      </rPr>
      <t>do</t>
    </r>
    <r>
      <rPr>
        <i/>
        <sz val="10"/>
        <rFont val="Arial"/>
        <family val="2"/>
      </rPr>
      <t xml:space="preserve"> need to register</t>
    </r>
    <r>
      <rPr>
        <sz val="10"/>
        <rFont val="Arial"/>
        <family val="2"/>
      </rPr>
      <t>, contact your EPA Regional Office to determine what they require for registration. The contact information for your Regional Office is located on the Output-Summary Printout.</t>
    </r>
  </si>
  <si>
    <t>generate the Output-Summary Printout that will indicate if you need to register. If registration is required, contact your EPA Regional Office for further guidance. The contact information for your Regional Office is located on the Output-Summary Printout.</t>
  </si>
  <si>
    <r>
      <t xml:space="preserve">If the Output-Summary Printout worksheet indicates that you </t>
    </r>
    <r>
      <rPr>
        <b/>
        <i/>
        <sz val="10"/>
        <rFont val="Arial"/>
        <family val="2"/>
      </rPr>
      <t>do not</t>
    </r>
    <r>
      <rPr>
        <i/>
        <sz val="10"/>
        <rFont val="Arial"/>
        <family val="2"/>
      </rPr>
      <t xml:space="preserve"> need to register</t>
    </r>
    <r>
      <rPr>
        <sz val="10"/>
        <rFont val="Arial"/>
        <family val="2"/>
      </rPr>
      <t>, no further action is required. It is recommended that you save a copy of the calculation worksheets and the Output-Summary Printout for your files.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</si>
</sst>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0.000"/>
    <numFmt numFmtId="166" formatCode="#,##0.0"/>
    <numFmt numFmtId="167" formatCode="#,##0.000"/>
    <numFmt numFmtId="168" formatCode="m/d/yyyy;@"/>
  </numFmts>
  <fonts count="3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b/>
      <sz val="10"/>
      <name val="Arial"/>
      <family val="2"/>
    </font>
    <font>
      <sz val="10"/>
      <color indexed="10"/>
      <name val="Arial"/>
      <family val="2"/>
    </font>
    <font>
      <sz val="10"/>
      <name val="Arial"/>
      <family val="2"/>
    </font>
    <font>
      <b/>
      <sz val="10"/>
      <color indexed="9"/>
      <name val="Arial"/>
      <family val="2"/>
    </font>
    <font>
      <vertAlign val="subscript"/>
      <sz val="10"/>
      <name val="Arial"/>
      <family val="2"/>
    </font>
    <font>
      <b/>
      <u/>
      <sz val="10"/>
      <name val="Arial"/>
      <family val="2"/>
    </font>
    <font>
      <b/>
      <sz val="10"/>
      <color indexed="12"/>
      <name val="Arial"/>
      <family val="2"/>
    </font>
    <font>
      <i/>
      <sz val="10"/>
      <name val="Arial"/>
      <family val="2"/>
    </font>
    <font>
      <b/>
      <sz val="14"/>
      <name val="Arial"/>
      <family val="2"/>
    </font>
    <font>
      <sz val="8"/>
      <name val="Arial"/>
      <family val="2"/>
    </font>
    <font>
      <sz val="10"/>
      <color rgb="FF0000FF"/>
      <name val="Arial"/>
      <family val="2"/>
    </font>
    <font>
      <u/>
      <sz val="10"/>
      <color theme="10"/>
      <name val="Arial"/>
      <family val="2"/>
    </font>
    <font>
      <b/>
      <i/>
      <sz val="10"/>
      <name val="Arial"/>
      <family val="2"/>
    </font>
    <font>
      <b/>
      <vertAlign val="subscript"/>
      <sz val="10"/>
      <name val="Arial"/>
      <family val="2"/>
    </font>
    <font>
      <vertAlign val="superscript"/>
      <sz val="10"/>
      <name val="Arial"/>
      <family val="2"/>
    </font>
    <font>
      <i/>
      <sz val="10"/>
      <color rgb="FFFF0000"/>
      <name val="Arial"/>
      <family val="2"/>
    </font>
    <font>
      <b/>
      <sz val="11"/>
      <color theme="1"/>
      <name val="Calibri"/>
      <family val="2"/>
      <scheme val="minor"/>
    </font>
    <font>
      <u/>
      <sz val="11"/>
      <color theme="10"/>
      <name val="Calibri"/>
      <family val="2"/>
      <scheme val="minor"/>
    </font>
    <font>
      <sz val="10"/>
      <color indexed="8"/>
      <name val="Arial"/>
      <family val="2"/>
    </font>
    <font>
      <sz val="10"/>
      <color theme="1"/>
      <name val="Arial"/>
      <family val="2"/>
    </font>
    <font>
      <sz val="10"/>
      <color rgb="FFCC6600"/>
      <name val="Arial"/>
      <family val="2"/>
    </font>
    <font>
      <b/>
      <sz val="11"/>
      <color rgb="FFFF0000"/>
      <name val="Arial"/>
      <family val="2"/>
    </font>
    <font>
      <b/>
      <sz val="11"/>
      <name val="Arial"/>
      <family val="2"/>
    </font>
    <font>
      <b/>
      <sz val="12"/>
      <name val="Arial"/>
      <family val="2"/>
    </font>
    <font>
      <b/>
      <sz val="10"/>
      <color rgb="FFFF0000"/>
      <name val="Arial"/>
      <family val="2"/>
    </font>
    <font>
      <b/>
      <sz val="10"/>
      <color rgb="FFCC6600"/>
      <name val="Arial"/>
      <family val="2"/>
    </font>
    <font>
      <sz val="11"/>
      <name val="Arial"/>
      <family val="2"/>
    </font>
    <font>
      <b/>
      <i/>
      <sz val="10"/>
      <color rgb="FFFF0000"/>
      <name val="Arial"/>
      <family val="2"/>
    </font>
  </fonts>
  <fills count="9">
    <fill>
      <patternFill patternType="none"/>
    </fill>
    <fill>
      <patternFill patternType="gray125"/>
    </fill>
    <fill>
      <patternFill patternType="solid">
        <fgColor indexed="8"/>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99"/>
        <bgColor indexed="64"/>
      </patternFill>
    </fill>
    <fill>
      <patternFill patternType="solid">
        <fgColor theme="3" tint="0.79998168889431442"/>
        <bgColor indexed="64"/>
      </patternFill>
    </fill>
    <fill>
      <patternFill patternType="solid">
        <fgColor theme="0" tint="-0.24994659260841701"/>
        <bgColor indexed="64"/>
      </patternFill>
    </fill>
  </fills>
  <borders count="77">
    <border>
      <left/>
      <right/>
      <top/>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double">
        <color indexed="64"/>
      </right>
      <top/>
      <bottom/>
      <diagonal/>
    </border>
    <border>
      <left/>
      <right style="double">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right style="medium">
        <color indexed="64"/>
      </right>
      <top/>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double">
        <color auto="1"/>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theme="1" tint="0.499984740745262"/>
      </left>
      <right style="medium">
        <color indexed="64"/>
      </right>
      <top/>
      <bottom style="thin">
        <color indexed="64"/>
      </bottom>
      <diagonal/>
    </border>
    <border>
      <left style="thin">
        <color theme="1" tint="0.499984740745262"/>
      </left>
      <right style="medium">
        <color indexed="64"/>
      </right>
      <top/>
      <bottom/>
      <diagonal/>
    </border>
    <border>
      <left style="thin">
        <color theme="1" tint="0.499984740745262"/>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top style="medium">
        <color indexed="64"/>
      </top>
      <bottom/>
      <diagonal/>
    </border>
    <border>
      <left style="double">
        <color indexed="64"/>
      </left>
      <right/>
      <top/>
      <bottom style="medium">
        <color indexed="64"/>
      </bottom>
      <diagonal/>
    </border>
    <border>
      <left style="double">
        <color indexed="64"/>
      </left>
      <right/>
      <top/>
      <bottom style="thin">
        <color indexed="64"/>
      </bottom>
      <diagonal/>
    </border>
    <border>
      <left style="thin">
        <color theme="1" tint="0.499984740745262"/>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dotted">
        <color indexed="64"/>
      </right>
      <top style="medium">
        <color indexed="64"/>
      </top>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style="thin">
        <color indexed="64"/>
      </top>
      <bottom/>
      <diagonal/>
    </border>
    <border>
      <left style="medium">
        <color indexed="64"/>
      </left>
      <right style="dotted">
        <color indexed="64"/>
      </right>
      <top style="thin">
        <color indexed="64"/>
      </top>
      <bottom style="medium">
        <color indexed="64"/>
      </bottom>
      <diagonal/>
    </border>
    <border>
      <left style="dotted">
        <color indexed="64"/>
      </left>
      <right/>
      <top style="medium">
        <color indexed="64"/>
      </top>
      <bottom style="thin">
        <color indexed="64"/>
      </bottom>
      <diagonal/>
    </border>
    <border>
      <left style="dotted">
        <color indexed="64"/>
      </left>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diagonal/>
    </border>
    <border>
      <left style="medium">
        <color indexed="64"/>
      </left>
      <right style="double">
        <color indexed="64"/>
      </right>
      <top/>
      <bottom style="medium">
        <color indexed="64"/>
      </bottom>
      <diagonal/>
    </border>
    <border>
      <left/>
      <right style="double">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s>
  <cellStyleXfs count="9">
    <xf numFmtId="2" fontId="0" fillId="0" borderId="0"/>
    <xf numFmtId="2" fontId="17" fillId="0" borderId="0" applyNumberFormat="0" applyFill="0" applyBorder="0" applyAlignment="0" applyProtection="0"/>
    <xf numFmtId="2" fontId="5" fillId="0" borderId="0"/>
    <xf numFmtId="0" fontId="3" fillId="0" borderId="0"/>
    <xf numFmtId="0" fontId="17" fillId="0" borderId="0" applyNumberFormat="0" applyFill="0" applyBorder="0" applyAlignment="0" applyProtection="0">
      <alignment vertical="top"/>
      <protection locked="0"/>
    </xf>
    <xf numFmtId="0" fontId="24" fillId="0" borderId="0"/>
    <xf numFmtId="0" fontId="5" fillId="0" borderId="0"/>
    <xf numFmtId="0" fontId="25" fillId="0" borderId="0"/>
    <xf numFmtId="9" fontId="5" fillId="0" borderId="0" applyFont="0" applyFill="0" applyBorder="0" applyAlignment="0" applyProtection="0"/>
  </cellStyleXfs>
  <cellXfs count="395">
    <xf numFmtId="2" fontId="0" fillId="0" borderId="0" xfId="0"/>
    <xf numFmtId="2" fontId="14" fillId="0" borderId="0" xfId="0" applyFont="1"/>
    <xf numFmtId="2" fontId="5" fillId="0" borderId="0" xfId="0" applyFont="1"/>
    <xf numFmtId="2" fontId="6" fillId="4" borderId="6" xfId="0" applyFont="1" applyFill="1" applyBorder="1" applyAlignment="1">
      <alignment horizontal="center"/>
    </xf>
    <xf numFmtId="1" fontId="0" fillId="0" borderId="0" xfId="0" applyNumberFormat="1" applyAlignment="1">
      <alignment horizontal="center" vertical="center"/>
    </xf>
    <xf numFmtId="1" fontId="0" fillId="0" borderId="6" xfId="0" applyNumberFormat="1" applyBorder="1" applyAlignment="1">
      <alignment horizontal="center" vertical="center"/>
    </xf>
    <xf numFmtId="2" fontId="5" fillId="0" borderId="6" xfId="0" applyFont="1" applyBorder="1" applyAlignment="1">
      <alignment horizontal="center" vertical="center"/>
    </xf>
    <xf numFmtId="1" fontId="5" fillId="0" borderId="6" xfId="0" applyNumberFormat="1" applyFont="1" applyBorder="1" applyAlignment="1">
      <alignment horizontal="center" vertical="center"/>
    </xf>
    <xf numFmtId="2" fontId="0" fillId="0" borderId="0" xfId="0" applyAlignment="1">
      <alignment horizontal="center"/>
    </xf>
    <xf numFmtId="165" fontId="0" fillId="0" borderId="0" xfId="0" applyNumberFormat="1"/>
    <xf numFmtId="165" fontId="0" fillId="0" borderId="6" xfId="0" applyNumberFormat="1" applyBorder="1" applyAlignment="1">
      <alignment horizontal="center" vertical="center"/>
    </xf>
    <xf numFmtId="165" fontId="5" fillId="0" borderId="6" xfId="0" applyNumberFormat="1" applyFont="1" applyBorder="1" applyAlignment="1">
      <alignment horizontal="center" vertical="center"/>
    </xf>
    <xf numFmtId="2" fontId="4" fillId="4" borderId="6" xfId="0" applyFont="1" applyFill="1" applyBorder="1" applyAlignment="1">
      <alignment horizontal="center"/>
    </xf>
    <xf numFmtId="2" fontId="5" fillId="0" borderId="6" xfId="0" applyFont="1" applyBorder="1" applyAlignment="1">
      <alignment horizontal="center"/>
    </xf>
    <xf numFmtId="2" fontId="5" fillId="0" borderId="12" xfId="0" applyFont="1" applyBorder="1"/>
    <xf numFmtId="164" fontId="6" fillId="4" borderId="6" xfId="0" applyNumberFormat="1" applyFont="1" applyFill="1" applyBorder="1" applyAlignment="1">
      <alignment horizontal="center"/>
    </xf>
    <xf numFmtId="164" fontId="0" fillId="0" borderId="0" xfId="0" applyNumberFormat="1" applyAlignment="1">
      <alignment horizontal="center"/>
    </xf>
    <xf numFmtId="1" fontId="4" fillId="4" borderId="31" xfId="0" applyNumberFormat="1" applyFont="1" applyFill="1" applyBorder="1" applyAlignment="1">
      <alignment horizontal="center" vertical="center"/>
    </xf>
    <xf numFmtId="1" fontId="4" fillId="4" borderId="32" xfId="0" applyNumberFormat="1" applyFont="1" applyFill="1" applyBorder="1" applyAlignment="1">
      <alignment horizontal="center" vertical="center"/>
    </xf>
    <xf numFmtId="165" fontId="4" fillId="4" borderId="32" xfId="0" applyNumberFormat="1" applyFont="1" applyFill="1" applyBorder="1" applyAlignment="1">
      <alignment horizontal="center" vertical="center"/>
    </xf>
    <xf numFmtId="1" fontId="5" fillId="0" borderId="8" xfId="0" applyNumberFormat="1" applyFont="1" applyBorder="1" applyAlignment="1">
      <alignment horizontal="left" vertical="center"/>
    </xf>
    <xf numFmtId="1" fontId="4" fillId="4" borderId="33" xfId="0" applyNumberFormat="1" applyFont="1" applyFill="1" applyBorder="1" applyAlignment="1">
      <alignment horizontal="left" vertical="center"/>
    </xf>
    <xf numFmtId="2" fontId="14" fillId="0" borderId="0" xfId="0" applyFont="1" applyProtection="1"/>
    <xf numFmtId="2" fontId="5" fillId="0" borderId="0" xfId="0" applyFont="1" applyBorder="1" applyProtection="1"/>
    <xf numFmtId="2" fontId="0" fillId="0" borderId="0" xfId="0" applyProtection="1"/>
    <xf numFmtId="2" fontId="0" fillId="0" borderId="0" xfId="0" applyBorder="1" applyProtection="1"/>
    <xf numFmtId="2" fontId="0" fillId="0" borderId="29" xfId="0" applyBorder="1" applyProtection="1"/>
    <xf numFmtId="2" fontId="0" fillId="0" borderId="15" xfId="0" applyBorder="1" applyProtection="1"/>
    <xf numFmtId="2" fontId="0" fillId="0" borderId="27" xfId="0" applyBorder="1" applyProtection="1"/>
    <xf numFmtId="2" fontId="4" fillId="0" borderId="3" xfId="0" applyFont="1" applyBorder="1" applyAlignment="1" applyProtection="1">
      <alignment horizontal="right"/>
    </xf>
    <xf numFmtId="2" fontId="0" fillId="0" borderId="17" xfId="0" applyBorder="1" applyProtection="1"/>
    <xf numFmtId="2" fontId="0" fillId="0" borderId="3" xfId="0" applyBorder="1" applyProtection="1"/>
    <xf numFmtId="2" fontId="5" fillId="0" borderId="36" xfId="0" applyFont="1" applyFill="1" applyBorder="1" applyAlignment="1" applyProtection="1">
      <alignment horizontal="center"/>
    </xf>
    <xf numFmtId="2" fontId="0" fillId="0" borderId="3" xfId="0" applyBorder="1" applyAlignment="1" applyProtection="1">
      <alignment horizontal="left" indent="1"/>
    </xf>
    <xf numFmtId="2" fontId="0" fillId="0" borderId="34" xfId="0" applyBorder="1" applyProtection="1"/>
    <xf numFmtId="2" fontId="4" fillId="0" borderId="3" xfId="0" applyFont="1" applyBorder="1" applyAlignment="1" applyProtection="1">
      <alignment horizontal="center"/>
    </xf>
    <xf numFmtId="2" fontId="4" fillId="0" borderId="0" xfId="0" applyFont="1" applyBorder="1" applyAlignment="1" applyProtection="1">
      <alignment horizontal="center"/>
    </xf>
    <xf numFmtId="2" fontId="0" fillId="0" borderId="0" xfId="0" applyFill="1" applyBorder="1" applyAlignment="1" applyProtection="1">
      <alignment horizontal="right" vertical="center"/>
    </xf>
    <xf numFmtId="2" fontId="0" fillId="0" borderId="2" xfId="0" applyBorder="1" applyProtection="1"/>
    <xf numFmtId="2" fontId="0" fillId="0" borderId="1" xfId="0" applyBorder="1" applyProtection="1"/>
    <xf numFmtId="2" fontId="0" fillId="0" borderId="28" xfId="0" applyBorder="1" applyProtection="1"/>
    <xf numFmtId="2" fontId="4" fillId="0" borderId="35" xfId="0" applyFont="1" applyBorder="1" applyAlignment="1" applyProtection="1">
      <alignment horizontal="center"/>
    </xf>
    <xf numFmtId="2" fontId="16" fillId="0" borderId="8" xfId="0" applyFont="1" applyBorder="1" applyProtection="1">
      <protection locked="0"/>
    </xf>
    <xf numFmtId="2" fontId="16" fillId="0" borderId="9" xfId="0" applyFont="1" applyBorder="1" applyProtection="1">
      <protection locked="0"/>
    </xf>
    <xf numFmtId="2" fontId="5" fillId="4" borderId="6" xfId="0" applyFont="1" applyFill="1" applyBorder="1" applyProtection="1"/>
    <xf numFmtId="2" fontId="16" fillId="0" borderId="18" xfId="0" applyFont="1" applyBorder="1" applyProtection="1">
      <protection locked="0"/>
    </xf>
    <xf numFmtId="164" fontId="0" fillId="0" borderId="6" xfId="0" applyNumberFormat="1" applyBorder="1" applyAlignment="1">
      <alignment horizontal="center" vertical="center"/>
    </xf>
    <xf numFmtId="2" fontId="5" fillId="0" borderId="6" xfId="0" applyFont="1" applyBorder="1" applyAlignment="1">
      <alignment vertical="center" wrapText="1"/>
    </xf>
    <xf numFmtId="2" fontId="17" fillId="0" borderId="6" xfId="1" applyBorder="1" applyAlignment="1">
      <alignment vertical="center"/>
    </xf>
    <xf numFmtId="164" fontId="5" fillId="0" borderId="6" xfId="0" applyNumberFormat="1" applyFont="1" applyBorder="1" applyAlignment="1" applyProtection="1">
      <alignment horizontal="center" vertical="center"/>
      <protection locked="0"/>
    </xf>
    <xf numFmtId="2" fontId="5" fillId="0" borderId="6" xfId="0" applyFont="1" applyBorder="1" applyAlignment="1" applyProtection="1">
      <alignment vertical="center" wrapText="1"/>
      <protection locked="0"/>
    </xf>
    <xf numFmtId="2" fontId="0" fillId="0" borderId="6" xfId="0" applyBorder="1" applyAlignment="1" applyProtection="1">
      <alignment horizontal="center" vertical="center"/>
      <protection locked="0"/>
    </xf>
    <xf numFmtId="2" fontId="0" fillId="0" borderId="6" xfId="0" applyBorder="1" applyAlignment="1" applyProtection="1">
      <alignment vertical="center"/>
      <protection locked="0"/>
    </xf>
    <xf numFmtId="164" fontId="0" fillId="0" borderId="6" xfId="0" applyNumberFormat="1" applyBorder="1" applyAlignment="1" applyProtection="1">
      <alignment horizontal="center" vertical="center"/>
      <protection locked="0"/>
    </xf>
    <xf numFmtId="2" fontId="0" fillId="0" borderId="6" xfId="0" applyBorder="1" applyAlignment="1" applyProtection="1">
      <alignment vertical="center" wrapText="1"/>
      <protection locked="0"/>
    </xf>
    <xf numFmtId="2" fontId="5" fillId="0" borderId="0" xfId="0" applyFont="1" applyProtection="1"/>
    <xf numFmtId="2" fontId="0" fillId="0" borderId="0" xfId="0" applyAlignment="1" applyProtection="1">
      <alignment horizontal="center" vertical="center"/>
    </xf>
    <xf numFmtId="2" fontId="4" fillId="0" borderId="30" xfId="0" applyNumberFormat="1" applyFont="1" applyBorder="1" applyAlignment="1" applyProtection="1">
      <alignment horizontal="left" indent="1"/>
    </xf>
    <xf numFmtId="2" fontId="0" fillId="0" borderId="30" xfId="0" applyNumberFormat="1" applyBorder="1" applyAlignment="1" applyProtection="1">
      <alignment horizontal="left" indent="1"/>
    </xf>
    <xf numFmtId="2" fontId="0" fillId="0" borderId="41" xfId="0" applyBorder="1" applyAlignment="1" applyProtection="1">
      <alignment horizontal="left" indent="1"/>
    </xf>
    <xf numFmtId="2" fontId="4" fillId="0" borderId="0" xfId="0" applyFont="1" applyBorder="1" applyAlignment="1" applyProtection="1">
      <alignment horizontal="center" wrapText="1"/>
    </xf>
    <xf numFmtId="166" fontId="7" fillId="0" borderId="4" xfId="0" applyNumberFormat="1" applyFont="1" applyBorder="1" applyAlignment="1" applyProtection="1">
      <alignment horizontal="right" indent="3"/>
    </xf>
    <xf numFmtId="2" fontId="14" fillId="0" borderId="0" xfId="0" applyFont="1" applyAlignment="1">
      <alignment horizontal="center"/>
    </xf>
    <xf numFmtId="2" fontId="5" fillId="0" borderId="6" xfId="0" applyFont="1" applyBorder="1"/>
    <xf numFmtId="2" fontId="5" fillId="0" borderId="6" xfId="0" applyFont="1" applyBorder="1" applyAlignment="1" applyProtection="1">
      <alignment horizontal="center" vertical="center"/>
      <protection locked="0"/>
    </xf>
    <xf numFmtId="2" fontId="0" fillId="0" borderId="14" xfId="0" applyBorder="1" applyAlignment="1" applyProtection="1">
      <alignment horizontal="left" indent="2"/>
    </xf>
    <xf numFmtId="2" fontId="0" fillId="0" borderId="12" xfId="0" applyBorder="1" applyAlignment="1" applyProtection="1">
      <alignment horizontal="left" indent="2"/>
    </xf>
    <xf numFmtId="2" fontId="5" fillId="0" borderId="22" xfId="0" applyFont="1" applyBorder="1" applyAlignment="1" applyProtection="1">
      <alignment horizontal="left" indent="2"/>
    </xf>
    <xf numFmtId="2" fontId="0" fillId="0" borderId="22" xfId="0" applyBorder="1" applyAlignment="1" applyProtection="1">
      <alignment horizontal="left" indent="2"/>
    </xf>
    <xf numFmtId="2" fontId="0" fillId="0" borderId="29" xfId="0" applyNumberFormat="1" applyBorder="1" applyAlignment="1" applyProtection="1">
      <alignment horizontal="left" indent="1"/>
    </xf>
    <xf numFmtId="2" fontId="0" fillId="0" borderId="39" xfId="0" applyNumberFormat="1" applyBorder="1" applyAlignment="1" applyProtection="1">
      <alignment horizontal="left" indent="1"/>
    </xf>
    <xf numFmtId="2" fontId="0" fillId="0" borderId="15" xfId="0" applyNumberFormat="1" applyBorder="1" applyProtection="1"/>
    <xf numFmtId="2" fontId="0" fillId="0" borderId="42" xfId="0" applyBorder="1" applyProtection="1"/>
    <xf numFmtId="2" fontId="0" fillId="0" borderId="30" xfId="0" applyBorder="1" applyAlignment="1" applyProtection="1">
      <alignment horizontal="left" indent="1"/>
    </xf>
    <xf numFmtId="2" fontId="5" fillId="0" borderId="30" xfId="0" applyNumberFormat="1" applyFont="1" applyBorder="1" applyAlignment="1" applyProtection="1">
      <alignment horizontal="left" indent="1"/>
    </xf>
    <xf numFmtId="2" fontId="4" fillId="0" borderId="30" xfId="0" applyFont="1" applyBorder="1" applyAlignment="1" applyProtection="1">
      <alignment horizontal="left" indent="1"/>
    </xf>
    <xf numFmtId="2" fontId="4" fillId="0" borderId="17" xfId="0" applyFont="1" applyBorder="1" applyAlignment="1" applyProtection="1">
      <alignment horizontal="center"/>
    </xf>
    <xf numFmtId="165" fontId="0" fillId="0" borderId="0" xfId="0" applyNumberFormat="1" applyBorder="1" applyAlignment="1">
      <alignment horizontal="center"/>
    </xf>
    <xf numFmtId="2" fontId="0" fillId="0" borderId="6" xfId="0" applyBorder="1"/>
    <xf numFmtId="2" fontId="5" fillId="0" borderId="8" xfId="0" applyFont="1" applyBorder="1"/>
    <xf numFmtId="2" fontId="4" fillId="4" borderId="12" xfId="0" applyFont="1" applyFill="1" applyBorder="1"/>
    <xf numFmtId="2" fontId="4" fillId="4" borderId="6" xfId="0" applyFont="1" applyFill="1" applyBorder="1"/>
    <xf numFmtId="2" fontId="4" fillId="4" borderId="8" xfId="0" applyFont="1" applyFill="1" applyBorder="1"/>
    <xf numFmtId="2" fontId="4" fillId="4" borderId="8" xfId="0" applyFont="1" applyFill="1" applyBorder="1" applyAlignment="1">
      <alignment horizontal="center"/>
    </xf>
    <xf numFmtId="2" fontId="4" fillId="0" borderId="0" xfId="0" applyFont="1" applyFill="1" applyBorder="1"/>
    <xf numFmtId="2" fontId="5" fillId="0" borderId="8" xfId="0" applyFont="1" applyBorder="1" applyAlignment="1">
      <alignment horizontal="center"/>
    </xf>
    <xf numFmtId="2" fontId="4" fillId="4" borderId="11" xfId="0" applyFont="1" applyFill="1" applyBorder="1" applyProtection="1"/>
    <xf numFmtId="2" fontId="11" fillId="0" borderId="0" xfId="0" applyFont="1" applyProtection="1"/>
    <xf numFmtId="2" fontId="8" fillId="0" borderId="0" xfId="0" applyFont="1" applyProtection="1"/>
    <xf numFmtId="2" fontId="0" fillId="0" borderId="15" xfId="0" applyBorder="1" applyAlignment="1" applyProtection="1"/>
    <xf numFmtId="2" fontId="0" fillId="0" borderId="0" xfId="0" applyBorder="1" applyAlignment="1" applyProtection="1"/>
    <xf numFmtId="2" fontId="4" fillId="4" borderId="29" xfId="0" applyFont="1" applyFill="1" applyBorder="1" applyAlignment="1" applyProtection="1"/>
    <xf numFmtId="2" fontId="6" fillId="4" borderId="15" xfId="0" applyFont="1" applyFill="1" applyBorder="1" applyAlignment="1" applyProtection="1"/>
    <xf numFmtId="2" fontId="6" fillId="4" borderId="27" xfId="0" applyFont="1" applyFill="1" applyBorder="1" applyAlignment="1" applyProtection="1"/>
    <xf numFmtId="2" fontId="5" fillId="4" borderId="19" xfId="0" applyFont="1" applyFill="1" applyBorder="1" applyAlignment="1" applyProtection="1">
      <alignment horizontal="left"/>
    </xf>
    <xf numFmtId="49" fontId="0" fillId="0" borderId="0" xfId="0" applyNumberFormat="1" applyBorder="1" applyAlignment="1" applyProtection="1">
      <alignment horizontal="left" vertical="top"/>
    </xf>
    <xf numFmtId="2" fontId="0" fillId="0" borderId="0" xfId="0" applyBorder="1" applyAlignment="1" applyProtection="1">
      <alignment horizontal="left" vertical="top" wrapText="1"/>
    </xf>
    <xf numFmtId="2" fontId="0" fillId="0" borderId="0" xfId="0" applyBorder="1" applyAlignment="1" applyProtection="1">
      <alignment horizontal="left" indent="2"/>
    </xf>
    <xf numFmtId="2" fontId="16" fillId="0" borderId="0" xfId="0" applyFont="1" applyBorder="1" applyProtection="1"/>
    <xf numFmtId="2" fontId="14" fillId="0" borderId="0" xfId="2" applyFont="1" applyAlignment="1"/>
    <xf numFmtId="0" fontId="3" fillId="0" borderId="0" xfId="3" applyAlignment="1">
      <alignment horizontal="center"/>
    </xf>
    <xf numFmtId="0" fontId="3" fillId="0" borderId="0" xfId="3" applyAlignment="1"/>
    <xf numFmtId="0" fontId="22" fillId="4" borderId="6" xfId="3" applyFont="1" applyFill="1" applyBorder="1" applyAlignment="1"/>
    <xf numFmtId="0" fontId="23" fillId="0" borderId="0" xfId="1" applyNumberFormat="1" applyFont="1" applyAlignment="1">
      <alignment horizontal="left" vertical="center"/>
    </xf>
    <xf numFmtId="0" fontId="23" fillId="0" borderId="0" xfId="1" applyNumberFormat="1" applyFont="1" applyAlignment="1"/>
    <xf numFmtId="0" fontId="17" fillId="0" borderId="0" xfId="1" applyNumberFormat="1" applyAlignment="1">
      <alignment horizontal="left" vertical="center"/>
    </xf>
    <xf numFmtId="2" fontId="5" fillId="0" borderId="49" xfId="2" applyBorder="1" applyAlignment="1" applyProtection="1">
      <alignment horizontal="left" indent="2"/>
    </xf>
    <xf numFmtId="2" fontId="26" fillId="0" borderId="27" xfId="2" applyFont="1" applyBorder="1" applyProtection="1"/>
    <xf numFmtId="2" fontId="5" fillId="0" borderId="12" xfId="2" applyBorder="1" applyAlignment="1" applyProtection="1">
      <alignment horizontal="left" indent="2"/>
    </xf>
    <xf numFmtId="2" fontId="26" fillId="0" borderId="8" xfId="2" applyFont="1" applyBorder="1" applyProtection="1"/>
    <xf numFmtId="2" fontId="5" fillId="0" borderId="50" xfId="2" applyBorder="1" applyAlignment="1" applyProtection="1">
      <alignment horizontal="left" indent="2"/>
    </xf>
    <xf numFmtId="2" fontId="26" fillId="0" borderId="21" xfId="2" applyFont="1" applyBorder="1" applyProtection="1"/>
    <xf numFmtId="2" fontId="5" fillId="0" borderId="50" xfId="2" applyBorder="1" applyProtection="1"/>
    <xf numFmtId="2" fontId="26" fillId="0" borderId="17" xfId="2" applyFont="1" applyBorder="1" applyProtection="1"/>
    <xf numFmtId="2" fontId="5" fillId="0" borderId="51" xfId="2" applyBorder="1" applyProtection="1"/>
    <xf numFmtId="2" fontId="26" fillId="0" borderId="28" xfId="2" applyFont="1" applyBorder="1" applyAlignment="1" applyProtection="1">
      <alignment vertical="top"/>
    </xf>
    <xf numFmtId="2" fontId="5" fillId="0" borderId="29" xfId="2" applyBorder="1" applyProtection="1"/>
    <xf numFmtId="2" fontId="29" fillId="0" borderId="15" xfId="2" applyFont="1" applyBorder="1" applyAlignment="1" applyProtection="1">
      <alignment horizontal="left" indent="3"/>
    </xf>
    <xf numFmtId="2" fontId="5" fillId="0" borderId="27" xfId="2" applyBorder="1" applyProtection="1"/>
    <xf numFmtId="2" fontId="5" fillId="0" borderId="3" xfId="2" applyBorder="1" applyProtection="1"/>
    <xf numFmtId="2" fontId="29" fillId="0" borderId="0" xfId="2" applyFont="1" applyBorder="1" applyAlignment="1" applyProtection="1">
      <alignment horizontal="left" indent="3"/>
    </xf>
    <xf numFmtId="2" fontId="5" fillId="0" borderId="17" xfId="2" applyBorder="1" applyProtection="1"/>
    <xf numFmtId="2" fontId="5" fillId="0" borderId="2" xfId="2" applyBorder="1" applyProtection="1"/>
    <xf numFmtId="2" fontId="5" fillId="0" borderId="1" xfId="2" applyBorder="1" applyProtection="1"/>
    <xf numFmtId="2" fontId="5" fillId="0" borderId="28" xfId="2" applyBorder="1" applyProtection="1"/>
    <xf numFmtId="2" fontId="5" fillId="0" borderId="31" xfId="0" applyFont="1" applyBorder="1" applyAlignment="1" applyProtection="1">
      <alignment vertical="center"/>
    </xf>
    <xf numFmtId="2" fontId="16" fillId="0" borderId="17" xfId="0" applyFont="1" applyBorder="1" applyAlignment="1" applyProtection="1">
      <alignment horizontal="center" vertical="center"/>
      <protection locked="0"/>
    </xf>
    <xf numFmtId="2" fontId="5" fillId="0" borderId="12" xfId="0" applyFont="1" applyBorder="1" applyAlignment="1" applyProtection="1">
      <alignment vertical="center"/>
    </xf>
    <xf numFmtId="2" fontId="16" fillId="0" borderId="8" xfId="0" applyFont="1" applyBorder="1" applyAlignment="1" applyProtection="1">
      <alignment horizontal="center" vertical="center"/>
    </xf>
    <xf numFmtId="2" fontId="16" fillId="0" borderId="8" xfId="0" applyFont="1" applyBorder="1" applyAlignment="1" applyProtection="1">
      <alignment horizontal="center" vertical="center"/>
      <protection locked="0"/>
    </xf>
    <xf numFmtId="2" fontId="0" fillId="0" borderId="12" xfId="0" applyBorder="1" applyAlignment="1" applyProtection="1">
      <alignment vertical="center"/>
    </xf>
    <xf numFmtId="2" fontId="0" fillId="0" borderId="8" xfId="0" applyBorder="1" applyAlignment="1" applyProtection="1">
      <alignment horizontal="center" vertical="center"/>
    </xf>
    <xf numFmtId="2" fontId="0" fillId="0" borderId="22" xfId="0" applyBorder="1" applyAlignment="1" applyProtection="1">
      <alignment vertical="center"/>
    </xf>
    <xf numFmtId="2" fontId="0" fillId="0" borderId="9" xfId="0" applyBorder="1" applyAlignment="1" applyProtection="1">
      <alignment horizontal="center" vertical="center"/>
    </xf>
    <xf numFmtId="2" fontId="4" fillId="3" borderId="6" xfId="2" applyFont="1" applyFill="1" applyBorder="1" applyProtection="1"/>
    <xf numFmtId="2" fontId="5" fillId="4" borderId="6" xfId="2" applyFont="1" applyFill="1" applyBorder="1" applyAlignment="1" applyProtection="1">
      <alignment horizontal="left"/>
    </xf>
    <xf numFmtId="2" fontId="5" fillId="0" borderId="0" xfId="2" applyProtection="1"/>
    <xf numFmtId="2" fontId="5" fillId="0" borderId="54" xfId="0" applyFont="1" applyBorder="1" applyAlignment="1" applyProtection="1">
      <alignment vertical="center" wrapText="1"/>
    </xf>
    <xf numFmtId="2" fontId="4" fillId="0" borderId="0" xfId="0" applyFont="1" applyBorder="1" applyAlignment="1" applyProtection="1">
      <alignment horizontal="left"/>
    </xf>
    <xf numFmtId="168" fontId="6" fillId="4" borderId="6" xfId="0" applyNumberFormat="1" applyFont="1" applyFill="1" applyBorder="1" applyAlignment="1">
      <alignment horizontal="center"/>
    </xf>
    <xf numFmtId="168" fontId="5" fillId="0" borderId="6" xfId="0" quotePrefix="1" applyNumberFormat="1" applyFont="1" applyBorder="1" applyAlignment="1">
      <alignment horizontal="center" vertical="center"/>
    </xf>
    <xf numFmtId="168" fontId="0" fillId="0" borderId="6" xfId="0" applyNumberFormat="1" applyBorder="1" applyAlignment="1" applyProtection="1">
      <alignment horizontal="center" vertical="center"/>
      <protection locked="0"/>
    </xf>
    <xf numFmtId="168" fontId="0" fillId="0" borderId="0" xfId="0" applyNumberFormat="1" applyAlignment="1">
      <alignment horizontal="center"/>
    </xf>
    <xf numFmtId="2" fontId="5" fillId="0" borderId="53" xfId="0" applyFont="1" applyBorder="1" applyAlignment="1" applyProtection="1">
      <alignment vertical="center"/>
    </xf>
    <xf numFmtId="2" fontId="5" fillId="0" borderId="23" xfId="0" applyFont="1" applyBorder="1" applyAlignment="1" applyProtection="1">
      <alignment horizontal="left" vertical="center"/>
    </xf>
    <xf numFmtId="2" fontId="0" fillId="0" borderId="24" xfId="0" applyBorder="1" applyAlignment="1" applyProtection="1">
      <alignment horizontal="left" vertical="center"/>
    </xf>
    <xf numFmtId="2" fontId="5" fillId="0" borderId="20" xfId="0" applyFont="1" applyBorder="1" applyAlignment="1" applyProtection="1">
      <alignment horizontal="left" vertical="center"/>
    </xf>
    <xf numFmtId="2" fontId="5" fillId="0" borderId="54" xfId="0" applyFont="1" applyBorder="1" applyAlignment="1" applyProtection="1">
      <alignment vertical="center"/>
    </xf>
    <xf numFmtId="2" fontId="5" fillId="0" borderId="20" xfId="0" applyFont="1" applyBorder="1" applyAlignment="1" applyProtection="1">
      <alignment horizontal="left" vertical="center" wrapText="1"/>
    </xf>
    <xf numFmtId="2" fontId="0" fillId="0" borderId="21" xfId="0" applyBorder="1" applyAlignment="1" applyProtection="1">
      <alignment horizontal="left" vertical="center" wrapText="1"/>
    </xf>
    <xf numFmtId="2" fontId="5" fillId="0" borderId="55" xfId="0" applyFont="1" applyBorder="1" applyAlignment="1" applyProtection="1">
      <alignment vertical="center"/>
    </xf>
    <xf numFmtId="2" fontId="28" fillId="0" borderId="15" xfId="2" applyFont="1" applyBorder="1" applyProtection="1"/>
    <xf numFmtId="2" fontId="28" fillId="0" borderId="0" xfId="2" applyFont="1" applyBorder="1" applyProtection="1"/>
    <xf numFmtId="2" fontId="32" fillId="0" borderId="15" xfId="2" applyFont="1" applyBorder="1" applyProtection="1"/>
    <xf numFmtId="2" fontId="32" fillId="0" borderId="0" xfId="2" applyFont="1" applyBorder="1" applyProtection="1"/>
    <xf numFmtId="2" fontId="5" fillId="0" borderId="6" xfId="0" applyFont="1" applyFill="1" applyBorder="1" applyAlignment="1">
      <alignment horizontal="center"/>
    </xf>
    <xf numFmtId="2" fontId="0" fillId="0" borderId="6" xfId="0" applyFill="1" applyBorder="1" applyAlignment="1">
      <alignment horizontal="center"/>
    </xf>
    <xf numFmtId="0" fontId="14" fillId="0" borderId="0" xfId="6" applyFont="1" applyProtection="1"/>
    <xf numFmtId="2" fontId="4" fillId="4" borderId="37" xfId="0" applyFont="1" applyFill="1" applyBorder="1" applyProtection="1"/>
    <xf numFmtId="2" fontId="4" fillId="4" borderId="59" xfId="0" applyFont="1" applyFill="1" applyBorder="1" applyAlignment="1" applyProtection="1">
      <alignment horizontal="center"/>
    </xf>
    <xf numFmtId="2" fontId="4" fillId="4" borderId="60" xfId="0" applyFont="1" applyFill="1" applyBorder="1" applyAlignment="1" applyProtection="1">
      <alignment horizontal="center"/>
    </xf>
    <xf numFmtId="2" fontId="4" fillId="4" borderId="38" xfId="0" applyFont="1" applyFill="1" applyBorder="1" applyAlignment="1" applyProtection="1">
      <alignment horizontal="center"/>
    </xf>
    <xf numFmtId="4" fontId="26" fillId="0" borderId="62" xfId="0" applyNumberFormat="1" applyFont="1" applyFill="1" applyBorder="1" applyAlignment="1" applyProtection="1">
      <alignment horizontal="right"/>
    </xf>
    <xf numFmtId="2" fontId="5" fillId="0" borderId="0" xfId="0" applyFont="1" applyFill="1" applyBorder="1" applyProtection="1"/>
    <xf numFmtId="2" fontId="7" fillId="0" borderId="0" xfId="0" applyNumberFormat="1" applyFont="1" applyFill="1" applyBorder="1" applyAlignment="1" applyProtection="1">
      <alignment horizontal="left"/>
    </xf>
    <xf numFmtId="2" fontId="26" fillId="0" borderId="61" xfId="0" applyFont="1" applyFill="1" applyBorder="1" applyAlignment="1" applyProtection="1"/>
    <xf numFmtId="2" fontId="31" fillId="0" borderId="37" xfId="0" applyFont="1" applyFill="1" applyBorder="1" applyAlignment="1" applyProtection="1"/>
    <xf numFmtId="4" fontId="31" fillId="0" borderId="60" xfId="0" applyNumberFormat="1" applyFont="1" applyFill="1" applyBorder="1" applyAlignment="1" applyProtection="1">
      <alignment horizontal="right"/>
    </xf>
    <xf numFmtId="4" fontId="31" fillId="0" borderId="38" xfId="0" applyNumberFormat="1" applyFont="1" applyFill="1" applyBorder="1" applyAlignment="1" applyProtection="1">
      <alignment horizontal="right"/>
    </xf>
    <xf numFmtId="167" fontId="7" fillId="0" borderId="4" xfId="0" applyNumberFormat="1" applyFont="1" applyBorder="1" applyAlignment="1" applyProtection="1">
      <alignment horizontal="right" indent="6"/>
    </xf>
    <xf numFmtId="4" fontId="4" fillId="0" borderId="4" xfId="0" applyNumberFormat="1" applyFont="1" applyBorder="1" applyAlignment="1" applyProtection="1">
      <alignment horizontal="right" indent="7"/>
    </xf>
    <xf numFmtId="164" fontId="4" fillId="0" borderId="4" xfId="0" applyNumberFormat="1" applyFont="1" applyBorder="1" applyAlignment="1" applyProtection="1">
      <alignment horizontal="right" indent="7"/>
    </xf>
    <xf numFmtId="167" fontId="4" fillId="0" borderId="0" xfId="0" applyNumberFormat="1" applyFont="1" applyBorder="1" applyAlignment="1" applyProtection="1">
      <alignment horizontal="right" indent="8"/>
    </xf>
    <xf numFmtId="164" fontId="4" fillId="0" borderId="4" xfId="0" applyNumberFormat="1" applyFont="1" applyBorder="1" applyAlignment="1" applyProtection="1">
      <alignment horizontal="right" indent="8"/>
    </xf>
    <xf numFmtId="2" fontId="4" fillId="0" borderId="3" xfId="0" applyNumberFormat="1" applyFont="1" applyBorder="1" applyAlignment="1" applyProtection="1">
      <alignment horizontal="left" indent="3"/>
    </xf>
    <xf numFmtId="2" fontId="0" fillId="0" borderId="3" xfId="0" applyBorder="1" applyAlignment="1" applyProtection="1">
      <alignment horizontal="left" indent="3"/>
    </xf>
    <xf numFmtId="2" fontId="0" fillId="0" borderId="3" xfId="0" applyNumberFormat="1" applyBorder="1" applyAlignment="1" applyProtection="1">
      <alignment horizontal="left" indent="3"/>
    </xf>
    <xf numFmtId="2" fontId="5" fillId="0" borderId="3" xfId="0" applyNumberFormat="1" applyFont="1" applyBorder="1" applyAlignment="1" applyProtection="1">
      <alignment horizontal="left" indent="3"/>
    </xf>
    <xf numFmtId="2" fontId="4" fillId="0" borderId="3" xfId="0" applyFont="1" applyBorder="1" applyAlignment="1" applyProtection="1">
      <alignment horizontal="left" indent="3"/>
    </xf>
    <xf numFmtId="164" fontId="4" fillId="0" borderId="17" xfId="2" applyNumberFormat="1" applyFont="1" applyFill="1" applyBorder="1" applyAlignment="1" applyProtection="1">
      <alignment horizontal="right" indent="8"/>
    </xf>
    <xf numFmtId="164" fontId="5" fillId="0" borderId="17" xfId="2" applyNumberFormat="1" applyFont="1" applyFill="1" applyBorder="1" applyAlignment="1" applyProtection="1">
      <alignment horizontal="right" indent="8"/>
    </xf>
    <xf numFmtId="167" fontId="4" fillId="0" borderId="4" xfId="0" applyNumberFormat="1" applyFont="1" applyBorder="1" applyAlignment="1" applyProtection="1">
      <alignment horizontal="right" indent="7"/>
    </xf>
    <xf numFmtId="2" fontId="4" fillId="0" borderId="0" xfId="0" applyFont="1" applyBorder="1" applyProtection="1"/>
    <xf numFmtId="2" fontId="0" fillId="0" borderId="0" xfId="0" applyFill="1" applyBorder="1" applyAlignment="1" applyProtection="1">
      <alignment horizontal="center"/>
    </xf>
    <xf numFmtId="2" fontId="0" fillId="0" borderId="0" xfId="0" applyAlignment="1" applyProtection="1">
      <alignment horizontal="center"/>
    </xf>
    <xf numFmtId="2" fontId="0" fillId="0" borderId="0" xfId="0" applyBorder="1" applyAlignment="1" applyProtection="1">
      <alignment horizontal="center"/>
    </xf>
    <xf numFmtId="164" fontId="4" fillId="0" borderId="0" xfId="2" applyNumberFormat="1" applyFont="1" applyFill="1" applyBorder="1" applyAlignment="1" applyProtection="1">
      <alignment horizontal="center"/>
    </xf>
    <xf numFmtId="164" fontId="5" fillId="0" borderId="0" xfId="2" applyNumberFormat="1" applyFont="1" applyFill="1" applyBorder="1" applyAlignment="1" applyProtection="1">
      <alignment horizontal="center"/>
    </xf>
    <xf numFmtId="164" fontId="4" fillId="0" borderId="0" xfId="2" applyNumberFormat="1" applyFont="1" applyFill="1" applyBorder="1" applyAlignment="1" applyProtection="1">
      <alignment horizontal="right" indent="3"/>
    </xf>
    <xf numFmtId="164" fontId="5" fillId="0" borderId="0" xfId="2" applyNumberFormat="1" applyFont="1" applyFill="1" applyBorder="1" applyAlignment="1" applyProtection="1">
      <alignment horizontal="right" indent="3"/>
    </xf>
    <xf numFmtId="2" fontId="4" fillId="0" borderId="0" xfId="0" applyFont="1" applyFill="1" applyBorder="1" applyAlignment="1" applyProtection="1">
      <alignment horizontal="right" vertical="center"/>
    </xf>
    <xf numFmtId="167" fontId="7" fillId="0" borderId="67" xfId="0" applyNumberFormat="1" applyFont="1" applyBorder="1" applyAlignment="1" applyProtection="1">
      <alignment horizontal="right" indent="3"/>
    </xf>
    <xf numFmtId="166" fontId="7" fillId="0" borderId="67" xfId="0" applyNumberFormat="1" applyFont="1" applyBorder="1" applyAlignment="1" applyProtection="1">
      <alignment horizontal="right" indent="3"/>
    </xf>
    <xf numFmtId="2" fontId="0" fillId="0" borderId="31" xfId="0" applyBorder="1" applyAlignment="1" applyProtection="1">
      <alignment horizontal="left" indent="2"/>
    </xf>
    <xf numFmtId="2" fontId="16" fillId="0" borderId="33" xfId="0" applyFont="1" applyBorder="1" applyProtection="1">
      <protection locked="0"/>
    </xf>
    <xf numFmtId="1" fontId="16" fillId="0" borderId="9" xfId="0" applyNumberFormat="1" applyFont="1" applyBorder="1" applyAlignment="1" applyProtection="1">
      <alignment horizontal="left"/>
      <protection locked="0"/>
    </xf>
    <xf numFmtId="2" fontId="0" fillId="0" borderId="6" xfId="0" applyBorder="1" applyAlignment="1">
      <alignment horizontal="center"/>
    </xf>
    <xf numFmtId="2" fontId="5" fillId="0" borderId="52" xfId="0" applyFont="1" applyFill="1" applyBorder="1" applyAlignment="1" applyProtection="1">
      <alignment horizontal="left" vertical="center" wrapText="1"/>
    </xf>
    <xf numFmtId="2" fontId="5" fillId="0" borderId="53" xfId="0" applyFont="1" applyFill="1" applyBorder="1" applyAlignment="1" applyProtection="1">
      <alignment horizontal="left" vertical="center" wrapText="1"/>
    </xf>
    <xf numFmtId="2" fontId="5" fillId="0" borderId="54" xfId="0" applyFont="1" applyFill="1" applyBorder="1" applyAlignment="1" applyProtection="1">
      <alignment vertical="center" wrapText="1"/>
    </xf>
    <xf numFmtId="168" fontId="5" fillId="0" borderId="6" xfId="0" quotePrefix="1" applyNumberFormat="1" applyFont="1" applyBorder="1" applyAlignment="1" applyProtection="1">
      <alignment horizontal="center" vertical="center"/>
      <protection locked="0"/>
    </xf>
    <xf numFmtId="2" fontId="5" fillId="4" borderId="11" xfId="0" applyFont="1" applyFill="1" applyBorder="1" applyAlignment="1" applyProtection="1">
      <alignment horizontal="left"/>
    </xf>
    <xf numFmtId="2" fontId="5" fillId="4" borderId="10" xfId="0" applyFont="1" applyFill="1" applyBorder="1" applyAlignment="1" applyProtection="1">
      <alignment horizontal="left"/>
    </xf>
    <xf numFmtId="2" fontId="4" fillId="0" borderId="0" xfId="0" applyFont="1" applyAlignment="1" applyProtection="1">
      <alignment vertical="center" wrapText="1"/>
    </xf>
    <xf numFmtId="2" fontId="5" fillId="0" borderId="0" xfId="0" applyFont="1" applyAlignment="1" applyProtection="1">
      <alignment vertical="center" wrapText="1"/>
    </xf>
    <xf numFmtId="2" fontId="5" fillId="0" borderId="0" xfId="0" quotePrefix="1" applyFont="1" applyAlignment="1" applyProtection="1">
      <alignment horizontal="right" vertical="top"/>
    </xf>
    <xf numFmtId="2" fontId="5" fillId="0" borderId="0" xfId="0" applyFont="1" applyAlignment="1" applyProtection="1">
      <alignment horizontal="left" vertical="center" wrapText="1" indent="1"/>
    </xf>
    <xf numFmtId="2" fontId="17" fillId="0" borderId="0" xfId="1" applyFont="1" applyAlignment="1" applyProtection="1">
      <alignment vertical="center" wrapText="1"/>
    </xf>
    <xf numFmtId="2" fontId="5" fillId="0" borderId="0" xfId="0" applyFont="1" applyAlignment="1" applyProtection="1">
      <alignment horizontal="left" vertical="top" wrapText="1" indent="1"/>
    </xf>
    <xf numFmtId="2" fontId="5" fillId="0" borderId="0" xfId="0" applyFont="1" applyAlignment="1" applyProtection="1">
      <alignment wrapText="1"/>
    </xf>
    <xf numFmtId="2" fontId="26" fillId="0" borderId="6" xfId="0" applyFont="1" applyBorder="1" applyProtection="1"/>
    <xf numFmtId="2" fontId="26" fillId="0" borderId="8" xfId="0" applyFont="1" applyBorder="1" applyProtection="1"/>
    <xf numFmtId="168" fontId="0" fillId="0" borderId="6" xfId="0" quotePrefix="1" applyNumberFormat="1" applyBorder="1" applyAlignment="1" applyProtection="1">
      <alignment horizontal="center" vertical="center"/>
      <protection locked="0"/>
    </xf>
    <xf numFmtId="0" fontId="22" fillId="4" borderId="6" xfId="3" applyFont="1" applyFill="1" applyBorder="1" applyAlignment="1">
      <alignment horizontal="center"/>
    </xf>
    <xf numFmtId="2" fontId="5" fillId="0" borderId="6" xfId="0" applyFont="1" applyBorder="1" applyAlignment="1">
      <alignment horizontal="center" vertical="center" wrapText="1"/>
    </xf>
    <xf numFmtId="2" fontId="4" fillId="3" borderId="6" xfId="0" applyFont="1" applyFill="1" applyBorder="1" applyProtection="1"/>
    <xf numFmtId="1" fontId="5" fillId="0" borderId="16" xfId="0" applyNumberFormat="1" applyFont="1" applyFill="1" applyBorder="1" applyAlignment="1">
      <alignment horizontal="center" vertical="center"/>
    </xf>
    <xf numFmtId="165" fontId="5" fillId="0" borderId="16" xfId="0" applyNumberFormat="1" applyFont="1" applyFill="1" applyBorder="1" applyAlignment="1">
      <alignment horizontal="center" vertical="center"/>
    </xf>
    <xf numFmtId="1" fontId="5" fillId="0" borderId="18" xfId="0" applyNumberFormat="1" applyFont="1" applyFill="1" applyBorder="1" applyAlignment="1">
      <alignment horizontal="left" vertical="center"/>
    </xf>
    <xf numFmtId="1" fontId="5" fillId="0" borderId="14" xfId="0" applyNumberFormat="1" applyFont="1" applyFill="1" applyBorder="1" applyAlignment="1">
      <alignment horizontal="left" vertical="center"/>
    </xf>
    <xf numFmtId="2" fontId="17" fillId="0" borderId="0" xfId="1" applyProtection="1"/>
    <xf numFmtId="0" fontId="2" fillId="0" borderId="0" xfId="3" applyFont="1" applyAlignment="1">
      <alignment horizontal="left" vertical="center"/>
    </xf>
    <xf numFmtId="0" fontId="2" fillId="0" borderId="0" xfId="3" applyFont="1" applyAlignment="1"/>
    <xf numFmtId="0" fontId="2" fillId="0" borderId="0" xfId="3" applyFont="1" applyAlignment="1">
      <alignment horizontal="center"/>
    </xf>
    <xf numFmtId="2" fontId="0" fillId="4" borderId="6" xfId="0" applyFill="1" applyBorder="1" applyProtection="1"/>
    <xf numFmtId="2" fontId="5" fillId="0" borderId="6" xfId="0" applyFont="1" applyFill="1" applyBorder="1" applyProtection="1"/>
    <xf numFmtId="2" fontId="4" fillId="0" borderId="0" xfId="0" applyFont="1" applyFill="1" applyBorder="1" applyAlignment="1" applyProtection="1">
      <alignment horizontal="left"/>
    </xf>
    <xf numFmtId="2" fontId="0" fillId="0" borderId="0" xfId="0" applyFill="1" applyBorder="1" applyAlignment="1" applyProtection="1">
      <alignment vertical="center" wrapText="1"/>
    </xf>
    <xf numFmtId="2" fontId="26" fillId="0" borderId="14" xfId="0" applyFont="1" applyFill="1" applyBorder="1" applyAlignment="1" applyProtection="1"/>
    <xf numFmtId="2" fontId="26" fillId="0" borderId="16" xfId="0" applyFont="1" applyBorder="1" applyProtection="1"/>
    <xf numFmtId="2" fontId="26" fillId="0" borderId="18" xfId="0" applyFont="1" applyBorder="1" applyProtection="1"/>
    <xf numFmtId="0" fontId="16" fillId="0" borderId="8" xfId="0" applyNumberFormat="1" applyFont="1" applyBorder="1" applyProtection="1">
      <protection locked="0"/>
    </xf>
    <xf numFmtId="2" fontId="4" fillId="0" borderId="0" xfId="0" applyFont="1" applyFill="1" applyBorder="1" applyAlignment="1">
      <alignment horizontal="center"/>
    </xf>
    <xf numFmtId="4" fontId="0" fillId="0" borderId="6" xfId="0" applyNumberFormat="1" applyBorder="1" applyAlignment="1">
      <alignment horizontal="center"/>
    </xf>
    <xf numFmtId="2" fontId="5" fillId="0" borderId="12" xfId="0" applyFont="1" applyFill="1" applyBorder="1"/>
    <xf numFmtId="2" fontId="5" fillId="0" borderId="24" xfId="0" applyFont="1" applyBorder="1"/>
    <xf numFmtId="2" fontId="5" fillId="0" borderId="47" xfId="0" applyFont="1" applyBorder="1"/>
    <xf numFmtId="2" fontId="4" fillId="4" borderId="46" xfId="0" applyFont="1" applyFill="1" applyBorder="1" applyAlignment="1">
      <alignment horizontal="center"/>
    </xf>
    <xf numFmtId="2" fontId="4" fillId="4" borderId="8" xfId="0" applyFont="1" applyFill="1" applyBorder="1" applyAlignment="1">
      <alignment horizontal="left"/>
    </xf>
    <xf numFmtId="2" fontId="4" fillId="4" borderId="16" xfId="0" applyFont="1" applyFill="1" applyBorder="1"/>
    <xf numFmtId="2" fontId="4" fillId="4" borderId="75" xfId="0" applyFont="1" applyFill="1" applyBorder="1"/>
    <xf numFmtId="2" fontId="5" fillId="0" borderId="12" xfId="0" applyFont="1" applyFill="1" applyBorder="1" applyAlignment="1" applyProtection="1">
      <alignment vertical="center" wrapText="1"/>
    </xf>
    <xf numFmtId="2" fontId="5" fillId="0" borderId="12" xfId="0" applyFont="1" applyBorder="1" applyAlignment="1" applyProtection="1">
      <alignment vertical="center" wrapText="1"/>
    </xf>
    <xf numFmtId="2" fontId="26" fillId="0" borderId="8" xfId="0" applyFont="1" applyBorder="1" applyAlignment="1" applyProtection="1">
      <alignment horizontal="center" vertical="center"/>
    </xf>
    <xf numFmtId="2" fontId="5" fillId="0" borderId="22" xfId="0" applyFont="1" applyFill="1" applyBorder="1" applyAlignment="1" applyProtection="1">
      <alignment vertical="center" wrapText="1"/>
    </xf>
    <xf numFmtId="2" fontId="26" fillId="0" borderId="9" xfId="0" applyFont="1" applyFill="1" applyBorder="1" applyAlignment="1" applyProtection="1">
      <alignment horizontal="center" vertical="center"/>
    </xf>
    <xf numFmtId="2" fontId="0" fillId="0" borderId="0" xfId="0" applyAlignment="1" applyProtection="1">
      <alignment vertical="center"/>
    </xf>
    <xf numFmtId="2" fontId="5" fillId="4" borderId="73" xfId="0" applyFont="1" applyFill="1" applyBorder="1" applyAlignment="1" applyProtection="1">
      <alignment horizontal="center" vertical="center"/>
    </xf>
    <xf numFmtId="2" fontId="5" fillId="4" borderId="72" xfId="0" applyFont="1" applyFill="1" applyBorder="1" applyAlignment="1" applyProtection="1">
      <alignment horizontal="center" vertical="center"/>
    </xf>
    <xf numFmtId="2" fontId="4" fillId="3" borderId="71" xfId="0" applyFont="1" applyFill="1" applyBorder="1" applyAlignment="1" applyProtection="1">
      <alignment horizontal="center" vertical="center"/>
    </xf>
    <xf numFmtId="2" fontId="0" fillId="4" borderId="74" xfId="0" applyFill="1" applyBorder="1" applyAlignment="1" applyProtection="1">
      <alignment horizontal="center" vertical="center"/>
    </xf>
    <xf numFmtId="2" fontId="0" fillId="0" borderId="0" xfId="0" applyFill="1"/>
    <xf numFmtId="2" fontId="4" fillId="3" borderId="76" xfId="0" applyFont="1" applyFill="1" applyBorder="1"/>
    <xf numFmtId="2" fontId="4" fillId="3" borderId="20" xfId="0" applyFont="1" applyFill="1" applyBorder="1" applyAlignment="1">
      <alignment horizontal="center"/>
    </xf>
    <xf numFmtId="2" fontId="4" fillId="3" borderId="58" xfId="0" applyFont="1" applyFill="1" applyBorder="1"/>
    <xf numFmtId="2" fontId="4" fillId="4" borderId="16" xfId="0" applyFont="1" applyFill="1" applyBorder="1" applyAlignment="1">
      <alignment horizontal="center"/>
    </xf>
    <xf numFmtId="2" fontId="4" fillId="4" borderId="75" xfId="0" applyFont="1" applyFill="1" applyBorder="1" applyAlignment="1">
      <alignment horizontal="center"/>
    </xf>
    <xf numFmtId="2" fontId="5" fillId="0" borderId="12" xfId="0" applyFont="1" applyFill="1" applyBorder="1" applyAlignment="1" applyProtection="1">
      <alignment horizontal="left" vertical="center" wrapText="1" indent="2"/>
    </xf>
    <xf numFmtId="2" fontId="5" fillId="0" borderId="22" xfId="0" applyFont="1" applyFill="1" applyBorder="1" applyAlignment="1" applyProtection="1">
      <alignment horizontal="left" vertical="center" wrapText="1" indent="2"/>
    </xf>
    <xf numFmtId="2" fontId="26" fillId="0" borderId="9" xfId="0" applyFont="1" applyBorder="1" applyAlignment="1" applyProtection="1">
      <alignment horizontal="center" vertical="center"/>
    </xf>
    <xf numFmtId="2" fontId="5" fillId="0" borderId="0" xfId="0" applyFont="1" applyAlignment="1" applyProtection="1">
      <alignment horizontal="left" vertical="center" wrapText="1"/>
    </xf>
    <xf numFmtId="2" fontId="0" fillId="0" borderId="20" xfId="0" applyBorder="1" applyAlignment="1" applyProtection="1">
      <alignment horizontal="left" vertical="center"/>
    </xf>
    <xf numFmtId="2" fontId="0" fillId="0" borderId="21" xfId="0" applyBorder="1" applyAlignment="1" applyProtection="1">
      <alignment horizontal="left" vertical="center"/>
    </xf>
    <xf numFmtId="2" fontId="15" fillId="0" borderId="0" xfId="0" applyFont="1" applyAlignment="1" applyProtection="1">
      <alignment horizontal="left" vertical="top"/>
    </xf>
    <xf numFmtId="2" fontId="4" fillId="0" borderId="4" xfId="0" applyFont="1" applyBorder="1" applyAlignment="1" applyProtection="1">
      <alignment horizontal="center"/>
    </xf>
    <xf numFmtId="3" fontId="0" fillId="0" borderId="6" xfId="0" applyNumberFormat="1" applyBorder="1" applyAlignment="1">
      <alignment horizontal="center"/>
    </xf>
    <xf numFmtId="2" fontId="16" fillId="0" borderId="8" xfId="0" applyFont="1" applyFill="1" applyBorder="1" applyAlignment="1" applyProtection="1">
      <alignment horizontal="center" vertical="center"/>
      <protection locked="0"/>
    </xf>
    <xf numFmtId="0" fontId="1" fillId="0" borderId="0" xfId="3" applyFont="1" applyAlignment="1"/>
    <xf numFmtId="2" fontId="17" fillId="0" borderId="6" xfId="1" applyBorder="1" applyAlignment="1">
      <alignment horizontal="center" vertical="center"/>
    </xf>
    <xf numFmtId="2" fontId="4" fillId="0" borderId="0" xfId="0" applyFont="1" applyAlignment="1" applyProtection="1">
      <alignment horizontal="left" vertical="center" wrapText="1"/>
    </xf>
    <xf numFmtId="2" fontId="14" fillId="0" borderId="0" xfId="0" applyFont="1" applyAlignment="1" applyProtection="1">
      <alignment horizontal="left" vertical="center" wrapText="1"/>
    </xf>
    <xf numFmtId="2" fontId="29" fillId="0" borderId="0" xfId="0" applyFont="1" applyAlignment="1" applyProtection="1">
      <alignment horizontal="left" vertical="center" wrapText="1"/>
    </xf>
    <xf numFmtId="2" fontId="5" fillId="0" borderId="0" xfId="0" applyFont="1" applyAlignment="1" applyProtection="1">
      <alignment horizontal="left" vertical="center" wrapText="1"/>
    </xf>
    <xf numFmtId="2" fontId="17" fillId="0" borderId="0" xfId="1" applyAlignment="1" applyProtection="1">
      <alignment horizontal="left" vertical="center" wrapText="1"/>
    </xf>
    <xf numFmtId="2" fontId="5" fillId="0" borderId="0" xfId="0" applyFont="1" applyAlignment="1" applyProtection="1">
      <alignment horizontal="left" wrapText="1"/>
    </xf>
    <xf numFmtId="2" fontId="0" fillId="0" borderId="25" xfId="0" applyBorder="1" applyAlignment="1" applyProtection="1">
      <alignment horizontal="left" vertical="center"/>
    </xf>
    <xf numFmtId="2" fontId="0" fillId="0" borderId="26" xfId="0" applyBorder="1" applyAlignment="1" applyProtection="1">
      <alignment horizontal="left" vertical="center"/>
    </xf>
    <xf numFmtId="2" fontId="5" fillId="0" borderId="68" xfId="0" applyFont="1" applyBorder="1" applyAlignment="1" applyProtection="1">
      <alignment horizontal="left" vertical="top" wrapText="1"/>
    </xf>
    <xf numFmtId="2" fontId="5" fillId="0" borderId="45" xfId="0" applyFont="1" applyBorder="1" applyAlignment="1" applyProtection="1">
      <alignment horizontal="left" vertical="top" wrapText="1"/>
    </xf>
    <xf numFmtId="2" fontId="5" fillId="0" borderId="46" xfId="0" applyFont="1" applyBorder="1" applyAlignment="1" applyProtection="1">
      <alignment horizontal="left" vertical="top" wrapText="1"/>
    </xf>
    <xf numFmtId="2" fontId="5" fillId="0" borderId="24" xfId="0" applyFont="1" applyBorder="1" applyAlignment="1" applyProtection="1">
      <alignment horizontal="left" vertical="top" wrapText="1"/>
    </xf>
    <xf numFmtId="2" fontId="0" fillId="0" borderId="20" xfId="0" applyBorder="1" applyAlignment="1" applyProtection="1">
      <alignment horizontal="left" vertical="center"/>
    </xf>
    <xf numFmtId="2" fontId="0" fillId="0" borderId="21" xfId="0" applyBorder="1" applyAlignment="1" applyProtection="1">
      <alignment horizontal="left" vertical="center"/>
    </xf>
    <xf numFmtId="2" fontId="5" fillId="0" borderId="46" xfId="0" applyFont="1" applyFill="1" applyBorder="1" applyAlignment="1" applyProtection="1">
      <alignment horizontal="left" vertical="top" wrapText="1"/>
    </xf>
    <xf numFmtId="2" fontId="5" fillId="0" borderId="24" xfId="0" applyFont="1" applyFill="1" applyBorder="1" applyAlignment="1" applyProtection="1">
      <alignment horizontal="left" vertical="top" wrapText="1"/>
    </xf>
    <xf numFmtId="2" fontId="5" fillId="0" borderId="63" xfId="0" applyFont="1" applyBorder="1" applyAlignment="1" applyProtection="1">
      <alignment horizontal="left" vertical="top" wrapText="1"/>
    </xf>
    <xf numFmtId="2" fontId="5" fillId="0" borderId="26" xfId="0" applyFont="1" applyBorder="1" applyAlignment="1" applyProtection="1">
      <alignment horizontal="left" vertical="top" wrapText="1"/>
    </xf>
    <xf numFmtId="2" fontId="17" fillId="0" borderId="46" xfId="1" applyBorder="1" applyAlignment="1" applyProtection="1">
      <alignment horizontal="center" vertical="center" wrapText="1"/>
    </xf>
    <xf numFmtId="2" fontId="0" fillId="0" borderId="24" xfId="0" applyBorder="1" applyAlignment="1" applyProtection="1">
      <alignment horizontal="center" vertical="center" wrapText="1"/>
    </xf>
    <xf numFmtId="49" fontId="5" fillId="0" borderId="31" xfId="0" applyNumberFormat="1" applyFont="1" applyBorder="1" applyAlignment="1" applyProtection="1">
      <alignment horizontal="left" vertical="top"/>
    </xf>
    <xf numFmtId="49" fontId="5" fillId="0" borderId="32" xfId="0" applyNumberFormat="1" applyFont="1" applyBorder="1" applyAlignment="1" applyProtection="1">
      <alignment horizontal="left" vertical="top"/>
    </xf>
    <xf numFmtId="49" fontId="5" fillId="0" borderId="12" xfId="0" applyNumberFormat="1" applyFont="1" applyBorder="1" applyAlignment="1" applyProtection="1">
      <alignment horizontal="left" vertical="top"/>
    </xf>
    <xf numFmtId="49" fontId="5" fillId="0" borderId="6" xfId="0" applyNumberFormat="1" applyFont="1" applyBorder="1" applyAlignment="1" applyProtection="1">
      <alignment horizontal="left" vertical="top"/>
    </xf>
    <xf numFmtId="49" fontId="5" fillId="0" borderId="22" xfId="0" applyNumberFormat="1" applyFont="1" applyBorder="1" applyAlignment="1" applyProtection="1">
      <alignment horizontal="left" vertical="top"/>
    </xf>
    <xf numFmtId="49" fontId="5" fillId="0" borderId="7" xfId="0" applyNumberFormat="1" applyFont="1" applyBorder="1" applyAlignment="1" applyProtection="1">
      <alignment horizontal="left" vertical="top"/>
    </xf>
    <xf numFmtId="49" fontId="5" fillId="0" borderId="69" xfId="0" applyNumberFormat="1" applyFont="1" applyBorder="1" applyAlignment="1" applyProtection="1">
      <alignment horizontal="left" vertical="top"/>
    </xf>
    <xf numFmtId="49" fontId="5" fillId="0" borderId="58" xfId="0" applyNumberFormat="1" applyFont="1" applyBorder="1" applyAlignment="1" applyProtection="1">
      <alignment horizontal="left" vertical="top"/>
    </xf>
    <xf numFmtId="2" fontId="0" fillId="0" borderId="70" xfId="0" applyBorder="1" applyAlignment="1" applyProtection="1">
      <alignment horizontal="left" vertical="top"/>
    </xf>
    <xf numFmtId="2" fontId="0" fillId="0" borderId="48" xfId="0" applyBorder="1" applyAlignment="1" applyProtection="1">
      <alignment horizontal="left" vertical="top"/>
    </xf>
    <xf numFmtId="49" fontId="5" fillId="0" borderId="13" xfId="0" applyNumberFormat="1" applyFont="1" applyFill="1" applyBorder="1" applyAlignment="1" applyProtection="1">
      <alignment horizontal="left" vertical="top" wrapText="1"/>
    </xf>
    <xf numFmtId="49" fontId="5" fillId="0" borderId="47" xfId="0" applyNumberFormat="1" applyFont="1" applyFill="1" applyBorder="1" applyAlignment="1" applyProtection="1">
      <alignment horizontal="left" vertical="top" wrapText="1"/>
    </xf>
    <xf numFmtId="2" fontId="15" fillId="0" borderId="0" xfId="0" applyFont="1" applyAlignment="1" applyProtection="1">
      <alignment horizontal="left" vertical="top"/>
    </xf>
    <xf numFmtId="2" fontId="5" fillId="0" borderId="0" xfId="0" applyFont="1" applyFill="1" applyAlignment="1" applyProtection="1">
      <alignment horizontal="left" vertical="top" wrapText="1"/>
    </xf>
    <xf numFmtId="2" fontId="8" fillId="0" borderId="0" xfId="0" applyFont="1" applyFill="1" applyAlignment="1" applyProtection="1">
      <alignment horizontal="left" vertical="top" wrapText="1"/>
    </xf>
    <xf numFmtId="2" fontId="4" fillId="4" borderId="11" xfId="0" applyFont="1" applyFill="1" applyBorder="1" applyAlignment="1" applyProtection="1">
      <alignment horizontal="left"/>
    </xf>
    <xf numFmtId="2" fontId="6" fillId="4" borderId="19" xfId="0" applyFont="1" applyFill="1" applyBorder="1" applyAlignment="1" applyProtection="1">
      <alignment horizontal="left"/>
    </xf>
    <xf numFmtId="2" fontId="6" fillId="4" borderId="10" xfId="0" applyFont="1" applyFill="1" applyBorder="1" applyAlignment="1" applyProtection="1">
      <alignment horizontal="left"/>
    </xf>
    <xf numFmtId="2" fontId="5" fillId="0" borderId="0" xfId="0" applyFont="1" applyAlignment="1" applyProtection="1">
      <alignment horizontal="left" vertical="top" wrapText="1"/>
    </xf>
    <xf numFmtId="2" fontId="8" fillId="0" borderId="0" xfId="0" applyFont="1" applyAlignment="1" applyProtection="1">
      <alignment horizontal="left" vertical="top" wrapText="1"/>
    </xf>
    <xf numFmtId="2" fontId="21" fillId="0" borderId="0" xfId="0" applyFont="1" applyFill="1" applyAlignment="1" applyProtection="1">
      <alignment horizontal="left" vertical="center" wrapText="1"/>
    </xf>
    <xf numFmtId="2" fontId="5" fillId="0" borderId="14" xfId="0" applyFont="1" applyBorder="1" applyAlignment="1" applyProtection="1"/>
    <xf numFmtId="2" fontId="0" fillId="0" borderId="16" xfId="0" applyBorder="1" applyAlignment="1" applyProtection="1"/>
    <xf numFmtId="2" fontId="0" fillId="0" borderId="18" xfId="0" applyBorder="1" applyAlignment="1" applyProtection="1"/>
    <xf numFmtId="2" fontId="5" fillId="0" borderId="12" xfId="0" applyFont="1" applyBorder="1" applyAlignment="1" applyProtection="1"/>
    <xf numFmtId="2" fontId="0" fillId="0" borderId="6" xfId="0" applyBorder="1" applyAlignment="1" applyProtection="1"/>
    <xf numFmtId="2" fontId="0" fillId="0" borderId="8" xfId="0" applyBorder="1" applyAlignment="1" applyProtection="1"/>
    <xf numFmtId="2" fontId="5" fillId="8" borderId="22" xfId="0" applyFont="1" applyFill="1" applyBorder="1" applyAlignment="1" applyProtection="1"/>
    <xf numFmtId="2" fontId="0" fillId="8" borderId="7" xfId="0" applyFill="1" applyBorder="1" applyAlignment="1" applyProtection="1"/>
    <xf numFmtId="2" fontId="0" fillId="8" borderId="9" xfId="0" applyFill="1" applyBorder="1" applyAlignment="1" applyProtection="1"/>
    <xf numFmtId="2" fontId="4" fillId="4" borderId="19" xfId="0" applyFont="1" applyFill="1" applyBorder="1" applyAlignment="1" applyProtection="1">
      <alignment horizontal="left"/>
    </xf>
    <xf numFmtId="2" fontId="4" fillId="4" borderId="10" xfId="0" applyFont="1" applyFill="1" applyBorder="1" applyAlignment="1" applyProtection="1">
      <alignment horizontal="left"/>
    </xf>
    <xf numFmtId="2" fontId="5" fillId="0" borderId="13" xfId="0" applyFont="1" applyBorder="1" applyAlignment="1" applyProtection="1"/>
    <xf numFmtId="2" fontId="0" fillId="0" borderId="23" xfId="0" applyBorder="1" applyAlignment="1" applyProtection="1"/>
    <xf numFmtId="2" fontId="0" fillId="0" borderId="24" xfId="0" applyBorder="1" applyAlignment="1" applyProtection="1"/>
    <xf numFmtId="2" fontId="5" fillId="0" borderId="56" xfId="0" applyFont="1" applyFill="1" applyBorder="1" applyAlignment="1" applyProtection="1">
      <alignment horizontal="left" vertical="center" wrapText="1"/>
    </xf>
    <xf numFmtId="2" fontId="0" fillId="0" borderId="45" xfId="0" applyFill="1" applyBorder="1" applyAlignment="1" applyProtection="1">
      <alignment horizontal="left" vertical="center" wrapText="1"/>
    </xf>
    <xf numFmtId="2" fontId="5" fillId="0" borderId="57" xfId="0" applyFont="1" applyFill="1" applyBorder="1" applyAlignment="1" applyProtection="1">
      <alignment horizontal="left" vertical="center" wrapText="1"/>
    </xf>
    <xf numFmtId="2" fontId="0" fillId="0" borderId="24" xfId="0" applyFill="1" applyBorder="1" applyAlignment="1" applyProtection="1">
      <alignment horizontal="left" vertical="center" wrapText="1"/>
    </xf>
    <xf numFmtId="2" fontId="5" fillId="0" borderId="24" xfId="0" applyFont="1" applyFill="1" applyBorder="1" applyAlignment="1" applyProtection="1">
      <alignment horizontal="left" vertical="center" wrapText="1"/>
    </xf>
    <xf numFmtId="2" fontId="4" fillId="4" borderId="13" xfId="0" applyFont="1" applyFill="1" applyBorder="1" applyAlignment="1" applyProtection="1">
      <alignment horizontal="left" vertical="center" wrapText="1"/>
    </xf>
    <xf numFmtId="2" fontId="4" fillId="4" borderId="24" xfId="0" applyFont="1" applyFill="1" applyBorder="1" applyAlignment="1" applyProtection="1">
      <alignment horizontal="left" vertical="center" wrapText="1"/>
    </xf>
    <xf numFmtId="2" fontId="6" fillId="4" borderId="11" xfId="0" applyFont="1" applyFill="1" applyBorder="1" applyAlignment="1" applyProtection="1">
      <alignment horizontal="left"/>
    </xf>
    <xf numFmtId="2" fontId="4" fillId="4" borderId="37" xfId="0" applyFont="1" applyFill="1" applyBorder="1" applyAlignment="1" applyProtection="1">
      <alignment horizontal="left"/>
    </xf>
    <xf numFmtId="2" fontId="4" fillId="4" borderId="38" xfId="0" applyFont="1" applyFill="1" applyBorder="1" applyAlignment="1" applyProtection="1">
      <alignment horizontal="left"/>
    </xf>
    <xf numFmtId="2" fontId="4" fillId="4" borderId="11" xfId="2" applyFont="1" applyFill="1" applyBorder="1" applyAlignment="1" applyProtection="1">
      <alignment horizontal="left"/>
    </xf>
    <xf numFmtId="2" fontId="4" fillId="4" borderId="10" xfId="2" applyFont="1" applyFill="1" applyBorder="1" applyAlignment="1" applyProtection="1">
      <alignment horizontal="left"/>
    </xf>
    <xf numFmtId="2" fontId="5" fillId="4" borderId="12" xfId="0" applyFont="1" applyFill="1" applyBorder="1" applyAlignment="1" applyProtection="1">
      <alignment horizontal="left" vertical="center" wrapText="1"/>
    </xf>
    <xf numFmtId="2" fontId="5" fillId="4" borderId="8" xfId="0" applyFont="1" applyFill="1" applyBorder="1" applyAlignment="1" applyProtection="1">
      <alignment horizontal="left" vertical="center" wrapText="1"/>
    </xf>
    <xf numFmtId="2" fontId="4" fillId="4" borderId="43" xfId="0" applyFont="1" applyFill="1" applyBorder="1" applyAlignment="1" applyProtection="1">
      <alignment horizontal="left"/>
    </xf>
    <xf numFmtId="2" fontId="4" fillId="4" borderId="45" xfId="0" applyFont="1" applyFill="1" applyBorder="1" applyAlignment="1" applyProtection="1">
      <alignment horizontal="left"/>
    </xf>
    <xf numFmtId="2" fontId="4" fillId="4" borderId="29" xfId="0" applyFont="1" applyFill="1" applyBorder="1" applyAlignment="1" applyProtection="1">
      <alignment horizontal="left"/>
    </xf>
    <xf numFmtId="2" fontId="4" fillId="4" borderId="27" xfId="0" applyFont="1" applyFill="1" applyBorder="1" applyAlignment="1" applyProtection="1">
      <alignment horizontal="left"/>
    </xf>
    <xf numFmtId="2" fontId="4" fillId="5" borderId="11" xfId="0" applyFont="1" applyFill="1" applyBorder="1" applyAlignment="1" applyProtection="1">
      <alignment horizontal="center"/>
    </xf>
    <xf numFmtId="2" fontId="4" fillId="5" borderId="19" xfId="0" applyFont="1" applyFill="1" applyBorder="1" applyAlignment="1" applyProtection="1">
      <alignment horizontal="center"/>
    </xf>
    <xf numFmtId="2" fontId="4" fillId="5" borderId="10" xfId="0" applyFont="1" applyFill="1" applyBorder="1" applyAlignment="1" applyProtection="1">
      <alignment horizontal="center"/>
    </xf>
    <xf numFmtId="2" fontId="9" fillId="2" borderId="2" xfId="0" applyFont="1" applyFill="1" applyBorder="1" applyAlignment="1" applyProtection="1">
      <alignment horizontal="center" vertical="center"/>
    </xf>
    <xf numFmtId="2" fontId="9" fillId="2" borderId="1" xfId="0" applyFont="1" applyFill="1" applyBorder="1" applyAlignment="1" applyProtection="1">
      <alignment horizontal="center" vertical="center"/>
    </xf>
    <xf numFmtId="2" fontId="9" fillId="2" borderId="28" xfId="0" applyFont="1" applyFill="1" applyBorder="1" applyAlignment="1" applyProtection="1">
      <alignment horizontal="center" vertical="center"/>
    </xf>
    <xf numFmtId="2" fontId="4" fillId="0" borderId="64" xfId="0" applyFont="1" applyBorder="1" applyAlignment="1" applyProtection="1">
      <alignment horizontal="center" vertical="center"/>
    </xf>
    <xf numFmtId="2" fontId="4" fillId="0" borderId="65" xfId="0" applyFont="1" applyBorder="1" applyAlignment="1" applyProtection="1">
      <alignment horizontal="center" vertical="center"/>
    </xf>
    <xf numFmtId="2" fontId="4" fillId="0" borderId="66" xfId="0" applyFont="1" applyBorder="1" applyAlignment="1" applyProtection="1">
      <alignment horizontal="center" vertical="center"/>
    </xf>
    <xf numFmtId="2" fontId="4" fillId="0" borderId="30" xfId="0" applyFont="1" applyBorder="1" applyAlignment="1" applyProtection="1">
      <alignment horizontal="center" wrapText="1"/>
    </xf>
    <xf numFmtId="2" fontId="4" fillId="0" borderId="4" xfId="0" applyFont="1" applyBorder="1" applyAlignment="1" applyProtection="1">
      <alignment horizontal="center" wrapText="1"/>
    </xf>
    <xf numFmtId="2" fontId="4" fillId="0" borderId="30" xfId="0" applyFont="1" applyBorder="1" applyAlignment="1" applyProtection="1">
      <alignment horizontal="center"/>
    </xf>
    <xf numFmtId="2" fontId="4" fillId="0" borderId="4" xfId="0" applyFont="1" applyBorder="1" applyAlignment="1" applyProtection="1">
      <alignment horizontal="center"/>
    </xf>
    <xf numFmtId="2" fontId="5" fillId="0" borderId="40" xfId="0" applyFont="1" applyBorder="1" applyAlignment="1" applyProtection="1">
      <alignment horizontal="center"/>
    </xf>
    <xf numFmtId="2" fontId="5" fillId="0" borderId="5" xfId="0" applyFont="1" applyBorder="1" applyAlignment="1" applyProtection="1">
      <alignment horizontal="center"/>
    </xf>
    <xf numFmtId="2" fontId="0" fillId="0" borderId="40" xfId="0" applyBorder="1" applyAlignment="1" applyProtection="1">
      <alignment horizontal="center"/>
    </xf>
    <xf numFmtId="2" fontId="0" fillId="0" borderId="5" xfId="0" applyBorder="1" applyAlignment="1" applyProtection="1">
      <alignment horizontal="center"/>
    </xf>
    <xf numFmtId="2" fontId="4" fillId="0" borderId="0" xfId="0" applyFont="1" applyAlignment="1" applyProtection="1">
      <alignment horizontal="center" wrapText="1"/>
    </xf>
    <xf numFmtId="2" fontId="4" fillId="0" borderId="0" xfId="0" applyFont="1" applyAlignment="1" applyProtection="1">
      <alignment horizontal="center" vertical="center" wrapText="1"/>
    </xf>
    <xf numFmtId="2" fontId="27" fillId="0" borderId="2" xfId="2" applyFont="1" applyBorder="1" applyAlignment="1" applyProtection="1">
      <alignment horizontal="justify" vertical="top" wrapText="1"/>
    </xf>
    <xf numFmtId="2" fontId="27" fillId="0" borderId="1" xfId="2" applyFont="1" applyBorder="1" applyAlignment="1" applyProtection="1">
      <alignment horizontal="justify" vertical="top" wrapText="1"/>
    </xf>
    <xf numFmtId="2" fontId="27" fillId="0" borderId="28" xfId="2" applyFont="1" applyBorder="1" applyAlignment="1" applyProtection="1">
      <alignment horizontal="justify" vertical="top" wrapText="1"/>
    </xf>
    <xf numFmtId="2" fontId="28" fillId="7" borderId="11" xfId="2" applyFont="1" applyFill="1" applyBorder="1" applyAlignment="1" applyProtection="1">
      <alignment horizontal="center" vertical="top" wrapText="1"/>
    </xf>
    <xf numFmtId="2" fontId="28" fillId="7" borderId="19" xfId="2" applyFont="1" applyFill="1" applyBorder="1" applyAlignment="1" applyProtection="1">
      <alignment horizontal="center" vertical="top" wrapText="1"/>
    </xf>
    <xf numFmtId="2" fontId="28" fillId="7" borderId="10" xfId="2" applyFont="1" applyFill="1" applyBorder="1" applyAlignment="1" applyProtection="1">
      <alignment horizontal="center" vertical="top" wrapText="1"/>
    </xf>
    <xf numFmtId="2" fontId="4" fillId="0" borderId="13" xfId="0" applyFont="1" applyBorder="1" applyAlignment="1" applyProtection="1">
      <alignment horizontal="center" vertical="center"/>
    </xf>
    <xf numFmtId="2" fontId="4" fillId="0" borderId="23" xfId="0" applyFont="1" applyBorder="1" applyAlignment="1" applyProtection="1">
      <alignment horizontal="center" vertical="center"/>
    </xf>
    <xf numFmtId="2" fontId="4" fillId="0" borderId="24" xfId="0" applyFont="1" applyBorder="1" applyAlignment="1" applyProtection="1">
      <alignment horizontal="center" vertical="center"/>
    </xf>
    <xf numFmtId="2" fontId="27" fillId="6" borderId="11" xfId="2" applyFont="1" applyFill="1" applyBorder="1" applyAlignment="1" applyProtection="1">
      <alignment horizontal="center" vertical="center"/>
    </xf>
    <xf numFmtId="2" fontId="27" fillId="6" borderId="19" xfId="2" applyFont="1" applyFill="1" applyBorder="1" applyAlignment="1" applyProtection="1">
      <alignment horizontal="center" vertical="center"/>
    </xf>
    <xf numFmtId="2" fontId="27" fillId="6" borderId="10" xfId="2" applyFont="1" applyFill="1" applyBorder="1" applyAlignment="1" applyProtection="1">
      <alignment horizontal="center" vertical="center"/>
    </xf>
    <xf numFmtId="2" fontId="15" fillId="0" borderId="0" xfId="0" applyFont="1" applyAlignment="1">
      <alignment horizontal="left" vertical="top"/>
    </xf>
    <xf numFmtId="2" fontId="14" fillId="0" borderId="0" xfId="0" applyFont="1" applyAlignment="1">
      <alignment horizontal="left"/>
    </xf>
    <xf numFmtId="2" fontId="4" fillId="4" borderId="13" xfId="0" applyFont="1" applyFill="1" applyBorder="1" applyAlignment="1">
      <alignment horizontal="left"/>
    </xf>
    <xf numFmtId="2" fontId="4" fillId="4" borderId="23" xfId="0" applyFont="1" applyFill="1" applyBorder="1" applyAlignment="1">
      <alignment horizontal="left"/>
    </xf>
    <xf numFmtId="2" fontId="4" fillId="4" borderId="24" xfId="0" applyFont="1" applyFill="1" applyBorder="1" applyAlignment="1">
      <alignment horizontal="left"/>
    </xf>
    <xf numFmtId="1" fontId="4" fillId="4" borderId="13" xfId="0" applyNumberFormat="1" applyFont="1" applyFill="1" applyBorder="1" applyAlignment="1">
      <alignment horizontal="left" vertical="center"/>
    </xf>
    <xf numFmtId="1" fontId="4" fillId="4" borderId="23" xfId="0" applyNumberFormat="1" applyFont="1" applyFill="1" applyBorder="1" applyAlignment="1">
      <alignment horizontal="left" vertical="center"/>
    </xf>
    <xf numFmtId="1" fontId="4" fillId="4" borderId="24" xfId="0" applyNumberFormat="1" applyFont="1" applyFill="1" applyBorder="1" applyAlignment="1">
      <alignment horizontal="left" vertical="center"/>
    </xf>
    <xf numFmtId="2" fontId="4" fillId="5" borderId="43" xfId="0" applyFont="1" applyFill="1" applyBorder="1" applyAlignment="1">
      <alignment horizontal="left"/>
    </xf>
    <xf numFmtId="2" fontId="4" fillId="5" borderId="44" xfId="0" applyFont="1" applyFill="1" applyBorder="1" applyAlignment="1">
      <alignment horizontal="left"/>
    </xf>
    <xf numFmtId="2" fontId="4" fillId="5" borderId="45" xfId="0" applyFont="1" applyFill="1" applyBorder="1" applyAlignment="1">
      <alignment horizontal="left"/>
    </xf>
    <xf numFmtId="2" fontId="4" fillId="3" borderId="46" xfId="0" applyFont="1" applyFill="1" applyBorder="1" applyAlignment="1">
      <alignment horizontal="left" vertical="center"/>
    </xf>
    <xf numFmtId="2" fontId="4" fillId="3" borderId="23" xfId="0" applyFont="1" applyFill="1" applyBorder="1" applyAlignment="1">
      <alignment horizontal="left" vertical="center"/>
    </xf>
    <xf numFmtId="2" fontId="4" fillId="3" borderId="47" xfId="0" applyFont="1" applyFill="1" applyBorder="1" applyAlignment="1">
      <alignment horizontal="left" vertical="center"/>
    </xf>
    <xf numFmtId="2" fontId="4" fillId="3" borderId="6" xfId="0" applyFont="1" applyFill="1" applyBorder="1" applyAlignment="1">
      <alignment horizontal="left"/>
    </xf>
    <xf numFmtId="2" fontId="4" fillId="4" borderId="6" xfId="0" applyFont="1" applyFill="1" applyBorder="1" applyAlignment="1">
      <alignment horizontal="left"/>
    </xf>
    <xf numFmtId="2" fontId="4" fillId="4" borderId="46" xfId="0" applyFont="1" applyFill="1" applyBorder="1" applyAlignment="1">
      <alignment horizontal="left"/>
    </xf>
    <xf numFmtId="2" fontId="4" fillId="4" borderId="47" xfId="0" applyFont="1" applyFill="1" applyBorder="1" applyAlignment="1">
      <alignment horizontal="left"/>
    </xf>
    <xf numFmtId="2" fontId="4" fillId="4" borderId="46" xfId="0" applyFont="1" applyFill="1" applyBorder="1" applyAlignment="1" applyProtection="1">
      <alignment horizontal="left"/>
    </xf>
    <xf numFmtId="2" fontId="4" fillId="4" borderId="23" xfId="0" applyFont="1" applyFill="1" applyBorder="1" applyAlignment="1" applyProtection="1">
      <alignment horizontal="left"/>
    </xf>
    <xf numFmtId="2" fontId="4" fillId="4" borderId="47" xfId="0" applyFont="1" applyFill="1" applyBorder="1" applyAlignment="1" applyProtection="1">
      <alignment horizontal="left"/>
    </xf>
    <xf numFmtId="0" fontId="22" fillId="4" borderId="6" xfId="3" applyFont="1" applyFill="1" applyBorder="1" applyAlignment="1">
      <alignment horizontal="center"/>
    </xf>
  </cellXfs>
  <cellStyles count="9">
    <cellStyle name="Hyperlink" xfId="1" builtinId="8"/>
    <cellStyle name="Hyperlink 2" xfId="4"/>
    <cellStyle name="Normal" xfId="0" builtinId="0"/>
    <cellStyle name="Normal 2" xfId="2"/>
    <cellStyle name="Normal 2 2" xfId="5"/>
    <cellStyle name="Normal 2 3" xfId="6"/>
    <cellStyle name="Normal 3" xfId="3"/>
    <cellStyle name="Normal 4" xfId="7"/>
    <cellStyle name="Percent 2" xfId="8"/>
  </cellStyles>
  <dxfs count="13">
    <dxf>
      <font>
        <color rgb="FFFF0000"/>
      </font>
    </dxf>
    <dxf>
      <font>
        <color rgb="FFFF0000"/>
      </font>
    </dxf>
    <dxf>
      <font>
        <color rgb="FFFF0000"/>
      </font>
    </dxf>
    <dxf>
      <font>
        <color rgb="FFFF0000"/>
      </font>
    </dxf>
    <dxf>
      <font>
        <color rgb="FFFF0000"/>
      </font>
    </dxf>
    <dxf>
      <font>
        <color rgb="FFFF0000"/>
      </font>
    </dxf>
    <dxf>
      <fill>
        <patternFill>
          <bgColor rgb="FFFFFF99"/>
        </patternFill>
      </fill>
    </dxf>
    <dxf>
      <font>
        <color auto="1"/>
      </font>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6600"/>
      <color rgb="FF0000FF"/>
      <color rgb="FFCC3300"/>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pa.gov/air/tribal/pdfs/existing_source_registration_rev.pdf" TargetMode="External"/><Relationship Id="rId1" Type="http://schemas.openxmlformats.org/officeDocument/2006/relationships/hyperlink" Target="http://www.epa.gov/air/tribal/tribalnsr.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xml.rels><?xml version="1.0" encoding="UTF-8" standalone="yes"?>
<Relationships xmlns="http://schemas.openxmlformats.org/package/2006/relationships"><Relationship Id="rId13" Type="http://schemas.openxmlformats.org/officeDocument/2006/relationships/hyperlink" Target="mailto:gupta.kaushal@epa.gov" TargetMode="External"/><Relationship Id="rId18" Type="http://schemas.openxmlformats.org/officeDocument/2006/relationships/hyperlink" Target="mailto:smith.claudia@epa.gov" TargetMode="External"/><Relationship Id="rId26" Type="http://schemas.openxmlformats.org/officeDocument/2006/relationships/hyperlink" Target="mailto:paser.kathleen@epa.gov" TargetMode="External"/><Relationship Id="rId39" Type="http://schemas.openxmlformats.org/officeDocument/2006/relationships/hyperlink" Target="mailto:oquendo.ana@epa.gov" TargetMode="External"/><Relationship Id="rId21" Type="http://schemas.openxmlformats.org/officeDocument/2006/relationships/hyperlink" Target="mailto:smith.claudia@epa.gov" TargetMode="External"/><Relationship Id="rId34" Type="http://schemas.openxmlformats.org/officeDocument/2006/relationships/hyperlink" Target="mailto:gupta.kaushal@epa.gov" TargetMode="External"/><Relationship Id="rId42" Type="http://schemas.openxmlformats.org/officeDocument/2006/relationships/hyperlink" Target="mailto:shepherd.lorinda@epa.gov" TargetMode="External"/><Relationship Id="rId47" Type="http://schemas.openxmlformats.org/officeDocument/2006/relationships/hyperlink" Target="mailto:shepherd.lorinda@epa.gov" TargetMode="External"/><Relationship Id="rId50" Type="http://schemas.openxmlformats.org/officeDocument/2006/relationships/hyperlink" Target="mailto:Gutierrez.roberto@epa.gov" TargetMode="External"/><Relationship Id="rId55" Type="http://schemas.openxmlformats.org/officeDocument/2006/relationships/hyperlink" Target="mailto:Gutierrez.roberto@epa.gov" TargetMode="External"/><Relationship Id="rId63" Type="http://schemas.openxmlformats.org/officeDocument/2006/relationships/hyperlink" Target="mailto:braganza.bonnie@epa.gov" TargetMode="External"/><Relationship Id="rId7" Type="http://schemas.openxmlformats.org/officeDocument/2006/relationships/hyperlink" Target="mailto:lau.gavin@epa.gov" TargetMode="External"/><Relationship Id="rId2" Type="http://schemas.openxmlformats.org/officeDocument/2006/relationships/hyperlink" Target="mailto:McCahill.brendan@epa.gov" TargetMode="External"/><Relationship Id="rId16" Type="http://schemas.openxmlformats.org/officeDocument/2006/relationships/hyperlink" Target="mailto:paser.kathleen@epa.gov" TargetMode="External"/><Relationship Id="rId20" Type="http://schemas.openxmlformats.org/officeDocument/2006/relationships/hyperlink" Target="mailto:smith.claudia@epa.gov" TargetMode="External"/><Relationship Id="rId29" Type="http://schemas.openxmlformats.org/officeDocument/2006/relationships/hyperlink" Target="mailto:webber.robert@epa.gov" TargetMode="External"/><Relationship Id="rId41" Type="http://schemas.openxmlformats.org/officeDocument/2006/relationships/hyperlink" Target="mailto:oquendo.ana@epa.gov" TargetMode="External"/><Relationship Id="rId54" Type="http://schemas.openxmlformats.org/officeDocument/2006/relationships/hyperlink" Target="mailto:Gutierrez.roberto@epa.gov" TargetMode="External"/><Relationship Id="rId62" Type="http://schemas.openxmlformats.org/officeDocument/2006/relationships/hyperlink" Target="mailto:braganza.bonnie@epa.gov" TargetMode="External"/><Relationship Id="rId1" Type="http://schemas.openxmlformats.org/officeDocument/2006/relationships/hyperlink" Target="mailto:McCahill.brendan@epa.gov" TargetMode="External"/><Relationship Id="rId6" Type="http://schemas.openxmlformats.org/officeDocument/2006/relationships/hyperlink" Target="mailto:McCahill.brendan@epa.gov" TargetMode="External"/><Relationship Id="rId11" Type="http://schemas.openxmlformats.org/officeDocument/2006/relationships/hyperlink" Target="mailto:oquendo.ana@epa.gov" TargetMode="External"/><Relationship Id="rId24" Type="http://schemas.openxmlformats.org/officeDocument/2006/relationships/hyperlink" Target="mailto:paser.kathleen@epa.gov" TargetMode="External"/><Relationship Id="rId32" Type="http://schemas.openxmlformats.org/officeDocument/2006/relationships/hyperlink" Target="mailto:gupta.kaushal@epa.gov" TargetMode="External"/><Relationship Id="rId37" Type="http://schemas.openxmlformats.org/officeDocument/2006/relationships/hyperlink" Target="mailto:oquendo.ana@epa.gov" TargetMode="External"/><Relationship Id="rId40" Type="http://schemas.openxmlformats.org/officeDocument/2006/relationships/hyperlink" Target="mailto:oquendo.ana@epa.gov" TargetMode="External"/><Relationship Id="rId45" Type="http://schemas.openxmlformats.org/officeDocument/2006/relationships/hyperlink" Target="mailto:shepherd.lorinda@epa.gov" TargetMode="External"/><Relationship Id="rId53" Type="http://schemas.openxmlformats.org/officeDocument/2006/relationships/hyperlink" Target="mailto:glass.geoffrey@epa.gov" TargetMode="External"/><Relationship Id="rId58" Type="http://schemas.openxmlformats.org/officeDocument/2006/relationships/hyperlink" Target="mailto:todd.bill@epa.gov" TargetMode="External"/><Relationship Id="rId66" Type="http://schemas.openxmlformats.org/officeDocument/2006/relationships/printerSettings" Target="../printerSettings/printerSettings12.bin"/><Relationship Id="rId5" Type="http://schemas.openxmlformats.org/officeDocument/2006/relationships/hyperlink" Target="mailto:McCahill.brendan@epa.gov" TargetMode="External"/><Relationship Id="rId15" Type="http://schemas.openxmlformats.org/officeDocument/2006/relationships/hyperlink" Target="mailto:smith.claudia@epa.gov" TargetMode="External"/><Relationship Id="rId23" Type="http://schemas.openxmlformats.org/officeDocument/2006/relationships/hyperlink" Target="mailto:paser.kathleen@epa.gov" TargetMode="External"/><Relationship Id="rId28" Type="http://schemas.openxmlformats.org/officeDocument/2006/relationships/hyperlink" Target="mailto:webber.robert@epa.gov" TargetMode="External"/><Relationship Id="rId36" Type="http://schemas.openxmlformats.org/officeDocument/2006/relationships/hyperlink" Target="mailto:oquendo.ana@epa.gov" TargetMode="External"/><Relationship Id="rId49" Type="http://schemas.openxmlformats.org/officeDocument/2006/relationships/hyperlink" Target="mailto:glass.geoffrey@epa.gov" TargetMode="External"/><Relationship Id="rId57" Type="http://schemas.openxmlformats.org/officeDocument/2006/relationships/hyperlink" Target="mailto:todd.bill@epa.gov" TargetMode="External"/><Relationship Id="rId61" Type="http://schemas.openxmlformats.org/officeDocument/2006/relationships/hyperlink" Target="mailto:braganza.bonnie@epa.gov" TargetMode="External"/><Relationship Id="rId10" Type="http://schemas.openxmlformats.org/officeDocument/2006/relationships/hyperlink" Target="mailto:Dholakia.umesh@epa.gov" TargetMode="External"/><Relationship Id="rId19" Type="http://schemas.openxmlformats.org/officeDocument/2006/relationships/hyperlink" Target="mailto:smith.claudia@epa.gov" TargetMode="External"/><Relationship Id="rId31" Type="http://schemas.openxmlformats.org/officeDocument/2006/relationships/hyperlink" Target="mailto:gupta.kaushal@epa.gov" TargetMode="External"/><Relationship Id="rId44" Type="http://schemas.openxmlformats.org/officeDocument/2006/relationships/hyperlink" Target="mailto:shepherd.lorinda@epa.gov" TargetMode="External"/><Relationship Id="rId52" Type="http://schemas.openxmlformats.org/officeDocument/2006/relationships/hyperlink" Target="mailto:glass.geoffrey@epa.gov" TargetMode="External"/><Relationship Id="rId60" Type="http://schemas.openxmlformats.org/officeDocument/2006/relationships/hyperlink" Target="mailto:todd.bill@epa.gov" TargetMode="External"/><Relationship Id="rId65" Type="http://schemas.openxmlformats.org/officeDocument/2006/relationships/hyperlink" Target="mailto:braganza.bonnie@epa.gov" TargetMode="External"/><Relationship Id="rId4" Type="http://schemas.openxmlformats.org/officeDocument/2006/relationships/hyperlink" Target="mailto:McCahill.brendan@epa.gov" TargetMode="External"/><Relationship Id="rId9" Type="http://schemas.openxmlformats.org/officeDocument/2006/relationships/hyperlink" Target="mailto:lau.gavin@epa.gov" TargetMode="External"/><Relationship Id="rId14" Type="http://schemas.openxmlformats.org/officeDocument/2006/relationships/hyperlink" Target="mailto:webber.robert@epa.gov" TargetMode="External"/><Relationship Id="rId22" Type="http://schemas.openxmlformats.org/officeDocument/2006/relationships/hyperlink" Target="mailto:paser.kathleen@epa.gov" TargetMode="External"/><Relationship Id="rId27" Type="http://schemas.openxmlformats.org/officeDocument/2006/relationships/hyperlink" Target="mailto:webber.robert@epa.gov" TargetMode="External"/><Relationship Id="rId30" Type="http://schemas.openxmlformats.org/officeDocument/2006/relationships/hyperlink" Target="mailto:gupta.kaushal@epa.gov" TargetMode="External"/><Relationship Id="rId35" Type="http://schemas.openxmlformats.org/officeDocument/2006/relationships/hyperlink" Target="mailto:oquendo.ana@epa.gov" TargetMode="External"/><Relationship Id="rId43" Type="http://schemas.openxmlformats.org/officeDocument/2006/relationships/hyperlink" Target="mailto:shepherd.lorinda@epa.gov" TargetMode="External"/><Relationship Id="rId48" Type="http://schemas.openxmlformats.org/officeDocument/2006/relationships/hyperlink" Target="mailto:shepherd.lorinda@epa.gov" TargetMode="External"/><Relationship Id="rId56" Type="http://schemas.openxmlformats.org/officeDocument/2006/relationships/hyperlink" Target="mailto:Gutierrez.roberto@epa.gov" TargetMode="External"/><Relationship Id="rId64" Type="http://schemas.openxmlformats.org/officeDocument/2006/relationships/hyperlink" Target="mailto:braganza.bonnie@epa.gov" TargetMode="External"/><Relationship Id="rId8" Type="http://schemas.openxmlformats.org/officeDocument/2006/relationships/hyperlink" Target="mailto:Dholakia.umesh@epa.gov" TargetMode="External"/><Relationship Id="rId51" Type="http://schemas.openxmlformats.org/officeDocument/2006/relationships/hyperlink" Target="mailto:glass.geoffrey@epa.gov" TargetMode="External"/><Relationship Id="rId3" Type="http://schemas.openxmlformats.org/officeDocument/2006/relationships/hyperlink" Target="mailto:McCahill.brendan@epa.gov" TargetMode="External"/><Relationship Id="rId12" Type="http://schemas.openxmlformats.org/officeDocument/2006/relationships/hyperlink" Target="mailto:shepherd.lorinda@epa.gov" TargetMode="External"/><Relationship Id="rId17" Type="http://schemas.openxmlformats.org/officeDocument/2006/relationships/hyperlink" Target="mailto:smith.claudia@epa.gov" TargetMode="External"/><Relationship Id="rId25" Type="http://schemas.openxmlformats.org/officeDocument/2006/relationships/hyperlink" Target="mailto:paser.kathleen@epa.gov" TargetMode="External"/><Relationship Id="rId33" Type="http://schemas.openxmlformats.org/officeDocument/2006/relationships/hyperlink" Target="mailto:gupta.kaushal@epa.gov" TargetMode="External"/><Relationship Id="rId38" Type="http://schemas.openxmlformats.org/officeDocument/2006/relationships/hyperlink" Target="mailto:oquendo.ana@epa.gov" TargetMode="External"/><Relationship Id="rId46" Type="http://schemas.openxmlformats.org/officeDocument/2006/relationships/hyperlink" Target="mailto:shepherd.lorinda@epa.gov" TargetMode="External"/><Relationship Id="rId59" Type="http://schemas.openxmlformats.org/officeDocument/2006/relationships/hyperlink" Target="mailto:todd.bill@epa.gov"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epa.gov/oar/oaqps/greenbk/ancl.html" TargetMode="Externa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3" Type="http://schemas.openxmlformats.org/officeDocument/2006/relationships/hyperlink" Target="mailto:jonathan_dorn@abtassoc.com" TargetMode="External"/><Relationship Id="rId2" Type="http://schemas.openxmlformats.org/officeDocument/2006/relationships/hyperlink" Target="mailto:jonathan_dorn@abtassoc.com" TargetMode="External"/><Relationship Id="rId1" Type="http://schemas.openxmlformats.org/officeDocument/2006/relationships/hyperlink" Target="mailto:jonathan_dorn@abtassoc.com" TargetMode="External"/><Relationship Id="rId5" Type="http://schemas.openxmlformats.org/officeDocument/2006/relationships/printerSettings" Target="../printerSettings/printerSettings9.bin"/><Relationship Id="rId4" Type="http://schemas.openxmlformats.org/officeDocument/2006/relationships/hyperlink" Target="mailto:jonathan_dorn@abtassoc.com"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37"/>
  <sheetViews>
    <sheetView showGridLines="0" tabSelected="1" zoomScaleNormal="100" workbookViewId="0">
      <selection activeCell="B26" sqref="B26:C26"/>
    </sheetView>
  </sheetViews>
  <sheetFormatPr defaultColWidth="9.109375" defaultRowHeight="13.2" x14ac:dyDescent="0.25"/>
  <cols>
    <col min="1" max="1" width="2.109375" style="55" customWidth="1"/>
    <col min="2" max="2" width="5.88671875" style="209" customWidth="1"/>
    <col min="3" max="3" width="120.88671875" style="24" customWidth="1"/>
    <col min="4" max="16384" width="9.109375" style="55"/>
  </cols>
  <sheetData>
    <row r="1" spans="2:6" ht="17.399999999999999" x14ac:dyDescent="0.25">
      <c r="B1" s="270" t="s">
        <v>326</v>
      </c>
      <c r="C1" s="270"/>
    </row>
    <row r="2" spans="2:6" ht="15.6" x14ac:dyDescent="0.25">
      <c r="B2" s="271" t="s">
        <v>327</v>
      </c>
      <c r="C2" s="271"/>
    </row>
    <row r="3" spans="2:6" x14ac:dyDescent="0.25">
      <c r="B3" s="203"/>
      <c r="C3" s="55"/>
    </row>
    <row r="4" spans="2:6" x14ac:dyDescent="0.25">
      <c r="B4" s="269" t="s">
        <v>328</v>
      </c>
      <c r="C4" s="269"/>
    </row>
    <row r="5" spans="2:6" ht="75" customHeight="1" x14ac:dyDescent="0.25">
      <c r="B5" s="272" t="s">
        <v>355</v>
      </c>
      <c r="C5" s="272"/>
      <c r="F5" s="220"/>
    </row>
    <row r="6" spans="2:6" ht="18" customHeight="1" x14ac:dyDescent="0.25">
      <c r="B6" s="273" t="s">
        <v>356</v>
      </c>
      <c r="C6" s="273"/>
      <c r="F6" s="220"/>
    </row>
    <row r="7" spans="2:6" ht="15" customHeight="1" x14ac:dyDescent="0.25">
      <c r="B7" s="204"/>
      <c r="C7" s="55"/>
    </row>
    <row r="8" spans="2:6" x14ac:dyDescent="0.25">
      <c r="B8" s="269" t="s">
        <v>329</v>
      </c>
      <c r="C8" s="269"/>
    </row>
    <row r="9" spans="2:6" ht="97.5" customHeight="1" x14ac:dyDescent="0.25">
      <c r="B9" s="272" t="s">
        <v>357</v>
      </c>
      <c r="C9" s="272"/>
    </row>
    <row r="10" spans="2:6" ht="15" customHeight="1" x14ac:dyDescent="0.25">
      <c r="B10" s="204"/>
      <c r="C10" s="55"/>
    </row>
    <row r="11" spans="2:6" x14ac:dyDescent="0.25">
      <c r="B11" s="269" t="s">
        <v>336</v>
      </c>
      <c r="C11" s="269"/>
    </row>
    <row r="12" spans="2:6" ht="84" customHeight="1" x14ac:dyDescent="0.25">
      <c r="B12" s="272" t="s">
        <v>358</v>
      </c>
      <c r="C12" s="272"/>
    </row>
    <row r="13" spans="2:6" ht="15" customHeight="1" x14ac:dyDescent="0.25">
      <c r="B13" s="204"/>
      <c r="C13" s="55"/>
    </row>
    <row r="14" spans="2:6" x14ac:dyDescent="0.25">
      <c r="B14" s="269" t="s">
        <v>330</v>
      </c>
      <c r="C14" s="269"/>
    </row>
    <row r="15" spans="2:6" ht="18.75" customHeight="1" x14ac:dyDescent="0.25">
      <c r="B15" s="272" t="s">
        <v>359</v>
      </c>
      <c r="C15" s="272"/>
    </row>
    <row r="16" spans="2:6" ht="15.75" customHeight="1" x14ac:dyDescent="0.25">
      <c r="B16" s="205" t="s">
        <v>337</v>
      </c>
      <c r="C16" s="208" t="s">
        <v>360</v>
      </c>
    </row>
    <row r="17" spans="2:3" ht="27.75" customHeight="1" x14ac:dyDescent="0.25">
      <c r="B17" s="205" t="s">
        <v>338</v>
      </c>
      <c r="C17" s="208" t="s">
        <v>469</v>
      </c>
    </row>
    <row r="18" spans="2:3" ht="9" customHeight="1" x14ac:dyDescent="0.25">
      <c r="B18" s="260"/>
      <c r="C18" s="55"/>
    </row>
    <row r="19" spans="2:3" x14ac:dyDescent="0.25">
      <c r="B19" s="269" t="s">
        <v>331</v>
      </c>
      <c r="C19" s="269"/>
    </row>
    <row r="20" spans="2:3" ht="18" customHeight="1" x14ac:dyDescent="0.25">
      <c r="B20" s="272" t="s">
        <v>332</v>
      </c>
      <c r="C20" s="272"/>
    </row>
    <row r="21" spans="2:3" x14ac:dyDescent="0.25">
      <c r="B21" s="205" t="s">
        <v>337</v>
      </c>
      <c r="C21" s="206" t="s">
        <v>361</v>
      </c>
    </row>
    <row r="22" spans="2:3" x14ac:dyDescent="0.25">
      <c r="B22" s="205" t="s">
        <v>338</v>
      </c>
      <c r="C22" s="206" t="s">
        <v>362</v>
      </c>
    </row>
    <row r="23" spans="2:3" x14ac:dyDescent="0.25">
      <c r="B23" s="205" t="s">
        <v>339</v>
      </c>
      <c r="C23" s="206" t="s">
        <v>363</v>
      </c>
    </row>
    <row r="24" spans="2:3" x14ac:dyDescent="0.25">
      <c r="B24" s="55"/>
      <c r="C24" s="260"/>
    </row>
    <row r="25" spans="2:3" x14ac:dyDescent="0.25">
      <c r="B25" s="269" t="s">
        <v>333</v>
      </c>
      <c r="C25" s="269"/>
    </row>
    <row r="26" spans="2:3" ht="51" customHeight="1" x14ac:dyDescent="0.25">
      <c r="B26" s="274" t="s">
        <v>364</v>
      </c>
      <c r="C26" s="274"/>
    </row>
    <row r="27" spans="2:3" ht="24" customHeight="1" x14ac:dyDescent="0.25">
      <c r="B27" s="273" t="s">
        <v>365</v>
      </c>
      <c r="C27" s="272"/>
    </row>
    <row r="28" spans="2:3" x14ac:dyDescent="0.25">
      <c r="B28" s="207"/>
      <c r="C28" s="55"/>
    </row>
    <row r="29" spans="2:3" x14ac:dyDescent="0.25">
      <c r="B29" s="269" t="s">
        <v>334</v>
      </c>
      <c r="C29" s="269"/>
    </row>
    <row r="30" spans="2:3" ht="53.25" customHeight="1" x14ac:dyDescent="0.25">
      <c r="B30" s="272" t="s">
        <v>366</v>
      </c>
      <c r="C30" s="272"/>
    </row>
    <row r="31" spans="2:3" x14ac:dyDescent="0.25">
      <c r="B31" s="204"/>
      <c r="C31" s="55"/>
    </row>
    <row r="32" spans="2:3" x14ac:dyDescent="0.25">
      <c r="B32" s="269" t="s">
        <v>335</v>
      </c>
      <c r="C32" s="269"/>
    </row>
    <row r="33" spans="2:3" x14ac:dyDescent="0.25">
      <c r="B33" s="205" t="s">
        <v>337</v>
      </c>
      <c r="C33" s="208" t="s">
        <v>367</v>
      </c>
    </row>
    <row r="34" spans="2:3" x14ac:dyDescent="0.25">
      <c r="B34" s="205" t="s">
        <v>338</v>
      </c>
      <c r="C34" s="208" t="s">
        <v>347</v>
      </c>
    </row>
    <row r="35" spans="2:3" ht="26.4" x14ac:dyDescent="0.25">
      <c r="B35" s="205" t="s">
        <v>339</v>
      </c>
      <c r="C35" s="208" t="s">
        <v>470</v>
      </c>
    </row>
    <row r="36" spans="2:3" ht="26.4" x14ac:dyDescent="0.25">
      <c r="B36" s="205" t="s">
        <v>340</v>
      </c>
      <c r="C36" s="208" t="s">
        <v>468</v>
      </c>
    </row>
    <row r="37" spans="2:3" x14ac:dyDescent="0.25">
      <c r="B37" s="205" t="s">
        <v>341</v>
      </c>
      <c r="C37" s="208" t="s">
        <v>342</v>
      </c>
    </row>
  </sheetData>
  <sheetProtection password="C969" sheet="1" objects="1" scenarios="1"/>
  <mergeCells count="19">
    <mergeCell ref="B32:C32"/>
    <mergeCell ref="B20:C20"/>
    <mergeCell ref="B25:C25"/>
    <mergeCell ref="B26:C26"/>
    <mergeCell ref="B27:C27"/>
    <mergeCell ref="B29:C29"/>
    <mergeCell ref="B30:C30"/>
    <mergeCell ref="B19:C19"/>
    <mergeCell ref="B1:C1"/>
    <mergeCell ref="B2:C2"/>
    <mergeCell ref="B4:C4"/>
    <mergeCell ref="B5:C5"/>
    <mergeCell ref="B6:C6"/>
    <mergeCell ref="B8:C8"/>
    <mergeCell ref="B9:C9"/>
    <mergeCell ref="B11:C11"/>
    <mergeCell ref="B12:C12"/>
    <mergeCell ref="B14:C14"/>
    <mergeCell ref="B15:C15"/>
  </mergeCells>
  <hyperlinks>
    <hyperlink ref="B6:C6" r:id="rId1" display="Please visit http://www.epa.gov/air/tribal/tribalnsr.html for more information about the Tribal NSR Rule."/>
    <hyperlink ref="B27" r:id="rId2"/>
  </hyperlinks>
  <pageMargins left="0.7" right="0.7" top="0.75" bottom="0.75" header="0.3" footer="0.3"/>
  <pageSetup scale="72" orientation="portrait" r:id="rId3"/>
  <headerFooter>
    <oddFooter>&amp;LPage &amp;P of &amp;N&amp;C&amp;F&amp;RPrinted &amp;D</oddFooter>
  </headerFooter>
  <ignoredErrors>
    <ignoredError sqref="B16:B17 B21:B23 B33:B36"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33"/>
  <sheetViews>
    <sheetView workbookViewId="0"/>
  </sheetViews>
  <sheetFormatPr defaultRowHeight="13.2" x14ac:dyDescent="0.25"/>
  <cols>
    <col min="1" max="1" width="69.44140625" customWidth="1"/>
    <col min="2" max="3" width="20.6640625" style="8" customWidth="1"/>
    <col min="4" max="4" width="40.44140625" customWidth="1"/>
    <col min="5" max="5" width="45.5546875" customWidth="1"/>
  </cols>
  <sheetData>
    <row r="1" spans="1:4" ht="17.399999999999999" x14ac:dyDescent="0.3">
      <c r="A1" s="1" t="s">
        <v>48</v>
      </c>
      <c r="B1" s="62"/>
      <c r="C1" s="62"/>
    </row>
    <row r="2" spans="1:4" ht="12" customHeight="1" x14ac:dyDescent="0.25">
      <c r="A2" s="84"/>
      <c r="B2" s="232"/>
      <c r="C2" s="232"/>
      <c r="D2" s="84"/>
    </row>
    <row r="3" spans="1:4" ht="12" customHeight="1" x14ac:dyDescent="0.25">
      <c r="A3" s="252" t="s">
        <v>408</v>
      </c>
      <c r="B3" s="253"/>
      <c r="C3" s="253"/>
      <c r="D3" s="254"/>
    </row>
    <row r="4" spans="1:4" s="251" customFormat="1" ht="12" customHeight="1" x14ac:dyDescent="0.25">
      <c r="A4" s="81" t="s">
        <v>49</v>
      </c>
      <c r="B4" s="12" t="s">
        <v>54</v>
      </c>
      <c r="C4" s="12" t="s">
        <v>90</v>
      </c>
      <c r="D4" s="81" t="s">
        <v>37</v>
      </c>
    </row>
    <row r="5" spans="1:4" ht="12" customHeight="1" x14ac:dyDescent="0.25">
      <c r="A5" s="388" t="s">
        <v>409</v>
      </c>
      <c r="B5" s="388"/>
      <c r="C5" s="388"/>
      <c r="D5" s="388"/>
    </row>
    <row r="6" spans="1:4" x14ac:dyDescent="0.25">
      <c r="A6" s="63" t="s">
        <v>412</v>
      </c>
      <c r="B6" s="13">
        <v>25.5</v>
      </c>
      <c r="C6" s="13" t="s">
        <v>407</v>
      </c>
      <c r="D6" s="63" t="s">
        <v>416</v>
      </c>
    </row>
    <row r="7" spans="1:4" x14ac:dyDescent="0.25">
      <c r="A7" s="63" t="s">
        <v>413</v>
      </c>
      <c r="B7" s="13">
        <v>38</v>
      </c>
      <c r="C7" s="13" t="s">
        <v>407</v>
      </c>
      <c r="D7" s="63" t="s">
        <v>416</v>
      </c>
    </row>
    <row r="8" spans="1:4" x14ac:dyDescent="0.25">
      <c r="A8" s="63" t="s">
        <v>414</v>
      </c>
      <c r="B8" s="13">
        <v>25</v>
      </c>
      <c r="C8" s="13" t="s">
        <v>407</v>
      </c>
      <c r="D8" s="63" t="s">
        <v>416</v>
      </c>
    </row>
    <row r="9" spans="1:4" x14ac:dyDescent="0.25">
      <c r="A9" s="389" t="s">
        <v>410</v>
      </c>
      <c r="B9" s="376"/>
      <c r="C9" s="376"/>
      <c r="D9" s="390"/>
    </row>
    <row r="10" spans="1:4" x14ac:dyDescent="0.25">
      <c r="A10" s="63" t="s">
        <v>412</v>
      </c>
      <c r="B10" s="233">
        <v>30</v>
      </c>
      <c r="C10" s="13" t="s">
        <v>407</v>
      </c>
      <c r="D10" s="63" t="s">
        <v>416</v>
      </c>
    </row>
    <row r="11" spans="1:4" ht="12" customHeight="1" x14ac:dyDescent="0.25">
      <c r="A11" s="63" t="s">
        <v>413</v>
      </c>
      <c r="B11" s="155">
        <v>28</v>
      </c>
      <c r="C11" s="13" t="s">
        <v>407</v>
      </c>
      <c r="D11" s="63" t="s">
        <v>416</v>
      </c>
    </row>
    <row r="12" spans="1:4" ht="12" customHeight="1" x14ac:dyDescent="0.25">
      <c r="A12" s="63" t="s">
        <v>414</v>
      </c>
      <c r="B12" s="155">
        <v>25</v>
      </c>
      <c r="C12" s="13" t="s">
        <v>407</v>
      </c>
      <c r="D12" s="63" t="s">
        <v>416</v>
      </c>
    </row>
    <row r="13" spans="1:4" x14ac:dyDescent="0.25">
      <c r="A13" s="389" t="s">
        <v>411</v>
      </c>
      <c r="B13" s="376"/>
      <c r="C13" s="376"/>
      <c r="D13" s="390"/>
    </row>
    <row r="14" spans="1:4" x14ac:dyDescent="0.25">
      <c r="A14" s="63" t="s">
        <v>412</v>
      </c>
      <c r="B14" s="156">
        <v>59</v>
      </c>
      <c r="C14" s="155" t="s">
        <v>407</v>
      </c>
      <c r="D14" s="63" t="s">
        <v>416</v>
      </c>
    </row>
    <row r="15" spans="1:4" x14ac:dyDescent="0.25">
      <c r="A15" s="63" t="s">
        <v>413</v>
      </c>
      <c r="B15" s="196">
        <v>52.5</v>
      </c>
      <c r="C15" s="155" t="s">
        <v>407</v>
      </c>
      <c r="D15" s="63" t="s">
        <v>416</v>
      </c>
    </row>
    <row r="16" spans="1:4" x14ac:dyDescent="0.25">
      <c r="A16" s="63" t="s">
        <v>414</v>
      </c>
      <c r="B16" s="196">
        <v>42.5</v>
      </c>
      <c r="C16" s="155" t="s">
        <v>407</v>
      </c>
      <c r="D16" s="63" t="s">
        <v>416</v>
      </c>
    </row>
    <row r="17" spans="1:5" x14ac:dyDescent="0.25">
      <c r="A17" s="391" t="s">
        <v>415</v>
      </c>
      <c r="B17" s="392"/>
      <c r="C17" s="392"/>
      <c r="D17" s="393"/>
    </row>
    <row r="18" spans="1:5" x14ac:dyDescent="0.25">
      <c r="A18" s="225" t="s">
        <v>409</v>
      </c>
      <c r="B18" s="196">
        <f>IF(Conveyorized = "Yes", IF(Control_Device_Used="Yes",IF(Operating_Procedures_Used="Yes",B16/2,B8),0),IF(Solvent_Type = "Cold", IF(Control_Device_Used="Yes", IF(Operating_Procedures_Used = "Yes",B14/2,B6),0),IF(Solvent_Type="Vaporized", IF(Control_Device_Used="Yes",IF(Operating_Procedures_Used="Yes",B15/2,B7),0))))</f>
        <v>0</v>
      </c>
      <c r="C18" s="155" t="s">
        <v>407</v>
      </c>
      <c r="D18" s="63" t="s">
        <v>416</v>
      </c>
    </row>
    <row r="19" spans="1:5" x14ac:dyDescent="0.25">
      <c r="A19" s="225" t="s">
        <v>410</v>
      </c>
      <c r="B19" s="196">
        <f>IF(Conveyorized="Yes",IF(Operating_Procedures_Used="Yes",IF(Control_Device_Used="Yes",B16/2,B12),0),IF(Solvent_Type="Cold",IF(Operating_Procedures_Used="Yes",IF(Control_Device_Used="Yes",B14/2,B10),0),IF(Solvent_Type="Vaporized",IF(Operating_Procedures_Used="Yes",IF(Control_Device_Used="Yes",B15/2,B11),0))))</f>
        <v>0</v>
      </c>
      <c r="C19" s="155" t="s">
        <v>407</v>
      </c>
      <c r="D19" s="63" t="s">
        <v>416</v>
      </c>
    </row>
    <row r="21" spans="1:5" x14ac:dyDescent="0.25">
      <c r="A21" s="387" t="s">
        <v>417</v>
      </c>
      <c r="B21" s="387"/>
      <c r="C21" s="387"/>
      <c r="D21" s="387"/>
    </row>
    <row r="22" spans="1:5" x14ac:dyDescent="0.25">
      <c r="A22" s="80" t="s">
        <v>81</v>
      </c>
      <c r="B22" s="12" t="s">
        <v>434</v>
      </c>
      <c r="C22" s="12" t="s">
        <v>435</v>
      </c>
      <c r="D22" s="237" t="s">
        <v>90</v>
      </c>
      <c r="E22" s="238" t="s">
        <v>37</v>
      </c>
    </row>
    <row r="23" spans="1:5" x14ac:dyDescent="0.25">
      <c r="A23" s="234" t="s">
        <v>67</v>
      </c>
      <c r="B23" s="13">
        <v>0.24</v>
      </c>
      <c r="C23" s="13">
        <v>0.5</v>
      </c>
      <c r="D23" s="13" t="s">
        <v>418</v>
      </c>
      <c r="E23" s="235" t="s">
        <v>419</v>
      </c>
    </row>
    <row r="24" spans="1:5" x14ac:dyDescent="0.25">
      <c r="A24" s="234" t="s">
        <v>65</v>
      </c>
      <c r="B24" s="196">
        <v>0.2</v>
      </c>
      <c r="C24" s="196">
        <v>48</v>
      </c>
      <c r="D24" s="196" t="s">
        <v>420</v>
      </c>
      <c r="E24" s="236" t="s">
        <v>421</v>
      </c>
    </row>
    <row r="25" spans="1:5" x14ac:dyDescent="0.25">
      <c r="A25" s="234" t="s">
        <v>66</v>
      </c>
      <c r="B25" s="196">
        <v>0.2</v>
      </c>
      <c r="C25" s="196">
        <v>48</v>
      </c>
      <c r="D25" s="196" t="s">
        <v>420</v>
      </c>
      <c r="E25" s="236" t="s">
        <v>421</v>
      </c>
    </row>
    <row r="27" spans="1:5" x14ac:dyDescent="0.25">
      <c r="A27" s="387" t="s">
        <v>422</v>
      </c>
      <c r="B27" s="387"/>
      <c r="C27" s="387"/>
      <c r="D27" s="387"/>
    </row>
    <row r="28" spans="1:5" x14ac:dyDescent="0.25">
      <c r="A28" s="81" t="s">
        <v>49</v>
      </c>
      <c r="B28" s="12" t="s">
        <v>54</v>
      </c>
      <c r="C28" s="12" t="s">
        <v>90</v>
      </c>
      <c r="D28" s="81" t="s">
        <v>37</v>
      </c>
    </row>
    <row r="29" spans="1:5" x14ac:dyDescent="0.25">
      <c r="A29" s="63" t="s">
        <v>423</v>
      </c>
      <c r="B29" s="265">
        <v>8760</v>
      </c>
      <c r="C29" s="13" t="s">
        <v>424</v>
      </c>
      <c r="D29" s="63" t="s">
        <v>454</v>
      </c>
    </row>
    <row r="31" spans="1:5" x14ac:dyDescent="0.25">
      <c r="A31" s="384" t="s">
        <v>445</v>
      </c>
      <c r="B31" s="385"/>
      <c r="C31" s="385"/>
      <c r="D31" s="385"/>
      <c r="E31" s="386"/>
    </row>
    <row r="32" spans="1:5" x14ac:dyDescent="0.25">
      <c r="A32" s="239" t="s">
        <v>436</v>
      </c>
      <c r="B32" s="255" t="s">
        <v>437</v>
      </c>
      <c r="C32" s="255" t="s">
        <v>438</v>
      </c>
      <c r="D32" s="256" t="s">
        <v>439</v>
      </c>
      <c r="E32" s="240" t="s">
        <v>37</v>
      </c>
    </row>
    <row r="33" spans="1:5" x14ac:dyDescent="0.25">
      <c r="A33" s="63" t="s">
        <v>440</v>
      </c>
      <c r="B33" s="196">
        <v>6.2</v>
      </c>
      <c r="C33" s="196">
        <v>7.3</v>
      </c>
      <c r="D33" s="196">
        <f>(C33+B33)/2</f>
        <v>6.75</v>
      </c>
      <c r="E33" s="63" t="s">
        <v>441</v>
      </c>
    </row>
  </sheetData>
  <mergeCells count="7">
    <mergeCell ref="A31:E31"/>
    <mergeCell ref="A27:D27"/>
    <mergeCell ref="A5:D5"/>
    <mergeCell ref="A9:D9"/>
    <mergeCell ref="A13:D13"/>
    <mergeCell ref="A17:D17"/>
    <mergeCell ref="A21:D21"/>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55"/>
  <sheetViews>
    <sheetView workbookViewId="0"/>
  </sheetViews>
  <sheetFormatPr defaultColWidth="9.109375" defaultRowHeight="14.4" x14ac:dyDescent="0.3"/>
  <cols>
    <col min="1" max="1" width="47.33203125" style="101" bestFit="1" customWidth="1"/>
    <col min="2" max="2" width="17.88671875" style="100" bestFit="1" customWidth="1"/>
    <col min="3" max="3" width="11" style="100" bestFit="1" customWidth="1"/>
    <col min="4" max="4" width="19.44140625" style="101" bestFit="1" customWidth="1"/>
    <col min="5" max="5" width="14.33203125" style="101" bestFit="1" customWidth="1"/>
    <col min="6" max="6" width="26" style="101" bestFit="1" customWidth="1"/>
    <col min="7" max="7" width="18.6640625" style="101" bestFit="1" customWidth="1"/>
    <col min="8" max="8" width="14.33203125" style="101" bestFit="1" customWidth="1"/>
    <col min="9" max="10" width="26" style="101" bestFit="1" customWidth="1"/>
    <col min="11" max="11" width="18.6640625" style="101" bestFit="1" customWidth="1"/>
    <col min="12" max="12" width="13.44140625" style="101" bestFit="1" customWidth="1"/>
    <col min="13" max="13" width="5.5546875" style="100" bestFit="1" customWidth="1"/>
    <col min="14" max="14" width="12.109375" style="100" bestFit="1" customWidth="1"/>
    <col min="15" max="16384" width="9.109375" style="101"/>
  </cols>
  <sheetData>
    <row r="1" spans="1:14" ht="17.399999999999999" x14ac:dyDescent="0.3">
      <c r="A1" s="99" t="s">
        <v>92</v>
      </c>
    </row>
    <row r="3" spans="1:14" x14ac:dyDescent="0.3">
      <c r="D3" s="394" t="s">
        <v>93</v>
      </c>
      <c r="E3" s="394"/>
      <c r="F3" s="394"/>
      <c r="G3" s="394"/>
      <c r="H3" s="394"/>
      <c r="I3" s="394"/>
      <c r="J3" s="394"/>
      <c r="K3" s="394"/>
      <c r="L3" s="394"/>
      <c r="M3" s="394"/>
      <c r="N3" s="394"/>
    </row>
    <row r="4" spans="1:14" x14ac:dyDescent="0.3">
      <c r="A4" s="102" t="s">
        <v>94</v>
      </c>
      <c r="B4" s="213" t="s">
        <v>95</v>
      </c>
      <c r="C4" s="213" t="s">
        <v>96</v>
      </c>
      <c r="D4" s="102" t="s">
        <v>6</v>
      </c>
      <c r="E4" s="102" t="s">
        <v>8</v>
      </c>
      <c r="F4" s="102" t="s">
        <v>9</v>
      </c>
      <c r="G4" s="102" t="s">
        <v>97</v>
      </c>
      <c r="H4" s="102" t="s">
        <v>98</v>
      </c>
      <c r="I4" s="102" t="s">
        <v>99</v>
      </c>
      <c r="J4" s="102" t="s">
        <v>100</v>
      </c>
      <c r="K4" s="102" t="s">
        <v>101</v>
      </c>
      <c r="L4" s="102" t="s">
        <v>102</v>
      </c>
      <c r="M4" s="213" t="s">
        <v>94</v>
      </c>
      <c r="N4" s="213" t="s">
        <v>103</v>
      </c>
    </row>
    <row r="5" spans="1:14" x14ac:dyDescent="0.3">
      <c r="A5" s="101" t="s">
        <v>104</v>
      </c>
      <c r="B5" s="100" t="s">
        <v>105</v>
      </c>
      <c r="C5" s="100">
        <v>4</v>
      </c>
      <c r="D5" s="221" t="s">
        <v>106</v>
      </c>
      <c r="E5" s="222" t="s">
        <v>107</v>
      </c>
      <c r="F5" s="103" t="s">
        <v>108</v>
      </c>
      <c r="G5" s="222" t="s">
        <v>109</v>
      </c>
      <c r="H5" s="222" t="s">
        <v>110</v>
      </c>
      <c r="I5" s="104" t="s">
        <v>111</v>
      </c>
      <c r="J5" s="222" t="s">
        <v>112</v>
      </c>
      <c r="K5" s="221" t="s">
        <v>113</v>
      </c>
      <c r="L5" s="222" t="s">
        <v>114</v>
      </c>
      <c r="M5" s="223" t="s">
        <v>115</v>
      </c>
      <c r="N5" s="223" t="s">
        <v>116</v>
      </c>
    </row>
    <row r="6" spans="1:14" x14ac:dyDescent="0.3">
      <c r="A6" s="101" t="s">
        <v>117</v>
      </c>
      <c r="B6" s="100" t="s">
        <v>118</v>
      </c>
      <c r="C6" s="100">
        <v>10</v>
      </c>
      <c r="D6" s="221" t="s">
        <v>119</v>
      </c>
      <c r="E6" s="221" t="s">
        <v>120</v>
      </c>
      <c r="F6" s="104" t="s">
        <v>121</v>
      </c>
      <c r="G6" s="221" t="s">
        <v>122</v>
      </c>
      <c r="H6" s="222"/>
      <c r="I6" s="222"/>
      <c r="J6" s="222" t="s">
        <v>123</v>
      </c>
      <c r="K6" s="222" t="s">
        <v>124</v>
      </c>
      <c r="L6" s="222" t="s">
        <v>125</v>
      </c>
      <c r="M6" s="223" t="s">
        <v>126</v>
      </c>
      <c r="N6" s="223">
        <v>98101</v>
      </c>
    </row>
    <row r="7" spans="1:14" x14ac:dyDescent="0.3">
      <c r="A7" s="101" t="s">
        <v>127</v>
      </c>
      <c r="B7" s="100" t="s">
        <v>128</v>
      </c>
      <c r="C7" s="100">
        <v>9</v>
      </c>
      <c r="D7" s="221" t="s">
        <v>129</v>
      </c>
      <c r="E7" s="222" t="s">
        <v>130</v>
      </c>
      <c r="F7" s="103" t="s">
        <v>131</v>
      </c>
      <c r="G7" s="221" t="s">
        <v>132</v>
      </c>
      <c r="H7" s="222" t="s">
        <v>133</v>
      </c>
      <c r="I7" s="103" t="s">
        <v>134</v>
      </c>
      <c r="J7" s="222" t="s">
        <v>135</v>
      </c>
      <c r="K7" s="222" t="s">
        <v>136</v>
      </c>
      <c r="L7" s="222" t="s">
        <v>137</v>
      </c>
      <c r="M7" s="223" t="s">
        <v>138</v>
      </c>
      <c r="N7" s="223">
        <v>94105</v>
      </c>
    </row>
    <row r="8" spans="1:14" x14ac:dyDescent="0.3">
      <c r="A8" s="101" t="s">
        <v>139</v>
      </c>
      <c r="B8" s="100" t="s">
        <v>140</v>
      </c>
      <c r="C8" s="100">
        <v>6</v>
      </c>
      <c r="D8" s="221" t="s">
        <v>141</v>
      </c>
      <c r="E8" s="222" t="s">
        <v>142</v>
      </c>
      <c r="F8" s="105" t="s">
        <v>143</v>
      </c>
      <c r="G8" s="222" t="s">
        <v>122</v>
      </c>
      <c r="H8" s="222"/>
      <c r="I8" s="222"/>
      <c r="J8" s="221" t="s">
        <v>144</v>
      </c>
      <c r="K8" s="221" t="s">
        <v>145</v>
      </c>
      <c r="L8" s="222" t="s">
        <v>146</v>
      </c>
      <c r="M8" s="223" t="s">
        <v>147</v>
      </c>
      <c r="N8" s="223" t="s">
        <v>148</v>
      </c>
    </row>
    <row r="9" spans="1:14" x14ac:dyDescent="0.3">
      <c r="A9" s="101" t="s">
        <v>149</v>
      </c>
      <c r="B9" s="100" t="s">
        <v>138</v>
      </c>
      <c r="C9" s="100">
        <v>9</v>
      </c>
      <c r="D9" s="221" t="s">
        <v>129</v>
      </c>
      <c r="E9" s="222" t="s">
        <v>130</v>
      </c>
      <c r="F9" s="103" t="s">
        <v>131</v>
      </c>
      <c r="G9" s="221" t="s">
        <v>132</v>
      </c>
      <c r="H9" s="222" t="s">
        <v>133</v>
      </c>
      <c r="I9" s="103" t="s">
        <v>134</v>
      </c>
      <c r="J9" s="222" t="s">
        <v>135</v>
      </c>
      <c r="K9" s="222" t="s">
        <v>136</v>
      </c>
      <c r="L9" s="222" t="s">
        <v>137</v>
      </c>
      <c r="M9" s="223" t="s">
        <v>138</v>
      </c>
      <c r="N9" s="223">
        <v>94105</v>
      </c>
    </row>
    <row r="10" spans="1:14" x14ac:dyDescent="0.3">
      <c r="A10" s="101" t="s">
        <v>150</v>
      </c>
      <c r="B10" s="100" t="s">
        <v>60</v>
      </c>
      <c r="C10" s="100">
        <v>8</v>
      </c>
      <c r="D10" s="221" t="s">
        <v>151</v>
      </c>
      <c r="E10" s="222" t="s">
        <v>152</v>
      </c>
      <c r="F10" s="103" t="s">
        <v>153</v>
      </c>
      <c r="G10" s="221" t="s">
        <v>154</v>
      </c>
      <c r="H10" s="222" t="s">
        <v>155</v>
      </c>
      <c r="I10" s="104" t="s">
        <v>156</v>
      </c>
      <c r="J10" s="221" t="s">
        <v>157</v>
      </c>
      <c r="K10" s="221" t="s">
        <v>158</v>
      </c>
      <c r="L10" s="222" t="s">
        <v>159</v>
      </c>
      <c r="M10" s="223" t="s">
        <v>60</v>
      </c>
      <c r="N10" s="223" t="s">
        <v>160</v>
      </c>
    </row>
    <row r="11" spans="1:14" x14ac:dyDescent="0.3">
      <c r="A11" s="101" t="s">
        <v>161</v>
      </c>
      <c r="B11" s="100" t="s">
        <v>162</v>
      </c>
      <c r="C11" s="100">
        <v>1</v>
      </c>
      <c r="D11" s="222" t="s">
        <v>163</v>
      </c>
      <c r="E11" s="222" t="s">
        <v>164</v>
      </c>
      <c r="F11" s="104" t="s">
        <v>165</v>
      </c>
      <c r="G11" s="222" t="s">
        <v>122</v>
      </c>
      <c r="H11" s="222"/>
      <c r="I11" s="222"/>
      <c r="J11" s="221" t="s">
        <v>166</v>
      </c>
      <c r="K11" s="221" t="s">
        <v>167</v>
      </c>
      <c r="L11" s="222" t="s">
        <v>168</v>
      </c>
      <c r="M11" s="223" t="s">
        <v>169</v>
      </c>
      <c r="N11" s="223" t="s">
        <v>170</v>
      </c>
    </row>
    <row r="12" spans="1:14" x14ac:dyDescent="0.3">
      <c r="A12" s="101" t="s">
        <v>171</v>
      </c>
      <c r="B12" s="100" t="s">
        <v>172</v>
      </c>
      <c r="C12" s="100">
        <v>4</v>
      </c>
      <c r="D12" s="221" t="s">
        <v>106</v>
      </c>
      <c r="E12" s="222" t="s">
        <v>107</v>
      </c>
      <c r="F12" s="103" t="s">
        <v>108</v>
      </c>
      <c r="G12" s="222" t="s">
        <v>109</v>
      </c>
      <c r="H12" s="222" t="s">
        <v>110</v>
      </c>
      <c r="I12" s="104" t="s">
        <v>111</v>
      </c>
      <c r="J12" s="222" t="s">
        <v>112</v>
      </c>
      <c r="K12" s="221" t="s">
        <v>113</v>
      </c>
      <c r="L12" s="222" t="s">
        <v>114</v>
      </c>
      <c r="M12" s="223" t="s">
        <v>115</v>
      </c>
      <c r="N12" s="223" t="s">
        <v>116</v>
      </c>
    </row>
    <row r="13" spans="1:14" x14ac:dyDescent="0.3">
      <c r="A13" s="222" t="s">
        <v>368</v>
      </c>
      <c r="B13" s="100" t="s">
        <v>115</v>
      </c>
      <c r="C13" s="100">
        <v>4</v>
      </c>
      <c r="D13" s="221" t="s">
        <v>106</v>
      </c>
      <c r="E13" s="222" t="s">
        <v>107</v>
      </c>
      <c r="F13" s="103" t="s">
        <v>108</v>
      </c>
      <c r="G13" s="222" t="s">
        <v>109</v>
      </c>
      <c r="H13" s="222" t="s">
        <v>110</v>
      </c>
      <c r="I13" s="104" t="s">
        <v>111</v>
      </c>
      <c r="J13" s="222" t="s">
        <v>112</v>
      </c>
      <c r="K13" s="221" t="s">
        <v>113</v>
      </c>
      <c r="L13" s="222" t="s">
        <v>114</v>
      </c>
      <c r="M13" s="223" t="s">
        <v>115</v>
      </c>
      <c r="N13" s="223" t="s">
        <v>116</v>
      </c>
    </row>
    <row r="14" spans="1:14" x14ac:dyDescent="0.3">
      <c r="A14" s="101" t="s">
        <v>173</v>
      </c>
      <c r="B14" s="100" t="s">
        <v>174</v>
      </c>
      <c r="C14" s="100">
        <v>9</v>
      </c>
      <c r="D14" s="221" t="s">
        <v>129</v>
      </c>
      <c r="E14" s="222" t="s">
        <v>130</v>
      </c>
      <c r="F14" s="103" t="s">
        <v>131</v>
      </c>
      <c r="G14" s="221" t="s">
        <v>132</v>
      </c>
      <c r="H14" s="222" t="s">
        <v>133</v>
      </c>
      <c r="I14" s="103" t="s">
        <v>134</v>
      </c>
      <c r="J14" s="222" t="s">
        <v>135</v>
      </c>
      <c r="K14" s="222" t="s">
        <v>136</v>
      </c>
      <c r="L14" s="222" t="s">
        <v>137</v>
      </c>
      <c r="M14" s="223" t="s">
        <v>138</v>
      </c>
      <c r="N14" s="223">
        <v>94105</v>
      </c>
    </row>
    <row r="15" spans="1:14" x14ac:dyDescent="0.3">
      <c r="A15" s="101" t="s">
        <v>175</v>
      </c>
      <c r="B15" s="100" t="s">
        <v>176</v>
      </c>
      <c r="C15" s="100">
        <v>10</v>
      </c>
      <c r="D15" s="221" t="s">
        <v>119</v>
      </c>
      <c r="E15" s="221" t="s">
        <v>120</v>
      </c>
      <c r="F15" s="104" t="s">
        <v>121</v>
      </c>
      <c r="G15" s="221" t="s">
        <v>122</v>
      </c>
      <c r="H15" s="222"/>
      <c r="I15" s="222"/>
      <c r="J15" s="222" t="s">
        <v>123</v>
      </c>
      <c r="K15" s="222" t="s">
        <v>124</v>
      </c>
      <c r="L15" s="222" t="s">
        <v>125</v>
      </c>
      <c r="M15" s="223" t="s">
        <v>126</v>
      </c>
      <c r="N15" s="223">
        <v>98101</v>
      </c>
    </row>
    <row r="16" spans="1:14" x14ac:dyDescent="0.3">
      <c r="A16" s="101" t="s">
        <v>177</v>
      </c>
      <c r="B16" s="100" t="s">
        <v>178</v>
      </c>
      <c r="C16" s="100">
        <v>5</v>
      </c>
      <c r="D16" s="221" t="s">
        <v>179</v>
      </c>
      <c r="E16" s="222" t="s">
        <v>180</v>
      </c>
      <c r="F16" s="103" t="s">
        <v>181</v>
      </c>
      <c r="G16" s="222" t="s">
        <v>122</v>
      </c>
      <c r="H16" s="222"/>
      <c r="I16" s="222"/>
      <c r="J16" s="221" t="s">
        <v>182</v>
      </c>
      <c r="K16" s="221" t="s">
        <v>183</v>
      </c>
      <c r="L16" s="222" t="s">
        <v>184</v>
      </c>
      <c r="M16" s="223" t="s">
        <v>178</v>
      </c>
      <c r="N16" s="223" t="s">
        <v>185</v>
      </c>
    </row>
    <row r="17" spans="1:14" x14ac:dyDescent="0.3">
      <c r="A17" s="101" t="s">
        <v>186</v>
      </c>
      <c r="B17" s="100" t="s">
        <v>187</v>
      </c>
      <c r="C17" s="100">
        <v>5</v>
      </c>
      <c r="D17" s="221" t="s">
        <v>179</v>
      </c>
      <c r="E17" s="222" t="s">
        <v>180</v>
      </c>
      <c r="F17" s="103" t="s">
        <v>181</v>
      </c>
      <c r="G17" s="222" t="s">
        <v>122</v>
      </c>
      <c r="H17" s="222"/>
      <c r="I17" s="222"/>
      <c r="J17" s="221" t="s">
        <v>182</v>
      </c>
      <c r="K17" s="221" t="s">
        <v>183</v>
      </c>
      <c r="L17" s="222" t="s">
        <v>184</v>
      </c>
      <c r="M17" s="223" t="s">
        <v>178</v>
      </c>
      <c r="N17" s="223" t="s">
        <v>185</v>
      </c>
    </row>
    <row r="18" spans="1:14" x14ac:dyDescent="0.3">
      <c r="A18" s="101" t="s">
        <v>188</v>
      </c>
      <c r="B18" s="100" t="s">
        <v>189</v>
      </c>
      <c r="C18" s="100">
        <v>7</v>
      </c>
      <c r="D18" s="221" t="s">
        <v>190</v>
      </c>
      <c r="E18" s="222" t="s">
        <v>191</v>
      </c>
      <c r="F18" s="103" t="s">
        <v>192</v>
      </c>
      <c r="G18" s="222" t="s">
        <v>122</v>
      </c>
      <c r="H18" s="222"/>
      <c r="I18" s="222"/>
      <c r="J18" s="221" t="s">
        <v>369</v>
      </c>
      <c r="K18" s="221" t="s">
        <v>370</v>
      </c>
      <c r="L18" s="222" t="s">
        <v>348</v>
      </c>
      <c r="M18" s="223" t="s">
        <v>193</v>
      </c>
      <c r="N18" s="223">
        <v>66219</v>
      </c>
    </row>
    <row r="19" spans="1:14" x14ac:dyDescent="0.3">
      <c r="A19" s="101" t="s">
        <v>194</v>
      </c>
      <c r="B19" s="100" t="s">
        <v>195</v>
      </c>
      <c r="C19" s="100">
        <v>7</v>
      </c>
      <c r="D19" s="221" t="s">
        <v>190</v>
      </c>
      <c r="E19" s="222" t="s">
        <v>191</v>
      </c>
      <c r="F19" s="103" t="s">
        <v>192</v>
      </c>
      <c r="G19" s="222" t="s">
        <v>122</v>
      </c>
      <c r="H19" s="222"/>
      <c r="I19" s="222"/>
      <c r="J19" s="221" t="s">
        <v>369</v>
      </c>
      <c r="K19" s="221" t="s">
        <v>370</v>
      </c>
      <c r="L19" s="222" t="s">
        <v>348</v>
      </c>
      <c r="M19" s="223" t="s">
        <v>193</v>
      </c>
      <c r="N19" s="223">
        <v>66219</v>
      </c>
    </row>
    <row r="20" spans="1:14" x14ac:dyDescent="0.3">
      <c r="A20" s="101" t="s">
        <v>196</v>
      </c>
      <c r="B20" s="100" t="s">
        <v>197</v>
      </c>
      <c r="C20" s="100">
        <v>4</v>
      </c>
      <c r="D20" s="221" t="s">
        <v>106</v>
      </c>
      <c r="E20" s="222" t="s">
        <v>107</v>
      </c>
      <c r="F20" s="103" t="s">
        <v>108</v>
      </c>
      <c r="G20" s="222" t="s">
        <v>109</v>
      </c>
      <c r="H20" s="222" t="s">
        <v>110</v>
      </c>
      <c r="I20" s="104" t="s">
        <v>111</v>
      </c>
      <c r="J20" s="222" t="s">
        <v>112</v>
      </c>
      <c r="K20" s="221" t="s">
        <v>113</v>
      </c>
      <c r="L20" s="222" t="s">
        <v>114</v>
      </c>
      <c r="M20" s="223" t="s">
        <v>115</v>
      </c>
      <c r="N20" s="223" t="s">
        <v>116</v>
      </c>
    </row>
    <row r="21" spans="1:14" x14ac:dyDescent="0.3">
      <c r="A21" s="222" t="s">
        <v>371</v>
      </c>
      <c r="B21" s="100" t="s">
        <v>198</v>
      </c>
      <c r="C21" s="100">
        <v>6</v>
      </c>
      <c r="D21" s="221" t="s">
        <v>141</v>
      </c>
      <c r="E21" s="267" t="s">
        <v>142</v>
      </c>
      <c r="F21" s="105" t="s">
        <v>143</v>
      </c>
      <c r="G21" s="222" t="s">
        <v>122</v>
      </c>
      <c r="H21" s="222"/>
      <c r="I21" s="222"/>
      <c r="J21" s="221" t="s">
        <v>144</v>
      </c>
      <c r="K21" s="221" t="s">
        <v>145</v>
      </c>
      <c r="L21" s="222" t="s">
        <v>146</v>
      </c>
      <c r="M21" s="223" t="s">
        <v>147</v>
      </c>
      <c r="N21" s="223" t="s">
        <v>148</v>
      </c>
    </row>
    <row r="22" spans="1:14" x14ac:dyDescent="0.3">
      <c r="A22" s="101" t="s">
        <v>199</v>
      </c>
      <c r="B22" s="100" t="s">
        <v>200</v>
      </c>
      <c r="C22" s="100">
        <v>1</v>
      </c>
      <c r="D22" s="222" t="s">
        <v>163</v>
      </c>
      <c r="E22" s="222" t="s">
        <v>164</v>
      </c>
      <c r="F22" s="104" t="s">
        <v>165</v>
      </c>
      <c r="G22" s="222" t="s">
        <v>122</v>
      </c>
      <c r="H22" s="222"/>
      <c r="I22" s="222"/>
      <c r="J22" s="221" t="s">
        <v>166</v>
      </c>
      <c r="K22" s="221" t="s">
        <v>167</v>
      </c>
      <c r="L22" s="222" t="s">
        <v>168</v>
      </c>
      <c r="M22" s="223" t="s">
        <v>169</v>
      </c>
      <c r="N22" s="223" t="s">
        <v>170</v>
      </c>
    </row>
    <row r="23" spans="1:14" x14ac:dyDescent="0.3">
      <c r="A23" s="101" t="s">
        <v>201</v>
      </c>
      <c r="B23" s="100" t="s">
        <v>169</v>
      </c>
      <c r="C23" s="100">
        <v>1</v>
      </c>
      <c r="D23" s="222" t="s">
        <v>163</v>
      </c>
      <c r="E23" s="222" t="s">
        <v>164</v>
      </c>
      <c r="F23" s="104" t="s">
        <v>165</v>
      </c>
      <c r="G23" s="222" t="s">
        <v>122</v>
      </c>
      <c r="H23" s="222"/>
      <c r="I23" s="222"/>
      <c r="J23" s="221" t="s">
        <v>166</v>
      </c>
      <c r="K23" s="221" t="s">
        <v>167</v>
      </c>
      <c r="L23" s="222" t="s">
        <v>168</v>
      </c>
      <c r="M23" s="223" t="s">
        <v>169</v>
      </c>
      <c r="N23" s="223" t="s">
        <v>170</v>
      </c>
    </row>
    <row r="24" spans="1:14" x14ac:dyDescent="0.3">
      <c r="A24" s="101" t="s">
        <v>202</v>
      </c>
      <c r="B24" s="100" t="s">
        <v>203</v>
      </c>
      <c r="C24" s="100">
        <v>5</v>
      </c>
      <c r="D24" s="221" t="s">
        <v>179</v>
      </c>
      <c r="E24" s="222" t="s">
        <v>180</v>
      </c>
      <c r="F24" s="103" t="s">
        <v>181</v>
      </c>
      <c r="G24" s="222" t="s">
        <v>122</v>
      </c>
      <c r="H24" s="222"/>
      <c r="I24" s="222"/>
      <c r="J24" s="221" t="s">
        <v>182</v>
      </c>
      <c r="K24" s="221" t="s">
        <v>183</v>
      </c>
      <c r="L24" s="222" t="s">
        <v>184</v>
      </c>
      <c r="M24" s="223" t="s">
        <v>178</v>
      </c>
      <c r="N24" s="223" t="s">
        <v>185</v>
      </c>
    </row>
    <row r="25" spans="1:14" x14ac:dyDescent="0.3">
      <c r="A25" s="101" t="s">
        <v>204</v>
      </c>
      <c r="B25" s="100" t="s">
        <v>205</v>
      </c>
      <c r="C25" s="100">
        <v>5</v>
      </c>
      <c r="D25" s="221" t="s">
        <v>179</v>
      </c>
      <c r="E25" s="222" t="s">
        <v>180</v>
      </c>
      <c r="F25" s="103" t="s">
        <v>181</v>
      </c>
      <c r="G25" s="222" t="s">
        <v>122</v>
      </c>
      <c r="H25" s="222"/>
      <c r="I25" s="222"/>
      <c r="J25" s="221" t="s">
        <v>182</v>
      </c>
      <c r="K25" s="221" t="s">
        <v>183</v>
      </c>
      <c r="L25" s="222" t="s">
        <v>184</v>
      </c>
      <c r="M25" s="223" t="s">
        <v>178</v>
      </c>
      <c r="N25" s="223" t="s">
        <v>185</v>
      </c>
    </row>
    <row r="26" spans="1:14" x14ac:dyDescent="0.3">
      <c r="A26" s="101" t="s">
        <v>206</v>
      </c>
      <c r="B26" s="100" t="s">
        <v>207</v>
      </c>
      <c r="C26" s="100">
        <v>4</v>
      </c>
      <c r="D26" s="221" t="s">
        <v>106</v>
      </c>
      <c r="E26" s="222" t="s">
        <v>107</v>
      </c>
      <c r="F26" s="103" t="s">
        <v>108</v>
      </c>
      <c r="G26" s="222" t="s">
        <v>109</v>
      </c>
      <c r="H26" s="222" t="s">
        <v>110</v>
      </c>
      <c r="I26" s="104" t="s">
        <v>111</v>
      </c>
      <c r="J26" s="222" t="s">
        <v>112</v>
      </c>
      <c r="K26" s="221" t="s">
        <v>113</v>
      </c>
      <c r="L26" s="222" t="s">
        <v>114</v>
      </c>
      <c r="M26" s="223" t="s">
        <v>115</v>
      </c>
      <c r="N26" s="223" t="s">
        <v>116</v>
      </c>
    </row>
    <row r="27" spans="1:14" x14ac:dyDescent="0.3">
      <c r="A27" s="101" t="s">
        <v>208</v>
      </c>
      <c r="B27" s="100" t="s">
        <v>209</v>
      </c>
      <c r="C27" s="100">
        <v>7</v>
      </c>
      <c r="D27" s="221" t="s">
        <v>190</v>
      </c>
      <c r="E27" s="222" t="s">
        <v>191</v>
      </c>
      <c r="F27" s="103" t="s">
        <v>192</v>
      </c>
      <c r="G27" s="222" t="s">
        <v>122</v>
      </c>
      <c r="H27" s="222"/>
      <c r="I27" s="222"/>
      <c r="J27" s="221" t="s">
        <v>369</v>
      </c>
      <c r="K27" s="221" t="s">
        <v>370</v>
      </c>
      <c r="L27" s="222" t="s">
        <v>348</v>
      </c>
      <c r="M27" s="223" t="s">
        <v>193</v>
      </c>
      <c r="N27" s="223">
        <v>66219</v>
      </c>
    </row>
    <row r="28" spans="1:14" x14ac:dyDescent="0.3">
      <c r="A28" s="101" t="s">
        <v>210</v>
      </c>
      <c r="B28" s="100" t="s">
        <v>211</v>
      </c>
      <c r="C28" s="100">
        <v>8</v>
      </c>
      <c r="D28" s="221" t="s">
        <v>151</v>
      </c>
      <c r="E28" s="222" t="s">
        <v>152</v>
      </c>
      <c r="F28" s="103" t="s">
        <v>153</v>
      </c>
      <c r="G28" s="221" t="s">
        <v>154</v>
      </c>
      <c r="H28" s="222" t="s">
        <v>155</v>
      </c>
      <c r="I28" s="104" t="s">
        <v>156</v>
      </c>
      <c r="J28" s="221" t="s">
        <v>157</v>
      </c>
      <c r="K28" s="221" t="s">
        <v>158</v>
      </c>
      <c r="L28" s="222" t="s">
        <v>159</v>
      </c>
      <c r="M28" s="223" t="s">
        <v>60</v>
      </c>
      <c r="N28" s="223" t="s">
        <v>160</v>
      </c>
    </row>
    <row r="29" spans="1:14" x14ac:dyDescent="0.3">
      <c r="A29" s="101" t="s">
        <v>212</v>
      </c>
      <c r="B29" s="100" t="s">
        <v>213</v>
      </c>
      <c r="C29" s="100">
        <v>7</v>
      </c>
      <c r="D29" s="221" t="s">
        <v>190</v>
      </c>
      <c r="E29" s="222" t="s">
        <v>191</v>
      </c>
      <c r="F29" s="103" t="s">
        <v>192</v>
      </c>
      <c r="G29" s="222" t="s">
        <v>122</v>
      </c>
      <c r="H29" s="222"/>
      <c r="I29" s="222"/>
      <c r="J29" s="221" t="s">
        <v>369</v>
      </c>
      <c r="K29" s="221" t="s">
        <v>370</v>
      </c>
      <c r="L29" s="222" t="s">
        <v>348</v>
      </c>
      <c r="M29" s="223" t="s">
        <v>193</v>
      </c>
      <c r="N29" s="223">
        <v>66219</v>
      </c>
    </row>
    <row r="30" spans="1:14" x14ac:dyDescent="0.3">
      <c r="A30" s="101" t="s">
        <v>214</v>
      </c>
      <c r="B30" s="100" t="s">
        <v>215</v>
      </c>
      <c r="C30" s="100">
        <v>9</v>
      </c>
      <c r="D30" s="221" t="s">
        <v>129</v>
      </c>
      <c r="E30" s="222" t="s">
        <v>130</v>
      </c>
      <c r="F30" s="103" t="s">
        <v>131</v>
      </c>
      <c r="G30" s="221" t="s">
        <v>132</v>
      </c>
      <c r="H30" s="222" t="s">
        <v>133</v>
      </c>
      <c r="I30" s="103" t="s">
        <v>134</v>
      </c>
      <c r="J30" s="222" t="s">
        <v>135</v>
      </c>
      <c r="K30" s="222" t="s">
        <v>136</v>
      </c>
      <c r="L30" s="222" t="s">
        <v>137</v>
      </c>
      <c r="M30" s="223" t="s">
        <v>138</v>
      </c>
      <c r="N30" s="223">
        <v>94105</v>
      </c>
    </row>
    <row r="31" spans="1:14" x14ac:dyDescent="0.3">
      <c r="A31" s="101" t="s">
        <v>216</v>
      </c>
      <c r="B31" s="100" t="s">
        <v>217</v>
      </c>
      <c r="C31" s="100">
        <v>1</v>
      </c>
      <c r="D31" s="222" t="s">
        <v>163</v>
      </c>
      <c r="E31" s="222" t="s">
        <v>164</v>
      </c>
      <c r="F31" s="104" t="s">
        <v>165</v>
      </c>
      <c r="G31" s="222" t="s">
        <v>122</v>
      </c>
      <c r="H31" s="222"/>
      <c r="I31" s="222"/>
      <c r="J31" s="221" t="s">
        <v>166</v>
      </c>
      <c r="K31" s="221" t="s">
        <v>167</v>
      </c>
      <c r="L31" s="222" t="s">
        <v>168</v>
      </c>
      <c r="M31" s="223" t="s">
        <v>169</v>
      </c>
      <c r="N31" s="223" t="s">
        <v>170</v>
      </c>
    </row>
    <row r="32" spans="1:14" x14ac:dyDescent="0.3">
      <c r="A32" s="101" t="s">
        <v>218</v>
      </c>
      <c r="B32" s="100" t="s">
        <v>219</v>
      </c>
      <c r="C32" s="100">
        <v>2</v>
      </c>
      <c r="D32" s="222" t="s">
        <v>220</v>
      </c>
      <c r="E32" s="222" t="s">
        <v>221</v>
      </c>
      <c r="F32" s="104" t="s">
        <v>222</v>
      </c>
      <c r="G32" s="221" t="s">
        <v>223</v>
      </c>
      <c r="H32" s="222" t="s">
        <v>224</v>
      </c>
      <c r="I32" s="104" t="s">
        <v>225</v>
      </c>
      <c r="J32" s="221" t="s">
        <v>226</v>
      </c>
      <c r="K32" s="221" t="s">
        <v>227</v>
      </c>
      <c r="L32" s="222" t="s">
        <v>228</v>
      </c>
      <c r="M32" s="223" t="s">
        <v>229</v>
      </c>
      <c r="N32" s="223" t="s">
        <v>230</v>
      </c>
    </row>
    <row r="33" spans="1:14" x14ac:dyDescent="0.3">
      <c r="A33" s="101" t="s">
        <v>231</v>
      </c>
      <c r="B33" s="100" t="s">
        <v>232</v>
      </c>
      <c r="C33" s="100">
        <v>6</v>
      </c>
      <c r="D33" s="221" t="s">
        <v>141</v>
      </c>
      <c r="E33" s="267" t="s">
        <v>142</v>
      </c>
      <c r="F33" s="105" t="s">
        <v>143</v>
      </c>
      <c r="G33" s="222" t="s">
        <v>122</v>
      </c>
      <c r="H33" s="222"/>
      <c r="I33" s="222"/>
      <c r="J33" s="221" t="s">
        <v>144</v>
      </c>
      <c r="K33" s="221" t="s">
        <v>145</v>
      </c>
      <c r="L33" s="222" t="s">
        <v>146</v>
      </c>
      <c r="M33" s="223" t="s">
        <v>147</v>
      </c>
      <c r="N33" s="223" t="s">
        <v>148</v>
      </c>
    </row>
    <row r="34" spans="1:14" x14ac:dyDescent="0.3">
      <c r="A34" s="101" t="s">
        <v>228</v>
      </c>
      <c r="B34" s="100" t="s">
        <v>229</v>
      </c>
      <c r="C34" s="100">
        <v>2</v>
      </c>
      <c r="D34" s="222" t="s">
        <v>220</v>
      </c>
      <c r="E34" s="222" t="s">
        <v>221</v>
      </c>
      <c r="F34" s="104" t="s">
        <v>222</v>
      </c>
      <c r="G34" s="221" t="s">
        <v>223</v>
      </c>
      <c r="H34" s="222" t="s">
        <v>224</v>
      </c>
      <c r="I34" s="104" t="s">
        <v>225</v>
      </c>
      <c r="J34" s="221" t="s">
        <v>226</v>
      </c>
      <c r="K34" s="221" t="s">
        <v>227</v>
      </c>
      <c r="L34" s="222" t="s">
        <v>228</v>
      </c>
      <c r="M34" s="223" t="s">
        <v>229</v>
      </c>
      <c r="N34" s="223" t="s">
        <v>230</v>
      </c>
    </row>
    <row r="35" spans="1:14" x14ac:dyDescent="0.3">
      <c r="A35" s="101" t="s">
        <v>233</v>
      </c>
      <c r="B35" s="100" t="s">
        <v>234</v>
      </c>
      <c r="C35" s="100">
        <v>4</v>
      </c>
      <c r="D35" s="221" t="s">
        <v>106</v>
      </c>
      <c r="E35" s="222" t="s">
        <v>107</v>
      </c>
      <c r="F35" s="103" t="s">
        <v>108</v>
      </c>
      <c r="G35" s="222" t="s">
        <v>109</v>
      </c>
      <c r="H35" s="222" t="s">
        <v>110</v>
      </c>
      <c r="I35" s="104" t="s">
        <v>111</v>
      </c>
      <c r="J35" s="222" t="s">
        <v>112</v>
      </c>
      <c r="K35" s="221" t="s">
        <v>113</v>
      </c>
      <c r="L35" s="222" t="s">
        <v>114</v>
      </c>
      <c r="M35" s="223" t="s">
        <v>115</v>
      </c>
      <c r="N35" s="223" t="s">
        <v>116</v>
      </c>
    </row>
    <row r="36" spans="1:14" x14ac:dyDescent="0.3">
      <c r="A36" s="101" t="s">
        <v>235</v>
      </c>
      <c r="B36" s="100" t="s">
        <v>236</v>
      </c>
      <c r="C36" s="100">
        <v>8</v>
      </c>
      <c r="D36" s="221" t="s">
        <v>151</v>
      </c>
      <c r="E36" s="222" t="s">
        <v>152</v>
      </c>
      <c r="F36" s="103" t="s">
        <v>153</v>
      </c>
      <c r="G36" s="221" t="s">
        <v>154</v>
      </c>
      <c r="H36" s="222" t="s">
        <v>155</v>
      </c>
      <c r="I36" s="104" t="s">
        <v>156</v>
      </c>
      <c r="J36" s="221" t="s">
        <v>157</v>
      </c>
      <c r="K36" s="221" t="s">
        <v>158</v>
      </c>
      <c r="L36" s="222" t="s">
        <v>159</v>
      </c>
      <c r="M36" s="223" t="s">
        <v>60</v>
      </c>
      <c r="N36" s="223" t="s">
        <v>160</v>
      </c>
    </row>
    <row r="37" spans="1:14" x14ac:dyDescent="0.3">
      <c r="A37" s="101" t="s">
        <v>237</v>
      </c>
      <c r="B37" s="100" t="s">
        <v>238</v>
      </c>
      <c r="C37" s="100">
        <v>5</v>
      </c>
      <c r="D37" s="221" t="s">
        <v>179</v>
      </c>
      <c r="E37" s="222" t="s">
        <v>180</v>
      </c>
      <c r="F37" s="103" t="s">
        <v>181</v>
      </c>
      <c r="G37" s="222" t="s">
        <v>122</v>
      </c>
      <c r="H37" s="222"/>
      <c r="I37" s="222"/>
      <c r="J37" s="221" t="s">
        <v>182</v>
      </c>
      <c r="K37" s="221" t="s">
        <v>183</v>
      </c>
      <c r="L37" s="222" t="s">
        <v>184</v>
      </c>
      <c r="M37" s="223" t="s">
        <v>178</v>
      </c>
      <c r="N37" s="223" t="s">
        <v>185</v>
      </c>
    </row>
    <row r="38" spans="1:14" x14ac:dyDescent="0.3">
      <c r="A38" s="101" t="s">
        <v>239</v>
      </c>
      <c r="B38" s="100" t="s">
        <v>240</v>
      </c>
      <c r="C38" s="100">
        <v>6</v>
      </c>
      <c r="D38" s="221" t="s">
        <v>141</v>
      </c>
      <c r="E38" s="267" t="s">
        <v>142</v>
      </c>
      <c r="F38" s="105" t="s">
        <v>143</v>
      </c>
      <c r="G38" s="222" t="s">
        <v>122</v>
      </c>
      <c r="H38" s="222"/>
      <c r="I38" s="222"/>
      <c r="J38" s="221" t="s">
        <v>144</v>
      </c>
      <c r="K38" s="221" t="s">
        <v>145</v>
      </c>
      <c r="L38" s="222" t="s">
        <v>146</v>
      </c>
      <c r="M38" s="223" t="s">
        <v>147</v>
      </c>
      <c r="N38" s="223" t="s">
        <v>148</v>
      </c>
    </row>
    <row r="39" spans="1:14" x14ac:dyDescent="0.3">
      <c r="A39" s="101" t="s">
        <v>241</v>
      </c>
      <c r="B39" s="100" t="s">
        <v>242</v>
      </c>
      <c r="C39" s="100">
        <v>10</v>
      </c>
      <c r="D39" s="221" t="s">
        <v>119</v>
      </c>
      <c r="E39" s="221" t="s">
        <v>120</v>
      </c>
      <c r="F39" s="104" t="s">
        <v>121</v>
      </c>
      <c r="G39" s="221" t="s">
        <v>122</v>
      </c>
      <c r="H39" s="222"/>
      <c r="I39" s="222"/>
      <c r="J39" s="222" t="s">
        <v>123</v>
      </c>
      <c r="K39" s="222" t="s">
        <v>124</v>
      </c>
      <c r="L39" s="222" t="s">
        <v>125</v>
      </c>
      <c r="M39" s="223" t="s">
        <v>126</v>
      </c>
      <c r="N39" s="223">
        <v>98101</v>
      </c>
    </row>
    <row r="40" spans="1:14" x14ac:dyDescent="0.3">
      <c r="A40" s="101" t="s">
        <v>243</v>
      </c>
      <c r="B40" s="100" t="s">
        <v>244</v>
      </c>
      <c r="C40" s="100">
        <v>1</v>
      </c>
      <c r="D40" s="222" t="s">
        <v>163</v>
      </c>
      <c r="E40" s="222" t="s">
        <v>164</v>
      </c>
      <c r="F40" s="104" t="s">
        <v>165</v>
      </c>
      <c r="G40" s="222" t="s">
        <v>122</v>
      </c>
      <c r="H40" s="222"/>
      <c r="I40" s="222"/>
      <c r="J40" s="221" t="s">
        <v>166</v>
      </c>
      <c r="K40" s="221" t="s">
        <v>167</v>
      </c>
      <c r="L40" s="222" t="s">
        <v>168</v>
      </c>
      <c r="M40" s="223" t="s">
        <v>169</v>
      </c>
      <c r="N40" s="223" t="s">
        <v>170</v>
      </c>
    </row>
    <row r="41" spans="1:14" x14ac:dyDescent="0.3">
      <c r="A41" s="101" t="s">
        <v>245</v>
      </c>
      <c r="B41" s="100" t="s">
        <v>246</v>
      </c>
      <c r="C41" s="100">
        <v>4</v>
      </c>
      <c r="D41" s="221" t="s">
        <v>106</v>
      </c>
      <c r="E41" s="222" t="s">
        <v>107</v>
      </c>
      <c r="F41" s="103" t="s">
        <v>108</v>
      </c>
      <c r="G41" s="222" t="s">
        <v>109</v>
      </c>
      <c r="H41" s="222" t="s">
        <v>110</v>
      </c>
      <c r="I41" s="104" t="s">
        <v>111</v>
      </c>
      <c r="J41" s="222" t="s">
        <v>112</v>
      </c>
      <c r="K41" s="221" t="s">
        <v>113</v>
      </c>
      <c r="L41" s="222" t="s">
        <v>114</v>
      </c>
      <c r="M41" s="223" t="s">
        <v>115</v>
      </c>
      <c r="N41" s="223" t="s">
        <v>116</v>
      </c>
    </row>
    <row r="42" spans="1:14" x14ac:dyDescent="0.3">
      <c r="A42" s="101" t="s">
        <v>247</v>
      </c>
      <c r="B42" s="100" t="s">
        <v>248</v>
      </c>
      <c r="C42" s="100">
        <v>8</v>
      </c>
      <c r="D42" s="221" t="s">
        <v>151</v>
      </c>
      <c r="E42" s="222" t="s">
        <v>152</v>
      </c>
      <c r="F42" s="103" t="s">
        <v>153</v>
      </c>
      <c r="G42" s="221" t="s">
        <v>154</v>
      </c>
      <c r="H42" s="222" t="s">
        <v>155</v>
      </c>
      <c r="I42" s="104" t="s">
        <v>156</v>
      </c>
      <c r="J42" s="221" t="s">
        <v>157</v>
      </c>
      <c r="K42" s="221" t="s">
        <v>158</v>
      </c>
      <c r="L42" s="222" t="s">
        <v>159</v>
      </c>
      <c r="M42" s="223" t="s">
        <v>60</v>
      </c>
      <c r="N42" s="223" t="s">
        <v>160</v>
      </c>
    </row>
    <row r="43" spans="1:14" x14ac:dyDescent="0.3">
      <c r="A43" s="101" t="s">
        <v>249</v>
      </c>
      <c r="B43" s="100" t="s">
        <v>250</v>
      </c>
      <c r="C43" s="100">
        <v>4</v>
      </c>
      <c r="D43" s="221" t="s">
        <v>106</v>
      </c>
      <c r="E43" s="222" t="s">
        <v>107</v>
      </c>
      <c r="F43" s="103" t="s">
        <v>108</v>
      </c>
      <c r="G43" s="222" t="s">
        <v>109</v>
      </c>
      <c r="H43" s="222" t="s">
        <v>110</v>
      </c>
      <c r="I43" s="104" t="s">
        <v>111</v>
      </c>
      <c r="J43" s="222" t="s">
        <v>112</v>
      </c>
      <c r="K43" s="221" t="s">
        <v>113</v>
      </c>
      <c r="L43" s="222" t="s">
        <v>114</v>
      </c>
      <c r="M43" s="223" t="s">
        <v>115</v>
      </c>
      <c r="N43" s="223" t="s">
        <v>116</v>
      </c>
    </row>
    <row r="44" spans="1:14" x14ac:dyDescent="0.3">
      <c r="A44" s="101" t="s">
        <v>251</v>
      </c>
      <c r="B44" s="100" t="s">
        <v>147</v>
      </c>
      <c r="C44" s="100">
        <v>6</v>
      </c>
      <c r="D44" s="221" t="s">
        <v>141</v>
      </c>
      <c r="E44" s="267" t="s">
        <v>142</v>
      </c>
      <c r="F44" s="105" t="s">
        <v>143</v>
      </c>
      <c r="G44" s="222" t="s">
        <v>122</v>
      </c>
      <c r="H44" s="222"/>
      <c r="I44" s="222"/>
      <c r="J44" s="221" t="s">
        <v>144</v>
      </c>
      <c r="K44" s="221" t="s">
        <v>145</v>
      </c>
      <c r="L44" s="222" t="s">
        <v>146</v>
      </c>
      <c r="M44" s="223" t="s">
        <v>147</v>
      </c>
      <c r="N44" s="223" t="s">
        <v>148</v>
      </c>
    </row>
    <row r="45" spans="1:14" x14ac:dyDescent="0.3">
      <c r="A45" s="101" t="s">
        <v>252</v>
      </c>
      <c r="B45" s="100" t="s">
        <v>253</v>
      </c>
      <c r="C45" s="100">
        <v>8</v>
      </c>
      <c r="D45" s="221" t="s">
        <v>151</v>
      </c>
      <c r="E45" s="222" t="s">
        <v>152</v>
      </c>
      <c r="F45" s="103" t="s">
        <v>153</v>
      </c>
      <c r="G45" s="221" t="s">
        <v>154</v>
      </c>
      <c r="H45" s="222" t="s">
        <v>155</v>
      </c>
      <c r="I45" s="104" t="s">
        <v>156</v>
      </c>
      <c r="J45" s="221" t="s">
        <v>157</v>
      </c>
      <c r="K45" s="221" t="s">
        <v>158</v>
      </c>
      <c r="L45" s="222" t="s">
        <v>159</v>
      </c>
      <c r="M45" s="223" t="s">
        <v>60</v>
      </c>
      <c r="N45" s="223" t="s">
        <v>160</v>
      </c>
    </row>
    <row r="46" spans="1:14" x14ac:dyDescent="0.3">
      <c r="A46" s="101" t="s">
        <v>254</v>
      </c>
      <c r="B46" s="100" t="s">
        <v>255</v>
      </c>
      <c r="C46" s="100">
        <v>1</v>
      </c>
      <c r="D46" s="222" t="s">
        <v>163</v>
      </c>
      <c r="E46" s="222" t="s">
        <v>164</v>
      </c>
      <c r="F46" s="104" t="s">
        <v>165</v>
      </c>
      <c r="G46" s="222" t="s">
        <v>122</v>
      </c>
      <c r="H46" s="222"/>
      <c r="I46" s="222"/>
      <c r="J46" s="221" t="s">
        <v>166</v>
      </c>
      <c r="K46" s="221" t="s">
        <v>167</v>
      </c>
      <c r="L46" s="222" t="s">
        <v>168</v>
      </c>
      <c r="M46" s="223" t="s">
        <v>169</v>
      </c>
      <c r="N46" s="223" t="s">
        <v>170</v>
      </c>
    </row>
    <row r="47" spans="1:14" x14ac:dyDescent="0.3">
      <c r="A47" s="101" t="s">
        <v>256</v>
      </c>
      <c r="B47" s="100" t="s">
        <v>126</v>
      </c>
      <c r="C47" s="100">
        <v>10</v>
      </c>
      <c r="D47" s="221" t="s">
        <v>119</v>
      </c>
      <c r="E47" s="221" t="s">
        <v>120</v>
      </c>
      <c r="F47" s="104" t="s">
        <v>121</v>
      </c>
      <c r="G47" s="221" t="s">
        <v>122</v>
      </c>
      <c r="H47" s="222"/>
      <c r="I47" s="222"/>
      <c r="J47" s="222" t="s">
        <v>123</v>
      </c>
      <c r="K47" s="222" t="s">
        <v>124</v>
      </c>
      <c r="L47" s="222" t="s">
        <v>125</v>
      </c>
      <c r="M47" s="223" t="s">
        <v>126</v>
      </c>
      <c r="N47" s="223">
        <v>98101</v>
      </c>
    </row>
    <row r="48" spans="1:14" x14ac:dyDescent="0.3">
      <c r="A48" s="101" t="s">
        <v>257</v>
      </c>
      <c r="B48" s="100" t="s">
        <v>258</v>
      </c>
      <c r="C48" s="100">
        <v>5</v>
      </c>
      <c r="D48" s="221" t="s">
        <v>179</v>
      </c>
      <c r="E48" s="222" t="s">
        <v>180</v>
      </c>
      <c r="F48" s="103" t="s">
        <v>181</v>
      </c>
      <c r="G48" s="222" t="s">
        <v>122</v>
      </c>
      <c r="H48" s="222"/>
      <c r="I48" s="222"/>
      <c r="J48" s="221" t="s">
        <v>182</v>
      </c>
      <c r="K48" s="221" t="s">
        <v>183</v>
      </c>
      <c r="L48" s="222" t="s">
        <v>184</v>
      </c>
      <c r="M48" s="223" t="s">
        <v>178</v>
      </c>
      <c r="N48" s="223" t="s">
        <v>185</v>
      </c>
    </row>
    <row r="49" spans="1:14" x14ac:dyDescent="0.3">
      <c r="A49" s="101" t="s">
        <v>259</v>
      </c>
      <c r="B49" s="100" t="s">
        <v>260</v>
      </c>
      <c r="C49" s="100">
        <v>8</v>
      </c>
      <c r="D49" s="221" t="s">
        <v>151</v>
      </c>
      <c r="E49" s="222" t="s">
        <v>152</v>
      </c>
      <c r="F49" s="103" t="s">
        <v>153</v>
      </c>
      <c r="G49" s="221" t="s">
        <v>154</v>
      </c>
      <c r="H49" s="222" t="s">
        <v>155</v>
      </c>
      <c r="I49" s="104" t="s">
        <v>156</v>
      </c>
      <c r="J49" s="221" t="s">
        <v>157</v>
      </c>
      <c r="K49" s="221" t="s">
        <v>158</v>
      </c>
      <c r="L49" s="222" t="s">
        <v>159</v>
      </c>
      <c r="M49" s="223" t="s">
        <v>60</v>
      </c>
      <c r="N49" s="223" t="s">
        <v>160</v>
      </c>
    </row>
    <row r="50" spans="1:14" x14ac:dyDescent="0.3">
      <c r="A50" s="101" t="s">
        <v>261</v>
      </c>
      <c r="B50" s="100" t="s">
        <v>262</v>
      </c>
      <c r="C50" s="100">
        <v>3</v>
      </c>
      <c r="D50" s="221" t="s">
        <v>122</v>
      </c>
      <c r="E50" s="222"/>
      <c r="F50" s="222"/>
      <c r="G50" s="222"/>
      <c r="H50" s="222"/>
      <c r="I50" s="222"/>
      <c r="J50" s="222"/>
      <c r="K50" s="222"/>
      <c r="L50" s="222"/>
      <c r="M50" s="223"/>
      <c r="N50" s="223"/>
    </row>
    <row r="51" spans="1:14" x14ac:dyDescent="0.3">
      <c r="A51" s="101" t="s">
        <v>263</v>
      </c>
      <c r="B51" s="100" t="s">
        <v>264</v>
      </c>
      <c r="C51" s="100">
        <v>3</v>
      </c>
      <c r="D51" s="221" t="s">
        <v>122</v>
      </c>
      <c r="E51" s="222"/>
      <c r="F51" s="222"/>
      <c r="G51" s="222"/>
      <c r="H51" s="222"/>
      <c r="I51" s="222"/>
      <c r="J51" s="222"/>
      <c r="K51" s="222"/>
      <c r="L51" s="222"/>
      <c r="M51" s="223"/>
      <c r="N51" s="223"/>
    </row>
    <row r="52" spans="1:14" x14ac:dyDescent="0.3">
      <c r="A52" s="101" t="s">
        <v>265</v>
      </c>
      <c r="B52" s="100" t="s">
        <v>266</v>
      </c>
      <c r="C52" s="100">
        <v>3</v>
      </c>
      <c r="D52" s="221" t="s">
        <v>122</v>
      </c>
      <c r="E52" s="222"/>
      <c r="F52" s="222"/>
      <c r="G52" s="222"/>
      <c r="H52" s="222"/>
      <c r="I52" s="222"/>
      <c r="J52" s="222"/>
      <c r="K52" s="222"/>
      <c r="L52" s="222"/>
      <c r="M52" s="223"/>
      <c r="N52" s="223"/>
    </row>
    <row r="53" spans="1:14" x14ac:dyDescent="0.3">
      <c r="A53" s="101" t="s">
        <v>267</v>
      </c>
      <c r="B53" s="100" t="s">
        <v>268</v>
      </c>
      <c r="C53" s="100">
        <v>3</v>
      </c>
      <c r="D53" s="221" t="s">
        <v>122</v>
      </c>
      <c r="E53" s="222"/>
      <c r="F53" s="222"/>
      <c r="G53" s="222"/>
      <c r="H53" s="222"/>
      <c r="I53" s="222"/>
      <c r="J53" s="222"/>
      <c r="K53" s="222"/>
      <c r="L53" s="222"/>
      <c r="M53" s="223"/>
      <c r="N53" s="223"/>
    </row>
    <row r="54" spans="1:14" x14ac:dyDescent="0.3">
      <c r="A54" s="101" t="s">
        <v>269</v>
      </c>
      <c r="B54" s="100" t="s">
        <v>270</v>
      </c>
      <c r="C54" s="100">
        <v>3</v>
      </c>
      <c r="D54" s="221" t="s">
        <v>122</v>
      </c>
      <c r="E54" s="222"/>
      <c r="F54" s="222"/>
      <c r="G54" s="222"/>
      <c r="H54" s="222"/>
      <c r="I54" s="222"/>
      <c r="J54" s="222"/>
      <c r="K54" s="222"/>
      <c r="L54" s="222"/>
      <c r="M54" s="223"/>
      <c r="N54" s="223"/>
    </row>
    <row r="55" spans="1:14" x14ac:dyDescent="0.3">
      <c r="A55" s="101" t="s">
        <v>271</v>
      </c>
      <c r="B55" s="100" t="s">
        <v>272</v>
      </c>
      <c r="C55" s="100">
        <v>3</v>
      </c>
      <c r="D55" s="221" t="s">
        <v>122</v>
      </c>
      <c r="E55" s="222"/>
      <c r="F55" s="222"/>
      <c r="G55" s="222"/>
      <c r="H55" s="222"/>
      <c r="I55" s="222"/>
      <c r="J55" s="222"/>
      <c r="K55" s="222"/>
      <c r="L55" s="222"/>
      <c r="M55" s="223"/>
      <c r="N55" s="223"/>
    </row>
  </sheetData>
  <mergeCells count="1">
    <mergeCell ref="D3:N3"/>
  </mergeCells>
  <hyperlinks>
    <hyperlink ref="F11" r:id="rId1" display="mailto:McCahill.brendan@epa.gov"/>
    <hyperlink ref="F22" r:id="rId2" display="mailto:McCahill.brendan@epa.gov"/>
    <hyperlink ref="F23" r:id="rId3" display="mailto:McCahill.brendan@epa.gov"/>
    <hyperlink ref="F31" r:id="rId4" display="mailto:McCahill.brendan@epa.gov"/>
    <hyperlink ref="F40" r:id="rId5" display="mailto:McCahill.brendan@epa.gov"/>
    <hyperlink ref="F46" r:id="rId6" display="mailto:McCahill.brendan@epa.gov"/>
    <hyperlink ref="F32" r:id="rId7" display="mailto:lau.gavin@epa.gov"/>
    <hyperlink ref="I32" r:id="rId8" display="mailto:Dholakia.umesh@epa.gov"/>
    <hyperlink ref="F34" r:id="rId9" display="mailto:lau.gavin@epa.gov"/>
    <hyperlink ref="I34" r:id="rId10" display="mailto:Dholakia.umesh@epa.gov"/>
    <hyperlink ref="F5" r:id="rId11" display="mailto:oquendo.ana@epa.gov"/>
    <hyperlink ref="I5" r:id="rId12" display="mailto:shepherd.lorinda@epa.gov"/>
    <hyperlink ref="F16" r:id="rId13" display="mailto:gupta.kaushal@epa.gov"/>
    <hyperlink ref="F18" r:id="rId14" display="mailto:webber.robert@epa.gov"/>
    <hyperlink ref="F10" r:id="rId15" display="mailto:smith.claudia@epa.gov"/>
    <hyperlink ref="I10" r:id="rId16" display="mailto:paser.kathleen@epa.gov"/>
    <hyperlink ref="F28" r:id="rId17" display="mailto:smith.claudia@epa.gov"/>
    <hyperlink ref="F36" r:id="rId18" display="mailto:smith.claudia@epa.gov"/>
    <hyperlink ref="F42" r:id="rId19" display="mailto:smith.claudia@epa.gov"/>
    <hyperlink ref="F45" r:id="rId20" display="mailto:smith.claudia@epa.gov"/>
    <hyperlink ref="F49" r:id="rId21" display="mailto:smith.claudia@epa.gov"/>
    <hyperlink ref="I28" r:id="rId22" display="mailto:paser.kathleen@epa.gov"/>
    <hyperlink ref="I36" r:id="rId23" display="mailto:paser.kathleen@epa.gov"/>
    <hyperlink ref="I42" r:id="rId24" display="mailto:paser.kathleen@epa.gov"/>
    <hyperlink ref="I45" r:id="rId25" display="mailto:paser.kathleen@epa.gov"/>
    <hyperlink ref="I49" r:id="rId26" display="mailto:paser.kathleen@epa.gov"/>
    <hyperlink ref="F19" r:id="rId27" display="mailto:webber.robert@epa.gov"/>
    <hyperlink ref="F27" r:id="rId28" display="mailto:webber.robert@epa.gov"/>
    <hyperlink ref="F29" r:id="rId29" display="mailto:webber.robert@epa.gov"/>
    <hyperlink ref="F17" r:id="rId30" display="mailto:gupta.kaushal@epa.gov"/>
    <hyperlink ref="F24" r:id="rId31" display="mailto:gupta.kaushal@epa.gov"/>
    <hyperlink ref="F25" r:id="rId32" display="mailto:gupta.kaushal@epa.gov"/>
    <hyperlink ref="F37" r:id="rId33" display="mailto:gupta.kaushal@epa.gov"/>
    <hyperlink ref="F48" r:id="rId34" display="mailto:gupta.kaushal@epa.gov"/>
    <hyperlink ref="F12" r:id="rId35" display="mailto:oquendo.ana@epa.gov"/>
    <hyperlink ref="F13" r:id="rId36" display="mailto:oquendo.ana@epa.gov"/>
    <hyperlink ref="F20" r:id="rId37" display="mailto:oquendo.ana@epa.gov"/>
    <hyperlink ref="F26" r:id="rId38" display="mailto:oquendo.ana@epa.gov"/>
    <hyperlink ref="F35" r:id="rId39" display="mailto:oquendo.ana@epa.gov"/>
    <hyperlink ref="F41" r:id="rId40" display="mailto:oquendo.ana@epa.gov"/>
    <hyperlink ref="F43" r:id="rId41" display="mailto:oquendo.ana@epa.gov"/>
    <hyperlink ref="I12" r:id="rId42" display="mailto:shepherd.lorinda@epa.gov"/>
    <hyperlink ref="I13" r:id="rId43" display="mailto:shepherd.lorinda@epa.gov"/>
    <hyperlink ref="I20" r:id="rId44" display="mailto:shepherd.lorinda@epa.gov"/>
    <hyperlink ref="I26" r:id="rId45" display="mailto:shepherd.lorinda@epa.gov"/>
    <hyperlink ref="I35" r:id="rId46" display="mailto:shepherd.lorinda@epa.gov"/>
    <hyperlink ref="I41" r:id="rId47" display="mailto:shepherd.lorinda@epa.gov"/>
    <hyperlink ref="I43" r:id="rId48" display="mailto:shepherd.lorinda@epa.gov"/>
    <hyperlink ref="F7" r:id="rId49" display="mailto:glass.geoffrey@epa.gov"/>
    <hyperlink ref="I7" r:id="rId50" display="mailto:Gutierrez.roberto@epa.gov"/>
    <hyperlink ref="F9" r:id="rId51" display="mailto:glass.geoffrey@epa.gov"/>
    <hyperlink ref="F14" r:id="rId52" display="mailto:glass.geoffrey@epa.gov"/>
    <hyperlink ref="F30" r:id="rId53" display="mailto:glass.geoffrey@epa.gov"/>
    <hyperlink ref="I9" r:id="rId54" display="mailto:Gutierrez.roberto@epa.gov"/>
    <hyperlink ref="I14" r:id="rId55" display="mailto:Gutierrez.roberto@epa.gov"/>
    <hyperlink ref="I30" r:id="rId56" display="mailto:Gutierrez.roberto@epa.gov"/>
    <hyperlink ref="F6" r:id="rId57"/>
    <hyperlink ref="F15" r:id="rId58"/>
    <hyperlink ref="F39" r:id="rId59"/>
    <hyperlink ref="F47" r:id="rId60"/>
    <hyperlink ref="F8" r:id="rId61"/>
    <hyperlink ref="F21" r:id="rId62"/>
    <hyperlink ref="F33" r:id="rId63"/>
    <hyperlink ref="F38" r:id="rId64"/>
    <hyperlink ref="F44" r:id="rId65"/>
  </hyperlinks>
  <pageMargins left="0.7" right="0.7" top="0.75" bottom="0.75" header="0.3" footer="0.3"/>
  <pageSetup orientation="portrait" r:id="rId6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M49"/>
  <sheetViews>
    <sheetView showGridLines="0" zoomScaleNormal="100" workbookViewId="0"/>
  </sheetViews>
  <sheetFormatPr defaultColWidth="3.33203125" defaultRowHeight="13.2" x14ac:dyDescent="0.25"/>
  <cols>
    <col min="1" max="1" width="0.5546875" style="24" customWidth="1"/>
    <col min="2" max="2" width="11.6640625" style="24" customWidth="1"/>
    <col min="3" max="3" width="18.109375" style="24" customWidth="1"/>
    <col min="4" max="4" width="58" style="24" customWidth="1"/>
    <col min="5" max="5" width="79.33203125" style="24" customWidth="1"/>
    <col min="6" max="27" width="1.6640625" style="24" customWidth="1"/>
    <col min="28" max="16384" width="3.33203125" style="24"/>
  </cols>
  <sheetData>
    <row r="1" spans="2:5" ht="17.399999999999999" x14ac:dyDescent="0.3">
      <c r="B1" s="22" t="str">
        <f>'Change Log'!A1</f>
        <v>Solvent Degreasing Registration Calculator</v>
      </c>
    </row>
    <row r="2" spans="2:5" ht="15.75" customHeight="1" x14ac:dyDescent="0.25">
      <c r="B2" s="301" t="str">
        <f>'Change Log'!A2</f>
        <v>v1.3 (last updated 2013.02.26)</v>
      </c>
      <c r="C2" s="301"/>
      <c r="D2" s="301"/>
    </row>
    <row r="3" spans="2:5" ht="114.75" customHeight="1" x14ac:dyDescent="0.25">
      <c r="B3" s="309" t="s">
        <v>449</v>
      </c>
      <c r="C3" s="309"/>
      <c r="D3" s="309"/>
      <c r="E3" s="309"/>
    </row>
    <row r="4" spans="2:5" ht="6.75" customHeight="1" x14ac:dyDescent="0.25">
      <c r="B4" s="263"/>
      <c r="C4" s="263"/>
      <c r="D4" s="263"/>
    </row>
    <row r="5" spans="2:5" x14ac:dyDescent="0.25">
      <c r="B5" s="87" t="s">
        <v>4</v>
      </c>
    </row>
    <row r="6" spans="2:5" ht="32.25" customHeight="1" x14ac:dyDescent="0.25">
      <c r="B6" s="272" t="s">
        <v>430</v>
      </c>
      <c r="C6" s="272"/>
      <c r="D6" s="272"/>
      <c r="E6" s="272"/>
    </row>
    <row r="7" spans="2:5" ht="4.5" customHeight="1" x14ac:dyDescent="0.25">
      <c r="B7" s="88"/>
    </row>
    <row r="8" spans="2:5" ht="13.5" customHeight="1" x14ac:dyDescent="0.25">
      <c r="B8" s="87" t="s">
        <v>12</v>
      </c>
    </row>
    <row r="9" spans="2:5" ht="78.75" customHeight="1" x14ac:dyDescent="0.25">
      <c r="B9" s="302" t="s">
        <v>448</v>
      </c>
      <c r="C9" s="303"/>
      <c r="D9" s="303"/>
      <c r="E9" s="303"/>
    </row>
    <row r="10" spans="2:5" ht="4.5" customHeight="1" x14ac:dyDescent="0.25">
      <c r="B10" s="88"/>
    </row>
    <row r="11" spans="2:5" x14ac:dyDescent="0.25">
      <c r="B11" s="87" t="s">
        <v>26</v>
      </c>
    </row>
    <row r="12" spans="2:5" ht="61.5" customHeight="1" x14ac:dyDescent="0.25">
      <c r="B12" s="307" t="s">
        <v>429</v>
      </c>
      <c r="C12" s="308"/>
      <c r="D12" s="308"/>
      <c r="E12" s="308"/>
    </row>
    <row r="13" spans="2:5" ht="9" customHeight="1" thickBot="1" x14ac:dyDescent="0.3">
      <c r="B13" s="87"/>
    </row>
    <row r="14" spans="2:5" ht="13.8" thickBot="1" x14ac:dyDescent="0.3">
      <c r="B14" s="304" t="s">
        <v>292</v>
      </c>
      <c r="C14" s="305"/>
      <c r="D14" s="306"/>
    </row>
    <row r="15" spans="2:5" x14ac:dyDescent="0.25">
      <c r="B15" s="310" t="s">
        <v>349</v>
      </c>
      <c r="C15" s="311"/>
      <c r="D15" s="312"/>
    </row>
    <row r="16" spans="2:5" x14ac:dyDescent="0.25">
      <c r="B16" s="313" t="s">
        <v>350</v>
      </c>
      <c r="C16" s="314"/>
      <c r="D16" s="315"/>
    </row>
    <row r="17" spans="2:5" x14ac:dyDescent="0.25">
      <c r="B17" s="321" t="s">
        <v>351</v>
      </c>
      <c r="C17" s="322"/>
      <c r="D17" s="323"/>
    </row>
    <row r="18" spans="2:5" ht="13.8" thickBot="1" x14ac:dyDescent="0.3">
      <c r="B18" s="316" t="s">
        <v>293</v>
      </c>
      <c r="C18" s="317"/>
      <c r="D18" s="318"/>
    </row>
    <row r="19" spans="2:5" ht="10.5" customHeight="1" thickBot="1" x14ac:dyDescent="0.3">
      <c r="B19" s="89"/>
      <c r="C19" s="90"/>
      <c r="D19" s="89"/>
      <c r="E19" s="25"/>
    </row>
    <row r="20" spans="2:5" ht="13.8" thickBot="1" x14ac:dyDescent="0.3">
      <c r="B20" s="304" t="s">
        <v>294</v>
      </c>
      <c r="C20" s="319"/>
      <c r="D20" s="320"/>
    </row>
    <row r="21" spans="2:5" ht="55.5" customHeight="1" x14ac:dyDescent="0.25">
      <c r="B21" s="197" t="s">
        <v>318</v>
      </c>
      <c r="C21" s="324" t="s">
        <v>324</v>
      </c>
      <c r="D21" s="325"/>
    </row>
    <row r="22" spans="2:5" ht="15" customHeight="1" x14ac:dyDescent="0.25">
      <c r="B22" s="198" t="s">
        <v>313</v>
      </c>
      <c r="C22" s="326" t="s">
        <v>323</v>
      </c>
      <c r="D22" s="328"/>
    </row>
    <row r="23" spans="2:5" ht="12.75" customHeight="1" x14ac:dyDescent="0.25">
      <c r="B23" s="143" t="s">
        <v>60</v>
      </c>
      <c r="C23" s="144" t="s">
        <v>86</v>
      </c>
      <c r="D23" s="145"/>
    </row>
    <row r="24" spans="2:5" ht="12.75" customHeight="1" x14ac:dyDescent="0.25">
      <c r="B24" s="143" t="s">
        <v>298</v>
      </c>
      <c r="C24" s="144" t="s">
        <v>299</v>
      </c>
      <c r="D24" s="145"/>
    </row>
    <row r="25" spans="2:5" ht="12.75" customHeight="1" x14ac:dyDescent="0.25">
      <c r="B25" s="143" t="s">
        <v>305</v>
      </c>
      <c r="C25" s="144" t="s">
        <v>306</v>
      </c>
      <c r="D25" s="145"/>
    </row>
    <row r="26" spans="2:5" ht="57.75" customHeight="1" x14ac:dyDescent="0.25">
      <c r="B26" s="199" t="s">
        <v>319</v>
      </c>
      <c r="C26" s="326" t="s">
        <v>325</v>
      </c>
      <c r="D26" s="327"/>
    </row>
    <row r="27" spans="2:5" ht="33.75" customHeight="1" x14ac:dyDescent="0.25">
      <c r="B27" s="199" t="s">
        <v>461</v>
      </c>
      <c r="C27" s="326" t="s">
        <v>460</v>
      </c>
      <c r="D27" s="328"/>
    </row>
    <row r="28" spans="2:5" ht="12.75" customHeight="1" x14ac:dyDescent="0.25">
      <c r="B28" s="143" t="s">
        <v>72</v>
      </c>
      <c r="C28" s="144" t="s">
        <v>89</v>
      </c>
      <c r="D28" s="145"/>
    </row>
    <row r="29" spans="2:5" ht="12.75" customHeight="1" x14ac:dyDescent="0.25">
      <c r="B29" s="143" t="s">
        <v>354</v>
      </c>
      <c r="C29" s="146" t="s">
        <v>372</v>
      </c>
      <c r="D29" s="262"/>
    </row>
    <row r="30" spans="2:5" ht="12.75" customHeight="1" x14ac:dyDescent="0.25">
      <c r="B30" s="143" t="s">
        <v>304</v>
      </c>
      <c r="C30" s="146" t="s">
        <v>87</v>
      </c>
      <c r="D30" s="262"/>
    </row>
    <row r="31" spans="2:5" ht="12.75" customHeight="1" x14ac:dyDescent="0.25">
      <c r="B31" s="143" t="s">
        <v>295</v>
      </c>
      <c r="C31" s="146" t="s">
        <v>50</v>
      </c>
      <c r="D31" s="262"/>
      <c r="E31" s="25"/>
    </row>
    <row r="32" spans="2:5" ht="15" customHeight="1" x14ac:dyDescent="0.25">
      <c r="B32" s="143" t="s">
        <v>70</v>
      </c>
      <c r="C32" s="281" t="s">
        <v>296</v>
      </c>
      <c r="D32" s="282"/>
    </row>
    <row r="33" spans="2:13" ht="14.25" customHeight="1" x14ac:dyDescent="0.25">
      <c r="B33" s="143" t="s">
        <v>71</v>
      </c>
      <c r="C33" s="261" t="s">
        <v>297</v>
      </c>
      <c r="D33" s="262"/>
    </row>
    <row r="34" spans="2:13" ht="15" customHeight="1" x14ac:dyDescent="0.25">
      <c r="B34" s="137" t="s">
        <v>309</v>
      </c>
      <c r="C34" s="148" t="s">
        <v>310</v>
      </c>
      <c r="D34" s="149"/>
    </row>
    <row r="35" spans="2:13" ht="14.25" customHeight="1" x14ac:dyDescent="0.25">
      <c r="B35" s="147" t="s">
        <v>69</v>
      </c>
      <c r="C35" s="148" t="s">
        <v>88</v>
      </c>
      <c r="D35" s="149"/>
    </row>
    <row r="36" spans="2:13" ht="12.75" customHeight="1" x14ac:dyDescent="0.25">
      <c r="B36" s="147" t="s">
        <v>3</v>
      </c>
      <c r="C36" s="281" t="s">
        <v>2</v>
      </c>
      <c r="D36" s="282"/>
    </row>
    <row r="37" spans="2:13" ht="12.75" customHeight="1" thickBot="1" x14ac:dyDescent="0.3">
      <c r="B37" s="150" t="s">
        <v>379</v>
      </c>
      <c r="C37" s="275" t="s">
        <v>380</v>
      </c>
      <c r="D37" s="276"/>
    </row>
    <row r="38" spans="2:13" ht="13.5" customHeight="1" thickBot="1" x14ac:dyDescent="0.3">
      <c r="B38" s="89"/>
      <c r="C38" s="89"/>
      <c r="D38" s="89"/>
      <c r="F38" s="25"/>
    </row>
    <row r="39" spans="2:13" ht="15.75" customHeight="1" thickBot="1" x14ac:dyDescent="0.3">
      <c r="B39" s="91" t="s">
        <v>46</v>
      </c>
      <c r="C39" s="92"/>
      <c r="D39" s="92"/>
      <c r="E39" s="93"/>
      <c r="F39" s="25"/>
    </row>
    <row r="40" spans="2:13" ht="16.5" customHeight="1" thickBot="1" x14ac:dyDescent="0.3">
      <c r="B40" s="201" t="s">
        <v>352</v>
      </c>
      <c r="C40" s="94"/>
      <c r="D40" s="94"/>
      <c r="E40" s="202"/>
      <c r="F40" s="25"/>
    </row>
    <row r="41" spans="2:13" ht="18" customHeight="1" x14ac:dyDescent="0.25">
      <c r="B41" s="289" t="s">
        <v>43</v>
      </c>
      <c r="C41" s="290"/>
      <c r="D41" s="277" t="s">
        <v>321</v>
      </c>
      <c r="E41" s="278"/>
      <c r="M41" s="25"/>
    </row>
    <row r="42" spans="2:13" ht="18.75" customHeight="1" x14ac:dyDescent="0.25">
      <c r="B42" s="291" t="s">
        <v>44</v>
      </c>
      <c r="C42" s="292"/>
      <c r="D42" s="279" t="s">
        <v>47</v>
      </c>
      <c r="E42" s="280"/>
    </row>
    <row r="43" spans="2:13" ht="54" customHeight="1" x14ac:dyDescent="0.25">
      <c r="B43" s="295" t="s">
        <v>45</v>
      </c>
      <c r="C43" s="296"/>
      <c r="D43" s="279" t="s">
        <v>322</v>
      </c>
      <c r="E43" s="280"/>
    </row>
    <row r="44" spans="2:13" ht="21.75" customHeight="1" x14ac:dyDescent="0.25">
      <c r="B44" s="297"/>
      <c r="C44" s="298"/>
      <c r="D44" s="287" t="s">
        <v>300</v>
      </c>
      <c r="E44" s="288"/>
    </row>
    <row r="45" spans="2:13" ht="116.25" customHeight="1" x14ac:dyDescent="0.25">
      <c r="B45" s="291" t="s">
        <v>56</v>
      </c>
      <c r="C45" s="292"/>
      <c r="D45" s="283" t="s">
        <v>462</v>
      </c>
      <c r="E45" s="284"/>
    </row>
    <row r="46" spans="2:13" ht="91.5" customHeight="1" x14ac:dyDescent="0.25">
      <c r="B46" s="299" t="s">
        <v>345</v>
      </c>
      <c r="C46" s="300"/>
      <c r="D46" s="283" t="s">
        <v>447</v>
      </c>
      <c r="E46" s="284"/>
    </row>
    <row r="47" spans="2:13" ht="41.25" customHeight="1" thickBot="1" x14ac:dyDescent="0.3">
      <c r="B47" s="293" t="s">
        <v>344</v>
      </c>
      <c r="C47" s="294"/>
      <c r="D47" s="285" t="s">
        <v>343</v>
      </c>
      <c r="E47" s="286"/>
    </row>
    <row r="48" spans="2:13" x14ac:dyDescent="0.25">
      <c r="B48" s="95"/>
      <c r="C48" s="96"/>
      <c r="D48" s="96"/>
    </row>
    <row r="49" spans="2:5" x14ac:dyDescent="0.25">
      <c r="B49" s="25"/>
      <c r="C49" s="25"/>
      <c r="D49" s="25"/>
      <c r="E49" s="25"/>
    </row>
  </sheetData>
  <sheetProtection password="C969" sheet="1" objects="1" scenarios="1"/>
  <customSheetViews>
    <customSheetView guid="{8C263A95-99F9-4260-B64A-0E771D03F536}" scale="106" showRuler="0">
      <selection activeCell="C14" sqref="C14"/>
      <pageMargins left="0.5" right="0.5" top="1" bottom="1" header="0.5" footer="0.5"/>
      <pageSetup orientation="landscape" r:id="rId1"/>
      <headerFooter alignWithMargins="0"/>
    </customSheetView>
  </customSheetViews>
  <mergeCells count="31">
    <mergeCell ref="B15:D15"/>
    <mergeCell ref="B16:D16"/>
    <mergeCell ref="B18:D18"/>
    <mergeCell ref="B20:D20"/>
    <mergeCell ref="C32:D32"/>
    <mergeCell ref="B17:D17"/>
    <mergeCell ref="C21:D21"/>
    <mergeCell ref="C26:D26"/>
    <mergeCell ref="C22:D22"/>
    <mergeCell ref="C27:D27"/>
    <mergeCell ref="B2:D2"/>
    <mergeCell ref="B9:E9"/>
    <mergeCell ref="B6:E6"/>
    <mergeCell ref="B14:D14"/>
    <mergeCell ref="B12:E12"/>
    <mergeCell ref="B3:E3"/>
    <mergeCell ref="D45:E45"/>
    <mergeCell ref="D47:E47"/>
    <mergeCell ref="D44:E44"/>
    <mergeCell ref="D46:E46"/>
    <mergeCell ref="B41:C41"/>
    <mergeCell ref="B42:C42"/>
    <mergeCell ref="B45:C45"/>
    <mergeCell ref="B47:C47"/>
    <mergeCell ref="B43:C44"/>
    <mergeCell ref="B46:C46"/>
    <mergeCell ref="C37:D37"/>
    <mergeCell ref="D41:E41"/>
    <mergeCell ref="D42:E42"/>
    <mergeCell ref="D43:E43"/>
    <mergeCell ref="C36:D36"/>
  </mergeCells>
  <phoneticPr fontId="0" type="noConversion"/>
  <hyperlinks>
    <hyperlink ref="D44" r:id="rId2"/>
  </hyperlinks>
  <pageMargins left="0.2" right="0.2" top="0.5" bottom="0.5" header="0.5" footer="0.5"/>
  <pageSetup scale="67" orientation="landscape" r:id="rId3"/>
  <headerFooter alignWithMargins="0">
    <oddFooter>&amp;LPage &amp;P of &amp;N&amp;C&amp;F&amp;RPrinted &amp;D</oddFooter>
  </headerFooter>
  <rowBreaks count="1" manualBreakCount="1">
    <brk id="38"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E82"/>
  <sheetViews>
    <sheetView showGridLines="0" zoomScaleNormal="100" workbookViewId="0"/>
  </sheetViews>
  <sheetFormatPr defaultColWidth="9.109375" defaultRowHeight="13.2" x14ac:dyDescent="0.25"/>
  <cols>
    <col min="1" max="1" width="2.88671875" style="24" customWidth="1"/>
    <col min="2" max="2" width="54.33203125" style="24" customWidth="1"/>
    <col min="3" max="3" width="95" style="24" customWidth="1"/>
    <col min="4" max="4" width="18" style="24" customWidth="1"/>
    <col min="5" max="5" width="97.44140625" style="24" hidden="1" customWidth="1"/>
    <col min="6" max="16384" width="9.109375" style="24"/>
  </cols>
  <sheetData>
    <row r="1" spans="2:5" ht="17.399999999999999" x14ac:dyDescent="0.3">
      <c r="B1" s="22" t="s">
        <v>291</v>
      </c>
    </row>
    <row r="2" spans="2:5" ht="16.2" thickBot="1" x14ac:dyDescent="0.4">
      <c r="E2" s="134" t="s">
        <v>285</v>
      </c>
    </row>
    <row r="3" spans="2:5" ht="13.8" thickBot="1" x14ac:dyDescent="0.3">
      <c r="B3" s="304" t="s">
        <v>5</v>
      </c>
      <c r="C3" s="320"/>
      <c r="E3" s="135" t="s">
        <v>11</v>
      </c>
    </row>
    <row r="4" spans="2:5" x14ac:dyDescent="0.25">
      <c r="B4" s="193" t="s">
        <v>6</v>
      </c>
      <c r="C4" s="194" t="s">
        <v>431</v>
      </c>
      <c r="E4" s="135" t="s">
        <v>286</v>
      </c>
    </row>
    <row r="5" spans="2:5" x14ac:dyDescent="0.25">
      <c r="B5" s="66" t="s">
        <v>7</v>
      </c>
      <c r="C5" s="42" t="s">
        <v>20</v>
      </c>
      <c r="E5" s="135" t="s">
        <v>16</v>
      </c>
    </row>
    <row r="6" spans="2:5" x14ac:dyDescent="0.25">
      <c r="B6" s="66" t="s">
        <v>102</v>
      </c>
      <c r="C6" s="42" t="s">
        <v>273</v>
      </c>
      <c r="E6" s="136"/>
    </row>
    <row r="7" spans="2:5" x14ac:dyDescent="0.25">
      <c r="B7" s="66" t="s">
        <v>94</v>
      </c>
      <c r="C7" s="231" t="s">
        <v>231</v>
      </c>
      <c r="E7" s="134" t="s">
        <v>287</v>
      </c>
    </row>
    <row r="8" spans="2:5" ht="13.8" thickBot="1" x14ac:dyDescent="0.3">
      <c r="B8" s="67" t="s">
        <v>274</v>
      </c>
      <c r="C8" s="195">
        <v>87101</v>
      </c>
      <c r="E8" s="135" t="s">
        <v>11</v>
      </c>
    </row>
    <row r="9" spans="2:5" ht="13.8" thickBot="1" x14ac:dyDescent="0.3">
      <c r="E9" s="135" t="s">
        <v>288</v>
      </c>
    </row>
    <row r="10" spans="2:5" ht="13.8" thickBot="1" x14ac:dyDescent="0.3">
      <c r="B10" s="331" t="s">
        <v>10</v>
      </c>
      <c r="C10" s="306"/>
      <c r="E10" s="135" t="s">
        <v>286</v>
      </c>
    </row>
    <row r="11" spans="2:5" x14ac:dyDescent="0.25">
      <c r="B11" s="65" t="s">
        <v>6</v>
      </c>
      <c r="C11" s="45" t="s">
        <v>17</v>
      </c>
      <c r="E11" s="135" t="s">
        <v>16</v>
      </c>
    </row>
    <row r="12" spans="2:5" x14ac:dyDescent="0.25">
      <c r="B12" s="66" t="s">
        <v>8</v>
      </c>
      <c r="C12" s="42" t="s">
        <v>18</v>
      </c>
      <c r="E12" s="135" t="s">
        <v>15</v>
      </c>
    </row>
    <row r="13" spans="2:5" ht="13.8" thickBot="1" x14ac:dyDescent="0.3">
      <c r="B13" s="68" t="s">
        <v>9</v>
      </c>
      <c r="C13" s="43" t="s">
        <v>19</v>
      </c>
      <c r="E13" s="135" t="s">
        <v>14</v>
      </c>
    </row>
    <row r="14" spans="2:5" ht="13.8" thickBot="1" x14ac:dyDescent="0.3">
      <c r="B14" s="97"/>
      <c r="C14" s="98"/>
    </row>
    <row r="15" spans="2:5" ht="16.2" thickBot="1" x14ac:dyDescent="0.4">
      <c r="B15" s="334" t="str">
        <f>"U.S. Environmental Protection Agency Region "&amp;VLOOKUP(C7,'EPA Regional Contact Info'!$A$5:$C$49,3,FALSE)&amp;" Contact"</f>
        <v>U.S. Environmental Protection Agency Region 6 Contact</v>
      </c>
      <c r="C15" s="335"/>
      <c r="E15" s="134" t="s">
        <v>289</v>
      </c>
    </row>
    <row r="16" spans="2:5" x14ac:dyDescent="0.25">
      <c r="B16" s="106" t="s">
        <v>275</v>
      </c>
      <c r="C16" s="107" t="str">
        <f>VLOOKUP($C$7,'EPA Regional Contact Info'!$A$5:$N$49,4,FALSE)</f>
        <v>Bonnie Braganza</v>
      </c>
      <c r="E16" s="135" t="s">
        <v>11</v>
      </c>
    </row>
    <row r="17" spans="2:5" x14ac:dyDescent="0.25">
      <c r="B17" s="108" t="s">
        <v>276</v>
      </c>
      <c r="C17" s="109" t="str">
        <f>VLOOKUP($C$7,'EPA Regional Contact Info'!$A$5:$N$49,5,FALSE)</f>
        <v>214-665-7340</v>
      </c>
      <c r="E17" s="135" t="s">
        <v>290</v>
      </c>
    </row>
    <row r="18" spans="2:5" x14ac:dyDescent="0.25">
      <c r="B18" s="108" t="s">
        <v>277</v>
      </c>
      <c r="C18" s="109" t="str">
        <f>VLOOKUP($C$7,'EPA Regional Contact Info'!$A$5:$N$49,6,FALSE)</f>
        <v>braganza.bonnie@epa.gov</v>
      </c>
      <c r="E18" s="136"/>
    </row>
    <row r="19" spans="2:5" x14ac:dyDescent="0.25">
      <c r="B19" s="108" t="s">
        <v>278</v>
      </c>
      <c r="C19" s="109" t="str">
        <f>VLOOKUP($C$7,'EPA Regional Contact Info'!$A$5:$N$49,7,FALSE)</f>
        <v>None</v>
      </c>
    </row>
    <row r="20" spans="2:5" x14ac:dyDescent="0.25">
      <c r="B20" s="108" t="s">
        <v>279</v>
      </c>
      <c r="C20" s="109" t="str">
        <f>IF(VLOOKUP($C$7,'EPA Regional Contact Info'!$A$5:$N$49,8,FALSE)=0,"",VLOOKUP($C$7,'EPA Regional Contact Info'!$A$5:$N$49,8,FALSE))</f>
        <v/>
      </c>
    </row>
    <row r="21" spans="2:5" ht="15" customHeight="1" x14ac:dyDescent="0.25">
      <c r="B21" s="108" t="s">
        <v>280</v>
      </c>
      <c r="C21" s="109" t="str">
        <f>IF(VLOOKUP($C$7,'EPA Regional Contact Info'!$A$5:$N$49,9,FALSE)=0,"",VLOOKUP($C$7,'EPA Regional Contact Info'!$A$5:$N$49,9,FALSE))</f>
        <v/>
      </c>
      <c r="E21" s="215" t="s">
        <v>373</v>
      </c>
    </row>
    <row r="22" spans="2:5" x14ac:dyDescent="0.25">
      <c r="B22" s="110" t="s">
        <v>7</v>
      </c>
      <c r="C22" s="111" t="str">
        <f>"U.S. Environmental Protection Agency Region "&amp;VLOOKUP($C$7,'EPA Regional Contact Info'!$A$5:$C$49,3,FALSE)</f>
        <v>U.S. Environmental Protection Agency Region 6</v>
      </c>
      <c r="E22" s="224" t="str">
        <f>'EPA Regional Contact Info'!A5</f>
        <v>Alabama</v>
      </c>
    </row>
    <row r="23" spans="2:5" ht="15" customHeight="1" x14ac:dyDescent="0.25">
      <c r="B23" s="112"/>
      <c r="C23" s="113" t="str">
        <f>VLOOKUP($C$7,'EPA Regional Contact Info'!$A$5:$N$49,10,FALSE)</f>
        <v>1445 Ross Avenue, Suite 1200</v>
      </c>
      <c r="E23" s="224" t="str">
        <f>'EPA Regional Contact Info'!A6</f>
        <v>Alaska</v>
      </c>
    </row>
    <row r="24" spans="2:5" x14ac:dyDescent="0.25">
      <c r="B24" s="112"/>
      <c r="C24" s="113" t="str">
        <f>VLOOKUP($C$7,'EPA Regional Contact Info'!$A$5:$N$49,11,FALSE)</f>
        <v>MC: 6PD</v>
      </c>
      <c r="E24" s="224" t="str">
        <f>'EPA Regional Contact Info'!A7</f>
        <v>Arizona</v>
      </c>
    </row>
    <row r="25" spans="2:5" ht="13.8" thickBot="1" x14ac:dyDescent="0.3">
      <c r="B25" s="114"/>
      <c r="C25" s="115" t="str">
        <f>VLOOKUP($C$7,'EPA Regional Contact Info'!$A$5:$N$49,12,FALSE)&amp;", "&amp;VLOOKUP($C$7,'EPA Regional Contact Info'!$A$5:$N$49,13,FALSE)&amp;" "&amp;VLOOKUP($C$7,'EPA Regional Contact Info'!$A$5:$N$49,14,FALSE)</f>
        <v>Dallas, TX 75202-2733</v>
      </c>
      <c r="E25" s="224" t="str">
        <f>'EPA Regional Contact Info'!A8</f>
        <v>Arkansas</v>
      </c>
    </row>
    <row r="26" spans="2:5" ht="13.8" thickBot="1" x14ac:dyDescent="0.3">
      <c r="E26" s="224" t="str">
        <f>'EPA Regional Contact Info'!A9</f>
        <v>California</v>
      </c>
    </row>
    <row r="27" spans="2:5" ht="13.8" thickBot="1" x14ac:dyDescent="0.3">
      <c r="B27" s="332" t="s">
        <v>42</v>
      </c>
      <c r="C27" s="333"/>
      <c r="E27" s="224" t="str">
        <f>'EPA Regional Contact Info'!A10</f>
        <v>Colorado</v>
      </c>
    </row>
    <row r="28" spans="2:5" x14ac:dyDescent="0.25">
      <c r="B28" s="125" t="s">
        <v>57</v>
      </c>
      <c r="C28" s="126" t="s">
        <v>11</v>
      </c>
      <c r="E28" s="224" t="str">
        <f>'EPA Regional Contact Info'!A11</f>
        <v>Connecticut</v>
      </c>
    </row>
    <row r="29" spans="2:5" ht="12.75" customHeight="1" x14ac:dyDescent="0.25">
      <c r="B29" s="127"/>
      <c r="C29" s="128"/>
      <c r="E29" s="224" t="str">
        <f>'EPA Regional Contact Info'!A12</f>
        <v>Florida</v>
      </c>
    </row>
    <row r="30" spans="2:5" ht="12.75" customHeight="1" x14ac:dyDescent="0.25">
      <c r="B30" s="127" t="s">
        <v>284</v>
      </c>
      <c r="C30" s="129" t="s">
        <v>11</v>
      </c>
      <c r="E30" s="224" t="str">
        <f>'EPA Regional Contact Info'!A13</f>
        <v>Georgia</v>
      </c>
    </row>
    <row r="31" spans="2:5" ht="12.75" customHeight="1" x14ac:dyDescent="0.25">
      <c r="B31" s="130"/>
      <c r="C31" s="131"/>
      <c r="E31" s="224" t="str">
        <f>'EPA Regional Contact Info'!A14</f>
        <v>Hawaii</v>
      </c>
    </row>
    <row r="32" spans="2:5" ht="12.75" customHeight="1" x14ac:dyDescent="0.25">
      <c r="B32" s="127" t="s">
        <v>58</v>
      </c>
      <c r="C32" s="129" t="s">
        <v>11</v>
      </c>
      <c r="E32" s="224" t="str">
        <f>'EPA Regional Contact Info'!A15</f>
        <v>Idaho</v>
      </c>
    </row>
    <row r="33" spans="2:5" ht="12.75" customHeight="1" x14ac:dyDescent="0.25">
      <c r="B33" s="130"/>
      <c r="C33" s="131"/>
      <c r="D33" s="55"/>
      <c r="E33" s="224" t="str">
        <f>'EPA Regional Contact Info'!A16</f>
        <v>Illinois</v>
      </c>
    </row>
    <row r="34" spans="2:5" ht="12.75" customHeight="1" x14ac:dyDescent="0.25">
      <c r="B34" s="127" t="s">
        <v>59</v>
      </c>
      <c r="C34" s="129" t="s">
        <v>11</v>
      </c>
      <c r="E34" s="224" t="str">
        <f>'EPA Regional Contact Info'!A17</f>
        <v>Indiana</v>
      </c>
    </row>
    <row r="35" spans="2:5" ht="12.75" customHeight="1" x14ac:dyDescent="0.25">
      <c r="B35" s="130"/>
      <c r="C35" s="131"/>
      <c r="E35" s="224" t="str">
        <f>'EPA Regional Contact Info'!A18</f>
        <v>Iowa</v>
      </c>
    </row>
    <row r="36" spans="2:5" ht="12.75" customHeight="1" x14ac:dyDescent="0.25">
      <c r="B36" s="127" t="s">
        <v>311</v>
      </c>
      <c r="C36" s="129" t="s">
        <v>11</v>
      </c>
      <c r="E36" s="224" t="str">
        <f>'EPA Regional Contact Info'!A19</f>
        <v>Kansas</v>
      </c>
    </row>
    <row r="37" spans="2:5" ht="12.75" customHeight="1" thickBot="1" x14ac:dyDescent="0.3">
      <c r="B37" s="132"/>
      <c r="C37" s="133"/>
      <c r="E37" s="224" t="str">
        <f>'EPA Regional Contact Info'!A20</f>
        <v>Kentucky</v>
      </c>
    </row>
    <row r="38" spans="2:5" ht="12.75" customHeight="1" thickBot="1" x14ac:dyDescent="0.3">
      <c r="B38" s="23"/>
      <c r="C38" s="98"/>
      <c r="D38" s="55"/>
      <c r="E38" s="224" t="str">
        <f>'EPA Regional Contact Info'!A21</f>
        <v>Louisiana</v>
      </c>
    </row>
    <row r="39" spans="2:5" x14ac:dyDescent="0.25">
      <c r="B39" s="338" t="s">
        <v>55</v>
      </c>
      <c r="C39" s="339"/>
      <c r="E39" s="224" t="str">
        <f>'EPA Regional Contact Info'!A22</f>
        <v>Maine</v>
      </c>
    </row>
    <row r="40" spans="2:5" ht="42.75" customHeight="1" x14ac:dyDescent="0.25">
      <c r="B40" s="336" t="s">
        <v>443</v>
      </c>
      <c r="C40" s="337"/>
      <c r="E40" s="224" t="str">
        <f>'EPA Regional Contact Info'!A23</f>
        <v>Massachusetts</v>
      </c>
    </row>
    <row r="41" spans="2:5" ht="27" customHeight="1" x14ac:dyDescent="0.25">
      <c r="B41" s="241" t="s">
        <v>450</v>
      </c>
      <c r="C41" s="129" t="s">
        <v>384</v>
      </c>
      <c r="E41" s="224" t="str">
        <f>'EPA Regional Contact Info'!A24</f>
        <v>Michigan</v>
      </c>
    </row>
    <row r="42" spans="2:5" ht="18" customHeight="1" x14ac:dyDescent="0.25">
      <c r="B42" s="242" t="s">
        <v>432</v>
      </c>
      <c r="C42" s="129" t="s">
        <v>51</v>
      </c>
      <c r="E42" s="224" t="str">
        <f>'EPA Regional Contact Info'!A25</f>
        <v>Minnesota</v>
      </c>
    </row>
    <row r="43" spans="2:5" ht="31.5" customHeight="1" x14ac:dyDescent="0.25">
      <c r="B43" s="242" t="s">
        <v>459</v>
      </c>
      <c r="C43" s="129">
        <v>0</v>
      </c>
      <c r="E43" s="224" t="str">
        <f>'EPA Regional Contact Info'!A26</f>
        <v>Mississippi</v>
      </c>
    </row>
    <row r="44" spans="2:5" ht="42" customHeight="1" x14ac:dyDescent="0.25">
      <c r="B44" s="242" t="s">
        <v>458</v>
      </c>
      <c r="C44" s="129">
        <v>0</v>
      </c>
      <c r="E44" s="224" t="str">
        <f>'EPA Regional Contact Info'!A27</f>
        <v>Missouri</v>
      </c>
    </row>
    <row r="45" spans="2:5" ht="44.25" customHeight="1" x14ac:dyDescent="0.25">
      <c r="B45" s="242" t="s">
        <v>451</v>
      </c>
      <c r="C45" s="129">
        <v>0</v>
      </c>
      <c r="E45" s="224" t="str">
        <f>'EPA Regional Contact Info'!A28</f>
        <v>Montana</v>
      </c>
    </row>
    <row r="46" spans="2:5" ht="20.25" customHeight="1" x14ac:dyDescent="0.25">
      <c r="B46" s="242" t="s">
        <v>433</v>
      </c>
      <c r="C46" s="243">
        <f>IF($C$45=0,Default_Degreaser_Density,$C$45)</f>
        <v>7.3</v>
      </c>
      <c r="E46" s="224"/>
    </row>
    <row r="47" spans="2:5" ht="15.75" customHeight="1" x14ac:dyDescent="0.25">
      <c r="B47" s="329" t="s">
        <v>425</v>
      </c>
      <c r="C47" s="330"/>
      <c r="E47" s="224" t="str">
        <f>'EPA Regional Contact Info'!A29</f>
        <v>Nebraska</v>
      </c>
    </row>
    <row r="48" spans="2:5" ht="15" customHeight="1" x14ac:dyDescent="0.25">
      <c r="B48" s="241" t="s">
        <v>446</v>
      </c>
      <c r="C48" s="129" t="s">
        <v>52</v>
      </c>
      <c r="E48" s="224" t="str">
        <f>'EPA Regional Contact Info'!A30</f>
        <v>Nevada</v>
      </c>
    </row>
    <row r="49" spans="2:5" ht="15" customHeight="1" x14ac:dyDescent="0.25">
      <c r="B49" s="257" t="s">
        <v>442</v>
      </c>
      <c r="C49" s="266">
        <v>0.01</v>
      </c>
      <c r="E49" s="224"/>
    </row>
    <row r="50" spans="2:5" ht="18" customHeight="1" x14ac:dyDescent="0.25">
      <c r="B50" s="257" t="s">
        <v>400</v>
      </c>
      <c r="C50" s="129" t="s">
        <v>67</v>
      </c>
      <c r="E50" s="224" t="str">
        <f>'EPA Regional Contact Info'!A31</f>
        <v>New Hampshire</v>
      </c>
    </row>
    <row r="51" spans="2:5" ht="26.25" customHeight="1" x14ac:dyDescent="0.25">
      <c r="B51" s="257" t="str">
        <f>IF(C50="Natural gas","How much fuel was combusted in the heater in 2012 (MMscf)?","How much fuel was combusted in the heater in 2012 (1000 gal)?")</f>
        <v>How much fuel was combusted in the heater in 2012 (1000 gal)?</v>
      </c>
      <c r="C51" s="266">
        <v>0</v>
      </c>
      <c r="E51" s="224" t="str">
        <f>'EPA Regional Contact Info'!A32</f>
        <v>New Jersey</v>
      </c>
    </row>
    <row r="52" spans="2:5" ht="28.5" customHeight="1" x14ac:dyDescent="0.25">
      <c r="B52" s="257" t="s">
        <v>406</v>
      </c>
      <c r="C52" s="266">
        <v>0</v>
      </c>
      <c r="E52" s="224" t="str">
        <f>'EPA Regional Contact Info'!A33</f>
        <v>New Mexico</v>
      </c>
    </row>
    <row r="53" spans="2:5" ht="22.5" customHeight="1" thickBot="1" x14ac:dyDescent="0.3">
      <c r="B53" s="258" t="s">
        <v>444</v>
      </c>
      <c r="C53" s="245">
        <f>IF(C52=0,Distillate_Oil_Actual_Sulfur_Content,C52)</f>
        <v>0.24</v>
      </c>
      <c r="E53" s="224" t="str">
        <f>'EPA Regional Contact Info'!A34</f>
        <v>New York</v>
      </c>
    </row>
    <row r="54" spans="2:5" ht="25.5" customHeight="1" x14ac:dyDescent="0.25">
      <c r="E54" s="224" t="str">
        <f>'EPA Regional Contact Info'!A35</f>
        <v>North Carolina</v>
      </c>
    </row>
    <row r="55" spans="2:5" ht="17.25" customHeight="1" x14ac:dyDescent="0.25">
      <c r="E55" s="224" t="str">
        <f>'EPA Regional Contact Info'!A36</f>
        <v>North Dakota</v>
      </c>
    </row>
    <row r="56" spans="2:5" ht="13.5" customHeight="1" x14ac:dyDescent="0.25">
      <c r="E56" s="224" t="str">
        <f>'EPA Regional Contact Info'!A37</f>
        <v>Ohio</v>
      </c>
    </row>
    <row r="57" spans="2:5" ht="25.5" customHeight="1" x14ac:dyDescent="0.25">
      <c r="E57" s="224" t="str">
        <f>'EPA Regional Contact Info'!A38</f>
        <v>Oklahoma</v>
      </c>
    </row>
    <row r="58" spans="2:5" ht="33.75" customHeight="1" x14ac:dyDescent="0.25">
      <c r="E58" s="224" t="str">
        <f>'EPA Regional Contact Info'!A39</f>
        <v>Oregon</v>
      </c>
    </row>
    <row r="59" spans="2:5" ht="15.75" customHeight="1" x14ac:dyDescent="0.25">
      <c r="E59" s="224" t="str">
        <f>'EPA Regional Contact Info'!A40</f>
        <v>Rhode Island</v>
      </c>
    </row>
    <row r="60" spans="2:5" x14ac:dyDescent="0.25">
      <c r="E60" s="224" t="str">
        <f>'EPA Regional Contact Info'!A41</f>
        <v>South Carolina</v>
      </c>
    </row>
    <row r="61" spans="2:5" x14ac:dyDescent="0.25">
      <c r="E61" s="224" t="str">
        <f>'EPA Regional Contact Info'!A42</f>
        <v>South Dakota</v>
      </c>
    </row>
    <row r="62" spans="2:5" x14ac:dyDescent="0.25">
      <c r="E62" s="224" t="str">
        <f>'EPA Regional Contact Info'!A43</f>
        <v>Tennessee</v>
      </c>
    </row>
    <row r="63" spans="2:5" x14ac:dyDescent="0.25">
      <c r="E63" s="224" t="str">
        <f>'EPA Regional Contact Info'!A44</f>
        <v>Texas</v>
      </c>
    </row>
    <row r="64" spans="2:5" ht="14.25" customHeight="1" x14ac:dyDescent="0.25">
      <c r="E64" s="224" t="str">
        <f>'EPA Regional Contact Info'!A45</f>
        <v>Utah</v>
      </c>
    </row>
    <row r="65" spans="5:5" x14ac:dyDescent="0.25">
      <c r="E65" s="224" t="str">
        <f>'EPA Regional Contact Info'!A46</f>
        <v>Vermont</v>
      </c>
    </row>
    <row r="66" spans="5:5" x14ac:dyDescent="0.25">
      <c r="E66" s="224" t="str">
        <f>'EPA Regional Contact Info'!A47</f>
        <v>Washington</v>
      </c>
    </row>
    <row r="67" spans="5:5" x14ac:dyDescent="0.25">
      <c r="E67" s="224" t="str">
        <f>'EPA Regional Contact Info'!A48</f>
        <v>Wisconsin</v>
      </c>
    </row>
    <row r="68" spans="5:5" x14ac:dyDescent="0.25">
      <c r="E68" s="224" t="str">
        <f>'EPA Regional Contact Info'!A49</f>
        <v>Wyoming</v>
      </c>
    </row>
    <row r="70" spans="5:5" x14ac:dyDescent="0.25">
      <c r="E70" s="215" t="s">
        <v>383</v>
      </c>
    </row>
    <row r="71" spans="5:5" x14ac:dyDescent="0.25">
      <c r="E71" s="224" t="s">
        <v>384</v>
      </c>
    </row>
    <row r="72" spans="5:5" x14ac:dyDescent="0.25">
      <c r="E72" s="224" t="s">
        <v>385</v>
      </c>
    </row>
    <row r="74" spans="5:5" x14ac:dyDescent="0.25">
      <c r="E74" s="215" t="s">
        <v>386</v>
      </c>
    </row>
    <row r="75" spans="5:5" x14ac:dyDescent="0.25">
      <c r="E75" s="44" t="s">
        <v>51</v>
      </c>
    </row>
    <row r="76" spans="5:5" x14ac:dyDescent="0.25">
      <c r="E76" s="44" t="s">
        <v>52</v>
      </c>
    </row>
    <row r="78" spans="5:5" x14ac:dyDescent="0.25">
      <c r="E78" s="215" t="s">
        <v>401</v>
      </c>
    </row>
    <row r="79" spans="5:5" x14ac:dyDescent="0.25">
      <c r="E79" s="224" t="s">
        <v>67</v>
      </c>
    </row>
    <row r="80" spans="5:5" x14ac:dyDescent="0.25">
      <c r="E80" s="224" t="s">
        <v>65</v>
      </c>
    </row>
    <row r="81" spans="5:5" x14ac:dyDescent="0.25">
      <c r="E81" s="224" t="s">
        <v>66</v>
      </c>
    </row>
    <row r="82" spans="5:5" x14ac:dyDescent="0.25">
      <c r="E82" s="224" t="s">
        <v>402</v>
      </c>
    </row>
  </sheetData>
  <sheetProtection password="C969" sheet="1" objects="1" scenarios="1"/>
  <dataConsolidate/>
  <mergeCells count="7">
    <mergeCell ref="B47:C47"/>
    <mergeCell ref="B3:C3"/>
    <mergeCell ref="B10:C10"/>
    <mergeCell ref="B27:C27"/>
    <mergeCell ref="B15:C15"/>
    <mergeCell ref="B40:C40"/>
    <mergeCell ref="B39:C39"/>
  </mergeCells>
  <conditionalFormatting sqref="B49:C53">
    <cfRule type="expression" dxfId="12" priority="3">
      <formula>$C$48="No"</formula>
    </cfRule>
  </conditionalFormatting>
  <conditionalFormatting sqref="B52:C53">
    <cfRule type="expression" dxfId="11" priority="78">
      <formula>$C$50&lt;&gt;"Oil - Distillate"</formula>
    </cfRule>
  </conditionalFormatting>
  <conditionalFormatting sqref="B51:C51">
    <cfRule type="expression" dxfId="10" priority="1">
      <formula>$C$50="Electricity"</formula>
    </cfRule>
  </conditionalFormatting>
  <dataValidations xWindow="831" yWindow="553" count="18">
    <dataValidation type="list" allowBlank="1" showInputMessage="1" showErrorMessage="1" promptTitle="SO2 Attainment Status" prompt="Select the SO2 attainment status of the air basin in which your facility is located." sqref="C32">
      <formula1>SO2_PM2.5_Attainment_List</formula1>
    </dataValidation>
    <dataValidation type="list" allowBlank="1" showInputMessage="1" showErrorMessage="1" promptTitle="CO Attainment Status" prompt="Select the CO attainment status of the air basin in which your facility is located." sqref="C28">
      <formula1>CO_PM10_Attainment_List</formula1>
    </dataValidation>
    <dataValidation type="list" allowBlank="1" showInputMessage="1" showErrorMessage="1" promptTitle="Ozone Attainment Status" prompt="Select the 1997 8-hr ozone attainment status of the air basin in which your facility is located." sqref="C30">
      <formula1>Ozone_Attainment_List</formula1>
    </dataValidation>
    <dataValidation type="list" allowBlank="1" showInputMessage="1" showErrorMessage="1" promptTitle="PM10 Attainment Status" prompt="Select the PM10 attainment status of the air basin in which your facility is located." sqref="C34">
      <formula1>CO_PM10_Attainment_List</formula1>
    </dataValidation>
    <dataValidation type="list" allowBlank="1" showInputMessage="1" showErrorMessage="1" promptTitle="PM2.5 Attainment Status" prompt="Select the PM2.5 attainment status of the air basin in which your facility is located. If either the 1997 or 2006 PM2.5 standard is in nonattainment, select nonattainment. " sqref="C36">
      <formula1>SO2_PM2.5_Attainment_List</formula1>
    </dataValidation>
    <dataValidation type="list" allowBlank="1" showInputMessage="1" showErrorMessage="1" promptTitle="State Selection" prompt="Use the drop-down list to select the state in which your facility resides. To access the drop-down list, click on the small box to the right of the cell." sqref="C7">
      <formula1>State_List</formula1>
    </dataValidation>
    <dataValidation type="list" allowBlank="1" showInputMessage="1" showErrorMessage="1" prompt="Use the drop-down list to indicate whether your facility used cold or vaporized (boiled) solvent in calendar year 2012." sqref="C41">
      <formula1>Degreasing_Type_List</formula1>
    </dataValidation>
    <dataValidation type="list" allowBlank="1" showInputMessage="1" showErrorMessage="1" promptTitle="Solvent Heater" prompt="Use the drop-down list to indicate whether your facility heated solvents in calendar year 2012." sqref="C48">
      <formula1>Conveyorized_Yes_No_List</formula1>
    </dataValidation>
    <dataValidation type="list" allowBlank="1" showInputMessage="1" showErrorMessage="1" promptTitle="Heater Fuel" prompt="Use the drop-down list to select the type of fuel combusted in your facility's solvent heater in calendar year 2012." sqref="C50">
      <formula1>Heater_Fuels_List</formula1>
    </dataValidation>
    <dataValidation type="decimal" allowBlank="1" showInputMessage="1" showErrorMessage="1" errorTitle="Value Out of Range" error="The sulfur content must be between 0 and 0.5 percent. The maximum allowable sulfur content of distillate oil combusted on Tribal lands is 0.5 percent. See 40 CFR 49.130(d)(2)" promptTitle="Sulfur Content" prompt="Enter the sulfur content of distillate oil used in your facility's heater (in wt%) if you have this information. If you do not have this information, enter 0 and a default value will be selected for you." sqref="C52">
      <formula1>0</formula1>
      <formula2>0.5</formula2>
    </dataValidation>
    <dataValidation type="list" allowBlank="1" showInputMessage="1" showErrorMessage="1" prompt="Use the drop-down list to indicate whether your facility used a conveyorized degreasing process in calendar year 2012." sqref="C42">
      <formula1>Conveyorized_Yes_No_List</formula1>
    </dataValidation>
    <dataValidation allowBlank="1" showInputMessage="1" showErrorMessage="1" error="Number of hours per year must be a number greater than zero." promptTitle="Volume of Fuel Combusted" prompt="Enter the volume of fuel combusted in your heater in calendar year 2012. Make sure the units match those listed in cell B51._x000a__x000a_MMscf = million standard cubic feet_x000a_1000 gal = 1,000 gallons_x000a__x000a_For example, enter 2 if your heater burned 2,000 gallons of oil." sqref="C51"/>
    <dataValidation type="decimal" operator="greaterThan" allowBlank="1" showInputMessage="1" showErrorMessage="1" error="Heat capacity must be a number greater than zero." promptTitle="Heater Capacity" prompt="Enter the capacity (in MMBtu/hr) of the heater used for heating degreasing solvents in calendar year 2012." sqref="C49">
      <formula1>0</formula1>
    </dataValidation>
    <dataValidation type="decimal" operator="greaterThanOrEqual" allowBlank="1" showInputMessage="1" showErrorMessage="1" error="Solvent used must be a number greater than or equal to zero." promptTitle="Make-up Solvent Volume" prompt="Enter an estimate of the total volume (in gallons) of make-up solvent that your facility used in calendar year 2012. Make-up solvent is solvent added to degreasers to make up for solvent lost through evaporation, carryout, splashing, leakage, or disposal." sqref="C43">
      <formula1>0</formula1>
    </dataValidation>
    <dataValidation type="decimal" operator="greaterThanOrEqual" allowBlank="1" showInputMessage="1" showErrorMessage="1" error="Solvent used must be a number greater than or equal to zero." promptTitle="Average Solvent Density" prompt="The average density (pounds/gallon) of solvents used for calculating emissions in this calculator. If 0 is entered in the field above, a default value of 7.30 lb/gal will be used." sqref="C46">
      <formula1>0</formula1>
    </dataValidation>
    <dataValidation type="decimal" operator="greaterThanOrEqual" allowBlank="1" showInputMessage="1" showErrorMessage="1" errorTitle="Value Out of Range" error="The maximum volume of make-up solvent that your facility could have used for degreasing operations in 2012 must be greater than or equal to the actual volume of make-up solvent entered above." promptTitle="Max Make-up Solvent Volume" prompt="Enter the maximum volume of make-up solvent (in gallons) that your facility could have used for degreasing in 2012. Make-up solvent is  solvent added to degreasers to make up for solvent lost through evaporation, carryout, splashing, leakage, or disposal." sqref="C44">
      <formula1>Solvent_Used_in_2012</formula1>
    </dataValidation>
    <dataValidation type="decimal" operator="greaterThanOrEqual" allowBlank="1" showInputMessage="1" showErrorMessage="1" error="Solvent used must be a number greater than or equal to zero." promptTitle="Average Solvent Density" prompt="Enter the average density of solvent used at your facility for degreasing operations in calendar year 2012 (in lb/gal). To convert from specific gravity to density, multiply by 8.34 lb/gal. Enter 0 if you do not have this information." sqref="C45">
      <formula1>0</formula1>
    </dataValidation>
    <dataValidation allowBlank="1" showInputMessage="1" showErrorMessage="1" promptTitle="Sulfur Content" prompt="The sulfur content of the distillate oil as a weight percentage that is used to calculate emissions in this calculator. If 0 is entered in the field above, the default value shown here will be used." sqref="C53"/>
  </dataValidations>
  <pageMargins left="0.7" right="0.7" top="0.75" bottom="0.75" header="0.3" footer="0.3"/>
  <pageSetup scale="82" orientation="landscape" r:id="rId1"/>
  <headerFooter>
    <oddFooter>&amp;LPage &amp;P of &amp;N&amp;C&amp;F&amp;RPrinted &amp;D</oddFooter>
  </headerFooter>
  <rowBreaks count="1" manualBreakCount="1">
    <brk id="38" max="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3"/>
  <sheetViews>
    <sheetView showGridLines="0" zoomScaleNormal="100" workbookViewId="0"/>
  </sheetViews>
  <sheetFormatPr defaultColWidth="9.109375" defaultRowHeight="13.2" x14ac:dyDescent="0.25"/>
  <cols>
    <col min="1" max="1" width="2.5546875" style="24" customWidth="1"/>
    <col min="2" max="2" width="48" style="24" customWidth="1"/>
    <col min="3" max="3" width="95" style="24" customWidth="1"/>
    <col min="4" max="4" width="9.109375" style="24"/>
    <col min="5" max="5" width="9.109375" style="24" customWidth="1"/>
    <col min="6" max="6" width="33.6640625" style="24" hidden="1" customWidth="1"/>
    <col min="7" max="7" width="26" style="24" customWidth="1"/>
    <col min="8" max="16384" width="9.109375" style="24"/>
  </cols>
  <sheetData>
    <row r="1" spans="2:7" ht="17.399999999999999" x14ac:dyDescent="0.3">
      <c r="B1" s="157" t="s">
        <v>346</v>
      </c>
    </row>
    <row r="2" spans="2:7" ht="13.8" thickBot="1" x14ac:dyDescent="0.3"/>
    <row r="3" spans="2:7" ht="13.8" thickBot="1" x14ac:dyDescent="0.3">
      <c r="B3" s="340" t="s">
        <v>312</v>
      </c>
      <c r="C3" s="341"/>
      <c r="F3" s="249" t="s">
        <v>403</v>
      </c>
    </row>
    <row r="4" spans="2:7" ht="41.25" customHeight="1" x14ac:dyDescent="0.25">
      <c r="B4" s="242" t="s">
        <v>452</v>
      </c>
      <c r="C4" s="129" t="s">
        <v>52</v>
      </c>
      <c r="F4" s="247" t="s">
        <v>51</v>
      </c>
    </row>
    <row r="5" spans="2:7" ht="40.200000000000003" thickBot="1" x14ac:dyDescent="0.3">
      <c r="B5" s="242" t="s">
        <v>463</v>
      </c>
      <c r="C5" s="129">
        <v>0</v>
      </c>
      <c r="F5" s="248" t="s">
        <v>52</v>
      </c>
      <c r="G5" s="246"/>
    </row>
    <row r="6" spans="2:7" ht="13.8" thickBot="1" x14ac:dyDescent="0.3">
      <c r="B6" s="242" t="s">
        <v>404</v>
      </c>
      <c r="C6" s="243">
        <f>IF(Control_Device_Used="No",0,IF($C$5=0,'Additional References'!$B$18,$C$5))</f>
        <v>0</v>
      </c>
      <c r="F6" s="163"/>
    </row>
    <row r="7" spans="2:7" ht="40.200000000000003" thickBot="1" x14ac:dyDescent="0.3">
      <c r="B7" s="242" t="s">
        <v>453</v>
      </c>
      <c r="C7" s="129" t="s">
        <v>52</v>
      </c>
      <c r="F7" s="249" t="s">
        <v>426</v>
      </c>
    </row>
    <row r="8" spans="2:7" ht="40.200000000000003" thickBot="1" x14ac:dyDescent="0.3">
      <c r="B8" s="242" t="s">
        <v>464</v>
      </c>
      <c r="C8" s="129">
        <v>0</v>
      </c>
      <c r="F8" s="250">
        <f>IF(C6+C9&gt;100,100,C6+C9)</f>
        <v>0</v>
      </c>
    </row>
    <row r="9" spans="2:7" ht="18" customHeight="1" thickBot="1" x14ac:dyDescent="0.3">
      <c r="B9" s="244" t="s">
        <v>405</v>
      </c>
      <c r="C9" s="259">
        <f>IF(Operating_Procedures_Used="No",0,IF($C$8=0,'Additional References'!$B$19,$C$8))</f>
        <v>0</v>
      </c>
    </row>
    <row r="10" spans="2:7" ht="75.75" customHeight="1" x14ac:dyDescent="0.25"/>
    <row r="13" spans="2:7" x14ac:dyDescent="0.25">
      <c r="F13" s="226"/>
      <c r="G13" s="226"/>
    </row>
    <row r="14" spans="2:7" x14ac:dyDescent="0.25">
      <c r="F14" s="227"/>
      <c r="G14" s="227"/>
    </row>
    <row r="32" spans="4:9" x14ac:dyDescent="0.25">
      <c r="D32" s="226"/>
      <c r="E32" s="226"/>
      <c r="H32" s="226"/>
      <c r="I32" s="226"/>
    </row>
    <row r="33" spans="4:9" ht="13.5" customHeight="1" x14ac:dyDescent="0.25">
      <c r="D33" s="227"/>
      <c r="E33" s="227"/>
      <c r="H33" s="227"/>
      <c r="I33" s="227"/>
    </row>
  </sheetData>
  <sheetProtection password="C969" sheet="1" objects="1" scenarios="1"/>
  <mergeCells count="1">
    <mergeCell ref="B3:C3"/>
  </mergeCells>
  <conditionalFormatting sqref="B5:C6">
    <cfRule type="expression" dxfId="9" priority="2">
      <formula>$C$4="No"</formula>
    </cfRule>
  </conditionalFormatting>
  <conditionalFormatting sqref="B8:C9">
    <cfRule type="expression" dxfId="8" priority="1">
      <formula>$C$7="No"</formula>
    </cfRule>
  </conditionalFormatting>
  <dataValidations count="6">
    <dataValidation type="list" allowBlank="1" showInputMessage="1" showErrorMessage="1" promptTitle="Opearting Procedures" prompt="Select whether your facility used operating procedures to reduce solvent emissions in calendar year 2012. Operating procedures include proper use of equipment, waste solvent reclamation, reduced exhaust ventilation, and reduced conveyor speed." sqref="C7">
      <formula1>Control_Device_Yes_No_List</formula1>
    </dataValidation>
    <dataValidation type="decimal" allowBlank="1" showInputMessage="1" showErrorMessage="1" errorTitle="Value Out of Range" error="Percentage must be a number between 0 and 100." promptTitle="Control Efficiency" prompt="Enter the percent reduction in VOC emissions attributable to the operating procedures used by your facility in calendar year 2012." sqref="C8">
      <formula1>0</formula1>
      <formula2>100</formula2>
    </dataValidation>
    <dataValidation type="decimal" allowBlank="1" showInputMessage="1" showErrorMessage="1" errorTitle="Value Out of Range" error="Percentage must be a number between 0 and 100." promptTitle="Control Efficiency" prompt="Enter the percent reduction in VOC emissions attributable to the control devices used by your facility in calendar year 2012." sqref="C5">
      <formula1>0</formula1>
      <formula2>100</formula2>
    </dataValidation>
    <dataValidation type="list" allowBlank="1" showInputMessage="1" showErrorMessage="1" promptTitle="Control Device" prompt="Select whether your facility used control devices for solvent emissions in calendar year 2012. Control devices include covers or enclosed degreasing chambers, a solvent drainage facility, safety switches and thermostats, and a solid fluid spray stream." sqref="C4">
      <formula1>Control_Device_Yes_No_List</formula1>
    </dataValidation>
    <dataValidation allowBlank="1" showInputMessage="1" showErrorMessage="1" promptTitle="Emission Reduction" prompt="The control device VOC emission reduction (%). If 0 is entered in the field above, a default value will be used to estimate actual emissions reductions." sqref="C6"/>
    <dataValidation allowBlank="1" showInputMessage="1" showErrorMessage="1" promptTitle="Emission Reduction" prompt="The operating procedure VOC emission reduction (%). If 0 is entered in the field above, a default value will be used to estimate actual emission reductions." sqref="C9"/>
  </dataValidations>
  <pageMargins left="0.7" right="0.7" top="0.75" bottom="0.75" header="0.3" footer="0.3"/>
  <pageSetup scale="85" orientation="landscape" r:id="rId1"/>
  <headerFooter>
    <oddFooter>&amp;LPage &amp;P of &amp;N&amp;C&amp;F&amp;RPrinted &amp;D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5"/>
  <sheetViews>
    <sheetView showGridLines="0" workbookViewId="0"/>
  </sheetViews>
  <sheetFormatPr defaultColWidth="9.109375" defaultRowHeight="13.2" x14ac:dyDescent="0.25"/>
  <cols>
    <col min="1" max="1" width="3.88671875" style="24" customWidth="1"/>
    <col min="2" max="2" width="21" style="24" customWidth="1"/>
    <col min="3" max="3" width="14.5546875" style="24" customWidth="1"/>
    <col min="4" max="4" width="14" style="24" customWidth="1"/>
    <col min="5" max="5" width="11.88671875" style="24" customWidth="1"/>
    <col min="6" max="6" width="14.5546875" style="24" customWidth="1"/>
    <col min="7" max="7" width="13.88671875" style="24" customWidth="1"/>
    <col min="8" max="8" width="13" style="24" customWidth="1"/>
    <col min="9" max="16384" width="9.109375" style="24"/>
  </cols>
  <sheetData>
    <row r="1" spans="2:8" ht="17.399999999999999" x14ac:dyDescent="0.3">
      <c r="B1" s="157" t="s">
        <v>301</v>
      </c>
    </row>
    <row r="2" spans="2:8" ht="13.8" thickBot="1" x14ac:dyDescent="0.3"/>
    <row r="3" spans="2:8" ht="13.8" thickBot="1" x14ac:dyDescent="0.3">
      <c r="B3" s="342" t="s">
        <v>375</v>
      </c>
      <c r="C3" s="343"/>
      <c r="D3" s="343"/>
      <c r="E3" s="343"/>
      <c r="F3" s="343"/>
      <c r="G3" s="343"/>
      <c r="H3" s="344"/>
    </row>
    <row r="4" spans="2:8" ht="16.2" thickBot="1" x14ac:dyDescent="0.4">
      <c r="B4" s="86" t="s">
        <v>307</v>
      </c>
      <c r="C4" s="160" t="s">
        <v>60</v>
      </c>
      <c r="D4" s="159" t="s">
        <v>61</v>
      </c>
      <c r="E4" s="159" t="s">
        <v>62</v>
      </c>
      <c r="F4" s="159" t="s">
        <v>3</v>
      </c>
      <c r="G4" s="160" t="s">
        <v>63</v>
      </c>
      <c r="H4" s="161" t="s">
        <v>64</v>
      </c>
    </row>
    <row r="5" spans="2:8" x14ac:dyDescent="0.25">
      <c r="B5" s="228" t="s">
        <v>381</v>
      </c>
      <c r="C5" s="229">
        <v>0</v>
      </c>
      <c r="D5" s="229">
        <v>0</v>
      </c>
      <c r="E5" s="229">
        <v>0</v>
      </c>
      <c r="F5" s="229">
        <f>Solvent_Used_in_2012*Solvent_density*1/2000</f>
        <v>0</v>
      </c>
      <c r="G5" s="229">
        <v>0</v>
      </c>
      <c r="H5" s="230">
        <v>0</v>
      </c>
    </row>
    <row r="6" spans="2:8" ht="13.8" thickBot="1" x14ac:dyDescent="0.3">
      <c r="B6" s="165" t="s">
        <v>382</v>
      </c>
      <c r="C6" s="162">
        <f>IF(OR(Heater_Used="No",Heater_Fuel="Electricity"),0,Heater_Fuel_Combusted_2012*VLOOKUP(Heater_Fuel&amp;"CO",'Emission Factors'!$C$5:$E$27,2,0)*(1/2000))</f>
        <v>0</v>
      </c>
      <c r="D6" s="162">
        <f>IF(OR(Heater_Used="No",Heater_Fuel="Electricity"),0,Heater_Fuel_Combusted_2012*VLOOKUP(Heater_Fuel&amp;"NOx",'Emission Factors'!$C$5:$E$27,2,0)*(1/2000))</f>
        <v>0</v>
      </c>
      <c r="E6" s="162">
        <f>IF(OR(Heater_Used="No",Heater_Fuel="Electricity"),0,Heater_Fuel_Combusted_2012*VLOOKUP(Heater_Fuel&amp;"SO2",'Emission Factors'!$C$5:$E$27,2,0)*(1/2000))</f>
        <v>0</v>
      </c>
      <c r="F6" s="162">
        <f>IF(OR(Heater_Used="No",Heater_Fuel="Electricity"),0,Heater_Fuel_Combusted_2012*VLOOKUP(Heater_Fuel&amp;"VOC",'Emission Factors'!$C$5:$E$27,2,0)*(1/2000))</f>
        <v>0</v>
      </c>
      <c r="G6" s="162">
        <f>IF(OR(Heater_Used="No",Heater_Fuel="Electricity"),0,Heater_Fuel_Combusted_2012*VLOOKUP(Heater_Fuel&amp;"PM10",'Emission Factors'!$C$5:$E$27,2,0)*(1/2000))</f>
        <v>0</v>
      </c>
      <c r="H6" s="162">
        <f>IF(OR(Heater_Used="No",Heater_Fuel="Electricity"),0,Heater_Fuel_Combusted_2012*VLOOKUP(Heater_Fuel&amp;"PM2.5",'Emission Factors'!$C$5:$E$27,2,0)*(1/2000))</f>
        <v>0</v>
      </c>
    </row>
    <row r="7" spans="2:8" ht="13.8" thickBot="1" x14ac:dyDescent="0.3">
      <c r="B7" s="166" t="s">
        <v>308</v>
      </c>
      <c r="C7" s="167">
        <f>SUM(C5:C6)</f>
        <v>0</v>
      </c>
      <c r="D7" s="167">
        <f t="shared" ref="D7:H7" si="0">SUM(D5:D6)</f>
        <v>0</v>
      </c>
      <c r="E7" s="167">
        <f t="shared" si="0"/>
        <v>0</v>
      </c>
      <c r="F7" s="167">
        <f t="shared" si="0"/>
        <v>0</v>
      </c>
      <c r="G7" s="167">
        <f t="shared" si="0"/>
        <v>0</v>
      </c>
      <c r="H7" s="168">
        <f t="shared" si="0"/>
        <v>0</v>
      </c>
    </row>
    <row r="8" spans="2:8" ht="13.8" thickBot="1" x14ac:dyDescent="0.3">
      <c r="B8" s="163"/>
      <c r="C8" s="163"/>
      <c r="D8" s="163"/>
      <c r="E8" s="163"/>
      <c r="F8" s="163"/>
      <c r="G8" s="164"/>
      <c r="H8" s="164"/>
    </row>
    <row r="9" spans="2:8" ht="13.8" thickBot="1" x14ac:dyDescent="0.3">
      <c r="B9" s="342" t="s">
        <v>320</v>
      </c>
      <c r="C9" s="343"/>
      <c r="D9" s="343"/>
      <c r="E9" s="343"/>
      <c r="F9" s="343"/>
      <c r="G9" s="343"/>
      <c r="H9" s="344"/>
    </row>
    <row r="10" spans="2:8" ht="16.2" thickBot="1" x14ac:dyDescent="0.4">
      <c r="B10" s="158" t="s">
        <v>307</v>
      </c>
      <c r="C10" s="159" t="s">
        <v>60</v>
      </c>
      <c r="D10" s="159" t="s">
        <v>61</v>
      </c>
      <c r="E10" s="159" t="s">
        <v>62</v>
      </c>
      <c r="F10" s="159" t="s">
        <v>3</v>
      </c>
      <c r="G10" s="160" t="s">
        <v>63</v>
      </c>
      <c r="H10" s="161" t="s">
        <v>64</v>
      </c>
    </row>
    <row r="11" spans="2:8" x14ac:dyDescent="0.25">
      <c r="B11" s="228" t="s">
        <v>381</v>
      </c>
      <c r="C11" s="210">
        <v>0</v>
      </c>
      <c r="D11" s="210">
        <v>0</v>
      </c>
      <c r="E11" s="210">
        <v>0</v>
      </c>
      <c r="F11" s="210">
        <f>(Max_Solvent_2012*IF(Default_Degreaser_Density&gt;Solvent_density,Default_Degreaser_Density,Solvent_density)*1/2000)/IF(VOC_Percent_Reduction=100,0.01,1-(VOC_Percent_Reduction/100))</f>
        <v>0</v>
      </c>
      <c r="G11" s="210">
        <v>0</v>
      </c>
      <c r="H11" s="211">
        <v>0</v>
      </c>
    </row>
    <row r="12" spans="2:8" ht="13.8" thickBot="1" x14ac:dyDescent="0.3">
      <c r="B12" s="165" t="s">
        <v>382</v>
      </c>
      <c r="C12" s="162">
        <f>IF(OR(Heater_Used="No",Heater_Fuel="Electricity"),0,Heater_Capacity*(1/VLOOKUP(Heater_Fuel,'Fuel Energy Content'!$A$11:$B$13,2,0))*Heater_Allowable_Hours_of_Operation*VLOOKUP(Heater_Fuel&amp;"CO",'Emission Factors'!$C$5:$E$27,3,0)*(1/2000))</f>
        <v>0</v>
      </c>
      <c r="D12" s="162">
        <f>IF(OR(Heater_Used="No",Heater_Fuel="Electricity"),0,Heater_Capacity*(1/VLOOKUP(Heater_Fuel,'Fuel Energy Content'!$A$11:$B$13,2,0))*Heater_Allowable_Hours_of_Operation*VLOOKUP(Heater_Fuel&amp;"NOx",'Emission Factors'!$C$5:$E$27,3,0)*(1/2000))</f>
        <v>0</v>
      </c>
      <c r="E12" s="162">
        <f>IF(OR(Heater_Used="No",Heater_Fuel="Electricity"),0,Heater_Capacity*(1/VLOOKUP(Heater_Fuel,'Fuel Energy Content'!$A$11:$B$13,2,0))*Heater_Allowable_Hours_of_Operation*VLOOKUP(Heater_Fuel&amp;"SO2",'Emission Factors'!$C$5:$E$27,3,0)*(1/2000))</f>
        <v>0</v>
      </c>
      <c r="F12" s="162">
        <f>IF(OR(Heater_Used="No",Heater_Fuel="Electricity"),0,Heater_Capacity*(1/VLOOKUP(Heater_Fuel,'Fuel Energy Content'!$A$11:$B$13,2,0))*Heater_Allowable_Hours_of_Operation*VLOOKUP(Heater_Fuel&amp;"VOC",'Emission Factors'!$C$5:$E$27,3,0)*(1/2000))</f>
        <v>0</v>
      </c>
      <c r="G12" s="162">
        <f>IF(OR(Heater_Used="No",Heater_Fuel="Electricity"),0,Heater_Capacity*(1/VLOOKUP(Heater_Fuel,'Fuel Energy Content'!$A$11:$B$13,2,0))*Heater_Allowable_Hours_of_Operation*VLOOKUP(Heater_Fuel&amp;"PM10",'Emission Factors'!$C$5:$E$27,3,0)*(1/2000))</f>
        <v>0</v>
      </c>
      <c r="H12" s="162">
        <f>IF(OR(Heater_Used="No",Heater_Fuel="Electricity"),0,Heater_Capacity*(1/VLOOKUP(Heater_Fuel,'Fuel Energy Content'!$A$11:$B$13,2,0))*Heater_Allowable_Hours_of_Operation*VLOOKUP(Heater_Fuel&amp;"PM2.5",'Emission Factors'!$C$5:$E$27,3,0)*(1/2000))</f>
        <v>0</v>
      </c>
    </row>
    <row r="13" spans="2:8" ht="13.8" thickBot="1" x14ac:dyDescent="0.3">
      <c r="B13" s="166" t="s">
        <v>308</v>
      </c>
      <c r="C13" s="167">
        <f>SUM(C11:C12)</f>
        <v>0</v>
      </c>
      <c r="D13" s="167">
        <f t="shared" ref="D13:H13" si="1">SUM(D11:D12)</f>
        <v>0</v>
      </c>
      <c r="E13" s="167">
        <f t="shared" si="1"/>
        <v>0</v>
      </c>
      <c r="F13" s="167">
        <f t="shared" si="1"/>
        <v>0</v>
      </c>
      <c r="G13" s="167">
        <f t="shared" si="1"/>
        <v>0</v>
      </c>
      <c r="H13" s="168">
        <f t="shared" si="1"/>
        <v>0</v>
      </c>
    </row>
    <row r="15" spans="2:8" x14ac:dyDescent="0.25">
      <c r="C15" s="55"/>
    </row>
  </sheetData>
  <sheetProtection password="C969" sheet="1" objects="1" scenarios="1"/>
  <mergeCells count="2">
    <mergeCell ref="B3:H3"/>
    <mergeCell ref="B9:H9"/>
  </mergeCells>
  <dataValidations count="1">
    <dataValidation allowBlank="1" showInputMessage="1" showErrorMessage="1" prompt="This sheet is intended to summarize the components of your facility's emissions. A summary of total emissions and your registration status is located on the Output-Summary Printout sheet." sqref="B3:B4 B9:B10"/>
  </dataValidations>
  <pageMargins left="0.7" right="0.7" top="0.75" bottom="0.75" header="0.3" footer="0.3"/>
  <pageSetup orientation="landscape" r:id="rId1"/>
  <headerFooter>
    <oddFooter>&amp;LPage &amp;P of &amp;N&amp;C&amp;F&amp;RPrinted &amp;D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42"/>
  <sheetViews>
    <sheetView showGridLines="0" zoomScaleNormal="100" workbookViewId="0">
      <selection sqref="A1:XFD1"/>
    </sheetView>
  </sheetViews>
  <sheetFormatPr defaultColWidth="3.33203125" defaultRowHeight="13.2" x14ac:dyDescent="0.25"/>
  <cols>
    <col min="1" max="1" width="16.109375" style="24" customWidth="1"/>
    <col min="2" max="2" width="4.6640625" style="24" customWidth="1"/>
    <col min="3" max="3" width="24.6640625" style="24" customWidth="1"/>
    <col min="4" max="4" width="5.5546875" style="24" customWidth="1"/>
    <col min="5" max="5" width="25.44140625" style="24" customWidth="1"/>
    <col min="6" max="6" width="32.44140625" style="24" customWidth="1"/>
    <col min="7" max="9" width="1.88671875" style="24" customWidth="1"/>
    <col min="10" max="10" width="3.109375" style="24" customWidth="1"/>
    <col min="11" max="11" width="16.6640625" style="56" hidden="1" customWidth="1"/>
    <col min="12" max="12" width="16.6640625" style="184" hidden="1" customWidth="1"/>
    <col min="13" max="13" width="18" style="184" hidden="1" customWidth="1"/>
    <col min="14" max="14" width="20.44140625" style="24" customWidth="1"/>
    <col min="15" max="58" width="1.88671875" style="24" customWidth="1"/>
    <col min="59" max="16384" width="3.33203125" style="24"/>
  </cols>
  <sheetData>
    <row r="1" spans="1:13" ht="24.75" customHeight="1" thickBot="1" x14ac:dyDescent="0.3"/>
    <row r="2" spans="1:13" ht="14.25" customHeight="1" x14ac:dyDescent="0.25">
      <c r="A2" s="26"/>
      <c r="B2" s="27"/>
      <c r="C2" s="27"/>
      <c r="D2" s="27"/>
      <c r="E2" s="27"/>
      <c r="F2" s="28"/>
    </row>
    <row r="3" spans="1:13" x14ac:dyDescent="0.25">
      <c r="A3" s="29" t="s">
        <v>30</v>
      </c>
      <c r="B3" s="138" t="str">
        <f>"  "&amp;Inputs!C4</f>
        <v xml:space="preserve">  Acme Degreasing</v>
      </c>
      <c r="C3" s="138"/>
      <c r="E3" s="182" t="str">
        <f>"Facility Contact:"&amp;"  "&amp;Inputs!C11</f>
        <v>Facility Contact:  John Doe</v>
      </c>
      <c r="F3" s="30"/>
    </row>
    <row r="4" spans="1:13" ht="14.25" customHeight="1" x14ac:dyDescent="0.25">
      <c r="A4" s="29" t="s">
        <v>31</v>
      </c>
      <c r="B4" s="138" t="str">
        <f>"  "&amp;Inputs!C5</f>
        <v xml:space="preserve">  101 Acme Way</v>
      </c>
      <c r="C4" s="138"/>
      <c r="E4" s="182" t="str">
        <f>"              Phone:"&amp;"  "&amp;Inputs!C12</f>
        <v xml:space="preserve">              Phone:  555-555-5555</v>
      </c>
      <c r="F4" s="30"/>
    </row>
    <row r="5" spans="1:13" x14ac:dyDescent="0.25">
      <c r="A5" s="31"/>
      <c r="B5" s="138" t="str">
        <f>"  "&amp;Inputs!C6&amp;", "&amp;VLOOKUP(Inputs!C7,'EPA Regional Contact Info'!$A$5:$B$49,2,FALSE)&amp;" "&amp;Inputs!C8</f>
        <v xml:space="preserve">  Albuquerque, NM 87101</v>
      </c>
      <c r="C5" s="138"/>
      <c r="E5" s="182" t="str">
        <f>"               Email:"&amp;"  "&amp;Inputs!C13</f>
        <v xml:space="preserve">               Email:  john.doe@acme.com</v>
      </c>
      <c r="F5" s="30"/>
    </row>
    <row r="6" spans="1:13" ht="13.8" thickBot="1" x14ac:dyDescent="0.3">
      <c r="A6" s="38"/>
      <c r="B6" s="39"/>
      <c r="C6" s="39"/>
      <c r="D6" s="39"/>
      <c r="E6" s="39"/>
      <c r="F6" s="40"/>
    </row>
    <row r="7" spans="1:13" ht="18" customHeight="1" thickBot="1" x14ac:dyDescent="0.3">
      <c r="A7" s="345" t="s">
        <v>303</v>
      </c>
      <c r="B7" s="346"/>
      <c r="C7" s="346"/>
      <c r="D7" s="346"/>
      <c r="E7" s="346"/>
      <c r="F7" s="347"/>
    </row>
    <row r="8" spans="1:13" ht="15.75" customHeight="1" x14ac:dyDescent="0.25">
      <c r="A8" s="348" t="s">
        <v>0</v>
      </c>
      <c r="B8" s="351" t="s">
        <v>376</v>
      </c>
      <c r="C8" s="352"/>
      <c r="D8" s="60"/>
      <c r="E8" s="264"/>
      <c r="F8" s="41" t="s">
        <v>13</v>
      </c>
      <c r="K8" s="360" t="s">
        <v>314</v>
      </c>
      <c r="L8" s="36" t="s">
        <v>315</v>
      </c>
      <c r="M8" s="359" t="s">
        <v>317</v>
      </c>
    </row>
    <row r="9" spans="1:13" x14ac:dyDescent="0.25">
      <c r="A9" s="349"/>
      <c r="B9" s="351"/>
      <c r="C9" s="352"/>
      <c r="D9" s="353" t="s">
        <v>318</v>
      </c>
      <c r="E9" s="354"/>
      <c r="F9" s="41" t="s">
        <v>302</v>
      </c>
      <c r="K9" s="360"/>
      <c r="L9" s="36" t="s">
        <v>302</v>
      </c>
      <c r="M9" s="359"/>
    </row>
    <row r="10" spans="1:13" ht="13.8" thickBot="1" x14ac:dyDescent="0.3">
      <c r="A10" s="350"/>
      <c r="B10" s="355" t="s">
        <v>1</v>
      </c>
      <c r="C10" s="356"/>
      <c r="D10" s="357" t="s">
        <v>1</v>
      </c>
      <c r="E10" s="358"/>
      <c r="F10" s="32" t="s">
        <v>1</v>
      </c>
      <c r="K10" s="360"/>
      <c r="L10" s="183" t="s">
        <v>1</v>
      </c>
      <c r="M10" s="359"/>
    </row>
    <row r="11" spans="1:13" ht="5.25" customHeight="1" x14ac:dyDescent="0.25">
      <c r="A11" s="69"/>
      <c r="B11" s="70"/>
      <c r="C11" s="191"/>
      <c r="D11" s="71"/>
      <c r="E11" s="192"/>
      <c r="F11" s="72"/>
      <c r="L11" s="185"/>
    </row>
    <row r="12" spans="1:13" x14ac:dyDescent="0.25">
      <c r="A12" s="174" t="s">
        <v>60</v>
      </c>
      <c r="B12" s="57"/>
      <c r="C12" s="170">
        <f>'Total Emissions'!$C$7</f>
        <v>0</v>
      </c>
      <c r="D12" s="25"/>
      <c r="E12" s="171">
        <f>'Total Emissions'!$C$13</f>
        <v>0</v>
      </c>
      <c r="F12" s="179">
        <f>IF(Inputs!$C$28="Attainment",10,5)</f>
        <v>10</v>
      </c>
      <c r="K12" s="56">
        <f>IF(E12&gt;=F12,1,0)</f>
        <v>0</v>
      </c>
      <c r="L12" s="188">
        <f>IF(Inputs!$C$28="Attainment",250,IF(Inputs!$C$28="Nonattainment - moderate",100,50))</f>
        <v>250</v>
      </c>
      <c r="M12" s="184">
        <f>IF(E12&gt;=L12,1,0)</f>
        <v>0</v>
      </c>
    </row>
    <row r="13" spans="1:13" ht="5.25" customHeight="1" x14ac:dyDescent="0.25">
      <c r="A13" s="175"/>
      <c r="B13" s="73"/>
      <c r="C13" s="170"/>
      <c r="D13" s="172"/>
      <c r="E13" s="173"/>
      <c r="F13" s="179"/>
      <c r="L13" s="188"/>
    </row>
    <row r="14" spans="1:13" ht="15.75" customHeight="1" x14ac:dyDescent="0.35">
      <c r="A14" s="174" t="s">
        <v>61</v>
      </c>
      <c r="B14" s="57"/>
      <c r="C14" s="170">
        <f>'Total Emissions'!$D$7</f>
        <v>0</v>
      </c>
      <c r="D14" s="25"/>
      <c r="E14" s="171">
        <f>'Total Emissions'!$D$13</f>
        <v>0</v>
      </c>
      <c r="F14" s="179">
        <f>IF(Inputs!$C$30="Attainment",10,5)</f>
        <v>10</v>
      </c>
      <c r="K14" s="56">
        <f t="shared" ref="K14:K22" si="0">IF(E14&gt;=F14,1,0)</f>
        <v>0</v>
      </c>
      <c r="L14" s="188">
        <f>IF(Inputs!$C$30="Attainment",250,IF(Inputs!$C$30="Nonattainment - marginal",100,IF(Inputs!$C$30="Nonattainment - moderate",100,IF(Inputs!$C$30="Nonattainment - serious",50,IF(Inputs!$C$30="Nonattainment - severe",25,10)))))</f>
        <v>250</v>
      </c>
      <c r="M14" s="184">
        <f t="shared" ref="M14:M22" si="1">IF(E14&gt;=L14,1,0)</f>
        <v>0</v>
      </c>
    </row>
    <row r="15" spans="1:13" ht="5.25" customHeight="1" x14ac:dyDescent="0.25">
      <c r="A15" s="175"/>
      <c r="B15" s="73"/>
      <c r="C15" s="170"/>
      <c r="D15" s="25"/>
      <c r="E15" s="181"/>
      <c r="F15" s="179"/>
      <c r="L15" s="188"/>
    </row>
    <row r="16" spans="1:13" ht="15.6" x14ac:dyDescent="0.35">
      <c r="A16" s="174" t="s">
        <v>62</v>
      </c>
      <c r="B16" s="57"/>
      <c r="C16" s="170">
        <f>'Total Emissions'!$E$7</f>
        <v>0</v>
      </c>
      <c r="D16" s="25"/>
      <c r="E16" s="171">
        <f>'Total Emissions'!$E$13</f>
        <v>0</v>
      </c>
      <c r="F16" s="179">
        <f>IF(Inputs!$C$32="Attainment",10,5)</f>
        <v>10</v>
      </c>
      <c r="K16" s="56">
        <f t="shared" si="0"/>
        <v>0</v>
      </c>
      <c r="L16" s="188">
        <f>IF(Inputs!$C$32="Attainment",250,100)</f>
        <v>250</v>
      </c>
      <c r="M16" s="184">
        <f t="shared" si="1"/>
        <v>0</v>
      </c>
    </row>
    <row r="17" spans="1:13" ht="5.25" customHeight="1" x14ac:dyDescent="0.25">
      <c r="A17" s="176"/>
      <c r="B17" s="58"/>
      <c r="C17" s="170"/>
      <c r="D17" s="25"/>
      <c r="E17" s="181"/>
      <c r="F17" s="179"/>
      <c r="L17" s="188"/>
    </row>
    <row r="18" spans="1:13" x14ac:dyDescent="0.25">
      <c r="A18" s="174" t="s">
        <v>3</v>
      </c>
      <c r="B18" s="57"/>
      <c r="C18" s="170">
        <f>'Total Emissions'!$F$7</f>
        <v>0</v>
      </c>
      <c r="D18" s="25"/>
      <c r="E18" s="171">
        <f>'Total Emissions'!$F$13</f>
        <v>0</v>
      </c>
      <c r="F18" s="179">
        <f>IF(Inputs!$C$30="Attainment",5,2)</f>
        <v>5</v>
      </c>
      <c r="K18" s="56">
        <f t="shared" si="0"/>
        <v>0</v>
      </c>
      <c r="L18" s="188">
        <f>IF(Inputs!$C$30="Attainment",250,IF(Inputs!$C$30="Nonattainment - marginal",100,IF(Inputs!$C$30="Nonattainment - moderate",100,IF(Inputs!$C$30="Nonattainment - serious",50,IF(Inputs!$C$30="Nonattainment - severe",25,10)))))</f>
        <v>250</v>
      </c>
      <c r="M18" s="184">
        <f t="shared" si="1"/>
        <v>0</v>
      </c>
    </row>
    <row r="19" spans="1:13" ht="5.25" customHeight="1" x14ac:dyDescent="0.25">
      <c r="A19" s="177"/>
      <c r="B19" s="74"/>
      <c r="C19" s="170"/>
      <c r="D19" s="25"/>
      <c r="E19" s="181"/>
      <c r="F19" s="179"/>
      <c r="L19" s="188"/>
    </row>
    <row r="20" spans="1:13" ht="15.6" x14ac:dyDescent="0.35">
      <c r="A20" s="174" t="s">
        <v>63</v>
      </c>
      <c r="B20" s="57"/>
      <c r="C20" s="170">
        <f>'Total Emissions'!$G$7</f>
        <v>0</v>
      </c>
      <c r="D20" s="25"/>
      <c r="E20" s="171">
        <f>'Total Emissions'!$G$13</f>
        <v>0</v>
      </c>
      <c r="F20" s="179">
        <f>IF(Inputs!$C$34="Attainment",5,1)</f>
        <v>5</v>
      </c>
      <c r="K20" s="56">
        <f t="shared" si="0"/>
        <v>0</v>
      </c>
      <c r="L20" s="188">
        <f>IF(Inputs!$C$34="Attainment",250,IF(Inputs!$C$34="Nonattainment - moderate",100,70))</f>
        <v>250</v>
      </c>
      <c r="M20" s="184">
        <f t="shared" si="1"/>
        <v>0</v>
      </c>
    </row>
    <row r="21" spans="1:13" ht="5.25" customHeight="1" x14ac:dyDescent="0.25">
      <c r="A21" s="175"/>
      <c r="B21" s="73"/>
      <c r="C21" s="170"/>
      <c r="D21" s="25"/>
      <c r="E21" s="181"/>
      <c r="F21" s="180"/>
      <c r="L21" s="189"/>
    </row>
    <row r="22" spans="1:13" ht="15.6" x14ac:dyDescent="0.35">
      <c r="A22" s="178" t="s">
        <v>64</v>
      </c>
      <c r="B22" s="75"/>
      <c r="C22" s="170">
        <f>'Total Emissions'!$H$7</f>
        <v>0</v>
      </c>
      <c r="D22" s="25"/>
      <c r="E22" s="171">
        <f>'Total Emissions'!$H$13</f>
        <v>0</v>
      </c>
      <c r="F22" s="179">
        <f>IF(Inputs!$C$36="Attainment",3,0.6)</f>
        <v>3</v>
      </c>
      <c r="K22" s="56">
        <f t="shared" si="0"/>
        <v>0</v>
      </c>
      <c r="L22" s="188">
        <f>IF(Inputs!$C$36="Attainment",250,100)</f>
        <v>250</v>
      </c>
      <c r="M22" s="184">
        <f t="shared" si="1"/>
        <v>0</v>
      </c>
    </row>
    <row r="23" spans="1:13" ht="5.25" customHeight="1" x14ac:dyDescent="0.25">
      <c r="A23" s="33"/>
      <c r="B23" s="59"/>
      <c r="C23" s="169"/>
      <c r="D23" s="25"/>
      <c r="E23" s="61"/>
      <c r="F23" s="34"/>
      <c r="L23" s="187"/>
    </row>
    <row r="24" spans="1:13" x14ac:dyDescent="0.25">
      <c r="A24" s="367" t="s">
        <v>29</v>
      </c>
      <c r="B24" s="368"/>
      <c r="C24" s="368"/>
      <c r="D24" s="368"/>
      <c r="E24" s="368"/>
      <c r="F24" s="369"/>
      <c r="L24" s="186"/>
    </row>
    <row r="25" spans="1:13" x14ac:dyDescent="0.25">
      <c r="A25" s="35"/>
      <c r="B25" s="36"/>
      <c r="C25" s="36"/>
      <c r="D25" s="36"/>
      <c r="E25" s="36"/>
      <c r="F25" s="76"/>
      <c r="L25" s="185"/>
    </row>
    <row r="26" spans="1:13" x14ac:dyDescent="0.25">
      <c r="A26" s="31"/>
      <c r="B26" s="25"/>
      <c r="C26" s="190">
        <v>100</v>
      </c>
      <c r="D26" s="23" t="s">
        <v>316</v>
      </c>
      <c r="E26" s="25"/>
      <c r="F26" s="76"/>
      <c r="G26" s="36"/>
      <c r="K26" s="24"/>
      <c r="L26" s="56"/>
    </row>
    <row r="27" spans="1:13" x14ac:dyDescent="0.25">
      <c r="A27" s="31"/>
      <c r="B27" s="25"/>
      <c r="C27" s="37">
        <v>50</v>
      </c>
      <c r="D27" s="23" t="s">
        <v>27</v>
      </c>
      <c r="E27" s="25"/>
      <c r="F27" s="30"/>
      <c r="L27" s="185"/>
    </row>
    <row r="28" spans="1:13" x14ac:dyDescent="0.25">
      <c r="A28" s="31"/>
      <c r="B28" s="25"/>
      <c r="C28" s="37">
        <v>0</v>
      </c>
      <c r="D28" s="23" t="s">
        <v>28</v>
      </c>
      <c r="E28" s="25"/>
      <c r="F28" s="30"/>
    </row>
    <row r="29" spans="1:13" ht="13.8" thickBot="1" x14ac:dyDescent="0.3">
      <c r="A29" s="38"/>
      <c r="B29" s="39"/>
      <c r="C29" s="39"/>
      <c r="D29" s="39"/>
      <c r="E29" s="39"/>
      <c r="F29" s="40"/>
    </row>
    <row r="30" spans="1:13" ht="22.5" customHeight="1" thickBot="1" x14ac:dyDescent="0.3">
      <c r="A30" s="370" t="str">
        <f>IF(OR($M$12=1,$M$14=1,$M$16=1,$M$18=1,$M$20=1,$M$22=1),"PLEASE CONSULT WITH YOUR EPA REGIONAL CONTACT LISTED BELOW",IF(OR(K12=1,K14=1,K16=1,K18=1,K20=1,K22=1),"YOU ARE REQUIRED TO REGISTER YOUR FACILITY UNDER THE TRIBAL NEW SOURCE REVIEW RULE","PLEASE SEE NOTE BELOW"))</f>
        <v>PLEASE SEE NOTE BELOW</v>
      </c>
      <c r="B30" s="371"/>
      <c r="C30" s="371"/>
      <c r="D30" s="371"/>
      <c r="E30" s="371"/>
      <c r="F30" s="372"/>
    </row>
    <row r="31" spans="1:13" x14ac:dyDescent="0.25">
      <c r="A31" s="26"/>
      <c r="B31" s="27"/>
      <c r="C31" s="27"/>
      <c r="D31" s="27"/>
      <c r="E31" s="27"/>
      <c r="F31" s="28"/>
    </row>
    <row r="32" spans="1:13" ht="164.25" customHeight="1" thickBot="1" x14ac:dyDescent="0.3">
      <c r="A32" s="361" t="str">
        <f>IF(OR($M$12=1,$M$14=1,$M$16=1,$M$18=1,$M$20=1,$M$22=1),"The allowable emissions at your facility exceed the major source threshold for one or more pollutants. Please consult with your EPA Regional contact listed below to determine applicable permitting requirements.",IF($A$30="You are required to register your facility under the Tribal New Source Review Rule","Please print and mail this page to your EPA Regional contact listed below. Alternatively, you may scan the printed page and email it to your EPA Regional contact.","If your facility"&amp;" has additional sources of emissions, such as emergency generators, you are required to complete all applicable registration calculators and sum the total emissions from"&amp;" each calculator to determine your registration requirement.  If the sum of total emissions from all applicable calculators is below the minor source threshold for every"&amp;" pollutant, then you are not required to register your facility and no further action is required. If the sum of total emissions from all applicable calculators"&amp;" exceeds the minor source threshold for any pollutant, then you are required to register your facility under the"&amp;" Tribal New Source Review Rule. If you are required to register, please contact your EPA Regional Office listed below."))</f>
        <v>If your facility has additional sources of emissions, such as emergency generators, you are required to complete all applicable registration calculators and sum the total emissions from each calculator to determine your registration requirement.  If the sum of total emissions from all applicable calculators is below the minor source threshold for every pollutant, then you are not required to register your facility and no further action is required. If the sum of total emissions from all applicable calculators exceeds the minor source threshold for any pollutant, then you are required to register your facility under the Tribal New Source Review Rule. If you are required to register, please contact your EPA Regional Office listed below.</v>
      </c>
      <c r="B32" s="362"/>
      <c r="C32" s="362"/>
      <c r="D32" s="362"/>
      <c r="E32" s="362"/>
      <c r="F32" s="363"/>
    </row>
    <row r="33" spans="1:6" ht="15.75" customHeight="1" thickBot="1" x14ac:dyDescent="0.3">
      <c r="A33" s="364" t="str">
        <f>"U.S. Environmental Protection Agency Region "&amp;VLOOKUP(Inputs!$C$7,'EPA Regional Contact Info'!$A$5:$C$49,3,FALSE)&amp;" Contact"</f>
        <v>U.S. Environmental Protection Agency Region 6 Contact</v>
      </c>
      <c r="B33" s="365"/>
      <c r="C33" s="365"/>
      <c r="D33" s="365"/>
      <c r="E33" s="365"/>
      <c r="F33" s="366"/>
    </row>
    <row r="34" spans="1:6" ht="15.6" x14ac:dyDescent="0.3">
      <c r="A34" s="116"/>
      <c r="B34" s="117" t="s">
        <v>281</v>
      </c>
      <c r="C34" s="153"/>
      <c r="D34" s="151" t="str">
        <f>Inputs!C16</f>
        <v>Bonnie Braganza</v>
      </c>
      <c r="E34" s="153"/>
      <c r="F34" s="118"/>
    </row>
    <row r="35" spans="1:6" ht="15.6" x14ac:dyDescent="0.3">
      <c r="A35" s="119"/>
      <c r="B35" s="120" t="s">
        <v>282</v>
      </c>
      <c r="C35" s="154"/>
      <c r="D35" s="152" t="str">
        <f>Inputs!C22</f>
        <v>U.S. Environmental Protection Agency Region 6</v>
      </c>
      <c r="E35" s="154"/>
      <c r="F35" s="121"/>
    </row>
    <row r="36" spans="1:6" ht="15.6" x14ac:dyDescent="0.3">
      <c r="A36" s="119"/>
      <c r="B36" s="120"/>
      <c r="C36" s="154"/>
      <c r="D36" s="152" t="str">
        <f>Inputs!C23</f>
        <v>1445 Ross Avenue, Suite 1200</v>
      </c>
      <c r="E36" s="154"/>
      <c r="F36" s="121"/>
    </row>
    <row r="37" spans="1:6" ht="15.6" x14ac:dyDescent="0.3">
      <c r="A37" s="119"/>
      <c r="B37" s="120"/>
      <c r="C37" s="154"/>
      <c r="D37" s="152" t="str">
        <f>Inputs!C24</f>
        <v>MC: 6PD</v>
      </c>
      <c r="E37" s="154"/>
      <c r="F37" s="121"/>
    </row>
    <row r="38" spans="1:6" ht="15.6" x14ac:dyDescent="0.3">
      <c r="A38" s="119"/>
      <c r="B38" s="120"/>
      <c r="C38" s="154"/>
      <c r="D38" s="152" t="str">
        <f>Inputs!C25</f>
        <v>Dallas, TX 75202-2733</v>
      </c>
      <c r="E38" s="154"/>
      <c r="F38" s="121"/>
    </row>
    <row r="39" spans="1:6" ht="15.6" x14ac:dyDescent="0.3">
      <c r="A39" s="119"/>
      <c r="B39" s="120"/>
      <c r="C39" s="154"/>
      <c r="D39" s="152"/>
      <c r="E39" s="154"/>
      <c r="F39" s="121"/>
    </row>
    <row r="40" spans="1:6" ht="15.6" x14ac:dyDescent="0.3">
      <c r="A40" s="119"/>
      <c r="B40" s="120" t="s">
        <v>283</v>
      </c>
      <c r="C40" s="154"/>
      <c r="D40" s="152" t="str">
        <f>Inputs!C17</f>
        <v>214-665-7340</v>
      </c>
      <c r="E40" s="154"/>
      <c r="F40" s="121"/>
    </row>
    <row r="41" spans="1:6" ht="15.6" x14ac:dyDescent="0.3">
      <c r="A41" s="119"/>
      <c r="B41" s="120" t="s">
        <v>32</v>
      </c>
      <c r="C41" s="154"/>
      <c r="D41" s="152" t="str">
        <f>Inputs!C18</f>
        <v>braganza.bonnie@epa.gov</v>
      </c>
      <c r="E41" s="154"/>
      <c r="F41" s="121"/>
    </row>
    <row r="42" spans="1:6" ht="13.8" thickBot="1" x14ac:dyDescent="0.3">
      <c r="A42" s="122"/>
      <c r="B42" s="123"/>
      <c r="C42" s="123"/>
      <c r="D42" s="123"/>
      <c r="E42" s="123"/>
      <c r="F42" s="124"/>
    </row>
  </sheetData>
  <sheetProtection password="CAA9" sheet="1" objects="1" scenarios="1"/>
  <customSheetViews>
    <customSheetView guid="{8C263A95-99F9-4260-B64A-0E771D03F536}" showRuler="0">
      <selection sqref="A1:H1"/>
      <pageMargins left="0.5" right="0.5" top="0.5" bottom="0.5" header="0.25" footer="0.25"/>
      <printOptions gridLines="1"/>
      <pageSetup scale="95" orientation="landscape" horizontalDpi="4294967292" verticalDpi="300" r:id="rId1"/>
      <headerFooter alignWithMargins="0">
        <oddHeader>&amp;A</oddHeader>
        <oddFooter>Page &amp;P</oddFooter>
      </headerFooter>
    </customSheetView>
  </customSheetViews>
  <mergeCells count="12">
    <mergeCell ref="M8:M10"/>
    <mergeCell ref="K8:K10"/>
    <mergeCell ref="A32:F32"/>
    <mergeCell ref="A33:F33"/>
    <mergeCell ref="A24:F24"/>
    <mergeCell ref="A30:F30"/>
    <mergeCell ref="A7:F7"/>
    <mergeCell ref="A8:A10"/>
    <mergeCell ref="B8:C9"/>
    <mergeCell ref="D9:E9"/>
    <mergeCell ref="B10:C10"/>
    <mergeCell ref="D10:E10"/>
  </mergeCells>
  <phoneticPr fontId="0" type="noConversion"/>
  <conditionalFormatting sqref="A33 A32:F32">
    <cfRule type="expression" dxfId="7" priority="10">
      <formula>$A$30="PLEASE SEE NOTE BELOW"</formula>
    </cfRule>
  </conditionalFormatting>
  <conditionalFormatting sqref="A30:F30">
    <cfRule type="expression" dxfId="6" priority="9">
      <formula>$A$30="You are required to register your facility under the tribal new source review rule"</formula>
    </cfRule>
  </conditionalFormatting>
  <conditionalFormatting sqref="C27:C28">
    <cfRule type="iconSet" priority="34">
      <iconSet iconSet="3Symbols" showValue="0" reverse="1">
        <cfvo type="percent" val="0"/>
        <cfvo type="num" val="0" gte="0"/>
        <cfvo type="num" val="100"/>
      </iconSet>
    </cfRule>
  </conditionalFormatting>
  <conditionalFormatting sqref="C12 E12">
    <cfRule type="cellIs" dxfId="5" priority="55" operator="greaterThanOrEqual">
      <formula>$F$12</formula>
    </cfRule>
  </conditionalFormatting>
  <conditionalFormatting sqref="C14 E14">
    <cfRule type="cellIs" dxfId="4" priority="59" operator="greaterThanOrEqual">
      <formula>$F$14</formula>
    </cfRule>
  </conditionalFormatting>
  <conditionalFormatting sqref="C16 E16">
    <cfRule type="cellIs" dxfId="3" priority="63" operator="greaterThanOrEqual">
      <formula>$F$16</formula>
    </cfRule>
  </conditionalFormatting>
  <conditionalFormatting sqref="C18 E18">
    <cfRule type="cellIs" dxfId="2" priority="67" operator="greaterThanOrEqual">
      <formula>$F$18</formula>
    </cfRule>
  </conditionalFormatting>
  <conditionalFormatting sqref="C20 E20">
    <cfRule type="cellIs" dxfId="1" priority="71" operator="greaterThanOrEqual">
      <formula>$F$20</formula>
    </cfRule>
  </conditionalFormatting>
  <conditionalFormatting sqref="C22 E22">
    <cfRule type="cellIs" dxfId="0" priority="75" operator="greaterThanOrEqual">
      <formula>$F$22</formula>
    </cfRule>
  </conditionalFormatting>
  <conditionalFormatting sqref="C26">
    <cfRule type="iconSet" priority="1">
      <iconSet iconSet="3Symbols" showValue="0" reverse="1">
        <cfvo type="percent" val="0"/>
        <cfvo type="num" val="0" gte="0"/>
        <cfvo type="num" val="100"/>
      </iconSet>
    </cfRule>
  </conditionalFormatting>
  <conditionalFormatting sqref="E12">
    <cfRule type="iconSet" priority="56">
      <iconSet iconSet="3Symbols" reverse="1">
        <cfvo type="percent" val="0"/>
        <cfvo type="formula" val="$F$12"/>
        <cfvo type="formula" val="$L$12"/>
      </iconSet>
    </cfRule>
  </conditionalFormatting>
  <conditionalFormatting sqref="E14">
    <cfRule type="iconSet" priority="60">
      <iconSet iconSet="3Symbols" reverse="1">
        <cfvo type="percent" val="0"/>
        <cfvo type="formula" val="$F$14"/>
        <cfvo type="formula" val="$L$14"/>
      </iconSet>
    </cfRule>
  </conditionalFormatting>
  <conditionalFormatting sqref="E16">
    <cfRule type="iconSet" priority="64">
      <iconSet iconSet="3Symbols" reverse="1">
        <cfvo type="percent" val="0"/>
        <cfvo type="formula" val="$F$16"/>
        <cfvo type="formula" val="$L$16"/>
      </iconSet>
    </cfRule>
  </conditionalFormatting>
  <conditionalFormatting sqref="E18">
    <cfRule type="iconSet" priority="68">
      <iconSet iconSet="3Symbols" reverse="1">
        <cfvo type="percent" val="0"/>
        <cfvo type="formula" val="$F$18"/>
        <cfvo type="formula" val="$L$18"/>
      </iconSet>
    </cfRule>
  </conditionalFormatting>
  <conditionalFormatting sqref="E20">
    <cfRule type="iconSet" priority="72">
      <iconSet iconSet="3Symbols" reverse="1">
        <cfvo type="percent" val="0"/>
        <cfvo type="formula" val="$F$20"/>
        <cfvo type="formula" val="$L$20"/>
      </iconSet>
    </cfRule>
  </conditionalFormatting>
  <conditionalFormatting sqref="E22">
    <cfRule type="iconSet" priority="76">
      <iconSet iconSet="3Symbols" reverse="1">
        <cfvo type="percent" val="0"/>
        <cfvo type="formula" val="$F$22"/>
        <cfvo type="formula" val="$L$22"/>
      </iconSet>
    </cfRule>
  </conditionalFormatting>
  <printOptions horizontalCentered="1" gridLinesSet="0"/>
  <pageMargins left="0.4" right="0.4" top="0.7" bottom="0.3" header="0.25" footer="0.25"/>
  <pageSetup scale="75" orientation="portrait" horizontalDpi="1200" verticalDpi="1200" r:id="rId2"/>
  <headerFooter alignWithMargins="0">
    <oddHeader xml:space="preserve">&amp;C&amp;"Arial,Bold"&amp;14
Solvent Degreasing Registration&amp;"Arial,Regular"&amp;10
Summary Printout
</oddHeader>
    <oddFooter>&amp;L&amp;F&amp;RPrinted &amp;D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sheetPr>
  <dimension ref="A1:G26"/>
  <sheetViews>
    <sheetView workbookViewId="0">
      <selection sqref="A1:F1"/>
    </sheetView>
  </sheetViews>
  <sheetFormatPr defaultRowHeight="13.2" x14ac:dyDescent="0.25"/>
  <cols>
    <col min="1" max="1" width="17.88671875" style="16" bestFit="1" customWidth="1"/>
    <col min="2" max="2" width="17.5546875" style="142" customWidth="1"/>
    <col min="3" max="3" width="34.33203125" customWidth="1"/>
    <col min="4" max="5" width="20" style="8" customWidth="1"/>
    <col min="6" max="6" width="25" style="8" customWidth="1"/>
    <col min="7" max="7" width="29.5546875" customWidth="1"/>
  </cols>
  <sheetData>
    <row r="1" spans="1:7" ht="17.399999999999999" x14ac:dyDescent="0.3">
      <c r="A1" s="374" t="s">
        <v>399</v>
      </c>
      <c r="B1" s="374"/>
      <c r="C1" s="374"/>
      <c r="D1" s="374"/>
      <c r="E1" s="374"/>
      <c r="F1" s="374"/>
    </row>
    <row r="2" spans="1:7" x14ac:dyDescent="0.25">
      <c r="A2" s="373" t="s">
        <v>467</v>
      </c>
      <c r="B2" s="373"/>
      <c r="C2" s="373"/>
      <c r="D2" s="373"/>
      <c r="E2" s="373"/>
      <c r="F2" s="373"/>
    </row>
    <row r="4" spans="1:7" x14ac:dyDescent="0.25">
      <c r="A4" s="15" t="s">
        <v>25</v>
      </c>
      <c r="B4" s="139" t="s">
        <v>21</v>
      </c>
      <c r="C4" s="3" t="s">
        <v>23</v>
      </c>
      <c r="D4" s="3" t="s">
        <v>22</v>
      </c>
      <c r="E4" s="12" t="s">
        <v>39</v>
      </c>
      <c r="F4" s="12" t="s">
        <v>41</v>
      </c>
      <c r="G4" s="3" t="s">
        <v>24</v>
      </c>
    </row>
    <row r="5" spans="1:7" ht="27" customHeight="1" x14ac:dyDescent="0.25">
      <c r="A5" s="46">
        <v>1</v>
      </c>
      <c r="B5" s="140">
        <v>41318</v>
      </c>
      <c r="C5" s="47" t="s">
        <v>38</v>
      </c>
      <c r="D5" s="214" t="s">
        <v>353</v>
      </c>
      <c r="E5" s="6" t="s">
        <v>40</v>
      </c>
      <c r="F5" s="6" t="s">
        <v>374</v>
      </c>
      <c r="G5" s="268" t="s">
        <v>91</v>
      </c>
    </row>
    <row r="6" spans="1:7" ht="27" customHeight="1" x14ac:dyDescent="0.25">
      <c r="A6" s="49">
        <v>1.1000000000000001</v>
      </c>
      <c r="B6" s="140">
        <v>41320</v>
      </c>
      <c r="C6" s="50" t="s">
        <v>455</v>
      </c>
      <c r="D6" s="6" t="s">
        <v>456</v>
      </c>
      <c r="E6" s="64" t="s">
        <v>40</v>
      </c>
      <c r="F6" s="64" t="s">
        <v>374</v>
      </c>
      <c r="G6" s="268" t="s">
        <v>91</v>
      </c>
    </row>
    <row r="7" spans="1:7" ht="72" customHeight="1" x14ac:dyDescent="0.25">
      <c r="A7" s="53">
        <v>1.2</v>
      </c>
      <c r="B7" s="200">
        <v>41326</v>
      </c>
      <c r="C7" s="54" t="s">
        <v>457</v>
      </c>
      <c r="D7" s="51" t="s">
        <v>456</v>
      </c>
      <c r="E7" s="51" t="s">
        <v>40</v>
      </c>
      <c r="F7" s="51" t="s">
        <v>374</v>
      </c>
      <c r="G7" s="268" t="s">
        <v>91</v>
      </c>
    </row>
    <row r="8" spans="1:7" ht="26.4" x14ac:dyDescent="0.25">
      <c r="A8" s="53">
        <v>1.3</v>
      </c>
      <c r="B8" s="212" t="s">
        <v>465</v>
      </c>
      <c r="C8" s="54" t="s">
        <v>466</v>
      </c>
      <c r="D8" s="51" t="s">
        <v>456</v>
      </c>
      <c r="E8" s="51" t="s">
        <v>40</v>
      </c>
      <c r="F8" s="51" t="s">
        <v>374</v>
      </c>
      <c r="G8" s="48" t="s">
        <v>91</v>
      </c>
    </row>
    <row r="9" spans="1:7" ht="16.5" customHeight="1" x14ac:dyDescent="0.25">
      <c r="A9" s="53"/>
      <c r="B9" s="141"/>
      <c r="C9" s="54"/>
      <c r="D9" s="51"/>
      <c r="E9" s="51"/>
      <c r="F9" s="51"/>
      <c r="G9" s="52"/>
    </row>
    <row r="10" spans="1:7" ht="16.5" customHeight="1" x14ac:dyDescent="0.25">
      <c r="A10" s="53"/>
      <c r="B10" s="141"/>
      <c r="C10" s="54"/>
      <c r="D10" s="51"/>
      <c r="E10" s="51"/>
      <c r="F10" s="51"/>
      <c r="G10" s="52"/>
    </row>
    <row r="11" spans="1:7" ht="16.5" customHeight="1" x14ac:dyDescent="0.25">
      <c r="A11" s="53"/>
      <c r="B11" s="141"/>
      <c r="C11" s="54"/>
      <c r="D11" s="51"/>
      <c r="E11" s="51"/>
      <c r="F11" s="51"/>
      <c r="G11" s="52"/>
    </row>
    <row r="12" spans="1:7" ht="16.5" customHeight="1" x14ac:dyDescent="0.25">
      <c r="A12" s="53"/>
      <c r="B12" s="141"/>
      <c r="C12" s="54"/>
      <c r="D12" s="51"/>
      <c r="E12" s="51"/>
      <c r="F12" s="51"/>
      <c r="G12" s="52"/>
    </row>
    <row r="13" spans="1:7" ht="16.5" customHeight="1" x14ac:dyDescent="0.25">
      <c r="A13" s="53"/>
      <c r="B13" s="141"/>
      <c r="C13" s="54"/>
      <c r="D13" s="51"/>
      <c r="E13" s="51"/>
      <c r="F13" s="51"/>
      <c r="G13" s="52"/>
    </row>
    <row r="14" spans="1:7" ht="16.5" customHeight="1" x14ac:dyDescent="0.25">
      <c r="A14" s="53"/>
      <c r="B14" s="141"/>
      <c r="C14" s="54"/>
      <c r="D14" s="51"/>
      <c r="E14" s="51"/>
      <c r="F14" s="51"/>
      <c r="G14" s="52"/>
    </row>
    <row r="15" spans="1:7" ht="16.5" customHeight="1" x14ac:dyDescent="0.25">
      <c r="A15" s="53"/>
      <c r="B15" s="141"/>
      <c r="C15" s="54"/>
      <c r="D15" s="51"/>
      <c r="E15" s="51"/>
      <c r="F15" s="51"/>
      <c r="G15" s="52"/>
    </row>
    <row r="16" spans="1:7" ht="16.5" customHeight="1" x14ac:dyDescent="0.25">
      <c r="A16" s="53"/>
      <c r="B16" s="141"/>
      <c r="C16" s="54"/>
      <c r="D16" s="51"/>
      <c r="E16" s="51"/>
      <c r="F16" s="51"/>
      <c r="G16" s="52"/>
    </row>
    <row r="17" spans="1:7" ht="16.5" customHeight="1" x14ac:dyDescent="0.25">
      <c r="A17" s="53"/>
      <c r="B17" s="141"/>
      <c r="C17" s="54"/>
      <c r="D17" s="51"/>
      <c r="E17" s="51"/>
      <c r="F17" s="51"/>
      <c r="G17" s="52"/>
    </row>
    <row r="18" spans="1:7" ht="16.5" customHeight="1" x14ac:dyDescent="0.25">
      <c r="A18" s="53"/>
      <c r="B18" s="141"/>
      <c r="C18" s="54"/>
      <c r="D18" s="51"/>
      <c r="E18" s="51"/>
      <c r="F18" s="51"/>
      <c r="G18" s="52"/>
    </row>
    <row r="19" spans="1:7" ht="16.5" customHeight="1" x14ac:dyDescent="0.25">
      <c r="A19" s="53"/>
      <c r="B19" s="141"/>
      <c r="C19" s="54"/>
      <c r="D19" s="51"/>
      <c r="E19" s="51"/>
      <c r="F19" s="51"/>
      <c r="G19" s="52"/>
    </row>
    <row r="20" spans="1:7" ht="16.5" customHeight="1" x14ac:dyDescent="0.25">
      <c r="A20" s="53"/>
      <c r="B20" s="141"/>
      <c r="C20" s="54"/>
      <c r="D20" s="51"/>
      <c r="E20" s="51"/>
      <c r="F20" s="51"/>
      <c r="G20" s="52"/>
    </row>
    <row r="21" spans="1:7" ht="16.5" customHeight="1" x14ac:dyDescent="0.25">
      <c r="A21" s="53"/>
      <c r="B21" s="141"/>
      <c r="C21" s="54"/>
      <c r="D21" s="51"/>
      <c r="E21" s="51"/>
      <c r="F21" s="51"/>
      <c r="G21" s="52"/>
    </row>
    <row r="22" spans="1:7" ht="16.5" customHeight="1" x14ac:dyDescent="0.25">
      <c r="A22" s="53"/>
      <c r="B22" s="141"/>
      <c r="C22" s="54"/>
      <c r="D22" s="51"/>
      <c r="E22" s="51"/>
      <c r="F22" s="51"/>
      <c r="G22" s="52"/>
    </row>
    <row r="23" spans="1:7" ht="16.5" customHeight="1" x14ac:dyDescent="0.25">
      <c r="A23" s="53"/>
      <c r="B23" s="141"/>
      <c r="C23" s="54"/>
      <c r="D23" s="51"/>
      <c r="E23" s="51"/>
      <c r="F23" s="51"/>
      <c r="G23" s="52"/>
    </row>
    <row r="24" spans="1:7" ht="16.5" customHeight="1" x14ac:dyDescent="0.25">
      <c r="A24" s="53"/>
      <c r="B24" s="141"/>
      <c r="C24" s="54"/>
      <c r="D24" s="51"/>
      <c r="E24" s="51"/>
      <c r="F24" s="51"/>
      <c r="G24" s="52"/>
    </row>
    <row r="25" spans="1:7" ht="16.5" customHeight="1" x14ac:dyDescent="0.25">
      <c r="A25" s="53"/>
      <c r="B25" s="141"/>
      <c r="C25" s="54"/>
      <c r="D25" s="51"/>
      <c r="E25" s="51"/>
      <c r="F25" s="51"/>
      <c r="G25" s="52"/>
    </row>
    <row r="26" spans="1:7" ht="16.5" customHeight="1" x14ac:dyDescent="0.25">
      <c r="A26" s="53"/>
      <c r="B26" s="141"/>
      <c r="C26" s="54"/>
      <c r="D26" s="51"/>
      <c r="E26" s="51"/>
      <c r="F26" s="51"/>
      <c r="G26" s="52"/>
    </row>
  </sheetData>
  <mergeCells count="2">
    <mergeCell ref="A2:F2"/>
    <mergeCell ref="A1:F1"/>
  </mergeCells>
  <hyperlinks>
    <hyperlink ref="G5" r:id="rId1"/>
    <hyperlink ref="G6" r:id="rId2"/>
    <hyperlink ref="G7" r:id="rId3"/>
    <hyperlink ref="G8" r:id="rId4"/>
  </hyperlinks>
  <pageMargins left="0.7" right="0.7" top="0.75" bottom="0.75" header="0.3" footer="0.3"/>
  <pageSetup orientation="portrait"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H27"/>
  <sheetViews>
    <sheetView zoomScaleNormal="100" workbookViewId="0">
      <pane ySplit="3" topLeftCell="A4" activePane="bottomLeft" state="frozen"/>
      <selection pane="bottomLeft"/>
    </sheetView>
  </sheetViews>
  <sheetFormatPr defaultRowHeight="13.2" x14ac:dyDescent="0.25"/>
  <cols>
    <col min="1" max="1" width="39.88671875" style="4" customWidth="1"/>
    <col min="2" max="2" width="17" customWidth="1"/>
    <col min="3" max="3" width="36.44140625" customWidth="1"/>
    <col min="4" max="4" width="26" style="9" customWidth="1"/>
    <col min="5" max="5" width="29.109375" style="9" customWidth="1"/>
    <col min="6" max="6" width="17" customWidth="1"/>
    <col min="7" max="7" width="19.6640625" customWidth="1"/>
    <col min="8" max="8" width="40.6640625" customWidth="1"/>
  </cols>
  <sheetData>
    <row r="1" spans="1:8" ht="17.399999999999999" x14ac:dyDescent="0.3">
      <c r="A1" s="1" t="s">
        <v>33</v>
      </c>
    </row>
    <row r="2" spans="1:8" ht="13.8" thickBot="1" x14ac:dyDescent="0.3"/>
    <row r="3" spans="1:8" x14ac:dyDescent="0.25">
      <c r="A3" s="17" t="s">
        <v>53</v>
      </c>
      <c r="B3" s="18" t="s">
        <v>0</v>
      </c>
      <c r="C3" s="18" t="s">
        <v>34</v>
      </c>
      <c r="D3" s="19" t="s">
        <v>377</v>
      </c>
      <c r="E3" s="19" t="s">
        <v>378</v>
      </c>
      <c r="F3" s="18" t="s">
        <v>36</v>
      </c>
      <c r="G3" s="18" t="s">
        <v>35</v>
      </c>
      <c r="H3" s="21" t="s">
        <v>37</v>
      </c>
    </row>
    <row r="4" spans="1:8" x14ac:dyDescent="0.25">
      <c r="A4" s="378" t="s">
        <v>428</v>
      </c>
      <c r="B4" s="379"/>
      <c r="C4" s="379"/>
      <c r="D4" s="379"/>
      <c r="E4" s="379"/>
      <c r="F4" s="379"/>
      <c r="G4" s="379"/>
      <c r="H4" s="380"/>
    </row>
    <row r="5" spans="1:8" x14ac:dyDescent="0.25">
      <c r="A5" s="219" t="s">
        <v>387</v>
      </c>
      <c r="B5" s="216" t="s">
        <v>3</v>
      </c>
      <c r="C5" s="216" t="str">
        <f>A5&amp;B5</f>
        <v>Solvent UsedVOC</v>
      </c>
      <c r="D5" s="217">
        <v>2000</v>
      </c>
      <c r="E5" s="217">
        <v>2000</v>
      </c>
      <c r="F5" s="216" t="s">
        <v>388</v>
      </c>
      <c r="G5" s="216" t="s">
        <v>390</v>
      </c>
      <c r="H5" s="218" t="s">
        <v>389</v>
      </c>
    </row>
    <row r="6" spans="1:8" ht="16.5" customHeight="1" x14ac:dyDescent="0.25">
      <c r="A6" s="375" t="s">
        <v>427</v>
      </c>
      <c r="B6" s="376"/>
      <c r="C6" s="376"/>
      <c r="D6" s="376"/>
      <c r="E6" s="376"/>
      <c r="F6" s="376"/>
      <c r="G6" s="376"/>
      <c r="H6" s="377"/>
    </row>
    <row r="7" spans="1:8" x14ac:dyDescent="0.25">
      <c r="A7" s="14" t="s">
        <v>67</v>
      </c>
      <c r="B7" s="5" t="s">
        <v>3</v>
      </c>
      <c r="C7" s="5" t="str">
        <f t="shared" ref="C7:C27" si="0">A7&amp;B7</f>
        <v>Oil - DistillateVOC</v>
      </c>
      <c r="D7" s="10">
        <v>0.2</v>
      </c>
      <c r="E7" s="10">
        <f t="shared" ref="E7:E27" si="1">D7</f>
        <v>0.2</v>
      </c>
      <c r="F7" s="7" t="s">
        <v>388</v>
      </c>
      <c r="G7" s="7" t="s">
        <v>68</v>
      </c>
      <c r="H7" s="20" t="s">
        <v>391</v>
      </c>
    </row>
    <row r="8" spans="1:8" ht="15.6" x14ac:dyDescent="0.25">
      <c r="A8" s="14" t="s">
        <v>67</v>
      </c>
      <c r="B8" s="7" t="s">
        <v>392</v>
      </c>
      <c r="C8" s="5" t="str">
        <f t="shared" si="0"/>
        <v>Oil - DistillateNOx</v>
      </c>
      <c r="D8" s="10">
        <v>20</v>
      </c>
      <c r="E8" s="10">
        <f t="shared" si="1"/>
        <v>20</v>
      </c>
      <c r="F8" s="7" t="s">
        <v>388</v>
      </c>
      <c r="G8" s="7" t="s">
        <v>68</v>
      </c>
      <c r="H8" s="20" t="s">
        <v>391</v>
      </c>
    </row>
    <row r="9" spans="1:8" x14ac:dyDescent="0.25">
      <c r="A9" s="14" t="s">
        <v>67</v>
      </c>
      <c r="B9" s="7" t="s">
        <v>60</v>
      </c>
      <c r="C9" s="5" t="str">
        <f t="shared" si="0"/>
        <v>Oil - DistillateCO</v>
      </c>
      <c r="D9" s="10">
        <v>5</v>
      </c>
      <c r="E9" s="10">
        <f t="shared" si="1"/>
        <v>5</v>
      </c>
      <c r="F9" s="7" t="s">
        <v>388</v>
      </c>
      <c r="G9" s="7" t="s">
        <v>68</v>
      </c>
      <c r="H9" s="20" t="s">
        <v>391</v>
      </c>
    </row>
    <row r="10" spans="1:8" ht="15.6" x14ac:dyDescent="0.25">
      <c r="A10" s="14" t="s">
        <v>67</v>
      </c>
      <c r="B10" s="7" t="s">
        <v>69</v>
      </c>
      <c r="C10" s="5" t="str">
        <f>A10&amp;B10</f>
        <v>Oil - DistillateSO2</v>
      </c>
      <c r="D10" s="11">
        <f>142*User_Distillate_Sulfur_Content</f>
        <v>34.08</v>
      </c>
      <c r="E10" s="10">
        <f>IF(D10&gt;142*Distillate_Oil_Allowable_Sulfur_Content,D10,142*Distillate_Oil_Allowable_Sulfur_Content)</f>
        <v>71</v>
      </c>
      <c r="F10" s="7" t="s">
        <v>388</v>
      </c>
      <c r="G10" s="7" t="s">
        <v>68</v>
      </c>
      <c r="H10" s="20" t="s">
        <v>391</v>
      </c>
    </row>
    <row r="11" spans="1:8" x14ac:dyDescent="0.25">
      <c r="A11" s="14" t="s">
        <v>67</v>
      </c>
      <c r="B11" s="7" t="s">
        <v>393</v>
      </c>
      <c r="C11" s="5" t="str">
        <f t="shared" si="0"/>
        <v>Oil - DistillateTotal PM</v>
      </c>
      <c r="D11" s="10">
        <v>4.5999999999999996</v>
      </c>
      <c r="E11" s="10">
        <f t="shared" si="1"/>
        <v>4.5999999999999996</v>
      </c>
      <c r="F11" s="7" t="s">
        <v>388</v>
      </c>
      <c r="G11" s="7" t="s">
        <v>68</v>
      </c>
      <c r="H11" s="20" t="s">
        <v>391</v>
      </c>
    </row>
    <row r="12" spans="1:8" ht="15.6" x14ac:dyDescent="0.25">
      <c r="A12" s="14" t="s">
        <v>67</v>
      </c>
      <c r="B12" s="7" t="s">
        <v>70</v>
      </c>
      <c r="C12" s="5" t="str">
        <f t="shared" si="0"/>
        <v>Oil - DistillatePM10</v>
      </c>
      <c r="D12" s="10">
        <v>2.2999999999999998</v>
      </c>
      <c r="E12" s="10">
        <f t="shared" si="1"/>
        <v>2.2999999999999998</v>
      </c>
      <c r="F12" s="7" t="s">
        <v>388</v>
      </c>
      <c r="G12" s="7" t="s">
        <v>68</v>
      </c>
      <c r="H12" s="20" t="s">
        <v>391</v>
      </c>
    </row>
    <row r="13" spans="1:8" ht="15.6" x14ac:dyDescent="0.25">
      <c r="A13" s="14" t="s">
        <v>67</v>
      </c>
      <c r="B13" s="7" t="s">
        <v>71</v>
      </c>
      <c r="C13" s="5" t="str">
        <f t="shared" si="0"/>
        <v>Oil - DistillatePM2.5</v>
      </c>
      <c r="D13" s="10">
        <v>1.55</v>
      </c>
      <c r="E13" s="10">
        <f t="shared" si="1"/>
        <v>1.55</v>
      </c>
      <c r="F13" s="7" t="s">
        <v>388</v>
      </c>
      <c r="G13" s="7" t="s">
        <v>68</v>
      </c>
      <c r="H13" s="20" t="s">
        <v>391</v>
      </c>
    </row>
    <row r="14" spans="1:8" x14ac:dyDescent="0.25">
      <c r="A14" s="14" t="s">
        <v>65</v>
      </c>
      <c r="B14" s="5" t="s">
        <v>3</v>
      </c>
      <c r="C14" s="5" t="str">
        <f t="shared" si="0"/>
        <v>Natural GasVOC</v>
      </c>
      <c r="D14" s="10">
        <v>5.5</v>
      </c>
      <c r="E14" s="10">
        <f t="shared" si="1"/>
        <v>5.5</v>
      </c>
      <c r="F14" s="7" t="s">
        <v>388</v>
      </c>
      <c r="G14" s="7" t="s">
        <v>354</v>
      </c>
      <c r="H14" s="20" t="s">
        <v>391</v>
      </c>
    </row>
    <row r="15" spans="1:8" ht="15.6" x14ac:dyDescent="0.25">
      <c r="A15" s="14" t="s">
        <v>65</v>
      </c>
      <c r="B15" s="7" t="s">
        <v>392</v>
      </c>
      <c r="C15" s="5" t="str">
        <f t="shared" si="0"/>
        <v>Natural GasNOx</v>
      </c>
      <c r="D15" s="10">
        <v>100</v>
      </c>
      <c r="E15" s="10">
        <f t="shared" si="1"/>
        <v>100</v>
      </c>
      <c r="F15" s="7" t="s">
        <v>388</v>
      </c>
      <c r="G15" s="7" t="s">
        <v>354</v>
      </c>
      <c r="H15" s="20" t="s">
        <v>391</v>
      </c>
    </row>
    <row r="16" spans="1:8" x14ac:dyDescent="0.25">
      <c r="A16" s="14" t="s">
        <v>65</v>
      </c>
      <c r="B16" s="7" t="s">
        <v>60</v>
      </c>
      <c r="C16" s="5" t="str">
        <f t="shared" si="0"/>
        <v>Natural GasCO</v>
      </c>
      <c r="D16" s="10">
        <v>84</v>
      </c>
      <c r="E16" s="10">
        <f t="shared" si="1"/>
        <v>84</v>
      </c>
      <c r="F16" s="7" t="s">
        <v>388</v>
      </c>
      <c r="G16" s="7" t="s">
        <v>354</v>
      </c>
      <c r="H16" s="20" t="s">
        <v>391</v>
      </c>
    </row>
    <row r="17" spans="1:8" ht="15.6" x14ac:dyDescent="0.25">
      <c r="A17" s="14" t="s">
        <v>65</v>
      </c>
      <c r="B17" s="7" t="s">
        <v>69</v>
      </c>
      <c r="C17" s="5" t="str">
        <f t="shared" si="0"/>
        <v>Natural GasSO2</v>
      </c>
      <c r="D17" s="10">
        <v>0.6</v>
      </c>
      <c r="E17" s="10">
        <f>D17*Natural_Gas_Allowable_Sulfur_Content/Natural_Gas_Actual_Sulfur_Content</f>
        <v>143.99999999999997</v>
      </c>
      <c r="F17" s="7" t="s">
        <v>388</v>
      </c>
      <c r="G17" s="7" t="s">
        <v>354</v>
      </c>
      <c r="H17" s="20" t="s">
        <v>394</v>
      </c>
    </row>
    <row r="18" spans="1:8" x14ac:dyDescent="0.25">
      <c r="A18" s="14" t="s">
        <v>65</v>
      </c>
      <c r="B18" s="7" t="s">
        <v>393</v>
      </c>
      <c r="C18" s="5" t="str">
        <f t="shared" si="0"/>
        <v>Natural GasTotal PM</v>
      </c>
      <c r="D18" s="77">
        <v>0.52</v>
      </c>
      <c r="E18" s="10">
        <f t="shared" si="1"/>
        <v>0.52</v>
      </c>
      <c r="F18" s="7" t="s">
        <v>388</v>
      </c>
      <c r="G18" s="7" t="s">
        <v>354</v>
      </c>
      <c r="H18" s="20" t="s">
        <v>395</v>
      </c>
    </row>
    <row r="19" spans="1:8" ht="15.6" x14ac:dyDescent="0.25">
      <c r="A19" s="14" t="s">
        <v>65</v>
      </c>
      <c r="B19" s="7" t="s">
        <v>70</v>
      </c>
      <c r="C19" s="5" t="str">
        <f t="shared" si="0"/>
        <v>Natural GasPM10</v>
      </c>
      <c r="D19" s="10">
        <v>0.52</v>
      </c>
      <c r="E19" s="10">
        <f t="shared" si="1"/>
        <v>0.52</v>
      </c>
      <c r="F19" s="7" t="s">
        <v>388</v>
      </c>
      <c r="G19" s="7" t="s">
        <v>354</v>
      </c>
      <c r="H19" s="20" t="s">
        <v>395</v>
      </c>
    </row>
    <row r="20" spans="1:8" ht="15.6" x14ac:dyDescent="0.25">
      <c r="A20" s="14" t="s">
        <v>65</v>
      </c>
      <c r="B20" s="7" t="s">
        <v>71</v>
      </c>
      <c r="C20" s="5" t="str">
        <f t="shared" si="0"/>
        <v>Natural GasPM2.5</v>
      </c>
      <c r="D20" s="10">
        <v>0.43</v>
      </c>
      <c r="E20" s="10">
        <f t="shared" si="1"/>
        <v>0.43</v>
      </c>
      <c r="F20" s="7" t="s">
        <v>388</v>
      </c>
      <c r="G20" s="7" t="s">
        <v>354</v>
      </c>
      <c r="H20" s="20" t="s">
        <v>395</v>
      </c>
    </row>
    <row r="21" spans="1:8" x14ac:dyDescent="0.25">
      <c r="A21" s="14" t="s">
        <v>66</v>
      </c>
      <c r="B21" s="5" t="s">
        <v>3</v>
      </c>
      <c r="C21" s="5" t="str">
        <f t="shared" si="0"/>
        <v>LPGVOC</v>
      </c>
      <c r="D21" s="10">
        <v>0.52</v>
      </c>
      <c r="E21" s="10">
        <f t="shared" si="1"/>
        <v>0.52</v>
      </c>
      <c r="F21" s="7" t="s">
        <v>388</v>
      </c>
      <c r="G21" s="7" t="s">
        <v>68</v>
      </c>
      <c r="H21" s="20" t="s">
        <v>396</v>
      </c>
    </row>
    <row r="22" spans="1:8" ht="15.6" x14ac:dyDescent="0.25">
      <c r="A22" s="14" t="s">
        <v>66</v>
      </c>
      <c r="B22" s="7" t="s">
        <v>392</v>
      </c>
      <c r="C22" s="5" t="str">
        <f t="shared" si="0"/>
        <v>LPGNOx</v>
      </c>
      <c r="D22" s="10">
        <v>14.23</v>
      </c>
      <c r="E22" s="10">
        <f t="shared" si="1"/>
        <v>14.23</v>
      </c>
      <c r="F22" s="7" t="s">
        <v>388</v>
      </c>
      <c r="G22" s="7" t="s">
        <v>68</v>
      </c>
      <c r="H22" s="20" t="s">
        <v>396</v>
      </c>
    </row>
    <row r="23" spans="1:8" x14ac:dyDescent="0.25">
      <c r="A23" s="14" t="s">
        <v>66</v>
      </c>
      <c r="B23" s="7" t="s">
        <v>60</v>
      </c>
      <c r="C23" s="5" t="str">
        <f t="shared" si="0"/>
        <v>LPGCO</v>
      </c>
      <c r="D23" s="10">
        <v>7.97</v>
      </c>
      <c r="E23" s="10">
        <f t="shared" si="1"/>
        <v>7.97</v>
      </c>
      <c r="F23" s="7" t="s">
        <v>388</v>
      </c>
      <c r="G23" s="7" t="s">
        <v>68</v>
      </c>
      <c r="H23" s="20" t="s">
        <v>396</v>
      </c>
    </row>
    <row r="24" spans="1:8" ht="15.6" x14ac:dyDescent="0.25">
      <c r="A24" s="14" t="s">
        <v>66</v>
      </c>
      <c r="B24" s="7" t="s">
        <v>69</v>
      </c>
      <c r="C24" s="5" t="str">
        <f t="shared" si="0"/>
        <v>LPGSO2</v>
      </c>
      <c r="D24" s="10">
        <v>0.06</v>
      </c>
      <c r="E24" s="10">
        <f>D24*LPG_Allowable_Sulfur_Content/LPG_Actual_Sulfur_Content</f>
        <v>14.399999999999999</v>
      </c>
      <c r="F24" s="7" t="s">
        <v>388</v>
      </c>
      <c r="G24" s="7" t="s">
        <v>68</v>
      </c>
      <c r="H24" s="20" t="s">
        <v>397</v>
      </c>
    </row>
    <row r="25" spans="1:8" x14ac:dyDescent="0.25">
      <c r="A25" s="14" t="s">
        <v>66</v>
      </c>
      <c r="B25" s="7" t="s">
        <v>393</v>
      </c>
      <c r="C25" s="5" t="str">
        <f t="shared" si="0"/>
        <v>LPGTotal PM</v>
      </c>
      <c r="D25" s="77">
        <v>0.05</v>
      </c>
      <c r="E25" s="10">
        <f t="shared" si="1"/>
        <v>0.05</v>
      </c>
      <c r="F25" s="7" t="s">
        <v>388</v>
      </c>
      <c r="G25" s="7" t="s">
        <v>68</v>
      </c>
      <c r="H25" s="20" t="s">
        <v>398</v>
      </c>
    </row>
    <row r="26" spans="1:8" ht="15.6" x14ac:dyDescent="0.25">
      <c r="A26" s="14" t="s">
        <v>66</v>
      </c>
      <c r="B26" s="7" t="s">
        <v>70</v>
      </c>
      <c r="C26" s="5" t="str">
        <f t="shared" si="0"/>
        <v>LPGPM10</v>
      </c>
      <c r="D26" s="10">
        <v>0.05</v>
      </c>
      <c r="E26" s="10">
        <f t="shared" si="1"/>
        <v>0.05</v>
      </c>
      <c r="F26" s="7" t="s">
        <v>388</v>
      </c>
      <c r="G26" s="7" t="s">
        <v>68</v>
      </c>
      <c r="H26" s="20" t="s">
        <v>398</v>
      </c>
    </row>
    <row r="27" spans="1:8" ht="15.6" x14ac:dyDescent="0.25">
      <c r="A27" s="14" t="s">
        <v>66</v>
      </c>
      <c r="B27" s="7" t="s">
        <v>71</v>
      </c>
      <c r="C27" s="5" t="str">
        <f t="shared" si="0"/>
        <v>LPGPM2.5</v>
      </c>
      <c r="D27" s="10">
        <v>0.04</v>
      </c>
      <c r="E27" s="10">
        <f t="shared" si="1"/>
        <v>0.04</v>
      </c>
      <c r="F27" s="7" t="s">
        <v>388</v>
      </c>
      <c r="G27" s="7" t="s">
        <v>68</v>
      </c>
      <c r="H27" s="20" t="s">
        <v>398</v>
      </c>
    </row>
  </sheetData>
  <mergeCells count="2">
    <mergeCell ref="A6:H6"/>
    <mergeCell ref="A4:H4"/>
  </mergeCells>
  <phoneticPr fontId="0"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4"/>
  <sheetViews>
    <sheetView workbookViewId="0"/>
  </sheetViews>
  <sheetFormatPr defaultRowHeight="13.2" x14ac:dyDescent="0.25"/>
  <cols>
    <col min="1" max="1" width="19.88671875" bestFit="1" customWidth="1"/>
    <col min="2" max="2" width="15" bestFit="1" customWidth="1"/>
    <col min="3" max="3" width="25.5546875" bestFit="1" customWidth="1"/>
    <col min="4" max="4" width="27.6640625" bestFit="1" customWidth="1"/>
    <col min="5" max="5" width="228.109375" bestFit="1" customWidth="1"/>
  </cols>
  <sheetData>
    <row r="1" spans="1:5" ht="17.399999999999999" x14ac:dyDescent="0.3">
      <c r="A1" s="1" t="s">
        <v>80</v>
      </c>
      <c r="C1" s="8"/>
      <c r="D1" s="8"/>
    </row>
    <row r="2" spans="1:5" ht="13.8" thickBot="1" x14ac:dyDescent="0.3">
      <c r="C2" s="8"/>
      <c r="D2" s="8"/>
    </row>
    <row r="3" spans="1:5" x14ac:dyDescent="0.25">
      <c r="A3" s="381" t="s">
        <v>79</v>
      </c>
      <c r="B3" s="382"/>
      <c r="C3" s="382"/>
      <c r="D3" s="382"/>
      <c r="E3" s="383"/>
    </row>
    <row r="4" spans="1:5" x14ac:dyDescent="0.25">
      <c r="A4" s="80" t="s">
        <v>81</v>
      </c>
      <c r="B4" s="81" t="s">
        <v>82</v>
      </c>
      <c r="C4" s="12" t="s">
        <v>83</v>
      </c>
      <c r="D4" s="12" t="s">
        <v>84</v>
      </c>
      <c r="E4" s="82" t="s">
        <v>37</v>
      </c>
    </row>
    <row r="5" spans="1:5" x14ac:dyDescent="0.25">
      <c r="A5" s="14" t="s">
        <v>66</v>
      </c>
      <c r="B5" s="78">
        <v>3.8492000000000002</v>
      </c>
      <c r="C5" s="13" t="s">
        <v>72</v>
      </c>
      <c r="D5" s="13" t="s">
        <v>73</v>
      </c>
      <c r="E5" s="79" t="s">
        <v>74</v>
      </c>
    </row>
    <row r="6" spans="1:5" ht="15.6" x14ac:dyDescent="0.25">
      <c r="A6" s="14" t="s">
        <v>65</v>
      </c>
      <c r="B6" s="78">
        <v>1023</v>
      </c>
      <c r="C6" s="13" t="s">
        <v>75</v>
      </c>
      <c r="D6" s="13" t="s">
        <v>76</v>
      </c>
      <c r="E6" s="79" t="s">
        <v>77</v>
      </c>
    </row>
    <row r="7" spans="1:5" x14ac:dyDescent="0.25">
      <c r="A7" s="14" t="s">
        <v>67</v>
      </c>
      <c r="B7" s="78">
        <v>5.8250000000000002</v>
      </c>
      <c r="C7" s="13" t="s">
        <v>72</v>
      </c>
      <c r="D7" s="13" t="s">
        <v>73</v>
      </c>
      <c r="E7" s="79" t="s">
        <v>78</v>
      </c>
    </row>
    <row r="8" spans="1:5" ht="13.8" thickBot="1" x14ac:dyDescent="0.3">
      <c r="A8" s="2"/>
      <c r="C8" s="8"/>
      <c r="D8" s="8"/>
    </row>
    <row r="9" spans="1:5" x14ac:dyDescent="0.25">
      <c r="A9" s="381" t="s">
        <v>85</v>
      </c>
      <c r="B9" s="382"/>
      <c r="C9" s="382"/>
      <c r="D9" s="383"/>
    </row>
    <row r="10" spans="1:5" x14ac:dyDescent="0.25">
      <c r="A10" s="80" t="s">
        <v>81</v>
      </c>
      <c r="B10" s="81" t="s">
        <v>82</v>
      </c>
      <c r="C10" s="12" t="s">
        <v>83</v>
      </c>
      <c r="D10" s="83" t="s">
        <v>84</v>
      </c>
      <c r="E10" s="84"/>
    </row>
    <row r="11" spans="1:5" x14ac:dyDescent="0.25">
      <c r="A11" s="14" t="s">
        <v>66</v>
      </c>
      <c r="B11" s="78">
        <f>3.86*1000/42</f>
        <v>91.904761904761898</v>
      </c>
      <c r="C11" s="13" t="s">
        <v>72</v>
      </c>
      <c r="D11" s="85" t="s">
        <v>68</v>
      </c>
    </row>
    <row r="12" spans="1:5" x14ac:dyDescent="0.25">
      <c r="A12" s="14" t="s">
        <v>65</v>
      </c>
      <c r="B12" s="78">
        <f>B6</f>
        <v>1023</v>
      </c>
      <c r="C12" s="13" t="s">
        <v>72</v>
      </c>
      <c r="D12" s="85" t="s">
        <v>354</v>
      </c>
    </row>
    <row r="13" spans="1:5" x14ac:dyDescent="0.25">
      <c r="A13" s="14" t="s">
        <v>67</v>
      </c>
      <c r="B13" s="78">
        <f>B7*1000/42</f>
        <v>138.6904761904762</v>
      </c>
      <c r="C13" s="13" t="s">
        <v>72</v>
      </c>
      <c r="D13" s="85" t="s">
        <v>68</v>
      </c>
    </row>
    <row r="14" spans="1:5" x14ac:dyDescent="0.25">
      <c r="C14" s="8"/>
      <c r="D14" s="8"/>
    </row>
  </sheetData>
  <mergeCells count="2">
    <mergeCell ref="A3:E3"/>
    <mergeCell ref="A9:D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33</vt:i4>
      </vt:variant>
    </vt:vector>
  </HeadingPairs>
  <TitlesOfParts>
    <vt:vector size="44" baseType="lpstr">
      <vt:lpstr>Registration FAQs</vt:lpstr>
      <vt:lpstr>Instructions</vt:lpstr>
      <vt:lpstr>Inputs</vt:lpstr>
      <vt:lpstr>Controls and Restrictions</vt:lpstr>
      <vt:lpstr>Total Emissions</vt:lpstr>
      <vt:lpstr>Output-Summary Printout</vt:lpstr>
      <vt:lpstr>Change Log</vt:lpstr>
      <vt:lpstr>Emission Factors</vt:lpstr>
      <vt:lpstr>Fuel Energy Content</vt:lpstr>
      <vt:lpstr>Additional References</vt:lpstr>
      <vt:lpstr>EPA Regional Contact Info</vt:lpstr>
      <vt:lpstr>CO_PM10_Attainment_List</vt:lpstr>
      <vt:lpstr>Control_Device_Used</vt:lpstr>
      <vt:lpstr>Control_Device_Yes_No_List</vt:lpstr>
      <vt:lpstr>Conveyorized</vt:lpstr>
      <vt:lpstr>Conveyorized_Yes_No_List</vt:lpstr>
      <vt:lpstr>Default_Degreaser_Density</vt:lpstr>
      <vt:lpstr>Degreasing_Type_List</vt:lpstr>
      <vt:lpstr>Distillate_Oil_Actual_Sulfur_Content</vt:lpstr>
      <vt:lpstr>Distillate_Oil_Allowable_Sulfur_Content</vt:lpstr>
      <vt:lpstr>Heater_Allowable_Hours_of_Operation</vt:lpstr>
      <vt:lpstr>Heater_Capacity</vt:lpstr>
      <vt:lpstr>Heater_Fuel</vt:lpstr>
      <vt:lpstr>Heater_Fuel_Combusted_2012</vt:lpstr>
      <vt:lpstr>Heater_Fuels_List</vt:lpstr>
      <vt:lpstr>Heater_Used</vt:lpstr>
      <vt:lpstr>LPG_Actual_Sulfur_Content</vt:lpstr>
      <vt:lpstr>LPG_Allowable_Sulfur_Content</vt:lpstr>
      <vt:lpstr>Max_Solvent_2012</vt:lpstr>
      <vt:lpstr>Natural_Gas_Actual_Sulfur_Content</vt:lpstr>
      <vt:lpstr>Natural_Gas_Allowable_Sulfur_Content</vt:lpstr>
      <vt:lpstr>Operating_Procedures_Used</vt:lpstr>
      <vt:lpstr>Ozone_Attainment_List</vt:lpstr>
      <vt:lpstr>Inputs!Print_Area</vt:lpstr>
      <vt:lpstr>Instructions!Print_Area</vt:lpstr>
      <vt:lpstr>'Output-Summary Printout'!Print_Area</vt:lpstr>
      <vt:lpstr>'Registration FAQs'!Print_Area</vt:lpstr>
      <vt:lpstr>SO2_PM2.5_Attainment_List</vt:lpstr>
      <vt:lpstr>Solvent_density</vt:lpstr>
      <vt:lpstr>Solvent_Type</vt:lpstr>
      <vt:lpstr>Solvent_Used_in_2012</vt:lpstr>
      <vt:lpstr>State_List</vt:lpstr>
      <vt:lpstr>User_Distillate_Sulfur_Content</vt:lpstr>
      <vt:lpstr>VOC_Percent_Reduction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 OF HAP/VOC USE PER MONTH</dc:title>
  <dc:creator>PPI</dc:creator>
  <dc:description>BY USE</dc:description>
  <cp:lastModifiedBy>Dixon, Danielle</cp:lastModifiedBy>
  <cp:lastPrinted>2013-02-21T22:34:59Z</cp:lastPrinted>
  <dcterms:created xsi:type="dcterms:W3CDTF">1999-01-25T20:14:01Z</dcterms:created>
  <dcterms:modified xsi:type="dcterms:W3CDTF">2016-02-03T18:02:36Z</dcterms:modified>
</cp:coreProperties>
</file>