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432" windowWidth="15480" windowHeight="11220" tabRatio="759"/>
  </bookViews>
  <sheets>
    <sheet name="Registration FAQs" sheetId="27" r:id="rId1"/>
    <sheet name="Instructions" sheetId="1" r:id="rId2"/>
    <sheet name="Inputs" sheetId="13" r:id="rId3"/>
    <sheet name="Controls and Restrictions" sheetId="26" r:id="rId4"/>
    <sheet name="Total Emissions" sheetId="25" r:id="rId5"/>
    <sheet name="Output-Summary Printout" sheetId="8" r:id="rId6"/>
    <sheet name="Change Log" sheetId="14" state="hidden" r:id="rId7"/>
    <sheet name="Emission Factors" sheetId="9" state="hidden" r:id="rId8"/>
    <sheet name="Fuel Energy Content" sheetId="23" state="hidden" r:id="rId9"/>
    <sheet name="Additional References" sheetId="20" state="hidden" r:id="rId10"/>
    <sheet name="EPA Regional Contact Info" sheetId="24" state="hidden" r:id="rId11"/>
  </sheets>
  <definedNames>
    <definedName name="_xlnm._FilterDatabase" localSheetId="10" hidden="1">'EPA Regional Contact Info'!$A$4:$N$55</definedName>
    <definedName name="Allowable_Dry_Cleaning_Solvent_Density">'Additional References'!$B$4</definedName>
    <definedName name="Allowable_Dry_Cleaning_Solvent_VOC_Content">'Additional References'!$B$5</definedName>
    <definedName name="Allowable_Hours_for_Boiler_Operation">'Additional References'!$B$8</definedName>
    <definedName name="Allowable_Hours_for_Solvent_Usage">'Additional References'!$B$7</definedName>
    <definedName name="Annual_Fuel_Combusted">Inputs!$C$52</definedName>
    <definedName name="Batch_Time_hr">Inputs!$C$42</definedName>
    <definedName name="Batches_Run_in_2012">Inputs!$C$41</definedName>
    <definedName name="Boiler_Capacity">Inputs!$C$50</definedName>
    <definedName name="Boiler_Fuel_Type_List">Inputs!$E$25:$E$28</definedName>
    <definedName name="CO_PM10_Attainment_List">Inputs!$E$3:$E$5</definedName>
    <definedName name="Control_Device_List">'Controls and Restrictions'!$F$8:$F$10</definedName>
    <definedName name="Distillate_Oil_Allowable_Sulfur_Content">'Additional References'!$B$6</definedName>
    <definedName name="Fuel_Type">Inputs!$C$51</definedName>
    <definedName name="Have_Boiler">Inputs!$C$49</definedName>
    <definedName name="LPG_Actual_Sulfur_Content">'Additional References'!$B$11</definedName>
    <definedName name="LPG_Allowable_Sulfur_Content">'Additional References'!$B$12</definedName>
    <definedName name="Natural_Gas_Actual_Sulfur_Content">'Additional References'!$B$9</definedName>
    <definedName name="Natural_Gas_Allowable_Sulfur_Content">'Additional References'!$B$10</definedName>
    <definedName name="Ozone_Attainment_List">Inputs!$E$8:$E$13</definedName>
    <definedName name="Percent_of_Solvent_Recovered">'Controls and Restrictions'!#REF!</definedName>
    <definedName name="_xlnm.Print_Area" localSheetId="2">Inputs!$A$1:$C$54</definedName>
    <definedName name="_xlnm.Print_Area" localSheetId="1">Instructions!$A$1:$E$46</definedName>
    <definedName name="_xlnm.Print_Area" localSheetId="5">'Output-Summary Printout'!$A$1:$F$42</definedName>
    <definedName name="_xlnm.Print_Area" localSheetId="0">'Registration FAQs'!$B$1:$C$37</definedName>
    <definedName name="Simultaneous_Batches">Inputs!$C$43</definedName>
    <definedName name="SO2_PM25_Attainment_List">Inputs!$E$16:$E$17</definedName>
    <definedName name="Solvent_Density">Inputs!$E$31</definedName>
    <definedName name="Solvent_per_Batch">Inputs!$C$44</definedName>
    <definedName name="State_List">Inputs!$E$40:$E$84</definedName>
    <definedName name="Sulfur_Content_of_Fuel">Inputs!$E$37</definedName>
    <definedName name="VOC_Content">Inputs!$E$34</definedName>
    <definedName name="VOC_Control_Efficiency">'Controls and Restrictions'!$F$13</definedName>
    <definedName name="VOC_Control_Multiplier">'Controls and Restrictions'!$F$17</definedName>
    <definedName name="Yes_No_Boiler_List">Inputs!$E$21:$E$22</definedName>
    <definedName name="Yes_No_Controls">'Controls and Restrictions'!$F$4:$F$5</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B52" i="13" l="1"/>
  <c r="B15" i="20"/>
  <c r="B14" i="20"/>
  <c r="E41" i="13" l="1"/>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40" i="13"/>
  <c r="F6" i="25" l="1"/>
  <c r="G6" i="25"/>
  <c r="B7" i="20" l="1"/>
  <c r="E37" i="13" l="1"/>
  <c r="C54" i="13" s="1"/>
  <c r="B4" i="20"/>
  <c r="E31" i="13" s="1"/>
  <c r="C46" i="13" s="1"/>
  <c r="G9" i="26" l="1"/>
  <c r="G8" i="26"/>
  <c r="F13" i="26" s="1"/>
  <c r="F17" i="26" s="1"/>
  <c r="F11" i="25" l="1"/>
  <c r="L22" i="8"/>
  <c r="L20" i="8"/>
  <c r="L18" i="8"/>
  <c r="L16" i="8"/>
  <c r="L14" i="8"/>
  <c r="L12" i="8"/>
  <c r="E5" i="8" l="1"/>
  <c r="E4" i="8"/>
  <c r="E3" i="8"/>
  <c r="D7" i="9" l="1"/>
  <c r="H6" i="25" l="1"/>
  <c r="H7" i="25" s="1"/>
  <c r="C22" i="8" s="1"/>
  <c r="G7" i="25"/>
  <c r="C20" i="8" s="1"/>
  <c r="D6" i="25"/>
  <c r="D7" i="25" s="1"/>
  <c r="C14" i="8" s="1"/>
  <c r="C6" i="25"/>
  <c r="C7" i="25" s="1"/>
  <c r="C12" i="8" s="1"/>
  <c r="E21" i="9"/>
  <c r="E14" i="9"/>
  <c r="E7" i="9" l="1"/>
  <c r="B5" i="8" l="1"/>
  <c r="B4" i="8"/>
  <c r="F22" i="8" l="1"/>
  <c r="F20" i="8"/>
  <c r="F18" i="8"/>
  <c r="F16" i="8"/>
  <c r="F14" i="8"/>
  <c r="F12" i="8"/>
  <c r="A33" i="8" l="1"/>
  <c r="C25" i="13"/>
  <c r="D38" i="8" s="1"/>
  <c r="C24" i="13"/>
  <c r="D37" i="8" s="1"/>
  <c r="C23" i="13"/>
  <c r="D36" i="8" s="1"/>
  <c r="C22" i="13"/>
  <c r="D35" i="8" s="1"/>
  <c r="C21" i="13"/>
  <c r="C20" i="13"/>
  <c r="C19" i="13"/>
  <c r="C18" i="13"/>
  <c r="D41" i="8" s="1"/>
  <c r="C17" i="13"/>
  <c r="D40" i="8" s="1"/>
  <c r="C16" i="13"/>
  <c r="D34" i="8" s="1"/>
  <c r="B15" i="13"/>
  <c r="B8" i="20" l="1"/>
  <c r="E34" i="13"/>
  <c r="F5" i="25" s="1"/>
  <c r="C48" i="13" l="1"/>
  <c r="F12" i="25"/>
  <c r="F13" i="25" s="1"/>
  <c r="E18" i="8" s="1"/>
  <c r="D12" i="25"/>
  <c r="D13" i="25" s="1"/>
  <c r="E14" i="8" s="1"/>
  <c r="C12" i="25"/>
  <c r="C13" i="25" s="1"/>
  <c r="E12" i="8" s="1"/>
  <c r="H12" i="25"/>
  <c r="H13" i="25" s="1"/>
  <c r="E22" i="8" s="1"/>
  <c r="G12" i="25"/>
  <c r="G13" i="25" s="1"/>
  <c r="E20" i="8" s="1"/>
  <c r="E12" i="25"/>
  <c r="E13" i="25" s="1"/>
  <c r="E16" i="8" s="1"/>
  <c r="E6" i="25"/>
  <c r="E7" i="25" s="1"/>
  <c r="C16" i="8" s="1"/>
  <c r="B3" i="8"/>
  <c r="K16" i="8" l="1"/>
  <c r="M16" i="8"/>
  <c r="K20" i="8"/>
  <c r="M20" i="8"/>
  <c r="K18" i="8"/>
  <c r="M18" i="8"/>
  <c r="K22" i="8"/>
  <c r="M22" i="8"/>
  <c r="K14" i="8"/>
  <c r="M14" i="8"/>
  <c r="M12" i="8"/>
  <c r="K12" i="8"/>
  <c r="B13" i="23"/>
  <c r="B12" i="23"/>
  <c r="B11" i="23"/>
  <c r="E24" i="9"/>
  <c r="C24" i="9"/>
  <c r="E23" i="9"/>
  <c r="C23" i="9"/>
  <c r="E22" i="9"/>
  <c r="C22" i="9"/>
  <c r="C21" i="9"/>
  <c r="E20" i="9"/>
  <c r="C20" i="9"/>
  <c r="E19" i="9"/>
  <c r="C19" i="9"/>
  <c r="E18" i="9"/>
  <c r="C18" i="9"/>
  <c r="E17" i="9"/>
  <c r="C17" i="9"/>
  <c r="E16" i="9"/>
  <c r="C16" i="9"/>
  <c r="E15" i="9"/>
  <c r="C15" i="9"/>
  <c r="C14" i="9"/>
  <c r="E13" i="9"/>
  <c r="C13" i="9"/>
  <c r="E12" i="9"/>
  <c r="C12" i="9"/>
  <c r="E11" i="9"/>
  <c r="C11" i="9"/>
  <c r="E10" i="9"/>
  <c r="C10" i="9"/>
  <c r="E9" i="9"/>
  <c r="C9" i="9"/>
  <c r="E8" i="9"/>
  <c r="C8" i="9"/>
  <c r="C7" i="9"/>
  <c r="E6" i="9"/>
  <c r="C6" i="9"/>
  <c r="E5" i="9"/>
  <c r="C5" i="9"/>
  <c r="E4" i="9"/>
  <c r="C4" i="9"/>
  <c r="A30" i="8" l="1"/>
  <c r="A32" i="8" s="1"/>
  <c r="B2" i="1" l="1"/>
  <c r="B1" i="1" l="1"/>
  <c r="C6" i="26" l="1"/>
  <c r="F7" i="25"/>
  <c r="C18" i="8" s="1"/>
</calcChain>
</file>

<file path=xl/sharedStrings.xml><?xml version="1.0" encoding="utf-8"?>
<sst xmlns="http://schemas.openxmlformats.org/spreadsheetml/2006/main" count="1062" uniqueCount="478">
  <si>
    <t>Pollutant</t>
  </si>
  <si>
    <t>(tons/yr)</t>
  </si>
  <si>
    <t>volatile organic compound</t>
  </si>
  <si>
    <t>VOC</t>
  </si>
  <si>
    <t>Purpose</t>
  </si>
  <si>
    <t>Facility Information</t>
  </si>
  <si>
    <t>Name</t>
  </si>
  <si>
    <t>Address</t>
  </si>
  <si>
    <t>Telephone</t>
  </si>
  <si>
    <t>Email</t>
  </si>
  <si>
    <t>Facility Contact</t>
  </si>
  <si>
    <t>Attainment</t>
  </si>
  <si>
    <t>Source Category Description</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</si>
  <si>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</si>
  <si>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</si>
  <si>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</si>
  <si>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</si>
  <si>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</si>
  <si>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</si>
  <si>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</si>
  <si>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</si>
  <si>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</si>
  <si>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</si>
  <si>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</si>
  <si>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</si>
  <si>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</si>
  <si>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</si>
  <si>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</si>
  <si>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</si>
  <si>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</si>
  <si>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</si>
  <si>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</si>
  <si>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</si>
  <si>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</si>
  <si>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</si>
  <si>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</si>
  <si>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</si>
  <si>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</si>
  <si>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lb</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</si>
  <si>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</si>
  <si>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</si>
  <si>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</si>
  <si>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</si>
  <si>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</si>
  <si>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</si>
  <si>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</si>
  <si>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</si>
  <si>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</si>
  <si>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</si>
  <si>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Additional References</t>
  </si>
  <si>
    <t>Data Element</t>
  </si>
  <si>
    <t>new source review</t>
  </si>
  <si>
    <t>Yes</t>
  </si>
  <si>
    <t>No</t>
  </si>
  <si>
    <t>Fuel and Process</t>
  </si>
  <si>
    <t xml:space="preserve">Value </t>
  </si>
  <si>
    <t>N/A</t>
  </si>
  <si>
    <t>United States Environmental Protection Agency (EPA). 1981b. AP 42 Compilation of Air Pollution Emissions Factors Fifth Edition, Volume I: Dry Cleaning. Accessible electronically at: http://www.epa.gov/ttn/chief/ap42/ch04/final/c4s01.pdf</t>
  </si>
  <si>
    <t>Facility Use Questions</t>
  </si>
  <si>
    <t>4:  Facility Use Information</t>
  </si>
  <si>
    <t>CO Attainment Status (select one):</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</si>
  <si>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</si>
  <si>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</si>
  <si>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CO</t>
  </si>
  <si>
    <r>
      <t>NO</t>
    </r>
    <r>
      <rPr>
        <b/>
        <vertAlign val="subscript"/>
        <sz val="10"/>
        <rFont val="Arial"/>
        <family val="2"/>
      </rPr>
      <t>x</t>
    </r>
  </si>
  <si>
    <r>
      <t>SO</t>
    </r>
    <r>
      <rPr>
        <b/>
        <vertAlign val="subscript"/>
        <sz val="10"/>
        <rFont val="Arial"/>
        <family val="2"/>
      </rPr>
      <t>2</t>
    </r>
  </si>
  <si>
    <r>
      <t>PM</t>
    </r>
    <r>
      <rPr>
        <b/>
        <vertAlign val="subscript"/>
        <sz val="10"/>
        <rFont val="Arial"/>
        <family val="2"/>
      </rPr>
      <t>10</t>
    </r>
  </si>
  <si>
    <r>
      <t>PM</t>
    </r>
    <r>
      <rPr>
        <b/>
        <vertAlign val="subscript"/>
        <sz val="10"/>
        <rFont val="Arial"/>
        <family val="2"/>
      </rPr>
      <t>2.5</t>
    </r>
  </si>
  <si>
    <t>Does your facility have a boiler?</t>
  </si>
  <si>
    <t>Natural Gas</t>
  </si>
  <si>
    <t>LPG</t>
  </si>
  <si>
    <t>Oil - Distillate</t>
  </si>
  <si>
    <t>Boiler Fuel Type</t>
  </si>
  <si>
    <t>Total PM</t>
  </si>
  <si>
    <t>1000 gal</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</si>
  <si>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</si>
  <si>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r>
      <t>NO</t>
    </r>
    <r>
      <rPr>
        <vertAlign val="subscript"/>
        <sz val="10"/>
        <rFont val="Arial"/>
        <family val="2"/>
      </rPr>
      <t>x</t>
    </r>
  </si>
  <si>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</si>
  <si>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</si>
  <si>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</si>
  <si>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MMcf</t>
  </si>
  <si>
    <t>MMBtu</t>
  </si>
  <si>
    <t>bbl</t>
  </si>
  <si>
    <t>U.S. Environmental Protection Agency, Direct Emissions from Stationary Combustion Sources, EPA430-K-08-003, May 2008, http://www.epa.gov/climateleadership/documents/resources/stationarycombustionguidance.pdf.</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</si>
  <si>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</si>
  <si>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</si>
  <si>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</si>
  <si>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</si>
  <si>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Units Same as Source</t>
  </si>
  <si>
    <t>Fuel Energy Content</t>
  </si>
  <si>
    <t>Fuel</t>
  </si>
  <si>
    <t>Energy Content</t>
  </si>
  <si>
    <t>Energy Content Numerator</t>
  </si>
  <si>
    <t>Energy Content Denominator</t>
  </si>
  <si>
    <t>Units Converted to Match Emission Factors</t>
  </si>
  <si>
    <t>carbon monoxide</t>
  </si>
  <si>
    <t>nitrogen oxides</t>
  </si>
  <si>
    <t>sulfur dioxide</t>
  </si>
  <si>
    <t>Boiler Answer</t>
  </si>
  <si>
    <t>Electricity</t>
  </si>
  <si>
    <t>Acme Dry Cleaning</t>
  </si>
  <si>
    <t>Solvent Density (lb/gal)</t>
  </si>
  <si>
    <t>VOC Content (percent)</t>
  </si>
  <si>
    <t>Sulfur Content of Fuel (percent)</t>
  </si>
  <si>
    <t>million British thermal units</t>
  </si>
  <si>
    <t>Units</t>
  </si>
  <si>
    <t>Percent</t>
  </si>
  <si>
    <t>lb/gal</t>
  </si>
  <si>
    <t>Based on highest VOC content for petroleum drycleaning solvents discussed in Dry Cleaning Coalition, "Chemicals Used in Drycleaning Solvents," January 2002 (revised July 2009), available at http://www.drycleancoalition.org/chemicals/ChemicalsUsedInDrycleaningOperations.pdf (accessed November 2012).</t>
  </si>
  <si>
    <t>Hours</t>
  </si>
  <si>
    <t>Assuming continuous operation</t>
  </si>
  <si>
    <t>Jonathan Dorn</t>
  </si>
  <si>
    <t>Based on highest specific gravity for petroleum dry cleaning solvents discussed in Dry Cleaning Coalition, "Chemicals Used in Drycleaning Solvents," January 2002 (revised July 2009), available at http://www.drycleancoalition.org/chemicals/ChemicalsUsedInDrycleaningOperations.pdf (accessed November 2012).</t>
  </si>
  <si>
    <t>Frank Divita</t>
  </si>
  <si>
    <t xml:space="preserve">jonathan_dorn@abtassoc.com </t>
  </si>
  <si>
    <t>12/06/2012</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</si>
  <si>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</si>
  <si>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</si>
  <si>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</si>
  <si>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</si>
  <si>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</si>
  <si>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</si>
  <si>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</si>
  <si>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</si>
  <si>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</si>
  <si>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</si>
  <si>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</si>
  <si>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</si>
  <si>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</si>
  <si>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</si>
  <si>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</si>
  <si>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</si>
  <si>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</si>
  <si>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</si>
  <si>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</si>
  <si>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</si>
  <si>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</si>
  <si>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</si>
  <si>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</si>
  <si>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</si>
  <si>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</si>
  <si>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</si>
  <si>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</si>
  <si>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</si>
  <si>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</si>
  <si>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</si>
  <si>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</si>
  <si>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</si>
  <si>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</si>
  <si>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</si>
  <si>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</si>
  <si>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</si>
  <si>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</si>
  <si>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</si>
  <si>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</si>
  <si>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</si>
  <si>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</si>
  <si>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</si>
  <si>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</si>
  <si>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</si>
  <si>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</si>
  <si>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</si>
  <si>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</si>
  <si>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</si>
  <si>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</si>
  <si>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</si>
  <si>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</si>
  <si>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</si>
  <si>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</si>
  <si>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</si>
  <si>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</si>
  <si>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</si>
  <si>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</si>
  <si>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</si>
  <si>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</si>
  <si>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</si>
  <si>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</si>
  <si>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</si>
  <si>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</si>
  <si>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</si>
  <si>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</si>
  <si>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</si>
  <si>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</si>
  <si>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</si>
  <si>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</si>
  <si>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</si>
  <si>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</si>
  <si>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</si>
  <si>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</si>
  <si>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</si>
  <si>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</si>
  <si>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</si>
  <si>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</si>
  <si>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</si>
  <si>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</si>
  <si>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</si>
  <si>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</si>
  <si>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</si>
  <si>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</si>
  <si>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</si>
  <si>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</si>
  <si>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</si>
  <si>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</si>
  <si>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</si>
  <si>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</si>
  <si>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</si>
  <si>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</si>
  <si>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</si>
  <si>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</si>
  <si>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</si>
  <si>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</si>
  <si>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</si>
  <si>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</si>
  <si>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</si>
  <si>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</si>
  <si>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</si>
  <si>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</si>
  <si>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</si>
  <si>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</si>
  <si>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</si>
  <si>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</si>
  <si>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</si>
  <si>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</si>
  <si>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</si>
  <si>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</si>
  <si>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</si>
  <si>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</si>
  <si>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</si>
  <si>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</si>
  <si>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</si>
  <si>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</si>
  <si>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</si>
  <si>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</si>
  <si>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</si>
  <si>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</si>
  <si>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</si>
  <si>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</si>
  <si>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</si>
  <si>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</si>
  <si>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</si>
  <si>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</si>
  <si>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</si>
  <si>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</si>
  <si>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</si>
  <si>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</si>
  <si>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</si>
  <si>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</si>
  <si>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</si>
  <si>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</si>
  <si>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</si>
  <si>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</si>
  <si>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</si>
  <si>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</si>
  <si>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</si>
  <si>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</si>
  <si>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</si>
  <si>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</si>
  <si>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</si>
  <si>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</si>
  <si>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</si>
  <si>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</si>
  <si>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</si>
  <si>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</si>
  <si>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</si>
  <si>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</si>
  <si>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</si>
  <si>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</si>
  <si>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</si>
  <si>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</si>
  <si>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</si>
  <si>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</si>
  <si>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</si>
  <si>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</si>
  <si>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</si>
  <si>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</si>
  <si>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</si>
  <si>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</si>
  <si>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</si>
  <si>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</si>
  <si>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</si>
  <si>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</si>
  <si>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</si>
  <si>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</si>
  <si>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</si>
  <si>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</si>
  <si>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</si>
  <si>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</si>
  <si>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</si>
  <si>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</si>
  <si>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</si>
  <si>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</si>
  <si>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</si>
  <si>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</si>
  <si>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</si>
  <si>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</si>
  <si>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</si>
  <si>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</si>
  <si>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Albuquerque</t>
  </si>
  <si>
    <t>Zip Code</t>
  </si>
  <si>
    <t>Primary Contact Name</t>
  </si>
  <si>
    <t>Primary Contact Telephone</t>
  </si>
  <si>
    <t>Primary Contact Email</t>
  </si>
  <si>
    <t>Alternate Contact Name</t>
  </si>
  <si>
    <t>Alternate Contact Telephone</t>
  </si>
  <si>
    <t>Alternate Contact Email</t>
  </si>
  <si>
    <t>Name:</t>
  </si>
  <si>
    <t>Address:</t>
  </si>
  <si>
    <t>Telephone:</t>
  </si>
  <si>
    <t>1997 8-Hr Ozone Attainment Status (select one):</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</si>
  <si>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</si>
  <si>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</si>
  <si>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</si>
  <si>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</si>
  <si>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</si>
  <si>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</si>
  <si>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Petroleum Dry Cleaners Registration Calculator</t>
  </si>
  <si>
    <t>Registration Calculator Inputs</t>
  </si>
  <si>
    <r>
      <t xml:space="preserve">You will need to enter information on the dry cleaning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</si>
  <si>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Explanation of Text Colors and Cell Shading</t>
  </si>
  <si>
    <t>Cells shaded gray do not need to be completed.</t>
  </si>
  <si>
    <t>Acronyms/Definitions</t>
  </si>
  <si>
    <t>NSR</t>
  </si>
  <si>
    <t>particulate matter less than or equal to 10 micrometers (µm) in size</t>
  </si>
  <si>
    <t>particulate matter less than or equal to 2.5 micrometers (µm) in size</t>
  </si>
  <si>
    <t>EF</t>
  </si>
  <si>
    <t>emission factor</t>
  </si>
  <si>
    <t xml:space="preserve">http://www.epa.gov/oar/oaqps/greenbk/ancl.html </t>
  </si>
  <si>
    <t>Total Emissions</t>
  </si>
  <si>
    <t>Threshold</t>
  </si>
  <si>
    <t>Registration Summary</t>
  </si>
  <si>
    <t>Tracey Westfield</t>
  </si>
  <si>
    <t>Modified attainment status fields, added Regional contacts, changed references to "PTE" to "registration," set actual uncontrolled emission and total emission values so they will change to red when above minor threshold, and added disclaimer about needing to sum all necessary calculators.</t>
  </si>
  <si>
    <r>
      <t>NO</t>
    </r>
    <r>
      <rPr>
        <vertAlign val="subscript"/>
        <sz val="10"/>
        <rFont val="Arial"/>
        <family val="2"/>
      </rPr>
      <t>X</t>
    </r>
  </si>
  <si>
    <t>EPA</t>
  </si>
  <si>
    <t>U.S. Environmental Protection Agency</t>
  </si>
  <si>
    <t>What is the primary fuel used in the boiler?</t>
  </si>
  <si>
    <t>U.S. Environmental Protection Agency, AP-42, Fifth Edition, Volume I, Chapter 1: External Combustion, Section 1.4: Natural Gas Combustion, 1998, available at http://www.epa.gov/ttn/chief/ap42/ch01/final/c01s04.pdf.</t>
  </si>
  <si>
    <t>Emissions Source:</t>
  </si>
  <si>
    <t>Boiler</t>
  </si>
  <si>
    <t xml:space="preserve">Dry Cleaning </t>
  </si>
  <si>
    <t>Dry Cleaning</t>
  </si>
  <si>
    <t>TOTAL</t>
  </si>
  <si>
    <t>grains/100 scf</t>
  </si>
  <si>
    <t xml:space="preserve">Average value from U.S. Environmental Protection Agency, AP-42, Fifth Edition, Volume I, Chapter 1: External Combustion, Section 1.4: Natural Gas Combustion, 1998, available at http://www.epa.gov/ttn/chief/ap42/ch01/final/c01s04.pdf. </t>
  </si>
  <si>
    <t>scf</t>
  </si>
  <si>
    <t>standard cubic feet</t>
  </si>
  <si>
    <r>
      <t>PM</t>
    </r>
    <r>
      <rPr>
        <vertAlign val="subscript"/>
        <sz val="10"/>
        <rFont val="Arial"/>
        <family val="2"/>
      </rPr>
      <t>2.5</t>
    </r>
    <r>
      <rPr>
        <sz val="10"/>
        <rFont val="Arial"/>
        <family val="2"/>
      </rPr>
      <t xml:space="preserve"> Attainment Status (select one):</t>
    </r>
  </si>
  <si>
    <t>What is the average density (lb/gal) of dry cleaning solvent used by your facility in calendar year 2012?  (Enter 0 if unknown)</t>
  </si>
  <si>
    <t>What is the average VOC content (percentage) of dry cleaning solvent used at your facility in calendar year 2012?  (Enter 0 if unknown)</t>
  </si>
  <si>
    <t>What is the sulfur content (percentage) of the distillate oil combusted in the boiler in calendar year 2012?  (Enter 0 if unknown)</t>
  </si>
  <si>
    <t>Emission Control Questions</t>
  </si>
  <si>
    <t>VOC Control Device List</t>
  </si>
  <si>
    <t>Carbon Adsorption</t>
  </si>
  <si>
    <t>Incineration</t>
  </si>
  <si>
    <t>What is the maximum heat input of the boiler (MMBtu/hr)?</t>
  </si>
  <si>
    <t>CE</t>
  </si>
  <si>
    <t>Registration Determination</t>
  </si>
  <si>
    <t>Major Source</t>
  </si>
  <si>
    <t>Exceeds major source threshold.</t>
  </si>
  <si>
    <t>Exceeds Major Source Threshold Determination</t>
  </si>
  <si>
    <t>Allowable Emissions</t>
  </si>
  <si>
    <t>Estimated Actual Emissions</t>
  </si>
  <si>
    <t>Allowable Emissions (tons/yr):</t>
  </si>
  <si>
    <r>
      <t xml:space="preserve">On the </t>
    </r>
    <r>
      <rPr>
        <b/>
        <i/>
        <sz val="10"/>
        <rFont val="Arial"/>
        <family val="2"/>
      </rPr>
      <t>Inputs</t>
    </r>
    <r>
      <rPr>
        <sz val="10"/>
        <rFont val="Arial"/>
        <family val="2"/>
      </rPr>
      <t xml:space="preserve"> worksheet, replace the default facility information with information specific to your facility.</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</si>
  <si>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</si>
  <si>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control efficiency</t>
  </si>
  <si>
    <t>LPG Average Sulfur Content</t>
  </si>
  <si>
    <t>LPG Maximum Sulfur Content</t>
  </si>
  <si>
    <t>Natural Gas Maximum Sulfur Content</t>
  </si>
  <si>
    <t>Natural Gas Average Sulfur Content</t>
  </si>
  <si>
    <t>Allowable Hours for Boiler Operation</t>
  </si>
  <si>
    <t>Allowable Hours for Solvent Usage</t>
  </si>
  <si>
    <t>Distillate Oil Maximum Sulfur Content</t>
  </si>
  <si>
    <t>Maximum Dry Cleaning Solvent Density</t>
  </si>
  <si>
    <t>Maximum Dry Cleaning Solvent VOC Content</t>
  </si>
  <si>
    <t>Operational Restrictions and Applicable Standards in 40 CFR parts 60 and 61</t>
  </si>
  <si>
    <t>Title 40 CFR 60.622 (Subpart JJJ) requires that a petroleum dry cleaning plant with a total manufacturers' rated dryer capacity equal to or greater than 38 kilograms (84 pounds) allow cartridge filters to be drained in their sealed housings for at least 8 hours prior to their removal. Is this regulation applicable to your facility?</t>
  </si>
  <si>
    <t>On average, how many hours in 2012 was a given dryer shut down at your facility to change cartridge filters? (Enter 0 if your facility does not use cartridge filters)</t>
  </si>
  <si>
    <t>Calculated as 8760 minus the hours of shutdown for filter changes according to Title 40 CFR 60.622 (Subpart JJJ).</t>
  </si>
  <si>
    <t>VOC Control Efficiency</t>
  </si>
  <si>
    <t>Carbon Adsorption Default VOC Control Efficiency</t>
  </si>
  <si>
    <t>Incineration Default VOC Control Efficiency</t>
  </si>
  <si>
    <t>40 CFR Section 49.130(d)(2)</t>
  </si>
  <si>
    <t>Control Efficiency (percent)</t>
  </si>
  <si>
    <t>40 CFR Section 49.130(d)(2); 1.1 grams S per standard cubic meter = 48 grains per 100 scf</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</si>
  <si>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</si>
  <si>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 xml:space="preserve">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 </t>
  </si>
  <si>
    <t>TRIBAL NEW SOURCE REVIEW PROGRAM</t>
  </si>
  <si>
    <t>Registration for Existing True Minor Sources of Air Pollution in Indian Country</t>
  </si>
  <si>
    <t>What is the Tribal New Source Review Rule?</t>
  </si>
  <si>
    <t>Do I need to register my minor source?</t>
  </si>
  <si>
    <t>How do I register my true minor source?</t>
  </si>
  <si>
    <t>How often must I register?</t>
  </si>
  <si>
    <t>This is a one-time registration for your true minor source.  However, after registration, you must notify your EPA Regional Office in writing if:</t>
  </si>
  <si>
    <t>May I register using my own emission information, rather than using the Registration Calculators?</t>
  </si>
  <si>
    <t>How does registration relate to obtaining a permit?</t>
  </si>
  <si>
    <t>Registration steps for existing true minor sources:</t>
  </si>
  <si>
    <r>
      <t xml:space="preserve">How do I determine if my source is a </t>
    </r>
    <r>
      <rPr>
        <b/>
        <i/>
        <sz val="10"/>
        <rFont val="Arial"/>
        <family val="2"/>
      </rPr>
      <t>true minor</t>
    </r>
    <r>
      <rPr>
        <b/>
        <sz val="10"/>
        <rFont val="Arial"/>
        <family val="2"/>
      </rPr>
      <t xml:space="preserve"> source?</t>
    </r>
  </si>
  <si>
    <t>1.</t>
  </si>
  <si>
    <t>2.</t>
  </si>
  <si>
    <t>3.</t>
  </si>
  <si>
    <t>4.</t>
  </si>
  <si>
    <t>5.</t>
  </si>
  <si>
    <t>If you have any questions about registration or completing the calculators, please contact your EPA Regional Office.</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</si>
  <si>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</si>
  <si>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6:  Emissions Summaries</t>
  </si>
  <si>
    <t>5: Emission Controls and
    Operational Restrictions</t>
  </si>
  <si>
    <t xml:space="preserve">Petroleum solvents are commonly used as cleaning fluids in commercial and industrial dry cleaning operations. There are typically two machines used in the washing process: a machine used for cleaning, which contains solvent and detergent, and a machine used for rinsing, which contains pure solvent. A heated air stream dries the clothes in another machine, and exhaust is vented out of the system. Emissions from petroleum based dry cleaners are primarily the solvent itself, which contains VOCs. Solvent evaporation occurs during the washing and drying process, releasing pollutants into the air.    </t>
  </si>
  <si>
    <t>01/09/2013</t>
  </si>
  <si>
    <t>Emission Controls and Operational Restrictions</t>
  </si>
  <si>
    <t>Once completed, the calculator’s Output-Summary Printout worksheet will provide information on your registration requirements.</t>
  </si>
  <si>
    <t>01/15/2013</t>
  </si>
  <si>
    <t xml:space="preserve">If your facility has multiple dry cleaning machines, how many batches can be run at the same time? For example, a facility with two washers and two dryers could run two batches at the same time. </t>
  </si>
  <si>
    <t>Yes/No Questions</t>
  </si>
  <si>
    <t>Sulfur content of the distillate oil (percentage)</t>
  </si>
  <si>
    <t>Enter the VOC control efficiency (percentage) of the control device. (Enter 0 if unknown)</t>
  </si>
  <si>
    <t xml:space="preserve">Average VOC content (percentage) of dry cleaning solvent </t>
  </si>
  <si>
    <t>Average density (lb/gal) of dry cleaning solvent</t>
  </si>
  <si>
    <t>How long does it take (in hours) to run a batch of clothes at your facility, including loading and unloading time?</t>
  </si>
  <si>
    <t>How many batches of clothes did your dry cleaning facility clean in 2012?</t>
  </si>
  <si>
    <t>11201 Renner Boulevard</t>
  </si>
  <si>
    <t>MC: AWMD/APCO</t>
  </si>
  <si>
    <t>Lenexa</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</si>
  <si>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</si>
  <si>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</si>
  <si>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</si>
  <si>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</si>
  <si>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t>What is the volume of solvent used when washing a batch of clothes at your facility (in gallons)?</t>
  </si>
  <si>
    <t>Updated calculator to agree with Tribal NSR Rule. Replaced actual uncontrolled and registration emissions with actual and allowable emissions. Added Registration FAQs tab as well as the Controls and Restrictions Tab. Keyed sulfur limits to those in the FARR. Removed major source thresholds and facility type selection.</t>
  </si>
  <si>
    <t>Updated calculations to use batches as opposed to total solvent. Updated Registration FAQs. Updated controls to include solvent recovery. Added fields to display default values. Simplified language where possible. Removed formulas from instructions tab. Updated Region 7 contact information.</t>
  </si>
  <si>
    <r>
      <t xml:space="preserve">On the </t>
    </r>
    <r>
      <rPr>
        <b/>
        <i/>
        <sz val="10"/>
        <rFont val="Arial"/>
        <family val="2"/>
      </rPr>
      <t>Inputs</t>
    </r>
    <r>
      <rPr>
        <sz val="10"/>
        <rFont val="Arial"/>
        <family val="2"/>
      </rPr>
      <t xml:space="preserve"> worksheet, enter the number of batches of clothes your facility cleaned in 2012 as well as how long it takes (in hours) to run a single batch of clothes at your facility, including loading and unloading time. If your facility has multiple dry cleaning machines, enter the number of batches that can be run at the same time. For example, if your facility has two washers and two dryers, then you would enter two since each washer/dryer pair could clean separate batches of clothes at the same time. Enter the volume of solvent (in gallons) used to wash a batch of clothes at your facility in 2012. Enter the average density of the solvent (lb/gal) and the average VOC content (percentage) of the solvent. If you do not know the solvent density or VOC content, enter 0 . Indicate whether or not your facility uses a boiler, and if so, enter the maximum heat input of the boiler (in MMBtu/hr) and the primary fuel combusted in the boiler. Where applicable, enter the sulfur content (%) of the fuel combusted in the boiler. If you do not know the sulfur content of the fuel combusted, enter 0.</t>
    </r>
  </si>
  <si>
    <t>Georgia</t>
  </si>
  <si>
    <t>Louisiana</t>
  </si>
  <si>
    <t>01/22/2013</t>
  </si>
  <si>
    <t>Corrected state spelling errors and modified FAQ text.</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</si>
  <si>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</si>
  <si>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</si>
  <si>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</si>
  <si>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</si>
  <si>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r>
      <t xml:space="preserve">Owners/operators of facilities with petroleum dry cleaners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</si>
  <si>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</si>
  <si>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</si>
  <si>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</si>
  <si>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</si>
  <si>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</si>
  <si>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</si>
  <si>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Complete this calculator and all other calculators that are applicable to your true minor source as accurately as possible.</t>
  </si>
  <si>
    <t>The EPA has provided this registration calculator to assist you in determining your registration requirements. Completing this calculator will:</t>
  </si>
  <si>
    <t>Modified FAQ text and corrected compatibility issue with drop-down lists.</t>
  </si>
  <si>
    <t>List of States with Federally Recognized Tribes</t>
  </si>
  <si>
    <t>Estimated Actual Emissions for 2012 (tons/yr):</t>
  </si>
  <si>
    <t>Estimated Actual Emissions
for 2012</t>
  </si>
  <si>
    <t>Note: If your facility operated for only a portion of 2012, estimate the number of batches of clothes you would have cleaned in 2012 had you been operating for the whole year. For example, if your facility operated for only three months in 2012, you should multiply the batches of clothes you cleaned in those three months by four to project the amount for the entire 12 months.</t>
  </si>
  <si>
    <t>Actual Emission Factor</t>
  </si>
  <si>
    <t>Allowable Emission Factor</t>
  </si>
  <si>
    <t>01/25/2013</t>
  </si>
  <si>
    <t xml:space="preserve">http://www.epa.gov/air/tribal/pdfs/existing_source_registration_rev.pdf </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</si>
  <si>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</si>
  <si>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VOC Control Multiplier</t>
  </si>
  <si>
    <t>Assume 90% capture efficiency. United States Environmental Protection Agency, Air Pollution Control Technology Factsheet, EPA-452/F-03-022, available at http://www.epa.gov/ttn/catc/dir1/fthermal.pdf.</t>
  </si>
  <si>
    <t>Assume 90% capture efficiency. United States Environmental Protection Agency, Air Pollutants and Control Techniques - Volatile Organic Compounds - Control Techniques, available at http://www.epa.gov/apti/bces/module6/voc/control/control.htm#thermal.</t>
  </si>
  <si>
    <t>Select the VOC control device, such as an incinerator, used at your facility in 2012? If your facility had a solvent recovery dryer, select 'Carbon Adsorption.' If your facility did not have a VOC control device, select 'None.'</t>
  </si>
  <si>
    <t>VOC control efficiency (percentage)</t>
  </si>
  <si>
    <t>02/02/2013</t>
  </si>
  <si>
    <t>Modified control questions to prevent double-counting of carbon adsorption.</t>
  </si>
  <si>
    <t>MMscf</t>
  </si>
  <si>
    <t>million standard cubic feet</t>
  </si>
  <si>
    <r>
      <t xml:space="preserve">On the </t>
    </r>
    <r>
      <rPr>
        <b/>
        <i/>
        <sz val="10"/>
        <rFont val="Arial"/>
        <family val="2"/>
      </rPr>
      <t>Controls and Restrictions</t>
    </r>
    <r>
      <rPr>
        <sz val="10"/>
        <rFont val="Arial"/>
        <family val="2"/>
      </rPr>
      <t xml:space="preserve"> worksheet, select the VOC control device used at your facility in calendar year 2012. If you facility did not have a VOC control device, select 'None."   If a VOC control device was used, enter the VOC control efficiency (%). If your facility is required by regulation (40 CFR 60.622) to allow cartridge filters to be drained in their sealed housings for at least 8 hours prior to their removal, enter the average number of hours in 2012 that a given dryer at your facility was shut down to change cartridge filters.</t>
    </r>
  </si>
  <si>
    <t>02/15/2013</t>
  </si>
  <si>
    <t>Corrected data validation text on Controls and Restrictions tab.</t>
  </si>
  <si>
    <t>02/21/2013</t>
  </si>
  <si>
    <t>Updated region 6 telephone number.</t>
  </si>
  <si>
    <t>02/26/2013</t>
  </si>
  <si>
    <t>Updated data validations to be compatible with Excel 2007.</t>
  </si>
  <si>
    <t>v1.9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</si>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</sst>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0.000"/>
    <numFmt numFmtId="168" formatCode="m/d/yyyy;@"/>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sz val="11"/>
      <color theme="1"/>
      <name val="Calibri"/>
      <family val="2"/>
      <scheme val="minor"/>
    </font>
    <font>
      <u/>
      <sz val="11"/>
      <color theme="10"/>
      <name val="Calibri"/>
      <family val="2"/>
      <scheme val="minor"/>
    </font>
    <font>
      <sz val="10"/>
      <color indexed="8"/>
      <name val="Arial"/>
      <family val="2"/>
    </font>
    <font>
      <sz val="10"/>
      <color theme="1"/>
      <name val="Arial"/>
      <family val="2"/>
    </font>
    <font>
      <sz val="10"/>
      <color rgb="FFCC6600"/>
      <name val="Arial"/>
      <family val="2"/>
    </font>
    <font>
      <b/>
      <sz val="11"/>
      <color rgb="FFFF0000"/>
      <name val="Arial"/>
      <family val="2"/>
    </font>
    <font>
      <b/>
      <sz val="11"/>
      <name val="Arial"/>
      <family val="2"/>
    </font>
    <font>
      <b/>
      <sz val="12"/>
      <name val="Arial"/>
      <family val="2"/>
    </font>
    <font>
      <b/>
      <sz val="10"/>
      <color rgb="FFFF0000"/>
      <name val="Arial"/>
      <family val="2"/>
    </font>
    <font>
      <b/>
      <sz val="10"/>
      <color rgb="FFCC6600"/>
      <name val="Arial"/>
      <family val="2"/>
    </font>
    <font>
      <sz val="11"/>
      <name val="Arial"/>
      <family val="2"/>
    </font>
    <font>
      <b/>
      <i/>
      <sz val="10"/>
      <color rgb="FFFF0000"/>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0.24994659260841701"/>
        <bgColor indexed="64"/>
      </patternFill>
    </fill>
  </fills>
  <borders count="74">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theme="1" tint="0.499984740745262"/>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9">
    <xf numFmtId="2" fontId="0" fillId="0" borderId="0"/>
    <xf numFmtId="2" fontId="18" fillId="0" borderId="0" applyNumberFormat="0" applyFill="0" applyBorder="0" applyAlignment="0" applyProtection="0"/>
    <xf numFmtId="2" fontId="6" fillId="0" borderId="0"/>
    <xf numFmtId="0" fontId="4" fillId="0" borderId="0"/>
    <xf numFmtId="0" fontId="18" fillId="0" borderId="0" applyNumberFormat="0" applyFill="0" applyBorder="0" applyAlignment="0" applyProtection="0">
      <alignment vertical="top"/>
      <protection locked="0"/>
    </xf>
    <xf numFmtId="0" fontId="25" fillId="0" borderId="0"/>
    <xf numFmtId="0" fontId="6" fillId="0" borderId="0"/>
    <xf numFmtId="0" fontId="26" fillId="0" borderId="0"/>
    <xf numFmtId="9" fontId="6" fillId="0" borderId="0" applyFont="0" applyFill="0" applyBorder="0" applyAlignment="0" applyProtection="0"/>
  </cellStyleXfs>
  <cellXfs count="401">
    <xf numFmtId="2" fontId="0" fillId="0" borderId="0" xfId="0"/>
    <xf numFmtId="2" fontId="15" fillId="0" borderId="0" xfId="0" applyFont="1"/>
    <xf numFmtId="2" fontId="6" fillId="0" borderId="0" xfId="0" applyFont="1"/>
    <xf numFmtId="1" fontId="0" fillId="0" borderId="0" xfId="0" applyNumberFormat="1" applyAlignment="1">
      <alignment horizontal="center" vertical="center"/>
    </xf>
    <xf numFmtId="1" fontId="0" fillId="0" borderId="6" xfId="0" applyNumberFormat="1" applyBorder="1" applyAlignment="1">
      <alignment horizontal="center" vertical="center"/>
    </xf>
    <xf numFmtId="2" fontId="6" fillId="0" borderId="6" xfId="0" applyFont="1" applyBorder="1" applyAlignment="1">
      <alignment horizontal="center" vertical="center"/>
    </xf>
    <xf numFmtId="1" fontId="6"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165" fontId="0" fillId="0" borderId="6" xfId="0" applyNumberFormat="1" applyBorder="1" applyAlignment="1">
      <alignment horizontal="center" vertical="center"/>
    </xf>
    <xf numFmtId="165" fontId="6" fillId="0" borderId="6" xfId="0" applyNumberFormat="1" applyFont="1" applyBorder="1" applyAlignment="1">
      <alignment horizontal="center" vertical="center"/>
    </xf>
    <xf numFmtId="2" fontId="6" fillId="0" borderId="6" xfId="0" applyFont="1" applyBorder="1" applyAlignment="1">
      <alignment horizontal="center"/>
    </xf>
    <xf numFmtId="2" fontId="6" fillId="0" borderId="12" xfId="0" applyFont="1" applyBorder="1"/>
    <xf numFmtId="164" fontId="0" fillId="0" borderId="0" xfId="0" applyNumberFormat="1" applyAlignment="1">
      <alignment horizontal="center"/>
    </xf>
    <xf numFmtId="1" fontId="6" fillId="0" borderId="8" xfId="0" applyNumberFormat="1" applyFont="1" applyBorder="1" applyAlignment="1">
      <alignment horizontal="left" vertical="center"/>
    </xf>
    <xf numFmtId="2" fontId="15" fillId="0" borderId="0" xfId="0" applyFont="1" applyProtection="1"/>
    <xf numFmtId="2" fontId="6" fillId="0" borderId="0" xfId="0" applyFont="1" applyBorder="1" applyProtection="1"/>
    <xf numFmtId="2" fontId="0" fillId="0" borderId="0" xfId="0" applyProtection="1"/>
    <xf numFmtId="2" fontId="0" fillId="0" borderId="0" xfId="0" applyBorder="1" applyProtection="1"/>
    <xf numFmtId="2" fontId="0" fillId="0" borderId="29" xfId="0" applyBorder="1" applyProtection="1"/>
    <xf numFmtId="2" fontId="0" fillId="0" borderId="15" xfId="0" applyBorder="1" applyProtection="1"/>
    <xf numFmtId="2" fontId="0" fillId="0" borderId="27" xfId="0" applyBorder="1" applyProtection="1"/>
    <xf numFmtId="2" fontId="5" fillId="0" borderId="3" xfId="0" applyFont="1" applyBorder="1" applyAlignment="1" applyProtection="1">
      <alignment horizontal="right"/>
    </xf>
    <xf numFmtId="2" fontId="0" fillId="0" borderId="17" xfId="0" applyBorder="1" applyProtection="1"/>
    <xf numFmtId="2" fontId="0" fillId="0" borderId="3" xfId="0" applyBorder="1" applyProtection="1"/>
    <xf numFmtId="2" fontId="6" fillId="0" borderId="36" xfId="0" applyFont="1" applyFill="1" applyBorder="1" applyAlignment="1" applyProtection="1">
      <alignment horizontal="center"/>
    </xf>
    <xf numFmtId="2" fontId="0" fillId="0" borderId="3" xfId="0" applyBorder="1" applyAlignment="1" applyProtection="1">
      <alignment horizontal="left" indent="1"/>
    </xf>
    <xf numFmtId="2" fontId="0" fillId="0" borderId="34" xfId="0" applyBorder="1" applyProtection="1"/>
    <xf numFmtId="2" fontId="5" fillId="0" borderId="3" xfId="0" applyFont="1" applyBorder="1" applyAlignment="1" applyProtection="1">
      <alignment horizontal="center"/>
    </xf>
    <xf numFmtId="2" fontId="5"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28" xfId="0" applyBorder="1" applyProtection="1"/>
    <xf numFmtId="2" fontId="5" fillId="0" borderId="35" xfId="0" applyFont="1" applyBorder="1" applyAlignment="1" applyProtection="1">
      <alignment horizontal="center"/>
    </xf>
    <xf numFmtId="2" fontId="17" fillId="0" borderId="8" xfId="0" applyFont="1" applyBorder="1" applyProtection="1">
      <protection locked="0"/>
    </xf>
    <xf numFmtId="2" fontId="17" fillId="0" borderId="9" xfId="0" applyFont="1" applyBorder="1" applyProtection="1">
      <protection locked="0"/>
    </xf>
    <xf numFmtId="2" fontId="6" fillId="4" borderId="6" xfId="0" applyFont="1" applyFill="1" applyBorder="1" applyProtection="1"/>
    <xf numFmtId="2" fontId="5" fillId="3" borderId="6" xfId="0" applyFont="1" applyFill="1" applyBorder="1" applyAlignment="1" applyProtection="1">
      <alignment horizontal="left"/>
    </xf>
    <xf numFmtId="2" fontId="17" fillId="0" borderId="18" xfId="0" applyFont="1" applyBorder="1" applyProtection="1">
      <protection locked="0"/>
    </xf>
    <xf numFmtId="2" fontId="6"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wrapText="1"/>
      <protection locked="0"/>
    </xf>
    <xf numFmtId="2" fontId="6" fillId="0" borderId="0" xfId="0" applyFont="1" applyProtection="1"/>
    <xf numFmtId="2" fontId="0" fillId="0" borderId="0" xfId="0" applyAlignment="1" applyProtection="1">
      <alignment horizontal="center" vertical="center"/>
    </xf>
    <xf numFmtId="2" fontId="5" fillId="0" borderId="30" xfId="0" applyNumberFormat="1" applyFont="1" applyBorder="1" applyAlignment="1" applyProtection="1">
      <alignment horizontal="left" indent="1"/>
    </xf>
    <xf numFmtId="2" fontId="0" fillId="0" borderId="30" xfId="0" applyNumberFormat="1" applyBorder="1" applyAlignment="1" applyProtection="1">
      <alignment horizontal="left" indent="1"/>
    </xf>
    <xf numFmtId="2" fontId="0" fillId="0" borderId="41" xfId="0" applyBorder="1" applyAlignment="1" applyProtection="1">
      <alignment horizontal="left" indent="1"/>
    </xf>
    <xf numFmtId="2" fontId="5" fillId="0" borderId="0" xfId="0" applyFont="1" applyBorder="1" applyAlignment="1" applyProtection="1">
      <alignment horizontal="center" wrapText="1"/>
    </xf>
    <xf numFmtId="2" fontId="6" fillId="0" borderId="0" xfId="0" applyFont="1" applyAlignment="1">
      <alignment horizontal="center"/>
    </xf>
    <xf numFmtId="166" fontId="8" fillId="0" borderId="4" xfId="0" applyNumberFormat="1" applyFont="1" applyBorder="1" applyAlignment="1" applyProtection="1">
      <alignment horizontal="right" indent="3"/>
    </xf>
    <xf numFmtId="2" fontId="15" fillId="0" borderId="0" xfId="0" applyFont="1" applyAlignment="1">
      <alignment horizontal="center"/>
    </xf>
    <xf numFmtId="2" fontId="6"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6" fillId="4" borderId="6" xfId="0" applyFont="1" applyFill="1" applyBorder="1" applyAlignment="1" applyProtection="1">
      <alignment horizontal="left"/>
    </xf>
    <xf numFmtId="2" fontId="0" fillId="0" borderId="12" xfId="0" applyBorder="1" applyAlignment="1" applyProtection="1">
      <alignment horizontal="left" indent="2"/>
    </xf>
    <xf numFmtId="2" fontId="6" fillId="0" borderId="22" xfId="0" applyFont="1" applyBorder="1" applyAlignment="1" applyProtection="1">
      <alignment horizontal="left" indent="2"/>
    </xf>
    <xf numFmtId="2" fontId="0" fillId="0" borderId="22" xfId="0" applyBorder="1" applyAlignment="1" applyProtection="1">
      <alignment horizontal="left" indent="2"/>
    </xf>
    <xf numFmtId="2" fontId="6" fillId="0" borderId="0" xfId="0" applyFont="1" applyFill="1" applyBorder="1" applyAlignment="1" applyProtection="1">
      <alignment wrapText="1"/>
    </xf>
    <xf numFmtId="2" fontId="0" fillId="0" borderId="29" xfId="0" applyNumberFormat="1" applyBorder="1" applyAlignment="1" applyProtection="1">
      <alignment horizontal="left" indent="1"/>
    </xf>
    <xf numFmtId="2" fontId="0" fillId="0" borderId="39" xfId="0" applyNumberFormat="1" applyBorder="1" applyAlignment="1" applyProtection="1">
      <alignment horizontal="left" indent="1"/>
    </xf>
    <xf numFmtId="2" fontId="0" fillId="0" borderId="15" xfId="0" applyNumberFormat="1" applyBorder="1" applyProtection="1"/>
    <xf numFmtId="2" fontId="0" fillId="0" borderId="42" xfId="0" applyBorder="1" applyProtection="1"/>
    <xf numFmtId="2" fontId="0" fillId="0" borderId="30" xfId="0" applyBorder="1" applyAlignment="1" applyProtection="1">
      <alignment horizontal="left" indent="1"/>
    </xf>
    <xf numFmtId="2" fontId="6" fillId="0" borderId="30" xfId="0" applyNumberFormat="1" applyFont="1" applyBorder="1" applyAlignment="1" applyProtection="1">
      <alignment horizontal="left" indent="1"/>
    </xf>
    <xf numFmtId="2" fontId="5" fillId="0" borderId="30" xfId="0" applyFont="1" applyBorder="1" applyAlignment="1" applyProtection="1">
      <alignment horizontal="left" indent="1"/>
    </xf>
    <xf numFmtId="2" fontId="5" fillId="0" borderId="17" xfId="0" applyFont="1" applyBorder="1" applyAlignment="1" applyProtection="1">
      <alignment horizontal="center"/>
    </xf>
    <xf numFmtId="165" fontId="0" fillId="0" borderId="0" xfId="0" applyNumberFormat="1" applyBorder="1" applyAlignment="1">
      <alignment horizontal="center"/>
    </xf>
    <xf numFmtId="2" fontId="0" fillId="0" borderId="6" xfId="0" applyBorder="1"/>
    <xf numFmtId="2" fontId="6" fillId="0" borderId="8" xfId="0" applyFont="1" applyBorder="1"/>
    <xf numFmtId="2" fontId="5" fillId="0" borderId="0" xfId="0" applyFont="1" applyFill="1" applyBorder="1"/>
    <xf numFmtId="2" fontId="6" fillId="0" borderId="8" xfId="0" applyFont="1" applyBorder="1" applyAlignment="1">
      <alignment horizontal="center"/>
    </xf>
    <xf numFmtId="3" fontId="6" fillId="0" borderId="6" xfId="0" applyNumberFormat="1" applyFont="1" applyBorder="1" applyAlignment="1">
      <alignment horizontal="center"/>
    </xf>
    <xf numFmtId="3" fontId="0" fillId="0" borderId="6" xfId="0" applyNumberFormat="1" applyBorder="1" applyAlignment="1">
      <alignment horizontal="center"/>
    </xf>
    <xf numFmtId="2" fontId="6" fillId="0" borderId="12" xfId="0" applyFont="1" applyBorder="1" applyAlignment="1" applyProtection="1">
      <alignment vertical="center" wrapText="1"/>
    </xf>
    <xf numFmtId="2" fontId="6" fillId="0" borderId="12" xfId="0" applyFont="1" applyFill="1" applyBorder="1" applyAlignment="1" applyProtection="1">
      <alignment vertical="center" wrapText="1"/>
    </xf>
    <xf numFmtId="2" fontId="6" fillId="0" borderId="12" xfId="0" quotePrefix="1" applyFont="1" applyFill="1" applyBorder="1" applyAlignment="1" applyProtection="1">
      <alignment horizontal="left" vertical="center" wrapText="1" indent="2"/>
    </xf>
    <xf numFmtId="2" fontId="6" fillId="0" borderId="12" xfId="0" quotePrefix="1" applyFont="1" applyBorder="1" applyAlignment="1" applyProtection="1">
      <alignment horizontal="left" vertical="center" indent="2"/>
    </xf>
    <xf numFmtId="2" fontId="6" fillId="0" borderId="14" xfId="0" applyFont="1" applyBorder="1" applyAlignment="1" applyProtection="1">
      <alignment vertical="center" wrapText="1"/>
    </xf>
    <xf numFmtId="2" fontId="5" fillId="4" borderId="11" xfId="0" applyFont="1" applyFill="1" applyBorder="1" applyProtection="1"/>
    <xf numFmtId="2" fontId="5" fillId="4" borderId="10" xfId="0" applyFont="1" applyFill="1" applyBorder="1" applyProtection="1"/>
    <xf numFmtId="2" fontId="12" fillId="0" borderId="0" xfId="0" applyFont="1" applyProtection="1"/>
    <xf numFmtId="2" fontId="9" fillId="0" borderId="0" xfId="0" applyFont="1" applyProtection="1"/>
    <xf numFmtId="2" fontId="0" fillId="0" borderId="15" xfId="0" applyBorder="1" applyAlignment="1" applyProtection="1"/>
    <xf numFmtId="2" fontId="0" fillId="0" borderId="0" xfId="0" applyBorder="1" applyAlignment="1" applyProtection="1"/>
    <xf numFmtId="2" fontId="5" fillId="4" borderId="29" xfId="0" applyFont="1" applyFill="1" applyBorder="1" applyAlignment="1" applyProtection="1"/>
    <xf numFmtId="2" fontId="7" fillId="4" borderId="15" xfId="0" applyFont="1" applyFill="1" applyBorder="1" applyAlignment="1" applyProtection="1"/>
    <xf numFmtId="2" fontId="7" fillId="4" borderId="27" xfId="0" applyFont="1" applyFill="1" applyBorder="1" applyAlignment="1" applyProtection="1"/>
    <xf numFmtId="2" fontId="6" fillId="4" borderId="19"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0" fillId="0" borderId="0" xfId="0" applyBorder="1" applyAlignment="1" applyProtection="1">
      <alignment horizontal="left" indent="2"/>
    </xf>
    <xf numFmtId="2" fontId="17" fillId="0" borderId="0" xfId="0" applyFont="1" applyBorder="1" applyProtection="1"/>
    <xf numFmtId="2" fontId="15" fillId="0" borderId="0" xfId="2" applyFont="1" applyAlignment="1"/>
    <xf numFmtId="0" fontId="4" fillId="0" borderId="0" xfId="3" applyAlignment="1">
      <alignment horizontal="center"/>
    </xf>
    <xf numFmtId="0" fontId="4" fillId="0" borderId="0" xfId="3" applyAlignment="1"/>
    <xf numFmtId="0" fontId="23" fillId="4" borderId="6" xfId="3" applyFont="1" applyFill="1" applyBorder="1" applyAlignment="1"/>
    <xf numFmtId="0" fontId="23" fillId="4" borderId="6" xfId="3" applyFont="1" applyFill="1" applyBorder="1" applyAlignment="1">
      <alignment horizontal="center"/>
    </xf>
    <xf numFmtId="0" fontId="4" fillId="0" borderId="0" xfId="3" applyFont="1" applyAlignment="1">
      <alignment horizontal="left" vertical="center"/>
    </xf>
    <xf numFmtId="0" fontId="4" fillId="0" borderId="0" xfId="3" applyFont="1" applyAlignment="1"/>
    <xf numFmtId="0" fontId="24" fillId="0" borderId="0" xfId="1" applyNumberFormat="1" applyFont="1" applyAlignment="1">
      <alignment horizontal="left" vertical="center"/>
    </xf>
    <xf numFmtId="0" fontId="24" fillId="0" borderId="0" xfId="1" applyNumberFormat="1" applyFont="1" applyAlignment="1"/>
    <xf numFmtId="0" fontId="4" fillId="0" borderId="0" xfId="3" applyFont="1" applyAlignment="1">
      <alignment horizontal="center"/>
    </xf>
    <xf numFmtId="0" fontId="18" fillId="0" borderId="0" xfId="1" applyNumberFormat="1" applyAlignment="1">
      <alignment horizontal="left" vertical="center"/>
    </xf>
    <xf numFmtId="2" fontId="6" fillId="0" borderId="47" xfId="2" applyBorder="1" applyAlignment="1" applyProtection="1">
      <alignment horizontal="left" indent="2"/>
    </xf>
    <xf numFmtId="2" fontId="27" fillId="0" borderId="27" xfId="2" applyFont="1" applyBorder="1" applyProtection="1"/>
    <xf numFmtId="2" fontId="6" fillId="0" borderId="12" xfId="2" applyBorder="1" applyAlignment="1" applyProtection="1">
      <alignment horizontal="left" indent="2"/>
    </xf>
    <xf numFmtId="2" fontId="27" fillId="0" borderId="8" xfId="2" applyFont="1" applyBorder="1" applyProtection="1"/>
    <xf numFmtId="2" fontId="6" fillId="0" borderId="48" xfId="2" applyBorder="1" applyAlignment="1" applyProtection="1">
      <alignment horizontal="left" indent="2"/>
    </xf>
    <xf numFmtId="2" fontId="27" fillId="0" borderId="21" xfId="2" applyFont="1" applyBorder="1" applyProtection="1"/>
    <xf numFmtId="2" fontId="6" fillId="0" borderId="48" xfId="2" applyBorder="1" applyProtection="1"/>
    <xf numFmtId="2" fontId="27" fillId="0" borderId="17" xfId="2" applyFont="1" applyBorder="1" applyProtection="1"/>
    <xf numFmtId="2" fontId="6" fillId="0" borderId="49" xfId="2" applyBorder="1" applyProtection="1"/>
    <xf numFmtId="2" fontId="27" fillId="0" borderId="28" xfId="2" applyFont="1" applyBorder="1" applyAlignment="1" applyProtection="1">
      <alignment vertical="top"/>
    </xf>
    <xf numFmtId="2" fontId="6" fillId="0" borderId="29" xfId="2" applyBorder="1" applyProtection="1"/>
    <xf numFmtId="2" fontId="30" fillId="0" borderId="15" xfId="2" applyFont="1" applyBorder="1" applyAlignment="1" applyProtection="1">
      <alignment horizontal="left" indent="3"/>
    </xf>
    <xf numFmtId="2" fontId="6" fillId="0" borderId="27" xfId="2" applyBorder="1" applyProtection="1"/>
    <xf numFmtId="2" fontId="6" fillId="0" borderId="3" xfId="2" applyBorder="1" applyProtection="1"/>
    <xf numFmtId="2" fontId="30" fillId="0" borderId="0" xfId="2" applyFont="1" applyBorder="1" applyAlignment="1" applyProtection="1">
      <alignment horizontal="left" indent="3"/>
    </xf>
    <xf numFmtId="2" fontId="6" fillId="0" borderId="17" xfId="2" applyBorder="1" applyProtection="1"/>
    <xf numFmtId="2" fontId="6" fillId="0" borderId="2" xfId="2" applyBorder="1" applyProtection="1"/>
    <xf numFmtId="2" fontId="6" fillId="0" borderId="1" xfId="2" applyBorder="1" applyProtection="1"/>
    <xf numFmtId="2" fontId="6" fillId="0" borderId="28" xfId="2" applyBorder="1" applyProtection="1"/>
    <xf numFmtId="2" fontId="6" fillId="0" borderId="31" xfId="0" applyFont="1" applyBorder="1" applyAlignment="1" applyProtection="1">
      <alignment vertical="center"/>
    </xf>
    <xf numFmtId="2" fontId="17" fillId="0" borderId="17" xfId="0" applyFont="1" applyBorder="1" applyAlignment="1" applyProtection="1">
      <alignment horizontal="center" vertical="center"/>
      <protection locked="0"/>
    </xf>
    <xf numFmtId="2" fontId="6" fillId="0" borderId="12" xfId="0" applyFont="1" applyBorder="1" applyAlignment="1" applyProtection="1">
      <alignment vertical="center"/>
    </xf>
    <xf numFmtId="2" fontId="17" fillId="0" borderId="8" xfId="0" applyFont="1" applyBorder="1" applyAlignment="1" applyProtection="1">
      <alignment horizontal="center" vertical="center"/>
    </xf>
    <xf numFmtId="2" fontId="17" fillId="0" borderId="8" xfId="0" applyFont="1" applyBorder="1" applyAlignment="1" applyProtection="1">
      <alignment horizontal="center" vertical="center"/>
      <protection locked="0"/>
    </xf>
    <xf numFmtId="2" fontId="0" fillId="0" borderId="12" xfId="0" applyBorder="1" applyAlignment="1" applyProtection="1">
      <alignment vertical="center"/>
    </xf>
    <xf numFmtId="2" fontId="0" fillId="0" borderId="8" xfId="0" applyBorder="1" applyAlignment="1" applyProtection="1">
      <alignment horizontal="center" vertical="center"/>
    </xf>
    <xf numFmtId="2" fontId="0" fillId="0" borderId="22" xfId="0" applyBorder="1" applyAlignment="1" applyProtection="1">
      <alignment vertical="center"/>
    </xf>
    <xf numFmtId="2" fontId="0" fillId="0" borderId="9" xfId="0" applyBorder="1" applyAlignment="1" applyProtection="1">
      <alignment horizontal="center" vertical="center"/>
    </xf>
    <xf numFmtId="2" fontId="5" fillId="3" borderId="6" xfId="2" applyFont="1" applyFill="1" applyBorder="1" applyProtection="1"/>
    <xf numFmtId="2" fontId="6" fillId="4" borderId="6" xfId="2" applyFont="1" applyFill="1" applyBorder="1" applyAlignment="1" applyProtection="1">
      <alignment horizontal="left"/>
    </xf>
    <xf numFmtId="2" fontId="6" fillId="0" borderId="0" xfId="2" applyProtection="1"/>
    <xf numFmtId="2" fontId="6" fillId="0" borderId="52" xfId="0" applyFont="1" applyBorder="1" applyAlignment="1" applyProtection="1">
      <alignment vertical="center" wrapText="1"/>
    </xf>
    <xf numFmtId="2" fontId="5" fillId="0" borderId="0" xfId="0" applyFont="1" applyBorder="1" applyAlignment="1" applyProtection="1">
      <alignment horizontal="left"/>
    </xf>
    <xf numFmtId="168" fontId="6" fillId="0" borderId="6" xfId="0" quotePrefix="1" applyNumberFormat="1" applyFont="1" applyBorder="1" applyAlignment="1">
      <alignment horizontal="center" vertical="center"/>
    </xf>
    <xf numFmtId="168" fontId="0" fillId="0" borderId="6" xfId="0" applyNumberFormat="1" applyBorder="1" applyAlignment="1" applyProtection="1">
      <alignment horizontal="center" vertical="center"/>
      <protection locked="0"/>
    </xf>
    <xf numFmtId="168" fontId="0" fillId="0" borderId="0" xfId="0" applyNumberFormat="1" applyAlignment="1">
      <alignment horizontal="center"/>
    </xf>
    <xf numFmtId="2" fontId="6" fillId="0" borderId="51" xfId="0" applyFont="1" applyBorder="1" applyAlignment="1" applyProtection="1">
      <alignment vertical="center"/>
    </xf>
    <xf numFmtId="2" fontId="6" fillId="0" borderId="23" xfId="0" applyFont="1" applyBorder="1" applyAlignment="1" applyProtection="1">
      <alignment horizontal="left" vertical="center"/>
    </xf>
    <xf numFmtId="2" fontId="0" fillId="0" borderId="24" xfId="0" applyBorder="1" applyAlignment="1" applyProtection="1">
      <alignment horizontal="left" vertical="center"/>
    </xf>
    <xf numFmtId="2" fontId="6" fillId="0" borderId="20" xfId="0" applyFont="1" applyBorder="1" applyAlignment="1" applyProtection="1">
      <alignment horizontal="left" vertical="center"/>
    </xf>
    <xf numFmtId="2" fontId="6" fillId="0" borderId="52" xfId="0" applyFont="1" applyBorder="1" applyAlignment="1" applyProtection="1">
      <alignment vertical="center"/>
    </xf>
    <xf numFmtId="2" fontId="6" fillId="0" borderId="20" xfId="0" applyFont="1" applyBorder="1" applyAlignment="1" applyProtection="1">
      <alignment horizontal="left" vertical="center" wrapText="1"/>
    </xf>
    <xf numFmtId="2" fontId="0" fillId="0" borderId="21" xfId="0" applyBorder="1" applyAlignment="1" applyProtection="1">
      <alignment horizontal="left" vertical="center" wrapText="1"/>
    </xf>
    <xf numFmtId="2" fontId="6" fillId="0" borderId="53" xfId="0" applyFont="1" applyBorder="1" applyAlignment="1" applyProtection="1">
      <alignment vertical="center"/>
    </xf>
    <xf numFmtId="2" fontId="17" fillId="0" borderId="9" xfId="0" applyFont="1" applyBorder="1" applyAlignment="1" applyProtection="1">
      <alignment horizontal="center" vertical="center"/>
      <protection locked="0"/>
    </xf>
    <xf numFmtId="2" fontId="29" fillId="0" borderId="15" xfId="2" applyFont="1" applyBorder="1" applyProtection="1"/>
    <xf numFmtId="2" fontId="29" fillId="0" borderId="0" xfId="2" applyFont="1" applyBorder="1" applyProtection="1"/>
    <xf numFmtId="2" fontId="33" fillId="0" borderId="15" xfId="2" applyFont="1" applyBorder="1" applyProtection="1"/>
    <xf numFmtId="2" fontId="33" fillId="0" borderId="0" xfId="2" applyFont="1" applyBorder="1" applyProtection="1"/>
    <xf numFmtId="2" fontId="6" fillId="0" borderId="6" xfId="0" applyFont="1" applyFill="1" applyBorder="1" applyAlignment="1">
      <alignment horizontal="center"/>
    </xf>
    <xf numFmtId="2" fontId="0" fillId="0" borderId="6" xfId="0" applyFill="1" applyBorder="1" applyAlignment="1">
      <alignment horizontal="center"/>
    </xf>
    <xf numFmtId="0" fontId="15" fillId="0" borderId="0" xfId="6" applyFont="1" applyProtection="1"/>
    <xf numFmtId="2" fontId="5" fillId="4" borderId="37" xfId="0" applyFont="1" applyFill="1" applyBorder="1" applyProtection="1"/>
    <xf numFmtId="2" fontId="5" fillId="4" borderId="57" xfId="0" applyFont="1" applyFill="1" applyBorder="1" applyAlignment="1" applyProtection="1">
      <alignment horizontal="center"/>
    </xf>
    <xf numFmtId="2" fontId="5" fillId="4" borderId="58" xfId="0" applyFont="1" applyFill="1" applyBorder="1" applyAlignment="1" applyProtection="1">
      <alignment horizontal="center"/>
    </xf>
    <xf numFmtId="2" fontId="5" fillId="4" borderId="38" xfId="0" applyFont="1" applyFill="1" applyBorder="1" applyAlignment="1" applyProtection="1">
      <alignment horizontal="center"/>
    </xf>
    <xf numFmtId="4" fontId="27" fillId="0" borderId="60" xfId="0" applyNumberFormat="1" applyFont="1" applyFill="1" applyBorder="1" applyAlignment="1" applyProtection="1">
      <alignment horizontal="right"/>
    </xf>
    <xf numFmtId="2" fontId="6" fillId="0" borderId="0" xfId="0" applyFont="1" applyFill="1" applyBorder="1" applyProtection="1"/>
    <xf numFmtId="2" fontId="8" fillId="0" borderId="0" xfId="0" applyNumberFormat="1" applyFont="1" applyFill="1" applyBorder="1" applyAlignment="1" applyProtection="1">
      <alignment horizontal="left"/>
    </xf>
    <xf numFmtId="2" fontId="5" fillId="4" borderId="63" xfId="0" applyFont="1" applyFill="1" applyBorder="1" applyAlignment="1" applyProtection="1">
      <alignment horizontal="center"/>
    </xf>
    <xf numFmtId="2" fontId="5" fillId="4" borderId="64" xfId="0" applyFont="1" applyFill="1" applyBorder="1" applyAlignment="1" applyProtection="1">
      <alignment horizontal="center"/>
    </xf>
    <xf numFmtId="2" fontId="5" fillId="4" borderId="65" xfId="0" applyFont="1" applyFill="1" applyBorder="1" applyAlignment="1" applyProtection="1">
      <alignment horizontal="center"/>
    </xf>
    <xf numFmtId="2" fontId="5" fillId="4" borderId="29" xfId="0" applyFont="1" applyFill="1" applyBorder="1" applyProtection="1"/>
    <xf numFmtId="2" fontId="5" fillId="4" borderId="32" xfId="0" applyFont="1" applyFill="1" applyBorder="1" applyAlignment="1" applyProtection="1">
      <alignment horizontal="center"/>
    </xf>
    <xf numFmtId="2" fontId="27" fillId="0" borderId="12" xfId="0" applyFont="1" applyFill="1" applyBorder="1" applyAlignment="1" applyProtection="1"/>
    <xf numFmtId="2" fontId="27" fillId="0" borderId="59" xfId="0" applyFont="1" applyFill="1" applyBorder="1" applyAlignment="1" applyProtection="1"/>
    <xf numFmtId="2" fontId="32" fillId="0" borderId="37" xfId="0" applyFont="1" applyFill="1" applyBorder="1" applyAlignment="1" applyProtection="1"/>
    <xf numFmtId="4" fontId="32" fillId="0" borderId="58" xfId="0" applyNumberFormat="1" applyFont="1" applyFill="1" applyBorder="1" applyAlignment="1" applyProtection="1">
      <alignment horizontal="right"/>
    </xf>
    <xf numFmtId="4" fontId="32" fillId="0" borderId="38" xfId="0" applyNumberFormat="1" applyFont="1" applyFill="1" applyBorder="1" applyAlignment="1" applyProtection="1">
      <alignment horizontal="right"/>
    </xf>
    <xf numFmtId="4" fontId="17" fillId="0" borderId="18" xfId="0" applyNumberFormat="1" applyFont="1" applyBorder="1" applyAlignment="1" applyProtection="1">
      <alignment horizontal="center" vertical="center"/>
      <protection locked="0"/>
    </xf>
    <xf numFmtId="167" fontId="8" fillId="0" borderId="4" xfId="0" applyNumberFormat="1" applyFont="1" applyBorder="1" applyAlignment="1" applyProtection="1">
      <alignment horizontal="right" indent="6"/>
    </xf>
    <xf numFmtId="4" fontId="5" fillId="0" borderId="4" xfId="0" applyNumberFormat="1" applyFont="1" applyBorder="1" applyAlignment="1" applyProtection="1">
      <alignment horizontal="right" indent="7"/>
    </xf>
    <xf numFmtId="164" fontId="5" fillId="0" borderId="4" xfId="0" applyNumberFormat="1" applyFont="1" applyBorder="1" applyAlignment="1" applyProtection="1">
      <alignment horizontal="right" indent="7"/>
    </xf>
    <xf numFmtId="167" fontId="5" fillId="0" borderId="0" xfId="0" applyNumberFormat="1" applyFont="1" applyBorder="1" applyAlignment="1" applyProtection="1">
      <alignment horizontal="right" indent="8"/>
    </xf>
    <xf numFmtId="164" fontId="5" fillId="0" borderId="4" xfId="0" applyNumberFormat="1" applyFont="1" applyBorder="1" applyAlignment="1" applyProtection="1">
      <alignment horizontal="right" indent="8"/>
    </xf>
    <xf numFmtId="2" fontId="5" fillId="0" borderId="3" xfId="0" applyNumberFormat="1" applyFont="1" applyBorder="1" applyAlignment="1" applyProtection="1">
      <alignment horizontal="left" indent="3"/>
    </xf>
    <xf numFmtId="2" fontId="0" fillId="0" borderId="3" xfId="0" applyBorder="1" applyAlignment="1" applyProtection="1">
      <alignment horizontal="left" indent="3"/>
    </xf>
    <xf numFmtId="2" fontId="0" fillId="0" borderId="3" xfId="0" applyNumberFormat="1" applyBorder="1" applyAlignment="1" applyProtection="1">
      <alignment horizontal="left" indent="3"/>
    </xf>
    <xf numFmtId="2" fontId="6" fillId="0" borderId="3" xfId="0" applyNumberFormat="1" applyFont="1" applyBorder="1" applyAlignment="1" applyProtection="1">
      <alignment horizontal="left" indent="3"/>
    </xf>
    <xf numFmtId="2" fontId="5" fillId="0" borderId="3" xfId="0" applyFont="1" applyBorder="1" applyAlignment="1" applyProtection="1">
      <alignment horizontal="left" indent="3"/>
    </xf>
    <xf numFmtId="164" fontId="5" fillId="0" borderId="17" xfId="2" applyNumberFormat="1" applyFont="1" applyFill="1" applyBorder="1" applyAlignment="1" applyProtection="1">
      <alignment horizontal="right" indent="8"/>
    </xf>
    <xf numFmtId="164" fontId="6" fillId="0" borderId="17" xfId="2" applyNumberFormat="1" applyFont="1" applyFill="1" applyBorder="1" applyAlignment="1" applyProtection="1">
      <alignment horizontal="right" indent="8"/>
    </xf>
    <xf numFmtId="167" fontId="5" fillId="0" borderId="4" xfId="0" applyNumberFormat="1" applyFont="1" applyBorder="1" applyAlignment="1" applyProtection="1">
      <alignment horizontal="right" indent="7"/>
    </xf>
    <xf numFmtId="2" fontId="5" fillId="0" borderId="0" xfId="0" applyFont="1" applyBorder="1" applyProtection="1"/>
    <xf numFmtId="2" fontId="0" fillId="0" borderId="0" xfId="0" applyFill="1" applyBorder="1" applyAlignment="1" applyProtection="1">
      <alignment horizontal="center"/>
    </xf>
    <xf numFmtId="2" fontId="0" fillId="0" borderId="0" xfId="0" applyAlignment="1" applyProtection="1">
      <alignment horizontal="center"/>
    </xf>
    <xf numFmtId="2" fontId="0" fillId="0" borderId="0" xfId="0" applyBorder="1" applyAlignment="1" applyProtection="1">
      <alignment horizontal="center"/>
    </xf>
    <xf numFmtId="164" fontId="5" fillId="0" borderId="0" xfId="2" applyNumberFormat="1" applyFont="1" applyFill="1" applyBorder="1" applyAlignment="1" applyProtection="1">
      <alignment horizontal="center"/>
    </xf>
    <xf numFmtId="164" fontId="6"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right" indent="3"/>
    </xf>
    <xf numFmtId="164" fontId="6" fillId="0" borderId="0" xfId="2" applyNumberFormat="1" applyFont="1" applyFill="1" applyBorder="1" applyAlignment="1" applyProtection="1">
      <alignment horizontal="right" indent="3"/>
    </xf>
    <xf numFmtId="2" fontId="5" fillId="0" borderId="0" xfId="0" applyFont="1" applyFill="1" applyBorder="1" applyAlignment="1" applyProtection="1">
      <alignment horizontal="right" vertical="center"/>
    </xf>
    <xf numFmtId="167" fontId="8" fillId="0" borderId="69" xfId="0" applyNumberFormat="1" applyFont="1" applyBorder="1" applyAlignment="1" applyProtection="1">
      <alignment horizontal="right" indent="3"/>
    </xf>
    <xf numFmtId="166" fontId="8" fillId="0" borderId="69" xfId="0" applyNumberFormat="1" applyFont="1" applyBorder="1" applyAlignment="1" applyProtection="1">
      <alignment horizontal="right" indent="3"/>
    </xf>
    <xf numFmtId="2" fontId="0" fillId="0" borderId="31" xfId="0" applyBorder="1" applyAlignment="1" applyProtection="1">
      <alignment horizontal="left" indent="2"/>
    </xf>
    <xf numFmtId="2" fontId="17" fillId="0" borderId="33" xfId="0" applyFont="1" applyBorder="1" applyProtection="1">
      <protection locked="0"/>
    </xf>
    <xf numFmtId="1" fontId="17" fillId="0" borderId="9" xfId="0" applyNumberFormat="1" applyFont="1" applyBorder="1" applyAlignment="1" applyProtection="1">
      <alignment horizontal="left"/>
      <protection locked="0"/>
    </xf>
    <xf numFmtId="2" fontId="6" fillId="0" borderId="31" xfId="0" applyFont="1" applyBorder="1" applyAlignment="1" applyProtection="1">
      <alignment vertical="center" wrapText="1"/>
    </xf>
    <xf numFmtId="2" fontId="6" fillId="0" borderId="22" xfId="0" applyFont="1" applyBorder="1" applyAlignment="1" applyProtection="1">
      <alignment vertical="center" wrapText="1"/>
    </xf>
    <xf numFmtId="2" fontId="6" fillId="4" borderId="6" xfId="0" applyFont="1" applyFill="1" applyBorder="1" applyAlignment="1" applyProtection="1">
      <alignment horizontal="center"/>
    </xf>
    <xf numFmtId="2" fontId="0" fillId="0" borderId="6" xfId="0" applyBorder="1" applyAlignment="1">
      <alignment horizontal="center"/>
    </xf>
    <xf numFmtId="2" fontId="17" fillId="0" borderId="8" xfId="0" applyFont="1" applyFill="1" applyBorder="1" applyAlignment="1" applyProtection="1">
      <alignment horizontal="center" vertical="center"/>
      <protection locked="0"/>
    </xf>
    <xf numFmtId="4" fontId="17" fillId="0" borderId="18" xfId="0" applyNumberFormat="1" applyFont="1" applyFill="1" applyBorder="1" applyAlignment="1" applyProtection="1">
      <alignment horizontal="center" vertical="center"/>
      <protection locked="0"/>
    </xf>
    <xf numFmtId="2" fontId="6" fillId="0" borderId="50" xfId="0" applyFont="1" applyFill="1" applyBorder="1" applyAlignment="1" applyProtection="1">
      <alignment horizontal="left" vertical="center" wrapText="1"/>
    </xf>
    <xf numFmtId="2" fontId="6" fillId="0" borderId="51" xfId="0" applyFont="1" applyFill="1" applyBorder="1" applyAlignment="1" applyProtection="1">
      <alignment horizontal="left" vertical="center" wrapText="1"/>
    </xf>
    <xf numFmtId="2" fontId="6" fillId="0" borderId="52" xfId="0" applyFont="1" applyFill="1" applyBorder="1" applyAlignment="1" applyProtection="1">
      <alignment vertical="center" wrapText="1"/>
    </xf>
    <xf numFmtId="168" fontId="6" fillId="0" borderId="6" xfId="0" quotePrefix="1" applyNumberFormat="1" applyFont="1" applyBorder="1" applyAlignment="1" applyProtection="1">
      <alignment horizontal="center" vertical="center"/>
      <protection locked="0"/>
    </xf>
    <xf numFmtId="2" fontId="5" fillId="0" borderId="0" xfId="0" applyFont="1" applyAlignment="1" applyProtection="1">
      <alignment vertical="center" wrapText="1"/>
    </xf>
    <xf numFmtId="2" fontId="6" fillId="0" borderId="0" xfId="0" applyFont="1" applyAlignment="1" applyProtection="1">
      <alignment vertical="center" wrapText="1"/>
    </xf>
    <xf numFmtId="2" fontId="6" fillId="0" borderId="0" xfId="0" quotePrefix="1" applyFont="1" applyAlignment="1" applyProtection="1">
      <alignment horizontal="right" vertical="top"/>
    </xf>
    <xf numFmtId="2" fontId="6" fillId="0" borderId="0" xfId="0" applyFont="1" applyAlignment="1" applyProtection="1">
      <alignment horizontal="left" vertical="center" wrapText="1" indent="1"/>
    </xf>
    <xf numFmtId="2" fontId="18" fillId="0" borderId="0" xfId="1" applyFont="1" applyAlignment="1" applyProtection="1">
      <alignment vertical="center" wrapText="1"/>
    </xf>
    <xf numFmtId="2" fontId="6" fillId="0" borderId="0" xfId="0" applyFont="1" applyAlignment="1" applyProtection="1">
      <alignment horizontal="left" vertical="top" wrapText="1" indent="1"/>
    </xf>
    <xf numFmtId="2" fontId="6" fillId="0" borderId="0" xfId="0" applyFont="1" applyAlignment="1" applyProtection="1">
      <alignment wrapText="1"/>
    </xf>
    <xf numFmtId="2" fontId="17" fillId="0" borderId="33" xfId="0" applyFont="1" applyBorder="1" applyAlignment="1" applyProtection="1">
      <alignment horizontal="center" vertical="center"/>
      <protection locked="0"/>
    </xf>
    <xf numFmtId="2" fontId="27" fillId="0" borderId="6" xfId="0" applyFont="1" applyBorder="1" applyProtection="1"/>
    <xf numFmtId="2" fontId="27" fillId="0" borderId="8" xfId="0" applyFont="1" applyBorder="1" applyProtection="1"/>
    <xf numFmtId="2" fontId="27" fillId="0" borderId="60" xfId="0" applyFont="1" applyBorder="1" applyProtection="1"/>
    <xf numFmtId="2" fontId="27" fillId="0" borderId="61" xfId="0" applyFont="1" applyBorder="1" applyProtection="1"/>
    <xf numFmtId="168" fontId="0" fillId="0" borderId="6" xfId="0" quotePrefix="1" applyNumberFormat="1" applyBorder="1" applyAlignment="1" applyProtection="1">
      <alignment horizontal="center" vertical="center"/>
      <protection locked="0"/>
    </xf>
    <xf numFmtId="2" fontId="5" fillId="4" borderId="73" xfId="0" applyFont="1" applyFill="1" applyBorder="1" applyProtection="1"/>
    <xf numFmtId="2" fontId="5" fillId="3" borderId="6" xfId="0" applyFont="1" applyFill="1" applyBorder="1" applyAlignment="1" applyProtection="1">
      <alignment horizontal="center"/>
    </xf>
    <xf numFmtId="2" fontId="6" fillId="0" borderId="12" xfId="0" quotePrefix="1" applyFont="1" applyBorder="1" applyAlignment="1" applyProtection="1">
      <alignment horizontal="left" wrapText="1" indent="2"/>
    </xf>
    <xf numFmtId="2" fontId="27" fillId="0" borderId="9" xfId="0" applyFont="1" applyBorder="1" applyAlignment="1" applyProtection="1">
      <alignment horizontal="center"/>
    </xf>
    <xf numFmtId="0" fontId="3" fillId="0" borderId="0" xfId="3" applyFont="1" applyAlignment="1">
      <alignment horizontal="left" vertical="center"/>
    </xf>
    <xf numFmtId="0" fontId="3" fillId="0" borderId="0" xfId="3" applyFont="1" applyAlignment="1"/>
    <xf numFmtId="2" fontId="27" fillId="0" borderId="8" xfId="0" applyFont="1" applyBorder="1" applyAlignment="1" applyProtection="1">
      <alignment horizontal="center" vertical="center"/>
    </xf>
    <xf numFmtId="2" fontId="27" fillId="0" borderId="9" xfId="0" applyFont="1" applyBorder="1" applyAlignment="1" applyProtection="1">
      <alignment horizontal="center" vertical="center"/>
    </xf>
    <xf numFmtId="2" fontId="16" fillId="0" borderId="0" xfId="0" applyFont="1" applyAlignment="1" applyProtection="1">
      <alignment horizontal="left" vertical="top"/>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6" fillId="4" borderId="11" xfId="0" applyFont="1" applyFill="1" applyBorder="1" applyAlignment="1" applyProtection="1">
      <alignment horizontal="left"/>
    </xf>
    <xf numFmtId="2" fontId="6" fillId="4" borderId="10" xfId="0" applyFont="1" applyFill="1" applyBorder="1" applyAlignment="1" applyProtection="1">
      <alignment horizontal="left"/>
    </xf>
    <xf numFmtId="2" fontId="5" fillId="0" borderId="4" xfId="0" applyFont="1" applyBorder="1" applyAlignment="1" applyProtection="1">
      <alignment horizontal="center"/>
    </xf>
    <xf numFmtId="4" fontId="17" fillId="0" borderId="8" xfId="0" applyNumberFormat="1" applyFont="1" applyFill="1" applyBorder="1" applyAlignment="1" applyProtection="1">
      <alignment horizontal="center" vertical="center"/>
      <protection locked="0"/>
    </xf>
    <xf numFmtId="2" fontId="6" fillId="0" borderId="14" xfId="0" applyFont="1" applyBorder="1"/>
    <xf numFmtId="1" fontId="5" fillId="4" borderId="37" xfId="0" applyNumberFormat="1" applyFont="1" applyFill="1" applyBorder="1" applyAlignment="1">
      <alignment horizontal="center" vertical="center"/>
    </xf>
    <xf numFmtId="1" fontId="5" fillId="4" borderId="58" xfId="0" applyNumberFormat="1" applyFont="1" applyFill="1" applyBorder="1" applyAlignment="1">
      <alignment horizontal="center" vertical="center"/>
    </xf>
    <xf numFmtId="165" fontId="5" fillId="4" borderId="58" xfId="0" applyNumberFormat="1" applyFont="1" applyFill="1" applyBorder="1" applyAlignment="1">
      <alignment horizontal="center" vertical="center"/>
    </xf>
    <xf numFmtId="1" fontId="5" fillId="4" borderId="38" xfId="0" applyNumberFormat="1" applyFont="1" applyFill="1" applyBorder="1" applyAlignment="1">
      <alignment horizontal="left" vertical="center"/>
    </xf>
    <xf numFmtId="2" fontId="6" fillId="0" borderId="31" xfId="0" applyFont="1" applyBorder="1"/>
    <xf numFmtId="1" fontId="0" fillId="0" borderId="32" xfId="0" applyNumberFormat="1" applyBorder="1" applyAlignment="1">
      <alignment horizontal="center" vertical="center"/>
    </xf>
    <xf numFmtId="165" fontId="0" fillId="0" borderId="32" xfId="0" applyNumberFormat="1" applyBorder="1" applyAlignment="1">
      <alignment horizontal="center" vertical="center"/>
    </xf>
    <xf numFmtId="1" fontId="6" fillId="0" borderId="32" xfId="0" applyNumberFormat="1" applyFont="1" applyBorder="1" applyAlignment="1">
      <alignment horizontal="center" vertical="center"/>
    </xf>
    <xf numFmtId="1" fontId="6" fillId="0" borderId="33" xfId="0" applyNumberFormat="1" applyFont="1" applyBorder="1" applyAlignment="1">
      <alignment horizontal="left" vertical="center"/>
    </xf>
    <xf numFmtId="2" fontId="6" fillId="0" borderId="22" xfId="0" applyFont="1" applyBorder="1"/>
    <xf numFmtId="1" fontId="6" fillId="0" borderId="7" xfId="0" applyNumberFormat="1" applyFont="1" applyBorder="1" applyAlignment="1">
      <alignment horizontal="center" vertical="center"/>
    </xf>
    <xf numFmtId="1" fontId="0" fillId="0" borderId="7" xfId="0" applyNumberFormat="1" applyBorder="1" applyAlignment="1">
      <alignment horizontal="center" vertical="center"/>
    </xf>
    <xf numFmtId="165" fontId="0" fillId="0" borderId="7" xfId="0" applyNumberFormat="1" applyBorder="1" applyAlignment="1">
      <alignment horizontal="center" vertical="center"/>
    </xf>
    <xf numFmtId="1" fontId="6" fillId="0" borderId="9" xfId="0" applyNumberFormat="1" applyFont="1" applyBorder="1" applyAlignment="1">
      <alignment horizontal="left" vertical="center"/>
    </xf>
    <xf numFmtId="2" fontId="0" fillId="0" borderId="7" xfId="0" applyBorder="1"/>
    <xf numFmtId="2" fontId="6" fillId="0" borderId="7" xfId="0" applyFont="1" applyBorder="1" applyAlignment="1">
      <alignment horizontal="center"/>
    </xf>
    <xf numFmtId="2" fontId="6" fillId="0" borderId="9" xfId="0" applyFont="1" applyBorder="1" applyAlignment="1">
      <alignment horizontal="center"/>
    </xf>
    <xf numFmtId="2" fontId="6" fillId="0" borderId="9" xfId="0" applyFont="1" applyBorder="1"/>
    <xf numFmtId="2" fontId="6" fillId="0" borderId="12" xfId="0" applyFont="1" applyFill="1" applyBorder="1"/>
    <xf numFmtId="2" fontId="6" fillId="0" borderId="8" xfId="0" applyFont="1" applyFill="1" applyBorder="1"/>
    <xf numFmtId="2" fontId="6" fillId="0" borderId="8" xfId="0" applyFont="1" applyFill="1" applyBorder="1" applyAlignment="1"/>
    <xf numFmtId="2" fontId="0" fillId="0" borderId="8" xfId="0" applyBorder="1"/>
    <xf numFmtId="2" fontId="6" fillId="0" borderId="22" xfId="0" applyFont="1" applyFill="1" applyBorder="1"/>
    <xf numFmtId="2" fontId="0" fillId="0" borderId="7" xfId="0" applyBorder="1" applyAlignment="1">
      <alignment horizontal="center"/>
    </xf>
    <xf numFmtId="2" fontId="6" fillId="0" borderId="16" xfId="0" applyFont="1" applyBorder="1" applyAlignment="1">
      <alignment horizontal="center"/>
    </xf>
    <xf numFmtId="2" fontId="6" fillId="0" borderId="18" xfId="0" applyFont="1" applyBorder="1"/>
    <xf numFmtId="2" fontId="5" fillId="4" borderId="37" xfId="0" applyFont="1" applyFill="1" applyBorder="1"/>
    <xf numFmtId="2" fontId="5" fillId="4" borderId="58" xfId="0" applyFont="1" applyFill="1" applyBorder="1" applyAlignment="1">
      <alignment horizontal="center"/>
    </xf>
    <xf numFmtId="2" fontId="5" fillId="4" borderId="38" xfId="0" applyFont="1" applyFill="1" applyBorder="1"/>
    <xf numFmtId="2" fontId="5" fillId="4" borderId="14" xfId="0" applyFont="1" applyFill="1" applyBorder="1"/>
    <xf numFmtId="2" fontId="5" fillId="4" borderId="16" xfId="0" applyFont="1" applyFill="1" applyBorder="1"/>
    <xf numFmtId="2" fontId="5" fillId="4" borderId="16" xfId="0" applyFont="1" applyFill="1" applyBorder="1" applyAlignment="1">
      <alignment horizontal="center"/>
    </xf>
    <xf numFmtId="2" fontId="5" fillId="4" borderId="18" xfId="0" applyFont="1" applyFill="1" applyBorder="1"/>
    <xf numFmtId="2" fontId="5" fillId="4" borderId="18" xfId="0" applyFont="1" applyFill="1" applyBorder="1" applyAlignment="1">
      <alignment horizontal="center"/>
    </xf>
    <xf numFmtId="168" fontId="6" fillId="0" borderId="16" xfId="0" quotePrefix="1" applyNumberFormat="1" applyFont="1" applyBorder="1" applyAlignment="1">
      <alignment horizontal="center" vertical="center"/>
    </xf>
    <xf numFmtId="2" fontId="6" fillId="0" borderId="16" xfId="0" applyFont="1" applyBorder="1" applyAlignment="1">
      <alignment vertical="center" wrapText="1"/>
    </xf>
    <xf numFmtId="2" fontId="6" fillId="0" borderId="16" xfId="0" applyFont="1" applyBorder="1" applyAlignment="1">
      <alignment horizontal="center" vertical="center"/>
    </xf>
    <xf numFmtId="2" fontId="0" fillId="0" borderId="16" xfId="0" applyBorder="1" applyAlignment="1">
      <alignment horizontal="center" vertical="center"/>
    </xf>
    <xf numFmtId="164" fontId="7" fillId="4" borderId="37" xfId="0" applyNumberFormat="1" applyFont="1" applyFill="1" applyBorder="1" applyAlignment="1">
      <alignment horizontal="center"/>
    </xf>
    <xf numFmtId="168" fontId="7" fillId="4" borderId="58" xfId="0" applyNumberFormat="1" applyFont="1" applyFill="1" applyBorder="1" applyAlignment="1">
      <alignment horizontal="center"/>
    </xf>
    <xf numFmtId="2" fontId="7" fillId="4" borderId="58" xfId="0" applyFont="1" applyFill="1" applyBorder="1" applyAlignment="1">
      <alignment horizontal="center"/>
    </xf>
    <xf numFmtId="2" fontId="7" fillId="4" borderId="38" xfId="0" applyFont="1" applyFill="1" applyBorder="1" applyAlignment="1">
      <alignment horizontal="center"/>
    </xf>
    <xf numFmtId="164" fontId="0" fillId="0" borderId="14" xfId="0" applyNumberFormat="1" applyBorder="1" applyAlignment="1">
      <alignment horizontal="center" vertical="center"/>
    </xf>
    <xf numFmtId="2" fontId="18" fillId="0" borderId="18" xfId="1" applyBorder="1" applyAlignment="1">
      <alignment vertical="center"/>
    </xf>
    <xf numFmtId="164" fontId="6" fillId="0" borderId="12" xfId="0" applyNumberFormat="1" applyFont="1" applyBorder="1" applyAlignment="1" applyProtection="1">
      <alignment horizontal="center" vertical="center"/>
      <protection locked="0"/>
    </xf>
    <xf numFmtId="2" fontId="18" fillId="0" borderId="8" xfId="1" applyBorder="1" applyAlignment="1">
      <alignment vertical="center"/>
    </xf>
    <xf numFmtId="164" fontId="0" fillId="0" borderId="12" xfId="0" applyNumberFormat="1" applyBorder="1" applyAlignment="1" applyProtection="1">
      <alignment horizontal="center" vertical="center"/>
      <protection locked="0"/>
    </xf>
    <xf numFmtId="2" fontId="0" fillId="0" borderId="8" xfId="0" applyBorder="1" applyAlignment="1" applyProtection="1">
      <alignment vertical="center"/>
      <protection locked="0"/>
    </xf>
    <xf numFmtId="164" fontId="0" fillId="0" borderId="2" xfId="0" applyNumberFormat="1" applyBorder="1" applyAlignment="1">
      <alignment horizontal="center"/>
    </xf>
    <xf numFmtId="168" fontId="0" fillId="0" borderId="1" xfId="0" applyNumberFormat="1" applyBorder="1" applyAlignment="1">
      <alignment horizontal="center"/>
    </xf>
    <xf numFmtId="2" fontId="0" fillId="0" borderId="1" xfId="0" applyBorder="1"/>
    <xf numFmtId="2" fontId="0" fillId="0" borderId="1" xfId="0" applyBorder="1" applyAlignment="1">
      <alignment horizontal="center"/>
    </xf>
    <xf numFmtId="2" fontId="0" fillId="0" borderId="28" xfId="0" applyBorder="1"/>
    <xf numFmtId="0" fontId="17" fillId="0" borderId="8" xfId="0" applyNumberFormat="1" applyFont="1" applyBorder="1" applyProtection="1">
      <protection locked="0"/>
    </xf>
    <xf numFmtId="0" fontId="2" fillId="0" borderId="0" xfId="3" applyFont="1" applyAlignment="1"/>
    <xf numFmtId="2" fontId="18" fillId="0" borderId="8" xfId="1" applyBorder="1" applyAlignment="1" applyProtection="1">
      <alignment vertical="center"/>
      <protection locked="0"/>
    </xf>
    <xf numFmtId="2" fontId="18" fillId="0" borderId="0" xfId="1" applyProtection="1"/>
    <xf numFmtId="2" fontId="0" fillId="4" borderId="6" xfId="0" applyFill="1" applyBorder="1" applyAlignment="1" applyProtection="1">
      <alignment horizontal="left"/>
    </xf>
    <xf numFmtId="2" fontId="5" fillId="3" borderId="6" xfId="0" applyFont="1" applyFill="1" applyBorder="1" applyProtection="1"/>
    <xf numFmtId="2" fontId="6" fillId="0" borderId="0" xfId="0" applyFont="1" applyAlignment="1" applyProtection="1">
      <alignment horizontal="left" vertical="center" wrapText="1"/>
    </xf>
    <xf numFmtId="0" fontId="1" fillId="0" borderId="0" xfId="3" applyFont="1" applyAlignment="1"/>
    <xf numFmtId="2" fontId="5" fillId="0" borderId="0" xfId="0" applyFont="1" applyAlignment="1" applyProtection="1">
      <alignment horizontal="left" vertical="center" wrapText="1"/>
    </xf>
    <xf numFmtId="2" fontId="6" fillId="0" borderId="0" xfId="0" applyFont="1" applyAlignment="1" applyProtection="1">
      <alignment horizontal="left" wrapText="1"/>
    </xf>
    <xf numFmtId="2" fontId="6" fillId="0" borderId="0" xfId="0" applyFont="1" applyAlignment="1" applyProtection="1">
      <alignment horizontal="left" vertical="center" wrapText="1"/>
    </xf>
    <xf numFmtId="2" fontId="18" fillId="0" borderId="0" xfId="1" applyAlignment="1" applyProtection="1">
      <alignment horizontal="left" vertical="center" wrapText="1"/>
    </xf>
    <xf numFmtId="2" fontId="15" fillId="0" borderId="0" xfId="0" applyFont="1" applyAlignment="1" applyProtection="1">
      <alignment horizontal="left" vertical="center" wrapText="1"/>
    </xf>
    <xf numFmtId="2" fontId="30" fillId="0" borderId="0" xfId="0" applyFont="1" applyAlignment="1" applyProtection="1">
      <alignment horizontal="left" vertical="center" wrapText="1"/>
    </xf>
    <xf numFmtId="2" fontId="6" fillId="0" borderId="70" xfId="0" applyFont="1" applyBorder="1" applyAlignment="1" applyProtection="1">
      <alignment horizontal="left" vertical="top" wrapText="1"/>
    </xf>
    <xf numFmtId="2" fontId="6" fillId="0" borderId="43" xfId="0" applyFont="1" applyBorder="1" applyAlignment="1" applyProtection="1">
      <alignment horizontal="left" vertical="top" wrapText="1"/>
    </xf>
    <xf numFmtId="2" fontId="6" fillId="0" borderId="44" xfId="0" applyFont="1" applyBorder="1" applyAlignment="1" applyProtection="1">
      <alignment horizontal="left" vertical="top" wrapText="1"/>
    </xf>
    <xf numFmtId="2" fontId="6" fillId="0" borderId="24" xfId="0" applyFont="1" applyBorder="1" applyAlignment="1" applyProtection="1">
      <alignment horizontal="left" vertical="top" wrapText="1"/>
    </xf>
    <xf numFmtId="2" fontId="6" fillId="0" borderId="62" xfId="0" applyFont="1" applyBorder="1" applyAlignment="1" applyProtection="1">
      <alignment horizontal="left" vertical="top" wrapText="1"/>
    </xf>
    <xf numFmtId="2" fontId="6" fillId="0" borderId="26" xfId="0" applyFont="1" applyBorder="1" applyAlignment="1" applyProtection="1">
      <alignment horizontal="left" vertical="top" wrapText="1"/>
    </xf>
    <xf numFmtId="2" fontId="18" fillId="0" borderId="44" xfId="1" applyBorder="1" applyAlignment="1" applyProtection="1">
      <alignment horizontal="center" vertical="center" wrapText="1"/>
    </xf>
    <xf numFmtId="2" fontId="0" fillId="0" borderId="24" xfId="0" applyBorder="1" applyAlignment="1" applyProtection="1">
      <alignment horizontal="center" vertical="center" wrapText="1"/>
    </xf>
    <xf numFmtId="49" fontId="6" fillId="0" borderId="31" xfId="0" applyNumberFormat="1" applyFont="1" applyBorder="1" applyAlignment="1" applyProtection="1">
      <alignment horizontal="left" vertical="top"/>
    </xf>
    <xf numFmtId="49" fontId="6" fillId="0" borderId="32" xfId="0" applyNumberFormat="1" applyFont="1" applyBorder="1" applyAlignment="1" applyProtection="1">
      <alignment horizontal="left" vertical="top"/>
    </xf>
    <xf numFmtId="49" fontId="6" fillId="0" borderId="12" xfId="0" applyNumberFormat="1" applyFont="1" applyBorder="1" applyAlignment="1" applyProtection="1">
      <alignment horizontal="left" vertical="top"/>
    </xf>
    <xf numFmtId="49" fontId="6" fillId="0" borderId="6" xfId="0" applyNumberFormat="1" applyFont="1" applyBorder="1" applyAlignment="1" applyProtection="1">
      <alignment horizontal="left" vertical="top"/>
    </xf>
    <xf numFmtId="49" fontId="6" fillId="0" borderId="22" xfId="0" applyNumberFormat="1" applyFont="1" applyBorder="1" applyAlignment="1" applyProtection="1">
      <alignment horizontal="left" vertical="top"/>
    </xf>
    <xf numFmtId="49" fontId="6" fillId="0" borderId="7" xfId="0" applyNumberFormat="1" applyFont="1" applyBorder="1" applyAlignment="1" applyProtection="1">
      <alignment horizontal="left" vertical="top"/>
    </xf>
    <xf numFmtId="49" fontId="6" fillId="0" borderId="71" xfId="0" applyNumberFormat="1" applyFont="1" applyBorder="1" applyAlignment="1" applyProtection="1">
      <alignment horizontal="left" vertical="top"/>
    </xf>
    <xf numFmtId="49" fontId="6" fillId="0" borderId="56" xfId="0" applyNumberFormat="1" applyFont="1" applyBorder="1" applyAlignment="1" applyProtection="1">
      <alignment horizontal="left" vertical="top"/>
    </xf>
    <xf numFmtId="2" fontId="0" fillId="0" borderId="72" xfId="0" applyBorder="1" applyAlignment="1" applyProtection="1">
      <alignment horizontal="left" vertical="top"/>
    </xf>
    <xf numFmtId="2" fontId="0" fillId="0" borderId="46" xfId="0" applyBorder="1" applyAlignment="1" applyProtection="1">
      <alignment horizontal="left" vertical="top"/>
    </xf>
    <xf numFmtId="49" fontId="6" fillId="0" borderId="13" xfId="0" applyNumberFormat="1" applyFont="1" applyFill="1" applyBorder="1" applyAlignment="1" applyProtection="1">
      <alignment horizontal="left" vertical="top" wrapText="1"/>
    </xf>
    <xf numFmtId="49" fontId="6" fillId="0" borderId="45" xfId="0" applyNumberFormat="1" applyFont="1" applyFill="1" applyBorder="1" applyAlignment="1" applyProtection="1">
      <alignment horizontal="left" vertical="top" wrapText="1"/>
    </xf>
    <xf numFmtId="2" fontId="0" fillId="0" borderId="25" xfId="0" applyBorder="1" applyAlignment="1" applyProtection="1">
      <alignment horizontal="left" vertical="center"/>
    </xf>
    <xf numFmtId="2" fontId="0" fillId="0" borderId="26" xfId="0" applyBorder="1" applyAlignment="1" applyProtection="1">
      <alignment horizontal="left" vertical="center"/>
    </xf>
    <xf numFmtId="2" fontId="16" fillId="0" borderId="0" xfId="0" applyFont="1" applyAlignment="1" applyProtection="1">
      <alignment horizontal="left" vertical="top"/>
    </xf>
    <xf numFmtId="2" fontId="6" fillId="0" borderId="0" xfId="0" applyFont="1" applyAlignment="1" applyProtection="1">
      <alignment horizontal="left" vertical="top" wrapText="1"/>
    </xf>
    <xf numFmtId="2" fontId="9" fillId="0" borderId="0" xfId="0" applyFont="1" applyAlignment="1" applyProtection="1">
      <alignment horizontal="left" vertical="top" wrapText="1"/>
    </xf>
    <xf numFmtId="2" fontId="5" fillId="4" borderId="11" xfId="0" applyFont="1" applyFill="1" applyBorder="1" applyAlignment="1" applyProtection="1">
      <alignment horizontal="left"/>
    </xf>
    <xf numFmtId="2" fontId="7" fillId="4" borderId="19" xfId="0" applyFont="1" applyFill="1" applyBorder="1" applyAlignment="1" applyProtection="1">
      <alignment horizontal="left"/>
    </xf>
    <xf numFmtId="2" fontId="7" fillId="4" borderId="10" xfId="0" applyFont="1" applyFill="1" applyBorder="1" applyAlignment="1" applyProtection="1">
      <alignment horizontal="left"/>
    </xf>
    <xf numFmtId="2" fontId="6"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6"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6" fillId="8" borderId="22" xfId="0" applyFont="1" applyFill="1" applyBorder="1" applyAlignment="1" applyProtection="1"/>
    <xf numFmtId="2" fontId="0" fillId="8" borderId="7" xfId="0" applyFill="1" applyBorder="1" applyAlignment="1" applyProtection="1"/>
    <xf numFmtId="2" fontId="0" fillId="8" borderId="9" xfId="0" applyFill="1" applyBorder="1" applyAlignment="1" applyProtection="1"/>
    <xf numFmtId="2" fontId="5" fillId="4" borderId="19" xfId="0" applyFont="1" applyFill="1" applyBorder="1" applyAlignment="1" applyProtection="1">
      <alignment horizontal="left"/>
    </xf>
    <xf numFmtId="2" fontId="5" fillId="4" borderId="10" xfId="0" applyFont="1" applyFill="1" applyBorder="1" applyAlignment="1" applyProtection="1">
      <alignment horizontal="left"/>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22" fillId="0" borderId="0" xfId="0" applyFont="1" applyFill="1" applyAlignment="1" applyProtection="1">
      <alignment horizontal="left" vertical="center" wrapText="1"/>
    </xf>
    <xf numFmtId="2" fontId="6" fillId="0" borderId="13" xfId="0" applyFont="1" applyBorder="1" applyAlignment="1" applyProtection="1"/>
    <xf numFmtId="2" fontId="0" fillId="0" borderId="23" xfId="0" applyBorder="1" applyAlignment="1" applyProtection="1"/>
    <xf numFmtId="2" fontId="0" fillId="0" borderId="24" xfId="0" applyBorder="1" applyAlignment="1" applyProtection="1"/>
    <xf numFmtId="2" fontId="6" fillId="0" borderId="54" xfId="0" applyFont="1" applyFill="1" applyBorder="1" applyAlignment="1" applyProtection="1">
      <alignment horizontal="left" vertical="center" wrapText="1"/>
    </xf>
    <xf numFmtId="2" fontId="0" fillId="0" borderId="43" xfId="0" applyFill="1" applyBorder="1" applyAlignment="1" applyProtection="1">
      <alignment horizontal="left" vertical="center" wrapText="1"/>
    </xf>
    <xf numFmtId="2" fontId="6" fillId="0" borderId="55" xfId="0" applyFont="1" applyFill="1" applyBorder="1" applyAlignment="1" applyProtection="1">
      <alignment horizontal="left" vertical="center" wrapText="1"/>
    </xf>
    <xf numFmtId="2" fontId="0" fillId="0" borderId="24" xfId="0" applyFill="1" applyBorder="1" applyAlignment="1" applyProtection="1">
      <alignment horizontal="left" vertical="center" wrapText="1"/>
    </xf>
    <xf numFmtId="2" fontId="6" fillId="0" borderId="24" xfId="0" applyFont="1" applyFill="1" applyBorder="1" applyAlignment="1" applyProtection="1">
      <alignment horizontal="left" vertical="center" wrapText="1"/>
    </xf>
    <xf numFmtId="2" fontId="7" fillId="4" borderId="11" xfId="0" applyFont="1" applyFill="1" applyBorder="1" applyAlignment="1" applyProtection="1">
      <alignment horizontal="left"/>
    </xf>
    <xf numFmtId="2" fontId="5" fillId="4" borderId="37" xfId="0" applyFont="1" applyFill="1" applyBorder="1" applyAlignment="1" applyProtection="1">
      <alignment horizontal="left"/>
    </xf>
    <xf numFmtId="2" fontId="5" fillId="4" borderId="38" xfId="0" applyFont="1" applyFill="1" applyBorder="1" applyAlignment="1" applyProtection="1">
      <alignment horizontal="left"/>
    </xf>
    <xf numFmtId="2" fontId="5" fillId="4" borderId="11" xfId="2" applyFont="1" applyFill="1" applyBorder="1" applyAlignment="1" applyProtection="1">
      <alignment horizontal="left"/>
    </xf>
    <xf numFmtId="2" fontId="5" fillId="4" borderId="10" xfId="2" applyFont="1" applyFill="1" applyBorder="1" applyAlignment="1" applyProtection="1">
      <alignment horizontal="left"/>
    </xf>
    <xf numFmtId="2" fontId="6" fillId="4" borderId="11" xfId="0" applyFont="1" applyFill="1" applyBorder="1" applyAlignment="1" applyProtection="1">
      <alignment horizontal="left" vertical="center" wrapText="1"/>
    </xf>
    <xf numFmtId="2" fontId="6" fillId="4" borderId="10" xfId="0" applyFont="1" applyFill="1" applyBorder="1" applyAlignment="1" applyProtection="1">
      <alignment horizontal="left" vertical="center" wrapText="1"/>
    </xf>
    <xf numFmtId="2" fontId="5" fillId="5" borderId="11" xfId="0" applyFont="1" applyFill="1" applyBorder="1" applyAlignment="1" applyProtection="1">
      <alignment horizontal="center"/>
    </xf>
    <xf numFmtId="2" fontId="5" fillId="5" borderId="19" xfId="0" applyFont="1" applyFill="1" applyBorder="1" applyAlignment="1" applyProtection="1">
      <alignment horizontal="center"/>
    </xf>
    <xf numFmtId="2" fontId="5" fillId="5" borderId="10" xfId="0" applyFont="1" applyFill="1" applyBorder="1" applyAlignment="1" applyProtection="1">
      <alignment horizontal="center"/>
    </xf>
    <xf numFmtId="2" fontId="10" fillId="2" borderId="2" xfId="0" applyFont="1" applyFill="1" applyBorder="1" applyAlignment="1" applyProtection="1">
      <alignment horizontal="center" vertical="center"/>
    </xf>
    <xf numFmtId="2" fontId="10" fillId="2" borderId="1" xfId="0" applyFont="1" applyFill="1" applyBorder="1" applyAlignment="1" applyProtection="1">
      <alignment horizontal="center" vertical="center"/>
    </xf>
    <xf numFmtId="2" fontId="10" fillId="2" borderId="28" xfId="0" applyFont="1" applyFill="1" applyBorder="1" applyAlignment="1" applyProtection="1">
      <alignment horizontal="center" vertical="center"/>
    </xf>
    <xf numFmtId="2" fontId="5" fillId="0" borderId="66" xfId="0" applyFont="1" applyBorder="1" applyAlignment="1" applyProtection="1">
      <alignment horizontal="center" vertical="center"/>
    </xf>
    <xf numFmtId="2" fontId="5" fillId="0" borderId="67" xfId="0" applyFont="1" applyBorder="1" applyAlignment="1" applyProtection="1">
      <alignment horizontal="center" vertical="center"/>
    </xf>
    <xf numFmtId="2" fontId="5" fillId="0" borderId="68" xfId="0" applyFont="1" applyBorder="1" applyAlignment="1" applyProtection="1">
      <alignment horizontal="center" vertical="center"/>
    </xf>
    <xf numFmtId="2" fontId="5" fillId="0" borderId="30" xfId="0" applyFont="1" applyBorder="1" applyAlignment="1" applyProtection="1">
      <alignment horizontal="center" wrapText="1"/>
    </xf>
    <xf numFmtId="2" fontId="5" fillId="0" borderId="4" xfId="0" applyFont="1" applyBorder="1" applyAlignment="1" applyProtection="1">
      <alignment horizontal="center" wrapText="1"/>
    </xf>
    <xf numFmtId="2" fontId="5" fillId="0" borderId="30" xfId="0" applyFont="1" applyBorder="1" applyAlignment="1" applyProtection="1">
      <alignment horizontal="center"/>
    </xf>
    <xf numFmtId="2" fontId="5" fillId="0" borderId="4" xfId="0" applyFont="1" applyBorder="1" applyAlignment="1" applyProtection="1">
      <alignment horizontal="center"/>
    </xf>
    <xf numFmtId="2" fontId="6" fillId="0" borderId="40" xfId="0" applyFont="1" applyBorder="1" applyAlignment="1" applyProtection="1">
      <alignment horizontal="center"/>
    </xf>
    <xf numFmtId="2" fontId="6" fillId="0" borderId="5" xfId="0" applyFont="1" applyBorder="1" applyAlignment="1" applyProtection="1">
      <alignment horizontal="center"/>
    </xf>
    <xf numFmtId="2" fontId="0" fillId="0" borderId="40" xfId="0" applyBorder="1" applyAlignment="1" applyProtection="1">
      <alignment horizontal="center"/>
    </xf>
    <xf numFmtId="2" fontId="0" fillId="0" borderId="5" xfId="0" applyBorder="1" applyAlignment="1" applyProtection="1">
      <alignment horizontal="center"/>
    </xf>
    <xf numFmtId="2" fontId="5" fillId="0" borderId="0" xfId="0" applyFont="1" applyAlignment="1" applyProtection="1">
      <alignment horizontal="center" wrapText="1"/>
    </xf>
    <xf numFmtId="2" fontId="5" fillId="0" borderId="0" xfId="0" applyFont="1" applyAlignment="1" applyProtection="1">
      <alignment horizontal="center" vertical="center" wrapText="1"/>
    </xf>
    <xf numFmtId="2" fontId="28" fillId="0" borderId="2" xfId="2" applyFont="1" applyBorder="1" applyAlignment="1" applyProtection="1">
      <alignment horizontal="justify" vertical="top" wrapText="1"/>
    </xf>
    <xf numFmtId="2" fontId="28" fillId="0" borderId="1" xfId="2" applyFont="1" applyBorder="1" applyAlignment="1" applyProtection="1">
      <alignment horizontal="justify" vertical="top" wrapText="1"/>
    </xf>
    <xf numFmtId="2" fontId="28" fillId="0" borderId="28" xfId="2" applyFont="1" applyBorder="1" applyAlignment="1" applyProtection="1">
      <alignment horizontal="justify" vertical="top" wrapText="1"/>
    </xf>
    <xf numFmtId="2" fontId="29" fillId="7" borderId="11" xfId="2" applyFont="1" applyFill="1" applyBorder="1" applyAlignment="1" applyProtection="1">
      <alignment horizontal="center" vertical="top" wrapText="1"/>
    </xf>
    <xf numFmtId="2" fontId="29" fillId="7" borderId="19" xfId="2" applyFont="1" applyFill="1" applyBorder="1" applyAlignment="1" applyProtection="1">
      <alignment horizontal="center" vertical="top" wrapText="1"/>
    </xf>
    <xf numFmtId="2" fontId="29" fillId="7" borderId="10" xfId="2" applyFont="1" applyFill="1" applyBorder="1" applyAlignment="1" applyProtection="1">
      <alignment horizontal="center" vertical="top" wrapText="1"/>
    </xf>
    <xf numFmtId="2" fontId="5" fillId="0" borderId="13" xfId="0" applyFont="1" applyBorder="1" applyAlignment="1" applyProtection="1">
      <alignment horizontal="center" vertical="center"/>
    </xf>
    <xf numFmtId="2" fontId="5" fillId="0" borderId="23" xfId="0" applyFont="1" applyBorder="1" applyAlignment="1" applyProtection="1">
      <alignment horizontal="center" vertical="center"/>
    </xf>
    <xf numFmtId="2" fontId="5" fillId="0" borderId="24" xfId="0" applyFont="1" applyBorder="1" applyAlignment="1" applyProtection="1">
      <alignment horizontal="center" vertical="center"/>
    </xf>
    <xf numFmtId="2" fontId="28" fillId="6" borderId="11" xfId="2" applyFont="1" applyFill="1" applyBorder="1" applyAlignment="1" applyProtection="1">
      <alignment horizontal="center" vertical="center"/>
    </xf>
    <xf numFmtId="2" fontId="28" fillId="6" borderId="19" xfId="2" applyFont="1" applyFill="1" applyBorder="1" applyAlignment="1" applyProtection="1">
      <alignment horizontal="center" vertical="center"/>
    </xf>
    <xf numFmtId="2" fontId="28" fillId="6" borderId="10" xfId="2" applyFont="1" applyFill="1" applyBorder="1" applyAlignment="1" applyProtection="1">
      <alignment horizontal="center" vertical="center"/>
    </xf>
    <xf numFmtId="2" fontId="16" fillId="0" borderId="0" xfId="0" applyFont="1" applyAlignment="1">
      <alignment horizontal="left" vertical="top"/>
    </xf>
    <xf numFmtId="2" fontId="15" fillId="0" borderId="0" xfId="0" applyFont="1" applyAlignment="1">
      <alignment horizontal="left"/>
    </xf>
    <xf numFmtId="2" fontId="5" fillId="5" borderId="11" xfId="0" applyFont="1" applyFill="1" applyBorder="1" applyAlignment="1">
      <alignment horizontal="left"/>
    </xf>
    <xf numFmtId="2" fontId="5" fillId="5" borderId="19" xfId="0" applyFont="1" applyFill="1" applyBorder="1" applyAlignment="1">
      <alignment horizontal="left"/>
    </xf>
    <xf numFmtId="2" fontId="5" fillId="5" borderId="10" xfId="0" applyFont="1" applyFill="1" applyBorder="1" applyAlignment="1">
      <alignment horizontal="left"/>
    </xf>
    <xf numFmtId="0" fontId="23" fillId="4" borderId="6" xfId="3" applyFont="1" applyFill="1" applyBorder="1" applyAlignment="1">
      <alignment horizontal="center"/>
    </xf>
  </cellXfs>
  <cellStyles count="9">
    <cellStyle name="Hyperlink" xfId="1" builtinId="8"/>
    <cellStyle name="Hyperlink 2" xfId="4"/>
    <cellStyle name="Normal" xfId="0" builtinId="0"/>
    <cellStyle name="Normal 2" xfId="2"/>
    <cellStyle name="Normal 2 2" xfId="5"/>
    <cellStyle name="Normal 2 3" xfId="6"/>
    <cellStyle name="Normal 3" xfId="3"/>
    <cellStyle name="Normal 4" xfId="7"/>
    <cellStyle name="Percent 2" xfId="8"/>
  </cellStyles>
  <dxfs count="13">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6600"/>
      <color rgb="FF0000FF"/>
      <color rgb="FFCC33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shepherd.lorinda@epa.gov" TargetMode="External"/><Relationship Id="rId21" Type="http://schemas.openxmlformats.org/officeDocument/2006/relationships/hyperlink" Target="mailto:smith.claudia@epa.gov" TargetMode="External"/><Relationship Id="rId34" Type="http://schemas.openxmlformats.org/officeDocument/2006/relationships/hyperlink" Target="mailto:oquendo.ana@epa.gov" TargetMode="External"/><Relationship Id="rId42" Type="http://schemas.openxmlformats.org/officeDocument/2006/relationships/hyperlink" Target="mailto:shepherd.lorinda@epa.gov" TargetMode="External"/><Relationship Id="rId47" Type="http://schemas.openxmlformats.org/officeDocument/2006/relationships/hyperlink" Target="mailto:Gutierrez.roberto@epa.gov" TargetMode="External"/><Relationship Id="rId50" Type="http://schemas.openxmlformats.org/officeDocument/2006/relationships/hyperlink" Target="mailto:glass.geoffrey@epa.gov" TargetMode="External"/><Relationship Id="rId55" Type="http://schemas.openxmlformats.org/officeDocument/2006/relationships/hyperlink" Target="mailto:todd.bill@epa.gov" TargetMode="External"/><Relationship Id="rId63" Type="http://schemas.openxmlformats.org/officeDocument/2006/relationships/hyperlink" Target="mailto:webber.robert@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gupta.kaushal@epa.gov" TargetMode="External"/><Relationship Id="rId41" Type="http://schemas.openxmlformats.org/officeDocument/2006/relationships/hyperlink" Target="mailto:shepherd.lorinda@epa.gov" TargetMode="External"/><Relationship Id="rId54" Type="http://schemas.openxmlformats.org/officeDocument/2006/relationships/hyperlink" Target="mailto:todd.bill@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oquendo.ana@epa.gov" TargetMode="External"/><Relationship Id="rId37" Type="http://schemas.openxmlformats.org/officeDocument/2006/relationships/hyperlink" Target="mailto:oquendo.ana@epa.gov" TargetMode="External"/><Relationship Id="rId40" Type="http://schemas.openxmlformats.org/officeDocument/2006/relationships/hyperlink" Target="mailto:shepherd.lorinda@epa.gov" TargetMode="External"/><Relationship Id="rId45" Type="http://schemas.openxmlformats.org/officeDocument/2006/relationships/hyperlink" Target="mailto:shepherd.lorinda@epa.gov" TargetMode="External"/><Relationship Id="rId53" Type="http://schemas.openxmlformats.org/officeDocument/2006/relationships/hyperlink" Target="mailto:Gutierrez.roberto@epa.gov" TargetMode="External"/><Relationship Id="rId58" Type="http://schemas.openxmlformats.org/officeDocument/2006/relationships/hyperlink" Target="mailto:braganza.bonnie@epa.gov" TargetMode="External"/><Relationship Id="rId66" Type="http://schemas.openxmlformats.org/officeDocument/2006/relationships/printerSettings" Target="../printerSettings/printerSettings11.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gupta.kaushal@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utierrez.roberto@epa.gov" TargetMode="External"/><Relationship Id="rId60" Type="http://schemas.openxmlformats.org/officeDocument/2006/relationships/hyperlink" Target="mailto:braganza.bonnie@epa.gov" TargetMode="External"/><Relationship Id="rId65" Type="http://schemas.openxmlformats.org/officeDocument/2006/relationships/hyperlink" Target="mailto:webber.robert@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gupta.kaushal@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glass.geoffrey@epa.gov" TargetMode="External"/><Relationship Id="rId56" Type="http://schemas.openxmlformats.org/officeDocument/2006/relationships/hyperlink" Target="mailto:todd.bill@epa.gov" TargetMode="External"/><Relationship Id="rId64" Type="http://schemas.openxmlformats.org/officeDocument/2006/relationships/hyperlink" Target="mailto:webber.robert@epa.gov" TargetMode="External"/><Relationship Id="rId8" Type="http://schemas.openxmlformats.org/officeDocument/2006/relationships/hyperlink" Target="mailto:Dholakia.umesh@epa.gov" TargetMode="External"/><Relationship Id="rId51" Type="http://schemas.openxmlformats.org/officeDocument/2006/relationships/hyperlink" Target="mailto:Gutierrez.roberto@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oquendo.ana@epa.gov" TargetMode="External"/><Relationship Id="rId38" Type="http://schemas.openxmlformats.org/officeDocument/2006/relationships/hyperlink" Target="mailto:oquendo.ana@epa.gov" TargetMode="External"/><Relationship Id="rId46" Type="http://schemas.openxmlformats.org/officeDocument/2006/relationships/hyperlink" Target="mailto:glass.geoffrey@epa.gov" TargetMode="External"/><Relationship Id="rId59" Type="http://schemas.openxmlformats.org/officeDocument/2006/relationships/hyperlink" Target="mailto:braganza.bonnie@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8" Type="http://schemas.openxmlformats.org/officeDocument/2006/relationships/hyperlink" Target="mailto:jonathan_dorn@abtassoc.com" TargetMode="External"/><Relationship Id="rId3" Type="http://schemas.openxmlformats.org/officeDocument/2006/relationships/hyperlink" Target="mailto:jonathan_dorn@abtassoc.com" TargetMode="External"/><Relationship Id="rId7"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6" Type="http://schemas.openxmlformats.org/officeDocument/2006/relationships/hyperlink" Target="mailto:jonathan_dorn@abtassoc.com" TargetMode="External"/><Relationship Id="rId11" Type="http://schemas.openxmlformats.org/officeDocument/2006/relationships/printerSettings" Target="../printerSettings/printerSettings9.bin"/><Relationship Id="rId5" Type="http://schemas.openxmlformats.org/officeDocument/2006/relationships/hyperlink" Target="mailto:jonathan_dorn@abtassoc.com" TargetMode="External"/><Relationship Id="rId10" Type="http://schemas.openxmlformats.org/officeDocument/2006/relationships/hyperlink" Target="mailto:jonathan_dorn@abtassoc.com" TargetMode="External"/><Relationship Id="rId4" Type="http://schemas.openxmlformats.org/officeDocument/2006/relationships/hyperlink" Target="mailto:jonathan_dorn@abtassoc.com" TargetMode="External"/><Relationship Id="rId9"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43" customWidth="1"/>
    <col min="2" max="2" width="5.88671875" style="217" customWidth="1"/>
    <col min="3" max="3" width="120.88671875" style="17" customWidth="1"/>
    <col min="4" max="16384" width="9.109375" style="43"/>
  </cols>
  <sheetData>
    <row r="1" spans="2:6" ht="17.399999999999999" x14ac:dyDescent="0.25">
      <c r="B1" s="305" t="s">
        <v>387</v>
      </c>
      <c r="C1" s="305"/>
    </row>
    <row r="2" spans="2:6" ht="15.6" x14ac:dyDescent="0.25">
      <c r="B2" s="306" t="s">
        <v>388</v>
      </c>
      <c r="C2" s="306"/>
    </row>
    <row r="3" spans="2:6" x14ac:dyDescent="0.25">
      <c r="B3" s="211"/>
      <c r="C3" s="43"/>
    </row>
    <row r="4" spans="2:6" x14ac:dyDescent="0.25">
      <c r="B4" s="301" t="s">
        <v>389</v>
      </c>
      <c r="C4" s="301"/>
    </row>
    <row r="5" spans="2:6" ht="75" customHeight="1" x14ac:dyDescent="0.25">
      <c r="B5" s="303" t="s">
        <v>443</v>
      </c>
      <c r="C5" s="303"/>
      <c r="F5" s="296"/>
    </row>
    <row r="6" spans="2:6" ht="18" customHeight="1" x14ac:dyDescent="0.25">
      <c r="B6" s="304" t="s">
        <v>445</v>
      </c>
      <c r="C6" s="304"/>
      <c r="F6" s="296"/>
    </row>
    <row r="7" spans="2:6" ht="15" customHeight="1" x14ac:dyDescent="0.25">
      <c r="B7" s="212"/>
      <c r="C7" s="43"/>
    </row>
    <row r="8" spans="2:6" x14ac:dyDescent="0.25">
      <c r="B8" s="301" t="s">
        <v>390</v>
      </c>
      <c r="C8" s="301"/>
    </row>
    <row r="9" spans="2:6" ht="97.5" customHeight="1" x14ac:dyDescent="0.25">
      <c r="B9" s="303" t="s">
        <v>440</v>
      </c>
      <c r="C9" s="303"/>
    </row>
    <row r="10" spans="2:6" ht="15" customHeight="1" x14ac:dyDescent="0.25">
      <c r="B10" s="212"/>
      <c r="C10" s="43"/>
    </row>
    <row r="11" spans="2:6" x14ac:dyDescent="0.25">
      <c r="B11" s="301" t="s">
        <v>397</v>
      </c>
      <c r="C11" s="301"/>
    </row>
    <row r="12" spans="2:6" ht="84" customHeight="1" x14ac:dyDescent="0.25">
      <c r="B12" s="303" t="s">
        <v>444</v>
      </c>
      <c r="C12" s="303"/>
    </row>
    <row r="13" spans="2:6" ht="15" customHeight="1" x14ac:dyDescent="0.25">
      <c r="B13" s="212"/>
      <c r="C13" s="43"/>
    </row>
    <row r="14" spans="2:6" x14ac:dyDescent="0.25">
      <c r="B14" s="301" t="s">
        <v>391</v>
      </c>
      <c r="C14" s="301"/>
    </row>
    <row r="15" spans="2:6" ht="18.75" customHeight="1" x14ac:dyDescent="0.25">
      <c r="B15" s="303" t="s">
        <v>447</v>
      </c>
      <c r="C15" s="303"/>
    </row>
    <row r="16" spans="2:6" ht="15.75" customHeight="1" x14ac:dyDescent="0.25">
      <c r="B16" s="213" t="s">
        <v>398</v>
      </c>
      <c r="C16" s="216" t="s">
        <v>441</v>
      </c>
    </row>
    <row r="17" spans="2:3" ht="27.75" customHeight="1" x14ac:dyDescent="0.25">
      <c r="B17" s="213" t="s">
        <v>399</v>
      </c>
      <c r="C17" s="216" t="s">
        <v>476</v>
      </c>
    </row>
    <row r="18" spans="2:3" ht="9" customHeight="1" x14ac:dyDescent="0.25">
      <c r="B18" s="299"/>
      <c r="C18" s="43"/>
    </row>
    <row r="19" spans="2:3" x14ac:dyDescent="0.25">
      <c r="B19" s="301" t="s">
        <v>392</v>
      </c>
      <c r="C19" s="301"/>
    </row>
    <row r="20" spans="2:3" ht="18" customHeight="1" x14ac:dyDescent="0.25">
      <c r="B20" s="303" t="s">
        <v>393</v>
      </c>
      <c r="C20" s="303"/>
    </row>
    <row r="21" spans="2:3" x14ac:dyDescent="0.25">
      <c r="B21" s="213" t="s">
        <v>398</v>
      </c>
      <c r="C21" s="214" t="s">
        <v>436</v>
      </c>
    </row>
    <row r="22" spans="2:3" x14ac:dyDescent="0.25">
      <c r="B22" s="213" t="s">
        <v>399</v>
      </c>
      <c r="C22" s="214" t="s">
        <v>437</v>
      </c>
    </row>
    <row r="23" spans="2:3" x14ac:dyDescent="0.25">
      <c r="B23" s="213" t="s">
        <v>400</v>
      </c>
      <c r="C23" s="214" t="s">
        <v>438</v>
      </c>
    </row>
    <row r="24" spans="2:3" x14ac:dyDescent="0.25">
      <c r="B24" s="43"/>
      <c r="C24" s="299"/>
    </row>
    <row r="25" spans="2:3" x14ac:dyDescent="0.25">
      <c r="B25" s="301" t="s">
        <v>394</v>
      </c>
      <c r="C25" s="301"/>
    </row>
    <row r="26" spans="2:3" ht="51" customHeight="1" x14ac:dyDescent="0.25">
      <c r="B26" s="302" t="s">
        <v>457</v>
      </c>
      <c r="C26" s="302"/>
    </row>
    <row r="27" spans="2:3" ht="24" customHeight="1" x14ac:dyDescent="0.25">
      <c r="B27" s="304" t="s">
        <v>456</v>
      </c>
      <c r="C27" s="303"/>
    </row>
    <row r="28" spans="2:3" x14ac:dyDescent="0.25">
      <c r="B28" s="215"/>
      <c r="C28" s="43"/>
    </row>
    <row r="29" spans="2:3" x14ac:dyDescent="0.25">
      <c r="B29" s="301" t="s">
        <v>395</v>
      </c>
      <c r="C29" s="301"/>
    </row>
    <row r="30" spans="2:3" ht="53.25" customHeight="1" x14ac:dyDescent="0.25">
      <c r="B30" s="303" t="s">
        <v>442</v>
      </c>
      <c r="C30" s="303"/>
    </row>
    <row r="31" spans="2:3" x14ac:dyDescent="0.25">
      <c r="B31" s="212"/>
      <c r="C31" s="43"/>
    </row>
    <row r="32" spans="2:3" x14ac:dyDescent="0.25">
      <c r="B32" s="301" t="s">
        <v>396</v>
      </c>
      <c r="C32" s="301"/>
    </row>
    <row r="33" spans="2:3" x14ac:dyDescent="0.25">
      <c r="B33" s="213" t="s">
        <v>398</v>
      </c>
      <c r="C33" s="216" t="s">
        <v>446</v>
      </c>
    </row>
    <row r="34" spans="2:3" x14ac:dyDescent="0.25">
      <c r="B34" s="213" t="s">
        <v>399</v>
      </c>
      <c r="C34" s="216" t="s">
        <v>410</v>
      </c>
    </row>
    <row r="35" spans="2:3" ht="26.4" x14ac:dyDescent="0.25">
      <c r="B35" s="213" t="s">
        <v>400</v>
      </c>
      <c r="C35" s="216" t="s">
        <v>477</v>
      </c>
    </row>
    <row r="36" spans="2:3" ht="26.4" x14ac:dyDescent="0.25">
      <c r="B36" s="213" t="s">
        <v>401</v>
      </c>
      <c r="C36" s="216" t="s">
        <v>475</v>
      </c>
    </row>
    <row r="37" spans="2:3" x14ac:dyDescent="0.25">
      <c r="B37" s="213" t="s">
        <v>402</v>
      </c>
      <c r="C37" s="216" t="s">
        <v>403</v>
      </c>
    </row>
  </sheetData>
  <sheetProtection password="C969" sheet="1" objects="1" scenarios="1"/>
  <mergeCells count="19">
    <mergeCell ref="B20:C20"/>
    <mergeCell ref="B1:C1"/>
    <mergeCell ref="B2:C2"/>
    <mergeCell ref="B4:C4"/>
    <mergeCell ref="B5:C5"/>
    <mergeCell ref="B8:C8"/>
    <mergeCell ref="B9:C9"/>
    <mergeCell ref="B11:C11"/>
    <mergeCell ref="B12:C12"/>
    <mergeCell ref="B14:C14"/>
    <mergeCell ref="B19:C19"/>
    <mergeCell ref="B15:C15"/>
    <mergeCell ref="B6:C6"/>
    <mergeCell ref="B25:C25"/>
    <mergeCell ref="B26:C26"/>
    <mergeCell ref="B29:C29"/>
    <mergeCell ref="B30:C30"/>
    <mergeCell ref="B32:C32"/>
    <mergeCell ref="B27:C27"/>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workbookViewId="0"/>
  </sheetViews>
  <sheetFormatPr defaultRowHeight="13.2" x14ac:dyDescent="0.25"/>
  <cols>
    <col min="1" max="1" width="42.44140625" customWidth="1"/>
    <col min="2" max="3" width="20.6640625" style="7" customWidth="1"/>
    <col min="4" max="4" width="85.88671875" customWidth="1"/>
  </cols>
  <sheetData>
    <row r="1" spans="1:4" ht="17.399999999999999" x14ac:dyDescent="0.3">
      <c r="A1" s="1" t="s">
        <v>49</v>
      </c>
      <c r="B1" s="51"/>
      <c r="C1" s="51"/>
    </row>
    <row r="2" spans="1:4" ht="12" customHeight="1" thickBot="1" x14ac:dyDescent="0.3">
      <c r="A2" s="2"/>
      <c r="B2" s="49"/>
      <c r="C2" s="49"/>
    </row>
    <row r="3" spans="1:4" ht="12" customHeight="1" thickBot="1" x14ac:dyDescent="0.3">
      <c r="A3" s="266" t="s">
        <v>50</v>
      </c>
      <c r="B3" s="267" t="s">
        <v>55</v>
      </c>
      <c r="C3" s="267" t="s">
        <v>105</v>
      </c>
      <c r="D3" s="268" t="s">
        <v>37</v>
      </c>
    </row>
    <row r="4" spans="1:4" x14ac:dyDescent="0.25">
      <c r="A4" s="239" t="s">
        <v>373</v>
      </c>
      <c r="B4" s="264">
        <f>IF(Inputs!$C$45&gt;8.34*0.8,Inputs!$C$45,8.34*0.8)</f>
        <v>6.6720000000000006</v>
      </c>
      <c r="C4" s="264" t="s">
        <v>107</v>
      </c>
      <c r="D4" s="265" t="s">
        <v>112</v>
      </c>
    </row>
    <row r="5" spans="1:4" x14ac:dyDescent="0.25">
      <c r="A5" s="12" t="s">
        <v>374</v>
      </c>
      <c r="B5" s="11">
        <v>100</v>
      </c>
      <c r="C5" s="11" t="s">
        <v>106</v>
      </c>
      <c r="D5" s="69" t="s">
        <v>108</v>
      </c>
    </row>
    <row r="6" spans="1:4" x14ac:dyDescent="0.25">
      <c r="A6" s="12" t="s">
        <v>372</v>
      </c>
      <c r="B6" s="11">
        <v>0.5</v>
      </c>
      <c r="C6" s="11" t="s">
        <v>106</v>
      </c>
      <c r="D6" s="69" t="s">
        <v>382</v>
      </c>
    </row>
    <row r="7" spans="1:4" x14ac:dyDescent="0.25">
      <c r="A7" s="258" t="s">
        <v>371</v>
      </c>
      <c r="B7" s="72">
        <f>IF('Controls and Restrictions'!$C$9="No",8760,8760-'Controls and Restrictions'!$C$10)</f>
        <v>8760</v>
      </c>
      <c r="C7" s="11" t="s">
        <v>109</v>
      </c>
      <c r="D7" s="259" t="s">
        <v>378</v>
      </c>
    </row>
    <row r="8" spans="1:4" x14ac:dyDescent="0.25">
      <c r="A8" s="258" t="s">
        <v>370</v>
      </c>
      <c r="B8" s="73">
        <f>24*365</f>
        <v>8760</v>
      </c>
      <c r="C8" s="11" t="s">
        <v>109</v>
      </c>
      <c r="D8" s="259" t="s">
        <v>110</v>
      </c>
    </row>
    <row r="9" spans="1:4" ht="12" customHeight="1" x14ac:dyDescent="0.25">
      <c r="A9" s="258" t="s">
        <v>369</v>
      </c>
      <c r="B9" s="153">
        <v>0.2</v>
      </c>
      <c r="C9" s="153" t="s">
        <v>342</v>
      </c>
      <c r="D9" s="260" t="s">
        <v>343</v>
      </c>
    </row>
    <row r="10" spans="1:4" ht="12" customHeight="1" x14ac:dyDescent="0.25">
      <c r="A10" s="258" t="s">
        <v>368</v>
      </c>
      <c r="B10" s="153">
        <v>48</v>
      </c>
      <c r="C10" s="153" t="s">
        <v>342</v>
      </c>
      <c r="D10" s="69" t="s">
        <v>384</v>
      </c>
    </row>
    <row r="11" spans="1:4" x14ac:dyDescent="0.25">
      <c r="A11" s="258" t="s">
        <v>366</v>
      </c>
      <c r="B11" s="154">
        <v>0.2</v>
      </c>
      <c r="C11" s="153" t="s">
        <v>342</v>
      </c>
      <c r="D11" s="261" t="s">
        <v>336</v>
      </c>
    </row>
    <row r="12" spans="1:4" x14ac:dyDescent="0.25">
      <c r="A12" s="258" t="s">
        <v>367</v>
      </c>
      <c r="B12" s="154">
        <v>48</v>
      </c>
      <c r="C12" s="153" t="s">
        <v>342</v>
      </c>
      <c r="D12" s="69" t="s">
        <v>384</v>
      </c>
    </row>
    <row r="13" spans="1:4" x14ac:dyDescent="0.25">
      <c r="A13" s="12" t="s">
        <v>12</v>
      </c>
      <c r="B13" s="11" t="s">
        <v>56</v>
      </c>
      <c r="C13" s="11"/>
      <c r="D13" s="69" t="s">
        <v>57</v>
      </c>
    </row>
    <row r="14" spans="1:4" x14ac:dyDescent="0.25">
      <c r="A14" s="258" t="s">
        <v>380</v>
      </c>
      <c r="B14" s="204">
        <f>98*0.9</f>
        <v>88.2</v>
      </c>
      <c r="C14" s="11" t="s">
        <v>106</v>
      </c>
      <c r="D14" s="69" t="s">
        <v>460</v>
      </c>
    </row>
    <row r="15" spans="1:4" ht="13.8" thickBot="1" x14ac:dyDescent="0.3">
      <c r="A15" s="262" t="s">
        <v>381</v>
      </c>
      <c r="B15" s="263">
        <f>98*0.9</f>
        <v>88.2</v>
      </c>
      <c r="C15" s="255" t="s">
        <v>106</v>
      </c>
      <c r="D15" s="257" t="s">
        <v>459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95" bestFit="1" customWidth="1"/>
    <col min="2" max="2" width="17.88671875" style="94" bestFit="1" customWidth="1"/>
    <col min="3" max="3" width="11" style="94" bestFit="1" customWidth="1"/>
    <col min="4" max="4" width="19.44140625" style="95" bestFit="1" customWidth="1"/>
    <col min="5" max="5" width="14.33203125" style="95" bestFit="1" customWidth="1"/>
    <col min="6" max="6" width="26" style="95" bestFit="1" customWidth="1"/>
    <col min="7" max="7" width="18.6640625" style="95" bestFit="1" customWidth="1"/>
    <col min="8" max="8" width="14.33203125" style="95" bestFit="1" customWidth="1"/>
    <col min="9" max="10" width="26" style="95" bestFit="1" customWidth="1"/>
    <col min="11" max="11" width="18.6640625" style="95" bestFit="1" customWidth="1"/>
    <col min="12" max="12" width="13.44140625" style="95" bestFit="1" customWidth="1"/>
    <col min="13" max="13" width="5.5546875" style="94" bestFit="1" customWidth="1"/>
    <col min="14" max="14" width="12.109375" style="94" bestFit="1" customWidth="1"/>
    <col min="15" max="16384" width="9.109375" style="95"/>
  </cols>
  <sheetData>
    <row r="1" spans="1:14" ht="17.399999999999999" x14ac:dyDescent="0.3">
      <c r="A1" s="93" t="s">
        <v>116</v>
      </c>
    </row>
    <row r="3" spans="1:14" x14ac:dyDescent="0.3">
      <c r="D3" s="400" t="s">
        <v>117</v>
      </c>
      <c r="E3" s="400"/>
      <c r="F3" s="400"/>
      <c r="G3" s="400"/>
      <c r="H3" s="400"/>
      <c r="I3" s="400"/>
      <c r="J3" s="400"/>
      <c r="K3" s="400"/>
      <c r="L3" s="400"/>
      <c r="M3" s="400"/>
      <c r="N3" s="400"/>
    </row>
    <row r="4" spans="1:14" x14ac:dyDescent="0.3">
      <c r="A4" s="96" t="s">
        <v>118</v>
      </c>
      <c r="B4" s="97" t="s">
        <v>119</v>
      </c>
      <c r="C4" s="97" t="s">
        <v>120</v>
      </c>
      <c r="D4" s="96" t="s">
        <v>6</v>
      </c>
      <c r="E4" s="96" t="s">
        <v>8</v>
      </c>
      <c r="F4" s="96" t="s">
        <v>9</v>
      </c>
      <c r="G4" s="96" t="s">
        <v>121</v>
      </c>
      <c r="H4" s="96" t="s">
        <v>122</v>
      </c>
      <c r="I4" s="96" t="s">
        <v>123</v>
      </c>
      <c r="J4" s="96" t="s">
        <v>124</v>
      </c>
      <c r="K4" s="96" t="s">
        <v>125</v>
      </c>
      <c r="L4" s="96" t="s">
        <v>126</v>
      </c>
      <c r="M4" s="97" t="s">
        <v>118</v>
      </c>
      <c r="N4" s="97" t="s">
        <v>127</v>
      </c>
    </row>
    <row r="5" spans="1:14" x14ac:dyDescent="0.3">
      <c r="A5" s="95" t="s">
        <v>128</v>
      </c>
      <c r="B5" s="94" t="s">
        <v>129</v>
      </c>
      <c r="C5" s="94">
        <v>4</v>
      </c>
      <c r="D5" s="98" t="s">
        <v>130</v>
      </c>
      <c r="E5" s="99" t="s">
        <v>131</v>
      </c>
      <c r="F5" s="100" t="s">
        <v>132</v>
      </c>
      <c r="G5" s="99" t="s">
        <v>133</v>
      </c>
      <c r="H5" s="99" t="s">
        <v>134</v>
      </c>
      <c r="I5" s="101" t="s">
        <v>135</v>
      </c>
      <c r="J5" s="99" t="s">
        <v>136</v>
      </c>
      <c r="K5" s="98" t="s">
        <v>137</v>
      </c>
      <c r="L5" s="99" t="s">
        <v>138</v>
      </c>
      <c r="M5" s="102" t="s">
        <v>139</v>
      </c>
      <c r="N5" s="102" t="s">
        <v>140</v>
      </c>
    </row>
    <row r="6" spans="1:14" x14ac:dyDescent="0.3">
      <c r="A6" s="95" t="s">
        <v>141</v>
      </c>
      <c r="B6" s="94" t="s">
        <v>142</v>
      </c>
      <c r="C6" s="94">
        <v>10</v>
      </c>
      <c r="D6" s="98" t="s">
        <v>143</v>
      </c>
      <c r="E6" s="98" t="s">
        <v>144</v>
      </c>
      <c r="F6" s="101" t="s">
        <v>145</v>
      </c>
      <c r="G6" s="98" t="s">
        <v>146</v>
      </c>
      <c r="H6" s="99"/>
      <c r="I6" s="99"/>
      <c r="J6" s="99" t="s">
        <v>147</v>
      </c>
      <c r="K6" s="99" t="s">
        <v>148</v>
      </c>
      <c r="L6" s="99" t="s">
        <v>149</v>
      </c>
      <c r="M6" s="102" t="s">
        <v>150</v>
      </c>
      <c r="N6" s="102">
        <v>98101</v>
      </c>
    </row>
    <row r="7" spans="1:14" x14ac:dyDescent="0.3">
      <c r="A7" s="95" t="s">
        <v>151</v>
      </c>
      <c r="B7" s="94" t="s">
        <v>152</v>
      </c>
      <c r="C7" s="94">
        <v>9</v>
      </c>
      <c r="D7" s="98" t="s">
        <v>153</v>
      </c>
      <c r="E7" s="99" t="s">
        <v>154</v>
      </c>
      <c r="F7" s="100" t="s">
        <v>155</v>
      </c>
      <c r="G7" s="98" t="s">
        <v>156</v>
      </c>
      <c r="H7" s="99" t="s">
        <v>157</v>
      </c>
      <c r="I7" s="100" t="s">
        <v>158</v>
      </c>
      <c r="J7" s="99" t="s">
        <v>159</v>
      </c>
      <c r="K7" s="99" t="s">
        <v>160</v>
      </c>
      <c r="L7" s="99" t="s">
        <v>161</v>
      </c>
      <c r="M7" s="102" t="s">
        <v>162</v>
      </c>
      <c r="N7" s="102">
        <v>94105</v>
      </c>
    </row>
    <row r="8" spans="1:14" x14ac:dyDescent="0.3">
      <c r="A8" s="95" t="s">
        <v>163</v>
      </c>
      <c r="B8" s="94" t="s">
        <v>164</v>
      </c>
      <c r="C8" s="94">
        <v>6</v>
      </c>
      <c r="D8" s="98" t="s">
        <v>165</v>
      </c>
      <c r="E8" s="99" t="s">
        <v>166</v>
      </c>
      <c r="F8" s="103" t="s">
        <v>167</v>
      </c>
      <c r="G8" s="99" t="s">
        <v>146</v>
      </c>
      <c r="H8" s="99"/>
      <c r="I8" s="99"/>
      <c r="J8" s="98" t="s">
        <v>168</v>
      </c>
      <c r="K8" s="98" t="s">
        <v>169</v>
      </c>
      <c r="L8" s="99" t="s">
        <v>170</v>
      </c>
      <c r="M8" s="102" t="s">
        <v>171</v>
      </c>
      <c r="N8" s="102" t="s">
        <v>172</v>
      </c>
    </row>
    <row r="9" spans="1:14" x14ac:dyDescent="0.3">
      <c r="A9" s="95" t="s">
        <v>173</v>
      </c>
      <c r="B9" s="94" t="s">
        <v>162</v>
      </c>
      <c r="C9" s="94">
        <v>9</v>
      </c>
      <c r="D9" s="98" t="s">
        <v>153</v>
      </c>
      <c r="E9" s="99" t="s">
        <v>154</v>
      </c>
      <c r="F9" s="100" t="s">
        <v>155</v>
      </c>
      <c r="G9" s="98" t="s">
        <v>156</v>
      </c>
      <c r="H9" s="99" t="s">
        <v>157</v>
      </c>
      <c r="I9" s="100" t="s">
        <v>158</v>
      </c>
      <c r="J9" s="99" t="s">
        <v>159</v>
      </c>
      <c r="K9" s="99" t="s">
        <v>160</v>
      </c>
      <c r="L9" s="99" t="s">
        <v>161</v>
      </c>
      <c r="M9" s="102" t="s">
        <v>162</v>
      </c>
      <c r="N9" s="102">
        <v>94105</v>
      </c>
    </row>
    <row r="10" spans="1:14" x14ac:dyDescent="0.3">
      <c r="A10" s="95" t="s">
        <v>174</v>
      </c>
      <c r="B10" s="94" t="s">
        <v>63</v>
      </c>
      <c r="C10" s="94">
        <v>8</v>
      </c>
      <c r="D10" s="98" t="s">
        <v>175</v>
      </c>
      <c r="E10" s="99" t="s">
        <v>176</v>
      </c>
      <c r="F10" s="100" t="s">
        <v>177</v>
      </c>
      <c r="G10" s="98" t="s">
        <v>178</v>
      </c>
      <c r="H10" s="99" t="s">
        <v>179</v>
      </c>
      <c r="I10" s="101" t="s">
        <v>180</v>
      </c>
      <c r="J10" s="98" t="s">
        <v>181</v>
      </c>
      <c r="K10" s="98" t="s">
        <v>182</v>
      </c>
      <c r="L10" s="99" t="s">
        <v>183</v>
      </c>
      <c r="M10" s="102" t="s">
        <v>63</v>
      </c>
      <c r="N10" s="102" t="s">
        <v>184</v>
      </c>
    </row>
    <row r="11" spans="1:14" x14ac:dyDescent="0.3">
      <c r="A11" s="95" t="s">
        <v>185</v>
      </c>
      <c r="B11" s="94" t="s">
        <v>186</v>
      </c>
      <c r="C11" s="94">
        <v>1</v>
      </c>
      <c r="D11" s="99" t="s">
        <v>187</v>
      </c>
      <c r="E11" s="99" t="s">
        <v>188</v>
      </c>
      <c r="F11" s="101" t="s">
        <v>189</v>
      </c>
      <c r="G11" s="99" t="s">
        <v>146</v>
      </c>
      <c r="H11" s="99"/>
      <c r="I11" s="99"/>
      <c r="J11" s="98" t="s">
        <v>190</v>
      </c>
      <c r="K11" s="98" t="s">
        <v>191</v>
      </c>
      <c r="L11" s="99" t="s">
        <v>192</v>
      </c>
      <c r="M11" s="102" t="s">
        <v>193</v>
      </c>
      <c r="N11" s="102" t="s">
        <v>194</v>
      </c>
    </row>
    <row r="12" spans="1:14" x14ac:dyDescent="0.3">
      <c r="A12" s="95" t="s">
        <v>195</v>
      </c>
      <c r="B12" s="94" t="s">
        <v>196</v>
      </c>
      <c r="C12" s="94">
        <v>4</v>
      </c>
      <c r="D12" s="98" t="s">
        <v>130</v>
      </c>
      <c r="E12" s="99" t="s">
        <v>131</v>
      </c>
      <c r="F12" s="100" t="s">
        <v>132</v>
      </c>
      <c r="G12" s="99" t="s">
        <v>133</v>
      </c>
      <c r="H12" s="99" t="s">
        <v>134</v>
      </c>
      <c r="I12" s="101" t="s">
        <v>135</v>
      </c>
      <c r="J12" s="99" t="s">
        <v>136</v>
      </c>
      <c r="K12" s="98" t="s">
        <v>137</v>
      </c>
      <c r="L12" s="99" t="s">
        <v>138</v>
      </c>
      <c r="M12" s="102" t="s">
        <v>139</v>
      </c>
      <c r="N12" s="102" t="s">
        <v>140</v>
      </c>
    </row>
    <row r="13" spans="1:14" x14ac:dyDescent="0.3">
      <c r="A13" s="294" t="s">
        <v>431</v>
      </c>
      <c r="B13" s="94" t="s">
        <v>139</v>
      </c>
      <c r="C13" s="94">
        <v>4</v>
      </c>
      <c r="D13" s="98" t="s">
        <v>130</v>
      </c>
      <c r="E13" s="99" t="s">
        <v>131</v>
      </c>
      <c r="F13" s="100" t="s">
        <v>132</v>
      </c>
      <c r="G13" s="99" t="s">
        <v>133</v>
      </c>
      <c r="H13" s="99" t="s">
        <v>134</v>
      </c>
      <c r="I13" s="101" t="s">
        <v>135</v>
      </c>
      <c r="J13" s="99" t="s">
        <v>136</v>
      </c>
      <c r="K13" s="98" t="s">
        <v>137</v>
      </c>
      <c r="L13" s="99" t="s">
        <v>138</v>
      </c>
      <c r="M13" s="102" t="s">
        <v>139</v>
      </c>
      <c r="N13" s="102" t="s">
        <v>140</v>
      </c>
    </row>
    <row r="14" spans="1:14" x14ac:dyDescent="0.3">
      <c r="A14" s="95" t="s">
        <v>197</v>
      </c>
      <c r="B14" s="94" t="s">
        <v>198</v>
      </c>
      <c r="C14" s="94">
        <v>9</v>
      </c>
      <c r="D14" s="98" t="s">
        <v>153</v>
      </c>
      <c r="E14" s="99" t="s">
        <v>154</v>
      </c>
      <c r="F14" s="100" t="s">
        <v>155</v>
      </c>
      <c r="G14" s="98" t="s">
        <v>156</v>
      </c>
      <c r="H14" s="99" t="s">
        <v>157</v>
      </c>
      <c r="I14" s="100" t="s">
        <v>158</v>
      </c>
      <c r="J14" s="99" t="s">
        <v>159</v>
      </c>
      <c r="K14" s="99" t="s">
        <v>160</v>
      </c>
      <c r="L14" s="99" t="s">
        <v>161</v>
      </c>
      <c r="M14" s="102" t="s">
        <v>162</v>
      </c>
      <c r="N14" s="102">
        <v>94105</v>
      </c>
    </row>
    <row r="15" spans="1:14" x14ac:dyDescent="0.3">
      <c r="A15" s="95" t="s">
        <v>199</v>
      </c>
      <c r="B15" s="94" t="s">
        <v>200</v>
      </c>
      <c r="C15" s="94">
        <v>10</v>
      </c>
      <c r="D15" s="98" t="s">
        <v>143</v>
      </c>
      <c r="E15" s="98" t="s">
        <v>144</v>
      </c>
      <c r="F15" s="101" t="s">
        <v>145</v>
      </c>
      <c r="G15" s="98" t="s">
        <v>146</v>
      </c>
      <c r="H15" s="99"/>
      <c r="I15" s="99"/>
      <c r="J15" s="99" t="s">
        <v>147</v>
      </c>
      <c r="K15" s="99" t="s">
        <v>148</v>
      </c>
      <c r="L15" s="99" t="s">
        <v>149</v>
      </c>
      <c r="M15" s="102" t="s">
        <v>150</v>
      </c>
      <c r="N15" s="102">
        <v>98101</v>
      </c>
    </row>
    <row r="16" spans="1:14" x14ac:dyDescent="0.3">
      <c r="A16" s="95" t="s">
        <v>201</v>
      </c>
      <c r="B16" s="94" t="s">
        <v>202</v>
      </c>
      <c r="C16" s="94">
        <v>5</v>
      </c>
      <c r="D16" s="98" t="s">
        <v>203</v>
      </c>
      <c r="E16" s="99" t="s">
        <v>204</v>
      </c>
      <c r="F16" s="100" t="s">
        <v>205</v>
      </c>
      <c r="G16" s="99" t="s">
        <v>146</v>
      </c>
      <c r="H16" s="99"/>
      <c r="I16" s="99"/>
      <c r="J16" s="98" t="s">
        <v>206</v>
      </c>
      <c r="K16" s="98" t="s">
        <v>207</v>
      </c>
      <c r="L16" s="99" t="s">
        <v>208</v>
      </c>
      <c r="M16" s="102" t="s">
        <v>202</v>
      </c>
      <c r="N16" s="102" t="s">
        <v>209</v>
      </c>
    </row>
    <row r="17" spans="1:14" x14ac:dyDescent="0.3">
      <c r="A17" s="95" t="s">
        <v>210</v>
      </c>
      <c r="B17" s="94" t="s">
        <v>211</v>
      </c>
      <c r="C17" s="94">
        <v>5</v>
      </c>
      <c r="D17" s="98" t="s">
        <v>203</v>
      </c>
      <c r="E17" s="99" t="s">
        <v>204</v>
      </c>
      <c r="F17" s="100" t="s">
        <v>205</v>
      </c>
      <c r="G17" s="99" t="s">
        <v>146</v>
      </c>
      <c r="H17" s="99"/>
      <c r="I17" s="99"/>
      <c r="J17" s="98" t="s">
        <v>206</v>
      </c>
      <c r="K17" s="98" t="s">
        <v>207</v>
      </c>
      <c r="L17" s="99" t="s">
        <v>208</v>
      </c>
      <c r="M17" s="102" t="s">
        <v>202</v>
      </c>
      <c r="N17" s="102" t="s">
        <v>209</v>
      </c>
    </row>
    <row r="18" spans="1:14" x14ac:dyDescent="0.3">
      <c r="A18" s="95" t="s">
        <v>212</v>
      </c>
      <c r="B18" s="94" t="s">
        <v>213</v>
      </c>
      <c r="C18" s="94">
        <v>7</v>
      </c>
      <c r="D18" s="98" t="s">
        <v>214</v>
      </c>
      <c r="E18" s="99" t="s">
        <v>215</v>
      </c>
      <c r="F18" s="100" t="s">
        <v>216</v>
      </c>
      <c r="G18" s="99" t="s">
        <v>146</v>
      </c>
      <c r="H18" s="99"/>
      <c r="I18" s="99"/>
      <c r="J18" s="228" t="s">
        <v>420</v>
      </c>
      <c r="K18" s="228" t="s">
        <v>421</v>
      </c>
      <c r="L18" s="229" t="s">
        <v>422</v>
      </c>
      <c r="M18" s="102" t="s">
        <v>217</v>
      </c>
      <c r="N18" s="102">
        <v>66219</v>
      </c>
    </row>
    <row r="19" spans="1:14" x14ac:dyDescent="0.3">
      <c r="A19" s="95" t="s">
        <v>218</v>
      </c>
      <c r="B19" s="94" t="s">
        <v>219</v>
      </c>
      <c r="C19" s="94">
        <v>7</v>
      </c>
      <c r="D19" s="98" t="s">
        <v>214</v>
      </c>
      <c r="E19" s="99" t="s">
        <v>215</v>
      </c>
      <c r="F19" s="100" t="s">
        <v>216</v>
      </c>
      <c r="G19" s="99" t="s">
        <v>146</v>
      </c>
      <c r="H19" s="99"/>
      <c r="I19" s="99"/>
      <c r="J19" s="228" t="s">
        <v>420</v>
      </c>
      <c r="K19" s="228" t="s">
        <v>421</v>
      </c>
      <c r="L19" s="229" t="s">
        <v>422</v>
      </c>
      <c r="M19" s="102" t="s">
        <v>217</v>
      </c>
      <c r="N19" s="102">
        <v>66219</v>
      </c>
    </row>
    <row r="20" spans="1:14" x14ac:dyDescent="0.3">
      <c r="A20" s="95" t="s">
        <v>220</v>
      </c>
      <c r="B20" s="94" t="s">
        <v>221</v>
      </c>
      <c r="C20" s="94">
        <v>4</v>
      </c>
      <c r="D20" s="98" t="s">
        <v>130</v>
      </c>
      <c r="E20" s="99" t="s">
        <v>131</v>
      </c>
      <c r="F20" s="100" t="s">
        <v>132</v>
      </c>
      <c r="G20" s="99" t="s">
        <v>133</v>
      </c>
      <c r="H20" s="99" t="s">
        <v>134</v>
      </c>
      <c r="I20" s="101" t="s">
        <v>135</v>
      </c>
      <c r="J20" s="99" t="s">
        <v>136</v>
      </c>
      <c r="K20" s="98" t="s">
        <v>137</v>
      </c>
      <c r="L20" s="99" t="s">
        <v>138</v>
      </c>
      <c r="M20" s="102" t="s">
        <v>139</v>
      </c>
      <c r="N20" s="102" t="s">
        <v>140</v>
      </c>
    </row>
    <row r="21" spans="1:14" x14ac:dyDescent="0.3">
      <c r="A21" s="294" t="s">
        <v>432</v>
      </c>
      <c r="B21" s="94" t="s">
        <v>222</v>
      </c>
      <c r="C21" s="94">
        <v>6</v>
      </c>
      <c r="D21" s="98" t="s">
        <v>165</v>
      </c>
      <c r="E21" s="300" t="s">
        <v>166</v>
      </c>
      <c r="F21" s="103" t="s">
        <v>167</v>
      </c>
      <c r="G21" s="99" t="s">
        <v>146</v>
      </c>
      <c r="H21" s="99"/>
      <c r="I21" s="99"/>
      <c r="J21" s="98" t="s">
        <v>168</v>
      </c>
      <c r="K21" s="98" t="s">
        <v>169</v>
      </c>
      <c r="L21" s="99" t="s">
        <v>170</v>
      </c>
      <c r="M21" s="102" t="s">
        <v>171</v>
      </c>
      <c r="N21" s="102" t="s">
        <v>172</v>
      </c>
    </row>
    <row r="22" spans="1:14" x14ac:dyDescent="0.3">
      <c r="A22" s="95" t="s">
        <v>223</v>
      </c>
      <c r="B22" s="94" t="s">
        <v>224</v>
      </c>
      <c r="C22" s="94">
        <v>1</v>
      </c>
      <c r="D22" s="99" t="s">
        <v>187</v>
      </c>
      <c r="E22" s="99" t="s">
        <v>188</v>
      </c>
      <c r="F22" s="101" t="s">
        <v>189</v>
      </c>
      <c r="G22" s="99" t="s">
        <v>146</v>
      </c>
      <c r="H22" s="99"/>
      <c r="I22" s="99"/>
      <c r="J22" s="98" t="s">
        <v>190</v>
      </c>
      <c r="K22" s="98" t="s">
        <v>191</v>
      </c>
      <c r="L22" s="99" t="s">
        <v>192</v>
      </c>
      <c r="M22" s="102" t="s">
        <v>193</v>
      </c>
      <c r="N22" s="102" t="s">
        <v>194</v>
      </c>
    </row>
    <row r="23" spans="1:14" x14ac:dyDescent="0.3">
      <c r="A23" s="95" t="s">
        <v>225</v>
      </c>
      <c r="B23" s="94" t="s">
        <v>193</v>
      </c>
      <c r="C23" s="94">
        <v>1</v>
      </c>
      <c r="D23" s="99" t="s">
        <v>187</v>
      </c>
      <c r="E23" s="99" t="s">
        <v>188</v>
      </c>
      <c r="F23" s="101" t="s">
        <v>189</v>
      </c>
      <c r="G23" s="99" t="s">
        <v>146</v>
      </c>
      <c r="H23" s="99"/>
      <c r="I23" s="99"/>
      <c r="J23" s="98" t="s">
        <v>190</v>
      </c>
      <c r="K23" s="98" t="s">
        <v>191</v>
      </c>
      <c r="L23" s="99" t="s">
        <v>192</v>
      </c>
      <c r="M23" s="102" t="s">
        <v>193</v>
      </c>
      <c r="N23" s="102" t="s">
        <v>194</v>
      </c>
    </row>
    <row r="24" spans="1:14" x14ac:dyDescent="0.3">
      <c r="A24" s="95" t="s">
        <v>226</v>
      </c>
      <c r="B24" s="94" t="s">
        <v>227</v>
      </c>
      <c r="C24" s="94">
        <v>5</v>
      </c>
      <c r="D24" s="98" t="s">
        <v>203</v>
      </c>
      <c r="E24" s="99" t="s">
        <v>204</v>
      </c>
      <c r="F24" s="100" t="s">
        <v>205</v>
      </c>
      <c r="G24" s="99" t="s">
        <v>146</v>
      </c>
      <c r="H24" s="99"/>
      <c r="I24" s="99"/>
      <c r="J24" s="98" t="s">
        <v>206</v>
      </c>
      <c r="K24" s="98" t="s">
        <v>207</v>
      </c>
      <c r="L24" s="99" t="s">
        <v>208</v>
      </c>
      <c r="M24" s="102" t="s">
        <v>202</v>
      </c>
      <c r="N24" s="102" t="s">
        <v>209</v>
      </c>
    </row>
    <row r="25" spans="1:14" x14ac:dyDescent="0.3">
      <c r="A25" s="95" t="s">
        <v>228</v>
      </c>
      <c r="B25" s="94" t="s">
        <v>229</v>
      </c>
      <c r="C25" s="94">
        <v>5</v>
      </c>
      <c r="D25" s="98" t="s">
        <v>203</v>
      </c>
      <c r="E25" s="99" t="s">
        <v>204</v>
      </c>
      <c r="F25" s="100" t="s">
        <v>205</v>
      </c>
      <c r="G25" s="99" t="s">
        <v>146</v>
      </c>
      <c r="H25" s="99"/>
      <c r="I25" s="99"/>
      <c r="J25" s="98" t="s">
        <v>206</v>
      </c>
      <c r="K25" s="98" t="s">
        <v>207</v>
      </c>
      <c r="L25" s="99" t="s">
        <v>208</v>
      </c>
      <c r="M25" s="102" t="s">
        <v>202</v>
      </c>
      <c r="N25" s="102" t="s">
        <v>209</v>
      </c>
    </row>
    <row r="26" spans="1:14" x14ac:dyDescent="0.3">
      <c r="A26" s="95" t="s">
        <v>230</v>
      </c>
      <c r="B26" s="94" t="s">
        <v>231</v>
      </c>
      <c r="C26" s="94">
        <v>4</v>
      </c>
      <c r="D26" s="98" t="s">
        <v>130</v>
      </c>
      <c r="E26" s="99" t="s">
        <v>131</v>
      </c>
      <c r="F26" s="100" t="s">
        <v>132</v>
      </c>
      <c r="G26" s="99" t="s">
        <v>133</v>
      </c>
      <c r="H26" s="99" t="s">
        <v>134</v>
      </c>
      <c r="I26" s="101" t="s">
        <v>135</v>
      </c>
      <c r="J26" s="99" t="s">
        <v>136</v>
      </c>
      <c r="K26" s="98" t="s">
        <v>137</v>
      </c>
      <c r="L26" s="99" t="s">
        <v>138</v>
      </c>
      <c r="M26" s="102" t="s">
        <v>139</v>
      </c>
      <c r="N26" s="102" t="s">
        <v>140</v>
      </c>
    </row>
    <row r="27" spans="1:14" x14ac:dyDescent="0.3">
      <c r="A27" s="95" t="s">
        <v>232</v>
      </c>
      <c r="B27" s="94" t="s">
        <v>233</v>
      </c>
      <c r="C27" s="94">
        <v>7</v>
      </c>
      <c r="D27" s="98" t="s">
        <v>214</v>
      </c>
      <c r="E27" s="99" t="s">
        <v>215</v>
      </c>
      <c r="F27" s="100" t="s">
        <v>216</v>
      </c>
      <c r="G27" s="99" t="s">
        <v>146</v>
      </c>
      <c r="H27" s="99"/>
      <c r="I27" s="99"/>
      <c r="J27" s="228" t="s">
        <v>420</v>
      </c>
      <c r="K27" s="228" t="s">
        <v>421</v>
      </c>
      <c r="L27" s="229" t="s">
        <v>422</v>
      </c>
      <c r="M27" s="102" t="s">
        <v>217</v>
      </c>
      <c r="N27" s="102">
        <v>66219</v>
      </c>
    </row>
    <row r="28" spans="1:14" x14ac:dyDescent="0.3">
      <c r="A28" s="95" t="s">
        <v>234</v>
      </c>
      <c r="B28" s="94" t="s">
        <v>235</v>
      </c>
      <c r="C28" s="94">
        <v>8</v>
      </c>
      <c r="D28" s="98" t="s">
        <v>175</v>
      </c>
      <c r="E28" s="99" t="s">
        <v>176</v>
      </c>
      <c r="F28" s="100" t="s">
        <v>177</v>
      </c>
      <c r="G28" s="98" t="s">
        <v>178</v>
      </c>
      <c r="H28" s="99" t="s">
        <v>179</v>
      </c>
      <c r="I28" s="101" t="s">
        <v>180</v>
      </c>
      <c r="J28" s="98" t="s">
        <v>181</v>
      </c>
      <c r="K28" s="98" t="s">
        <v>182</v>
      </c>
      <c r="L28" s="99" t="s">
        <v>183</v>
      </c>
      <c r="M28" s="102" t="s">
        <v>63</v>
      </c>
      <c r="N28" s="102" t="s">
        <v>184</v>
      </c>
    </row>
    <row r="29" spans="1:14" x14ac:dyDescent="0.3">
      <c r="A29" s="95" t="s">
        <v>236</v>
      </c>
      <c r="B29" s="94" t="s">
        <v>237</v>
      </c>
      <c r="C29" s="94">
        <v>7</v>
      </c>
      <c r="D29" s="98" t="s">
        <v>214</v>
      </c>
      <c r="E29" s="99" t="s">
        <v>215</v>
      </c>
      <c r="F29" s="100" t="s">
        <v>216</v>
      </c>
      <c r="G29" s="99" t="s">
        <v>146</v>
      </c>
      <c r="H29" s="99"/>
      <c r="I29" s="99"/>
      <c r="J29" s="228" t="s">
        <v>420</v>
      </c>
      <c r="K29" s="228" t="s">
        <v>421</v>
      </c>
      <c r="L29" s="229" t="s">
        <v>422</v>
      </c>
      <c r="M29" s="102" t="s">
        <v>217</v>
      </c>
      <c r="N29" s="102">
        <v>66219</v>
      </c>
    </row>
    <row r="30" spans="1:14" x14ac:dyDescent="0.3">
      <c r="A30" s="95" t="s">
        <v>238</v>
      </c>
      <c r="B30" s="94" t="s">
        <v>239</v>
      </c>
      <c r="C30" s="94">
        <v>9</v>
      </c>
      <c r="D30" s="98" t="s">
        <v>153</v>
      </c>
      <c r="E30" s="99" t="s">
        <v>154</v>
      </c>
      <c r="F30" s="100" t="s">
        <v>155</v>
      </c>
      <c r="G30" s="98" t="s">
        <v>156</v>
      </c>
      <c r="H30" s="99" t="s">
        <v>157</v>
      </c>
      <c r="I30" s="100" t="s">
        <v>158</v>
      </c>
      <c r="J30" s="99" t="s">
        <v>159</v>
      </c>
      <c r="K30" s="99" t="s">
        <v>160</v>
      </c>
      <c r="L30" s="99" t="s">
        <v>161</v>
      </c>
      <c r="M30" s="102" t="s">
        <v>162</v>
      </c>
      <c r="N30" s="102">
        <v>94105</v>
      </c>
    </row>
    <row r="31" spans="1:14" x14ac:dyDescent="0.3">
      <c r="A31" s="95" t="s">
        <v>240</v>
      </c>
      <c r="B31" s="94" t="s">
        <v>241</v>
      </c>
      <c r="C31" s="94">
        <v>1</v>
      </c>
      <c r="D31" s="99" t="s">
        <v>187</v>
      </c>
      <c r="E31" s="99" t="s">
        <v>188</v>
      </c>
      <c r="F31" s="101" t="s">
        <v>189</v>
      </c>
      <c r="G31" s="99" t="s">
        <v>146</v>
      </c>
      <c r="H31" s="99"/>
      <c r="I31" s="99"/>
      <c r="J31" s="98" t="s">
        <v>190</v>
      </c>
      <c r="K31" s="98" t="s">
        <v>191</v>
      </c>
      <c r="L31" s="99" t="s">
        <v>192</v>
      </c>
      <c r="M31" s="102" t="s">
        <v>193</v>
      </c>
      <c r="N31" s="102" t="s">
        <v>194</v>
      </c>
    </row>
    <row r="32" spans="1:14" x14ac:dyDescent="0.3">
      <c r="A32" s="95" t="s">
        <v>242</v>
      </c>
      <c r="B32" s="94" t="s">
        <v>243</v>
      </c>
      <c r="C32" s="94">
        <v>2</v>
      </c>
      <c r="D32" s="99" t="s">
        <v>244</v>
      </c>
      <c r="E32" s="99" t="s">
        <v>245</v>
      </c>
      <c r="F32" s="101" t="s">
        <v>246</v>
      </c>
      <c r="G32" s="98" t="s">
        <v>247</v>
      </c>
      <c r="H32" s="99" t="s">
        <v>248</v>
      </c>
      <c r="I32" s="101" t="s">
        <v>249</v>
      </c>
      <c r="J32" s="98" t="s">
        <v>250</v>
      </c>
      <c r="K32" s="98" t="s">
        <v>251</v>
      </c>
      <c r="L32" s="99" t="s">
        <v>252</v>
      </c>
      <c r="M32" s="102" t="s">
        <v>253</v>
      </c>
      <c r="N32" s="102" t="s">
        <v>254</v>
      </c>
    </row>
    <row r="33" spans="1:14" x14ac:dyDescent="0.3">
      <c r="A33" s="95" t="s">
        <v>255</v>
      </c>
      <c r="B33" s="94" t="s">
        <v>256</v>
      </c>
      <c r="C33" s="94">
        <v>6</v>
      </c>
      <c r="D33" s="98" t="s">
        <v>165</v>
      </c>
      <c r="E33" s="300" t="s">
        <v>166</v>
      </c>
      <c r="F33" s="103" t="s">
        <v>167</v>
      </c>
      <c r="G33" s="99" t="s">
        <v>146</v>
      </c>
      <c r="H33" s="99"/>
      <c r="I33" s="99"/>
      <c r="J33" s="98" t="s">
        <v>168</v>
      </c>
      <c r="K33" s="98" t="s">
        <v>169</v>
      </c>
      <c r="L33" s="99" t="s">
        <v>170</v>
      </c>
      <c r="M33" s="102" t="s">
        <v>171</v>
      </c>
      <c r="N33" s="102" t="s">
        <v>172</v>
      </c>
    </row>
    <row r="34" spans="1:14" x14ac:dyDescent="0.3">
      <c r="A34" s="95" t="s">
        <v>252</v>
      </c>
      <c r="B34" s="94" t="s">
        <v>253</v>
      </c>
      <c r="C34" s="94">
        <v>2</v>
      </c>
      <c r="D34" s="99" t="s">
        <v>244</v>
      </c>
      <c r="E34" s="99" t="s">
        <v>245</v>
      </c>
      <c r="F34" s="101" t="s">
        <v>246</v>
      </c>
      <c r="G34" s="98" t="s">
        <v>247</v>
      </c>
      <c r="H34" s="99" t="s">
        <v>248</v>
      </c>
      <c r="I34" s="101" t="s">
        <v>249</v>
      </c>
      <c r="J34" s="98" t="s">
        <v>250</v>
      </c>
      <c r="K34" s="98" t="s">
        <v>251</v>
      </c>
      <c r="L34" s="99" t="s">
        <v>252</v>
      </c>
      <c r="M34" s="102" t="s">
        <v>253</v>
      </c>
      <c r="N34" s="102" t="s">
        <v>254</v>
      </c>
    </row>
    <row r="35" spans="1:14" x14ac:dyDescent="0.3">
      <c r="A35" s="95" t="s">
        <v>257</v>
      </c>
      <c r="B35" s="94" t="s">
        <v>258</v>
      </c>
      <c r="C35" s="94">
        <v>4</v>
      </c>
      <c r="D35" s="98" t="s">
        <v>130</v>
      </c>
      <c r="E35" s="99" t="s">
        <v>131</v>
      </c>
      <c r="F35" s="100" t="s">
        <v>132</v>
      </c>
      <c r="G35" s="99" t="s">
        <v>133</v>
      </c>
      <c r="H35" s="99" t="s">
        <v>134</v>
      </c>
      <c r="I35" s="101" t="s">
        <v>135</v>
      </c>
      <c r="J35" s="99" t="s">
        <v>136</v>
      </c>
      <c r="K35" s="98" t="s">
        <v>137</v>
      </c>
      <c r="L35" s="99" t="s">
        <v>138</v>
      </c>
      <c r="M35" s="102" t="s">
        <v>139</v>
      </c>
      <c r="N35" s="102" t="s">
        <v>140</v>
      </c>
    </row>
    <row r="36" spans="1:14" x14ac:dyDescent="0.3">
      <c r="A36" s="95" t="s">
        <v>259</v>
      </c>
      <c r="B36" s="94" t="s">
        <v>260</v>
      </c>
      <c r="C36" s="94">
        <v>8</v>
      </c>
      <c r="D36" s="98" t="s">
        <v>175</v>
      </c>
      <c r="E36" s="99" t="s">
        <v>176</v>
      </c>
      <c r="F36" s="100" t="s">
        <v>177</v>
      </c>
      <c r="G36" s="98" t="s">
        <v>178</v>
      </c>
      <c r="H36" s="99" t="s">
        <v>179</v>
      </c>
      <c r="I36" s="101" t="s">
        <v>180</v>
      </c>
      <c r="J36" s="98" t="s">
        <v>181</v>
      </c>
      <c r="K36" s="98" t="s">
        <v>182</v>
      </c>
      <c r="L36" s="99" t="s">
        <v>183</v>
      </c>
      <c r="M36" s="102" t="s">
        <v>63</v>
      </c>
      <c r="N36" s="102" t="s">
        <v>184</v>
      </c>
    </row>
    <row r="37" spans="1:14" x14ac:dyDescent="0.3">
      <c r="A37" s="95" t="s">
        <v>261</v>
      </c>
      <c r="B37" s="94" t="s">
        <v>262</v>
      </c>
      <c r="C37" s="94">
        <v>5</v>
      </c>
      <c r="D37" s="98" t="s">
        <v>203</v>
      </c>
      <c r="E37" s="99" t="s">
        <v>204</v>
      </c>
      <c r="F37" s="100" t="s">
        <v>205</v>
      </c>
      <c r="G37" s="99" t="s">
        <v>146</v>
      </c>
      <c r="H37" s="99"/>
      <c r="I37" s="99"/>
      <c r="J37" s="98" t="s">
        <v>206</v>
      </c>
      <c r="K37" s="98" t="s">
        <v>207</v>
      </c>
      <c r="L37" s="99" t="s">
        <v>208</v>
      </c>
      <c r="M37" s="102" t="s">
        <v>202</v>
      </c>
      <c r="N37" s="102" t="s">
        <v>209</v>
      </c>
    </row>
    <row r="38" spans="1:14" x14ac:dyDescent="0.3">
      <c r="A38" s="95" t="s">
        <v>263</v>
      </c>
      <c r="B38" s="94" t="s">
        <v>264</v>
      </c>
      <c r="C38" s="94">
        <v>6</v>
      </c>
      <c r="D38" s="98" t="s">
        <v>165</v>
      </c>
      <c r="E38" s="300" t="s">
        <v>166</v>
      </c>
      <c r="F38" s="103" t="s">
        <v>167</v>
      </c>
      <c r="G38" s="99" t="s">
        <v>146</v>
      </c>
      <c r="H38" s="99"/>
      <c r="I38" s="99"/>
      <c r="J38" s="98" t="s">
        <v>168</v>
      </c>
      <c r="K38" s="98" t="s">
        <v>169</v>
      </c>
      <c r="L38" s="99" t="s">
        <v>170</v>
      </c>
      <c r="M38" s="102" t="s">
        <v>171</v>
      </c>
      <c r="N38" s="102" t="s">
        <v>172</v>
      </c>
    </row>
    <row r="39" spans="1:14" x14ac:dyDescent="0.3">
      <c r="A39" s="95" t="s">
        <v>265</v>
      </c>
      <c r="B39" s="94" t="s">
        <v>266</v>
      </c>
      <c r="C39" s="94">
        <v>10</v>
      </c>
      <c r="D39" s="98" t="s">
        <v>143</v>
      </c>
      <c r="E39" s="98" t="s">
        <v>144</v>
      </c>
      <c r="F39" s="101" t="s">
        <v>145</v>
      </c>
      <c r="G39" s="98" t="s">
        <v>146</v>
      </c>
      <c r="H39" s="99"/>
      <c r="I39" s="99"/>
      <c r="J39" s="99" t="s">
        <v>147</v>
      </c>
      <c r="K39" s="99" t="s">
        <v>148</v>
      </c>
      <c r="L39" s="99" t="s">
        <v>149</v>
      </c>
      <c r="M39" s="102" t="s">
        <v>150</v>
      </c>
      <c r="N39" s="102">
        <v>98101</v>
      </c>
    </row>
    <row r="40" spans="1:14" x14ac:dyDescent="0.3">
      <c r="A40" s="95" t="s">
        <v>267</v>
      </c>
      <c r="B40" s="94" t="s">
        <v>268</v>
      </c>
      <c r="C40" s="94">
        <v>1</v>
      </c>
      <c r="D40" s="99" t="s">
        <v>187</v>
      </c>
      <c r="E40" s="99" t="s">
        <v>188</v>
      </c>
      <c r="F40" s="101" t="s">
        <v>189</v>
      </c>
      <c r="G40" s="99" t="s">
        <v>146</v>
      </c>
      <c r="H40" s="99"/>
      <c r="I40" s="99"/>
      <c r="J40" s="98" t="s">
        <v>190</v>
      </c>
      <c r="K40" s="98" t="s">
        <v>191</v>
      </c>
      <c r="L40" s="99" t="s">
        <v>192</v>
      </c>
      <c r="M40" s="102" t="s">
        <v>193</v>
      </c>
      <c r="N40" s="102" t="s">
        <v>194</v>
      </c>
    </row>
    <row r="41" spans="1:14" x14ac:dyDescent="0.3">
      <c r="A41" s="95" t="s">
        <v>269</v>
      </c>
      <c r="B41" s="94" t="s">
        <v>270</v>
      </c>
      <c r="C41" s="94">
        <v>4</v>
      </c>
      <c r="D41" s="98" t="s">
        <v>130</v>
      </c>
      <c r="E41" s="99" t="s">
        <v>131</v>
      </c>
      <c r="F41" s="100" t="s">
        <v>132</v>
      </c>
      <c r="G41" s="99" t="s">
        <v>133</v>
      </c>
      <c r="H41" s="99" t="s">
        <v>134</v>
      </c>
      <c r="I41" s="101" t="s">
        <v>135</v>
      </c>
      <c r="J41" s="99" t="s">
        <v>136</v>
      </c>
      <c r="K41" s="98" t="s">
        <v>137</v>
      </c>
      <c r="L41" s="99" t="s">
        <v>138</v>
      </c>
      <c r="M41" s="102" t="s">
        <v>139</v>
      </c>
      <c r="N41" s="102" t="s">
        <v>140</v>
      </c>
    </row>
    <row r="42" spans="1:14" x14ac:dyDescent="0.3">
      <c r="A42" s="95" t="s">
        <v>271</v>
      </c>
      <c r="B42" s="94" t="s">
        <v>272</v>
      </c>
      <c r="C42" s="94">
        <v>8</v>
      </c>
      <c r="D42" s="98" t="s">
        <v>175</v>
      </c>
      <c r="E42" s="99" t="s">
        <v>176</v>
      </c>
      <c r="F42" s="100" t="s">
        <v>177</v>
      </c>
      <c r="G42" s="98" t="s">
        <v>178</v>
      </c>
      <c r="H42" s="99" t="s">
        <v>179</v>
      </c>
      <c r="I42" s="101" t="s">
        <v>180</v>
      </c>
      <c r="J42" s="98" t="s">
        <v>181</v>
      </c>
      <c r="K42" s="98" t="s">
        <v>182</v>
      </c>
      <c r="L42" s="99" t="s">
        <v>183</v>
      </c>
      <c r="M42" s="102" t="s">
        <v>63</v>
      </c>
      <c r="N42" s="102" t="s">
        <v>184</v>
      </c>
    </row>
    <row r="43" spans="1:14" x14ac:dyDescent="0.3">
      <c r="A43" s="95" t="s">
        <v>273</v>
      </c>
      <c r="B43" s="94" t="s">
        <v>274</v>
      </c>
      <c r="C43" s="94">
        <v>4</v>
      </c>
      <c r="D43" s="98" t="s">
        <v>130</v>
      </c>
      <c r="E43" s="99" t="s">
        <v>131</v>
      </c>
      <c r="F43" s="100" t="s">
        <v>132</v>
      </c>
      <c r="G43" s="99" t="s">
        <v>133</v>
      </c>
      <c r="H43" s="99" t="s">
        <v>134</v>
      </c>
      <c r="I43" s="101" t="s">
        <v>135</v>
      </c>
      <c r="J43" s="99" t="s">
        <v>136</v>
      </c>
      <c r="K43" s="98" t="s">
        <v>137</v>
      </c>
      <c r="L43" s="99" t="s">
        <v>138</v>
      </c>
      <c r="M43" s="102" t="s">
        <v>139</v>
      </c>
      <c r="N43" s="102" t="s">
        <v>140</v>
      </c>
    </row>
    <row r="44" spans="1:14" x14ac:dyDescent="0.3">
      <c r="A44" s="95" t="s">
        <v>275</v>
      </c>
      <c r="B44" s="94" t="s">
        <v>171</v>
      </c>
      <c r="C44" s="94">
        <v>6</v>
      </c>
      <c r="D44" s="98" t="s">
        <v>165</v>
      </c>
      <c r="E44" s="300" t="s">
        <v>166</v>
      </c>
      <c r="F44" s="103" t="s">
        <v>167</v>
      </c>
      <c r="G44" s="99" t="s">
        <v>146</v>
      </c>
      <c r="H44" s="99"/>
      <c r="I44" s="99"/>
      <c r="J44" s="98" t="s">
        <v>168</v>
      </c>
      <c r="K44" s="98" t="s">
        <v>169</v>
      </c>
      <c r="L44" s="99" t="s">
        <v>170</v>
      </c>
      <c r="M44" s="102" t="s">
        <v>171</v>
      </c>
      <c r="N44" s="102" t="s">
        <v>172</v>
      </c>
    </row>
    <row r="45" spans="1:14" x14ac:dyDescent="0.3">
      <c r="A45" s="95" t="s">
        <v>276</v>
      </c>
      <c r="B45" s="94" t="s">
        <v>277</v>
      </c>
      <c r="C45" s="94">
        <v>8</v>
      </c>
      <c r="D45" s="98" t="s">
        <v>175</v>
      </c>
      <c r="E45" s="99" t="s">
        <v>176</v>
      </c>
      <c r="F45" s="100" t="s">
        <v>177</v>
      </c>
      <c r="G45" s="98" t="s">
        <v>178</v>
      </c>
      <c r="H45" s="99" t="s">
        <v>179</v>
      </c>
      <c r="I45" s="101" t="s">
        <v>180</v>
      </c>
      <c r="J45" s="98" t="s">
        <v>181</v>
      </c>
      <c r="K45" s="98" t="s">
        <v>182</v>
      </c>
      <c r="L45" s="99" t="s">
        <v>183</v>
      </c>
      <c r="M45" s="102" t="s">
        <v>63</v>
      </c>
      <c r="N45" s="102" t="s">
        <v>184</v>
      </c>
    </row>
    <row r="46" spans="1:14" x14ac:dyDescent="0.3">
      <c r="A46" s="95" t="s">
        <v>278</v>
      </c>
      <c r="B46" s="94" t="s">
        <v>279</v>
      </c>
      <c r="C46" s="94">
        <v>1</v>
      </c>
      <c r="D46" s="99" t="s">
        <v>187</v>
      </c>
      <c r="E46" s="99" t="s">
        <v>188</v>
      </c>
      <c r="F46" s="101" t="s">
        <v>189</v>
      </c>
      <c r="G46" s="99" t="s">
        <v>146</v>
      </c>
      <c r="H46" s="99"/>
      <c r="I46" s="99"/>
      <c r="J46" s="98" t="s">
        <v>190</v>
      </c>
      <c r="K46" s="98" t="s">
        <v>191</v>
      </c>
      <c r="L46" s="99" t="s">
        <v>192</v>
      </c>
      <c r="M46" s="102" t="s">
        <v>193</v>
      </c>
      <c r="N46" s="102" t="s">
        <v>194</v>
      </c>
    </row>
    <row r="47" spans="1:14" x14ac:dyDescent="0.3">
      <c r="A47" s="95" t="s">
        <v>280</v>
      </c>
      <c r="B47" s="94" t="s">
        <v>150</v>
      </c>
      <c r="C47" s="94">
        <v>10</v>
      </c>
      <c r="D47" s="98" t="s">
        <v>143</v>
      </c>
      <c r="E47" s="98" t="s">
        <v>144</v>
      </c>
      <c r="F47" s="101" t="s">
        <v>145</v>
      </c>
      <c r="G47" s="98" t="s">
        <v>146</v>
      </c>
      <c r="H47" s="99"/>
      <c r="I47" s="99"/>
      <c r="J47" s="99" t="s">
        <v>147</v>
      </c>
      <c r="K47" s="99" t="s">
        <v>148</v>
      </c>
      <c r="L47" s="99" t="s">
        <v>149</v>
      </c>
      <c r="M47" s="102" t="s">
        <v>150</v>
      </c>
      <c r="N47" s="102">
        <v>98101</v>
      </c>
    </row>
    <row r="48" spans="1:14" x14ac:dyDescent="0.3">
      <c r="A48" s="95" t="s">
        <v>281</v>
      </c>
      <c r="B48" s="94" t="s">
        <v>282</v>
      </c>
      <c r="C48" s="94">
        <v>5</v>
      </c>
      <c r="D48" s="98" t="s">
        <v>203</v>
      </c>
      <c r="E48" s="99" t="s">
        <v>204</v>
      </c>
      <c r="F48" s="100" t="s">
        <v>205</v>
      </c>
      <c r="G48" s="99" t="s">
        <v>146</v>
      </c>
      <c r="H48" s="99"/>
      <c r="I48" s="99"/>
      <c r="J48" s="98" t="s">
        <v>206</v>
      </c>
      <c r="K48" s="98" t="s">
        <v>207</v>
      </c>
      <c r="L48" s="99" t="s">
        <v>208</v>
      </c>
      <c r="M48" s="102" t="s">
        <v>202</v>
      </c>
      <c r="N48" s="102" t="s">
        <v>209</v>
      </c>
    </row>
    <row r="49" spans="1:14" x14ac:dyDescent="0.3">
      <c r="A49" s="95" t="s">
        <v>283</v>
      </c>
      <c r="B49" s="94" t="s">
        <v>284</v>
      </c>
      <c r="C49" s="94">
        <v>8</v>
      </c>
      <c r="D49" s="98" t="s">
        <v>175</v>
      </c>
      <c r="E49" s="99" t="s">
        <v>176</v>
      </c>
      <c r="F49" s="100" t="s">
        <v>177</v>
      </c>
      <c r="G49" s="98" t="s">
        <v>178</v>
      </c>
      <c r="H49" s="99" t="s">
        <v>179</v>
      </c>
      <c r="I49" s="101" t="s">
        <v>180</v>
      </c>
      <c r="J49" s="98" t="s">
        <v>181</v>
      </c>
      <c r="K49" s="98" t="s">
        <v>182</v>
      </c>
      <c r="L49" s="99" t="s">
        <v>183</v>
      </c>
      <c r="M49" s="102" t="s">
        <v>63</v>
      </c>
      <c r="N49" s="102" t="s">
        <v>184</v>
      </c>
    </row>
    <row r="50" spans="1:14" x14ac:dyDescent="0.3">
      <c r="A50" s="95" t="s">
        <v>285</v>
      </c>
      <c r="B50" s="94" t="s">
        <v>286</v>
      </c>
      <c r="C50" s="94">
        <v>3</v>
      </c>
      <c r="D50" s="98" t="s">
        <v>146</v>
      </c>
      <c r="E50" s="99"/>
      <c r="F50" s="99"/>
      <c r="G50" s="99"/>
      <c r="H50" s="99"/>
      <c r="I50" s="99"/>
      <c r="J50" s="99"/>
      <c r="K50" s="99"/>
      <c r="L50" s="99"/>
      <c r="M50" s="102"/>
      <c r="N50" s="102"/>
    </row>
    <row r="51" spans="1:14" x14ac:dyDescent="0.3">
      <c r="A51" s="95" t="s">
        <v>287</v>
      </c>
      <c r="B51" s="94" t="s">
        <v>288</v>
      </c>
      <c r="C51" s="94">
        <v>3</v>
      </c>
      <c r="D51" s="98" t="s">
        <v>146</v>
      </c>
      <c r="E51" s="99"/>
      <c r="F51" s="99"/>
      <c r="G51" s="99"/>
      <c r="H51" s="99"/>
      <c r="I51" s="99"/>
      <c r="J51" s="99"/>
      <c r="K51" s="99"/>
      <c r="L51" s="99"/>
      <c r="M51" s="102"/>
      <c r="N51" s="102"/>
    </row>
    <row r="52" spans="1:14" x14ac:dyDescent="0.3">
      <c r="A52" s="95" t="s">
        <v>289</v>
      </c>
      <c r="B52" s="94" t="s">
        <v>290</v>
      </c>
      <c r="C52" s="94">
        <v>3</v>
      </c>
      <c r="D52" s="98" t="s">
        <v>146</v>
      </c>
      <c r="E52" s="99"/>
      <c r="F52" s="99"/>
      <c r="G52" s="99"/>
      <c r="H52" s="99"/>
      <c r="I52" s="99"/>
      <c r="J52" s="99"/>
      <c r="K52" s="99"/>
      <c r="L52" s="99"/>
      <c r="M52" s="102"/>
      <c r="N52" s="102"/>
    </row>
    <row r="53" spans="1:14" x14ac:dyDescent="0.3">
      <c r="A53" s="95" t="s">
        <v>291</v>
      </c>
      <c r="B53" s="94" t="s">
        <v>292</v>
      </c>
      <c r="C53" s="94">
        <v>3</v>
      </c>
      <c r="D53" s="98" t="s">
        <v>146</v>
      </c>
      <c r="E53" s="99"/>
      <c r="F53" s="99"/>
      <c r="G53" s="99"/>
      <c r="H53" s="99"/>
      <c r="I53" s="99"/>
      <c r="J53" s="99"/>
      <c r="K53" s="99"/>
      <c r="L53" s="99"/>
      <c r="M53" s="102"/>
      <c r="N53" s="102"/>
    </row>
    <row r="54" spans="1:14" x14ac:dyDescent="0.3">
      <c r="A54" s="95" t="s">
        <v>293</v>
      </c>
      <c r="B54" s="94" t="s">
        <v>294</v>
      </c>
      <c r="C54" s="94">
        <v>3</v>
      </c>
      <c r="D54" s="98" t="s">
        <v>146</v>
      </c>
      <c r="E54" s="99"/>
      <c r="F54" s="99"/>
      <c r="G54" s="99"/>
      <c r="H54" s="99"/>
      <c r="I54" s="99"/>
      <c r="J54" s="99"/>
      <c r="K54" s="99"/>
      <c r="L54" s="99"/>
      <c r="M54" s="102"/>
      <c r="N54" s="102"/>
    </row>
    <row r="55" spans="1:14" x14ac:dyDescent="0.3">
      <c r="A55" s="95" t="s">
        <v>295</v>
      </c>
      <c r="B55" s="94" t="s">
        <v>296</v>
      </c>
      <c r="C55" s="94">
        <v>3</v>
      </c>
      <c r="D55" s="98" t="s">
        <v>146</v>
      </c>
      <c r="E55" s="99"/>
      <c r="F55" s="99"/>
      <c r="G55" s="99"/>
      <c r="H55" s="99"/>
      <c r="I55" s="99"/>
      <c r="J55" s="99"/>
      <c r="K55" s="99"/>
      <c r="L55" s="99"/>
      <c r="M55" s="102"/>
      <c r="N55" s="102"/>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7" r:id="rId27" display="mailto:gupta.kaushal@epa.gov"/>
    <hyperlink ref="F24" r:id="rId28" display="mailto:gupta.kaushal@epa.gov"/>
    <hyperlink ref="F25" r:id="rId29" display="mailto:gupta.kaushal@epa.gov"/>
    <hyperlink ref="F37" r:id="rId30" display="mailto:gupta.kaushal@epa.gov"/>
    <hyperlink ref="F48" r:id="rId31" display="mailto:gupta.kaushal@epa.gov"/>
    <hyperlink ref="F12" r:id="rId32" display="mailto:oquendo.ana@epa.gov"/>
    <hyperlink ref="F13" r:id="rId33" display="mailto:oquendo.ana@epa.gov"/>
    <hyperlink ref="F20" r:id="rId34" display="mailto:oquendo.ana@epa.gov"/>
    <hyperlink ref="F26" r:id="rId35" display="mailto:oquendo.ana@epa.gov"/>
    <hyperlink ref="F35" r:id="rId36" display="mailto:oquendo.ana@epa.gov"/>
    <hyperlink ref="F41" r:id="rId37" display="mailto:oquendo.ana@epa.gov"/>
    <hyperlink ref="F43" r:id="rId38" display="mailto:oquendo.ana@epa.gov"/>
    <hyperlink ref="I12" r:id="rId39" display="mailto:shepherd.lorinda@epa.gov"/>
    <hyperlink ref="I13" r:id="rId40" display="mailto:shepherd.lorinda@epa.gov"/>
    <hyperlink ref="I20" r:id="rId41" display="mailto:shepherd.lorinda@epa.gov"/>
    <hyperlink ref="I26" r:id="rId42" display="mailto:shepherd.lorinda@epa.gov"/>
    <hyperlink ref="I35" r:id="rId43" display="mailto:shepherd.lorinda@epa.gov"/>
    <hyperlink ref="I41" r:id="rId44" display="mailto:shepherd.lorinda@epa.gov"/>
    <hyperlink ref="I43" r:id="rId45" display="mailto:shepherd.lorinda@epa.gov"/>
    <hyperlink ref="F7" r:id="rId46" display="mailto:glass.geoffrey@epa.gov"/>
    <hyperlink ref="I7" r:id="rId47" display="mailto:Gutierrez.roberto@epa.gov"/>
    <hyperlink ref="F9" r:id="rId48" display="mailto:glass.geoffrey@epa.gov"/>
    <hyperlink ref="F14" r:id="rId49" display="mailto:glass.geoffrey@epa.gov"/>
    <hyperlink ref="F30" r:id="rId50" display="mailto:glass.geoffrey@epa.gov"/>
    <hyperlink ref="I9" r:id="rId51" display="mailto:Gutierrez.roberto@epa.gov"/>
    <hyperlink ref="I14" r:id="rId52" display="mailto:Gutierrez.roberto@epa.gov"/>
    <hyperlink ref="I30" r:id="rId53" display="mailto:Gutierrez.roberto@epa.gov"/>
    <hyperlink ref="F6" r:id="rId54"/>
    <hyperlink ref="F15" r:id="rId55"/>
    <hyperlink ref="F39" r:id="rId56"/>
    <hyperlink ref="F47" r:id="rId57"/>
    <hyperlink ref="F8" r:id="rId58"/>
    <hyperlink ref="F21" r:id="rId59"/>
    <hyperlink ref="F33" r:id="rId60"/>
    <hyperlink ref="F38" r:id="rId61"/>
    <hyperlink ref="F44" r:id="rId62"/>
    <hyperlink ref="F19" r:id="rId63" display="mailto:webber.robert@epa.gov"/>
    <hyperlink ref="F27" r:id="rId64" display="mailto:webber.robert@epa.gov"/>
    <hyperlink ref="F29" r:id="rId65" display="mailto:webber.robert@epa.gov"/>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7"/>
  <sheetViews>
    <sheetView showGridLines="0" zoomScaleNormal="100" workbookViewId="0"/>
  </sheetViews>
  <sheetFormatPr defaultColWidth="3.33203125" defaultRowHeight="13.2" x14ac:dyDescent="0.25"/>
  <cols>
    <col min="1" max="1" width="0.5546875" style="17" customWidth="1"/>
    <col min="2" max="2" width="11.6640625" style="17" customWidth="1"/>
    <col min="3" max="3" width="18.109375" style="17" customWidth="1"/>
    <col min="4" max="4" width="58" style="17" customWidth="1"/>
    <col min="5" max="5" width="79.33203125" style="17" customWidth="1"/>
    <col min="6" max="27" width="1.6640625" style="17" customWidth="1"/>
    <col min="28" max="16384" width="3.33203125" style="17"/>
  </cols>
  <sheetData>
    <row r="1" spans="2:5" ht="17.399999999999999" x14ac:dyDescent="0.3">
      <c r="B1" s="15" t="str">
        <f>'Change Log'!A1</f>
        <v>Petroleum Dry Cleaners Registration Calculator</v>
      </c>
    </row>
    <row r="2" spans="2:5" ht="15.75" customHeight="1" x14ac:dyDescent="0.25">
      <c r="B2" s="329" t="str">
        <f>'Change Log'!A2</f>
        <v>v1.9 (last updated 2013.02.26)</v>
      </c>
      <c r="C2" s="329"/>
      <c r="D2" s="329"/>
    </row>
    <row r="3" spans="2:5" ht="117" customHeight="1" x14ac:dyDescent="0.25">
      <c r="B3" s="348" t="s">
        <v>435</v>
      </c>
      <c r="C3" s="348"/>
      <c r="D3" s="348"/>
      <c r="E3" s="348"/>
    </row>
    <row r="4" spans="2:5" ht="6.75" customHeight="1" x14ac:dyDescent="0.25">
      <c r="B4" s="232"/>
      <c r="C4" s="232"/>
      <c r="D4" s="232"/>
    </row>
    <row r="5" spans="2:5" x14ac:dyDescent="0.25">
      <c r="B5" s="81" t="s">
        <v>4</v>
      </c>
    </row>
    <row r="6" spans="2:5" ht="32.25" customHeight="1" x14ac:dyDescent="0.25">
      <c r="B6" s="303" t="s">
        <v>439</v>
      </c>
      <c r="C6" s="303"/>
      <c r="D6" s="303"/>
      <c r="E6" s="303"/>
    </row>
    <row r="7" spans="2:5" ht="4.5" customHeight="1" x14ac:dyDescent="0.25">
      <c r="B7" s="82"/>
    </row>
    <row r="8" spans="2:5" ht="13.5" customHeight="1" x14ac:dyDescent="0.25">
      <c r="B8" s="81" t="s">
        <v>12</v>
      </c>
    </row>
    <row r="9" spans="2:5" ht="55.5" customHeight="1" x14ac:dyDescent="0.25">
      <c r="B9" s="330" t="s">
        <v>407</v>
      </c>
      <c r="C9" s="331"/>
      <c r="D9" s="331"/>
      <c r="E9" s="331"/>
    </row>
    <row r="10" spans="2:5" ht="4.5" customHeight="1" x14ac:dyDescent="0.25">
      <c r="B10" s="82"/>
    </row>
    <row r="11" spans="2:5" x14ac:dyDescent="0.25">
      <c r="B11" s="81" t="s">
        <v>26</v>
      </c>
    </row>
    <row r="12" spans="2:5" ht="56.25" customHeight="1" x14ac:dyDescent="0.25">
      <c r="B12" s="330" t="s">
        <v>317</v>
      </c>
      <c r="C12" s="331"/>
      <c r="D12" s="331"/>
      <c r="E12" s="331"/>
    </row>
    <row r="13" spans="2:5" ht="9" customHeight="1" thickBot="1" x14ac:dyDescent="0.3">
      <c r="B13" s="81"/>
    </row>
    <row r="14" spans="2:5" ht="13.8" thickBot="1" x14ac:dyDescent="0.3">
      <c r="B14" s="332" t="s">
        <v>318</v>
      </c>
      <c r="C14" s="333"/>
      <c r="D14" s="334"/>
    </row>
    <row r="15" spans="2:5" x14ac:dyDescent="0.25">
      <c r="B15" s="335" t="s">
        <v>423</v>
      </c>
      <c r="C15" s="336"/>
      <c r="D15" s="337"/>
    </row>
    <row r="16" spans="2:5" x14ac:dyDescent="0.25">
      <c r="B16" s="338" t="s">
        <v>424</v>
      </c>
      <c r="C16" s="339"/>
      <c r="D16" s="340"/>
    </row>
    <row r="17" spans="2:5" x14ac:dyDescent="0.25">
      <c r="B17" s="349" t="s">
        <v>425</v>
      </c>
      <c r="C17" s="350"/>
      <c r="D17" s="351"/>
    </row>
    <row r="18" spans="2:5" ht="13.8" thickBot="1" x14ac:dyDescent="0.3">
      <c r="B18" s="341" t="s">
        <v>319</v>
      </c>
      <c r="C18" s="342"/>
      <c r="D18" s="343"/>
    </row>
    <row r="19" spans="2:5" ht="10.5" customHeight="1" thickBot="1" x14ac:dyDescent="0.3">
      <c r="B19" s="83"/>
      <c r="C19" s="84"/>
      <c r="D19" s="83"/>
      <c r="E19" s="18"/>
    </row>
    <row r="20" spans="2:5" ht="13.8" thickBot="1" x14ac:dyDescent="0.3">
      <c r="B20" s="332" t="s">
        <v>320</v>
      </c>
      <c r="C20" s="344"/>
      <c r="D20" s="345"/>
    </row>
    <row r="21" spans="2:5" ht="55.5" customHeight="1" x14ac:dyDescent="0.25">
      <c r="B21" s="207" t="s">
        <v>360</v>
      </c>
      <c r="C21" s="352" t="s">
        <v>385</v>
      </c>
      <c r="D21" s="353"/>
    </row>
    <row r="22" spans="2:5" ht="15" customHeight="1" x14ac:dyDescent="0.25">
      <c r="B22" s="208" t="s">
        <v>355</v>
      </c>
      <c r="C22" s="354" t="s">
        <v>365</v>
      </c>
      <c r="D22" s="356"/>
    </row>
    <row r="23" spans="2:5" ht="12.75" customHeight="1" x14ac:dyDescent="0.25">
      <c r="B23" s="140" t="s">
        <v>63</v>
      </c>
      <c r="C23" s="141" t="s">
        <v>95</v>
      </c>
      <c r="D23" s="142"/>
    </row>
    <row r="24" spans="2:5" ht="12.75" customHeight="1" x14ac:dyDescent="0.25">
      <c r="B24" s="140" t="s">
        <v>324</v>
      </c>
      <c r="C24" s="141" t="s">
        <v>325</v>
      </c>
      <c r="D24" s="142"/>
    </row>
    <row r="25" spans="2:5" ht="12.75" customHeight="1" x14ac:dyDescent="0.25">
      <c r="B25" s="140" t="s">
        <v>333</v>
      </c>
      <c r="C25" s="141" t="s">
        <v>334</v>
      </c>
      <c r="D25" s="142"/>
    </row>
    <row r="26" spans="2:5" ht="57.75" customHeight="1" x14ac:dyDescent="0.25">
      <c r="B26" s="209" t="s">
        <v>361</v>
      </c>
      <c r="C26" s="354" t="s">
        <v>386</v>
      </c>
      <c r="D26" s="355"/>
    </row>
    <row r="27" spans="2:5" ht="12.75" customHeight="1" x14ac:dyDescent="0.25">
      <c r="B27" s="140" t="s">
        <v>81</v>
      </c>
      <c r="C27" s="141" t="s">
        <v>104</v>
      </c>
      <c r="D27" s="142"/>
    </row>
    <row r="28" spans="2:5" ht="12.75" customHeight="1" x14ac:dyDescent="0.25">
      <c r="B28" s="140" t="s">
        <v>465</v>
      </c>
      <c r="C28" s="143" t="s">
        <v>466</v>
      </c>
      <c r="D28" s="234"/>
    </row>
    <row r="29" spans="2:5" ht="12.75" customHeight="1" x14ac:dyDescent="0.25">
      <c r="B29" s="140" t="s">
        <v>332</v>
      </c>
      <c r="C29" s="143" t="s">
        <v>96</v>
      </c>
      <c r="D29" s="234"/>
    </row>
    <row r="30" spans="2:5" ht="12.75" customHeight="1" x14ac:dyDescent="0.25">
      <c r="B30" s="140" t="s">
        <v>321</v>
      </c>
      <c r="C30" s="143" t="s">
        <v>51</v>
      </c>
      <c r="D30" s="234"/>
      <c r="E30" s="18"/>
    </row>
    <row r="31" spans="2:5" ht="15" customHeight="1" x14ac:dyDescent="0.25">
      <c r="B31" s="140" t="s">
        <v>78</v>
      </c>
      <c r="C31" s="346" t="s">
        <v>322</v>
      </c>
      <c r="D31" s="347"/>
    </row>
    <row r="32" spans="2:5" ht="14.25" customHeight="1" x14ac:dyDescent="0.25">
      <c r="B32" s="140" t="s">
        <v>79</v>
      </c>
      <c r="C32" s="233" t="s">
        <v>323</v>
      </c>
      <c r="D32" s="234"/>
    </row>
    <row r="33" spans="2:13" ht="15" customHeight="1" x14ac:dyDescent="0.25">
      <c r="B33" s="135" t="s">
        <v>344</v>
      </c>
      <c r="C33" s="145" t="s">
        <v>345</v>
      </c>
      <c r="D33" s="146"/>
    </row>
    <row r="34" spans="2:13" ht="14.25" customHeight="1" x14ac:dyDescent="0.25">
      <c r="B34" s="144" t="s">
        <v>77</v>
      </c>
      <c r="C34" s="145" t="s">
        <v>97</v>
      </c>
      <c r="D34" s="146"/>
    </row>
    <row r="35" spans="2:13" ht="12.75" customHeight="1" thickBot="1" x14ac:dyDescent="0.3">
      <c r="B35" s="147" t="s">
        <v>3</v>
      </c>
      <c r="C35" s="327" t="s">
        <v>2</v>
      </c>
      <c r="D35" s="328"/>
    </row>
    <row r="36" spans="2:13" ht="13.5" customHeight="1" thickBot="1" x14ac:dyDescent="0.3">
      <c r="B36" s="83"/>
      <c r="C36" s="83"/>
      <c r="D36" s="83"/>
      <c r="F36" s="18"/>
    </row>
    <row r="37" spans="2:13" ht="15.75" customHeight="1" thickBot="1" x14ac:dyDescent="0.3">
      <c r="B37" s="85" t="s">
        <v>47</v>
      </c>
      <c r="C37" s="86"/>
      <c r="D37" s="86"/>
      <c r="E37" s="87"/>
      <c r="F37" s="18"/>
    </row>
    <row r="38" spans="2:13" ht="16.5" customHeight="1" thickBot="1" x14ac:dyDescent="0.3">
      <c r="B38" s="235" t="s">
        <v>426</v>
      </c>
      <c r="C38" s="88"/>
      <c r="D38" s="88"/>
      <c r="E38" s="236"/>
      <c r="F38" s="18"/>
    </row>
    <row r="39" spans="2:13" ht="18" customHeight="1" x14ac:dyDescent="0.25">
      <c r="B39" s="315" t="s">
        <v>44</v>
      </c>
      <c r="C39" s="316"/>
      <c r="D39" s="307" t="s">
        <v>363</v>
      </c>
      <c r="E39" s="308"/>
      <c r="M39" s="18"/>
    </row>
    <row r="40" spans="2:13" ht="18.75" customHeight="1" x14ac:dyDescent="0.25">
      <c r="B40" s="317" t="s">
        <v>45</v>
      </c>
      <c r="C40" s="318"/>
      <c r="D40" s="309" t="s">
        <v>48</v>
      </c>
      <c r="E40" s="310"/>
    </row>
    <row r="41" spans="2:13" ht="54" customHeight="1" x14ac:dyDescent="0.25">
      <c r="B41" s="321" t="s">
        <v>46</v>
      </c>
      <c r="C41" s="322"/>
      <c r="D41" s="309" t="s">
        <v>364</v>
      </c>
      <c r="E41" s="310"/>
    </row>
    <row r="42" spans="2:13" ht="21.75" customHeight="1" x14ac:dyDescent="0.25">
      <c r="B42" s="323"/>
      <c r="C42" s="324"/>
      <c r="D42" s="313" t="s">
        <v>326</v>
      </c>
      <c r="E42" s="314"/>
    </row>
    <row r="43" spans="2:13" ht="93" customHeight="1" x14ac:dyDescent="0.25">
      <c r="B43" s="317" t="s">
        <v>59</v>
      </c>
      <c r="C43" s="318"/>
      <c r="D43" s="309" t="s">
        <v>430</v>
      </c>
      <c r="E43" s="310"/>
    </row>
    <row r="44" spans="2:13" ht="54.75" customHeight="1" x14ac:dyDescent="0.25">
      <c r="B44" s="325" t="s">
        <v>406</v>
      </c>
      <c r="C44" s="326"/>
      <c r="D44" s="309" t="s">
        <v>467</v>
      </c>
      <c r="E44" s="310"/>
    </row>
    <row r="45" spans="2:13" ht="41.25" customHeight="1" thickBot="1" x14ac:dyDescent="0.3">
      <c r="B45" s="319" t="s">
        <v>405</v>
      </c>
      <c r="C45" s="320"/>
      <c r="D45" s="311" t="s">
        <v>404</v>
      </c>
      <c r="E45" s="312"/>
    </row>
    <row r="46" spans="2:13" x14ac:dyDescent="0.25">
      <c r="B46" s="89"/>
      <c r="C46" s="90"/>
      <c r="D46" s="90"/>
    </row>
    <row r="47" spans="2:13" x14ac:dyDescent="0.25">
      <c r="B47" s="18"/>
      <c r="C47" s="18"/>
      <c r="D47" s="18"/>
      <c r="E47" s="18"/>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29">
    <mergeCell ref="C35:D35"/>
    <mergeCell ref="B2:D2"/>
    <mergeCell ref="B9:E9"/>
    <mergeCell ref="B6:E6"/>
    <mergeCell ref="B14:D14"/>
    <mergeCell ref="B12:E12"/>
    <mergeCell ref="B15:D15"/>
    <mergeCell ref="B16:D16"/>
    <mergeCell ref="B18:D18"/>
    <mergeCell ref="B20:D20"/>
    <mergeCell ref="C31:D31"/>
    <mergeCell ref="B3:E3"/>
    <mergeCell ref="B17:D17"/>
    <mergeCell ref="C21:D21"/>
    <mergeCell ref="C26:D26"/>
    <mergeCell ref="C22:D22"/>
    <mergeCell ref="B39:C39"/>
    <mergeCell ref="B40:C40"/>
    <mergeCell ref="B43:C43"/>
    <mergeCell ref="B45:C45"/>
    <mergeCell ref="B41:C42"/>
    <mergeCell ref="B44:C44"/>
    <mergeCell ref="D39:E39"/>
    <mergeCell ref="D40:E40"/>
    <mergeCell ref="D41:E41"/>
    <mergeCell ref="D43:E43"/>
    <mergeCell ref="D45:E45"/>
    <mergeCell ref="D42:E42"/>
    <mergeCell ref="D44:E44"/>
  </mergeCells>
  <phoneticPr fontId="0" type="noConversion"/>
  <hyperlinks>
    <hyperlink ref="D42" r:id="rId2"/>
  </hyperlinks>
  <pageMargins left="0.2" right="0.2" top="0.5" bottom="0.5" header="0.5" footer="0.5"/>
  <pageSetup scale="73" orientation="landscape" r:id="rId3"/>
  <headerFooter alignWithMargins="0">
    <oddFooter>&amp;LPage &amp;P of &amp;N&amp;C&amp;F&amp;RPrinted &amp;D</oddFooter>
  </headerFooter>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84"/>
  <sheetViews>
    <sheetView showGridLines="0" zoomScaleNormal="100" workbookViewId="0"/>
  </sheetViews>
  <sheetFormatPr defaultColWidth="9.109375" defaultRowHeight="13.2" x14ac:dyDescent="0.25"/>
  <cols>
    <col min="1" max="1" width="2.88671875" style="17" customWidth="1"/>
    <col min="2" max="2" width="48" style="17" customWidth="1"/>
    <col min="3" max="3" width="79.33203125" style="17" customWidth="1"/>
    <col min="4" max="4" width="18" style="17" customWidth="1"/>
    <col min="5" max="5" width="97.44140625" style="17" hidden="1" customWidth="1"/>
    <col min="6" max="16384" width="9.109375" style="17"/>
  </cols>
  <sheetData>
    <row r="1" spans="2:5" ht="22.5" customHeight="1" x14ac:dyDescent="0.3">
      <c r="B1" s="15" t="s">
        <v>316</v>
      </c>
    </row>
    <row r="2" spans="2:5" ht="16.2" thickBot="1" x14ac:dyDescent="0.4">
      <c r="E2" s="132" t="s">
        <v>309</v>
      </c>
    </row>
    <row r="3" spans="2:5" ht="13.8" thickBot="1" x14ac:dyDescent="0.3">
      <c r="B3" s="332" t="s">
        <v>5</v>
      </c>
      <c r="C3" s="345"/>
      <c r="E3" s="133" t="s">
        <v>11</v>
      </c>
    </row>
    <row r="4" spans="2:5" x14ac:dyDescent="0.25">
      <c r="B4" s="198" t="s">
        <v>6</v>
      </c>
      <c r="C4" s="199" t="s">
        <v>100</v>
      </c>
      <c r="E4" s="133" t="s">
        <v>310</v>
      </c>
    </row>
    <row r="5" spans="2:5" x14ac:dyDescent="0.25">
      <c r="B5" s="55" t="s">
        <v>7</v>
      </c>
      <c r="C5" s="35" t="s">
        <v>20</v>
      </c>
      <c r="E5" s="133" t="s">
        <v>16</v>
      </c>
    </row>
    <row r="6" spans="2:5" x14ac:dyDescent="0.25">
      <c r="B6" s="55" t="s">
        <v>126</v>
      </c>
      <c r="C6" s="35" t="s">
        <v>297</v>
      </c>
      <c r="E6" s="134"/>
    </row>
    <row r="7" spans="2:5" x14ac:dyDescent="0.25">
      <c r="B7" s="55" t="s">
        <v>118</v>
      </c>
      <c r="C7" s="293" t="s">
        <v>255</v>
      </c>
      <c r="E7" s="132" t="s">
        <v>311</v>
      </c>
    </row>
    <row r="8" spans="2:5" ht="13.8" thickBot="1" x14ac:dyDescent="0.3">
      <c r="B8" s="56" t="s">
        <v>298</v>
      </c>
      <c r="C8" s="200">
        <v>87101</v>
      </c>
      <c r="E8" s="133" t="s">
        <v>11</v>
      </c>
    </row>
    <row r="9" spans="2:5" ht="13.8" thickBot="1" x14ac:dyDescent="0.3">
      <c r="E9" s="133" t="s">
        <v>312</v>
      </c>
    </row>
    <row r="10" spans="2:5" ht="13.8" thickBot="1" x14ac:dyDescent="0.3">
      <c r="B10" s="357" t="s">
        <v>10</v>
      </c>
      <c r="C10" s="334"/>
      <c r="E10" s="133" t="s">
        <v>310</v>
      </c>
    </row>
    <row r="11" spans="2:5" x14ac:dyDescent="0.25">
      <c r="B11" s="53" t="s">
        <v>6</v>
      </c>
      <c r="C11" s="39" t="s">
        <v>17</v>
      </c>
      <c r="E11" s="133" t="s">
        <v>16</v>
      </c>
    </row>
    <row r="12" spans="2:5" x14ac:dyDescent="0.25">
      <c r="B12" s="55" t="s">
        <v>8</v>
      </c>
      <c r="C12" s="35" t="s">
        <v>18</v>
      </c>
      <c r="E12" s="133" t="s">
        <v>15</v>
      </c>
    </row>
    <row r="13" spans="2:5" ht="13.8" thickBot="1" x14ac:dyDescent="0.3">
      <c r="B13" s="57" t="s">
        <v>9</v>
      </c>
      <c r="C13" s="36" t="s">
        <v>19</v>
      </c>
      <c r="E13" s="133" t="s">
        <v>14</v>
      </c>
    </row>
    <row r="14" spans="2:5" ht="13.8" thickBot="1" x14ac:dyDescent="0.3">
      <c r="B14" s="91"/>
      <c r="C14" s="92"/>
    </row>
    <row r="15" spans="2:5" ht="16.2" thickBot="1" x14ac:dyDescent="0.4">
      <c r="B15" s="360" t="str">
        <f>"U.S. Environmental Protection Agency Region "&amp;VLOOKUP(C7,'EPA Regional Contact Info'!$A$5:$C$49,3,FALSE)&amp;" Contact"</f>
        <v>U.S. Environmental Protection Agency Region 6 Contact</v>
      </c>
      <c r="C15" s="361"/>
      <c r="E15" s="132" t="s">
        <v>313</v>
      </c>
    </row>
    <row r="16" spans="2:5" x14ac:dyDescent="0.25">
      <c r="B16" s="104" t="s">
        <v>299</v>
      </c>
      <c r="C16" s="105" t="str">
        <f>VLOOKUP($C$7,'EPA Regional Contact Info'!$A$5:$N$49,4,FALSE)</f>
        <v>Bonnie Braganza</v>
      </c>
      <c r="E16" s="133" t="s">
        <v>11</v>
      </c>
    </row>
    <row r="17" spans="2:5" x14ac:dyDescent="0.25">
      <c r="B17" s="106" t="s">
        <v>300</v>
      </c>
      <c r="C17" s="107" t="str">
        <f>VLOOKUP($C$7,'EPA Regional Contact Info'!$A$5:$N$49,5,FALSE)</f>
        <v>214-665-7340</v>
      </c>
      <c r="E17" s="133" t="s">
        <v>314</v>
      </c>
    </row>
    <row r="18" spans="2:5" x14ac:dyDescent="0.25">
      <c r="B18" s="106" t="s">
        <v>301</v>
      </c>
      <c r="C18" s="107" t="str">
        <f>VLOOKUP($C$7,'EPA Regional Contact Info'!$A$5:$N$49,6,FALSE)</f>
        <v>braganza.bonnie@epa.gov</v>
      </c>
      <c r="E18" s="134"/>
    </row>
    <row r="19" spans="2:5" x14ac:dyDescent="0.25">
      <c r="B19" s="106" t="s">
        <v>302</v>
      </c>
      <c r="C19" s="107" t="str">
        <f>VLOOKUP($C$7,'EPA Regional Contact Info'!$A$5:$N$49,7,FALSE)</f>
        <v>None</v>
      </c>
    </row>
    <row r="20" spans="2:5" x14ac:dyDescent="0.25">
      <c r="B20" s="106" t="s">
        <v>303</v>
      </c>
      <c r="C20" s="107" t="str">
        <f>IF(VLOOKUP($C$7,'EPA Regional Contact Info'!$A$5:$N$49,8,FALSE)=0,"",VLOOKUP($C$7,'EPA Regional Contact Info'!$A$5:$N$49,8,FALSE))</f>
        <v/>
      </c>
      <c r="E20" s="38" t="s">
        <v>98</v>
      </c>
    </row>
    <row r="21" spans="2:5" ht="15" customHeight="1" x14ac:dyDescent="0.25">
      <c r="B21" s="106" t="s">
        <v>304</v>
      </c>
      <c r="C21" s="107" t="str">
        <f>IF(VLOOKUP($C$7,'EPA Regional Contact Info'!$A$5:$N$49,9,FALSE)=0,"",VLOOKUP($C$7,'EPA Regional Contact Info'!$A$5:$N$49,9,FALSE))</f>
        <v/>
      </c>
      <c r="E21" s="37" t="s">
        <v>52</v>
      </c>
    </row>
    <row r="22" spans="2:5" x14ac:dyDescent="0.25">
      <c r="B22" s="108" t="s">
        <v>7</v>
      </c>
      <c r="C22" s="109" t="str">
        <f>"U.S. Environmental Protection Agency Region "&amp;VLOOKUP($C$7,'EPA Regional Contact Info'!$A$5:$C$49,3,FALSE)</f>
        <v>U.S. Environmental Protection Agency Region 6</v>
      </c>
      <c r="E22" s="37" t="s">
        <v>53</v>
      </c>
    </row>
    <row r="23" spans="2:5" ht="15" customHeight="1" x14ac:dyDescent="0.25">
      <c r="B23" s="110"/>
      <c r="C23" s="111" t="str">
        <f>VLOOKUP($C$7,'EPA Regional Contact Info'!$A$5:$N$49,10,FALSE)</f>
        <v>1445 Ross Avenue, Suite 1200</v>
      </c>
    </row>
    <row r="24" spans="2:5" x14ac:dyDescent="0.25">
      <c r="B24" s="110"/>
      <c r="C24" s="111" t="str">
        <f>VLOOKUP($C$7,'EPA Regional Contact Info'!$A$5:$N$49,11,FALSE)</f>
        <v>MC: 6PD</v>
      </c>
      <c r="E24" s="38" t="s">
        <v>72</v>
      </c>
    </row>
    <row r="25" spans="2:5" ht="13.8" thickBot="1" x14ac:dyDescent="0.3">
      <c r="B25" s="112"/>
      <c r="C25" s="113" t="str">
        <f>VLOOKUP($C$7,'EPA Regional Contact Info'!$A$5:$N$49,12,FALSE)&amp;", "&amp;VLOOKUP($C$7,'EPA Regional Contact Info'!$A$5:$N$49,13,FALSE)&amp;" "&amp;VLOOKUP($C$7,'EPA Regional Contact Info'!$A$5:$N$49,14,FALSE)</f>
        <v>Dallas, TX 75202-2733</v>
      </c>
      <c r="E25" s="37" t="s">
        <v>99</v>
      </c>
    </row>
    <row r="26" spans="2:5" ht="13.8" thickBot="1" x14ac:dyDescent="0.3">
      <c r="E26" s="37" t="s">
        <v>70</v>
      </c>
    </row>
    <row r="27" spans="2:5" ht="13.8" thickBot="1" x14ac:dyDescent="0.3">
      <c r="B27" s="358" t="s">
        <v>43</v>
      </c>
      <c r="C27" s="359"/>
      <c r="E27" s="37" t="s">
        <v>69</v>
      </c>
    </row>
    <row r="28" spans="2:5" x14ac:dyDescent="0.25">
      <c r="B28" s="123" t="s">
        <v>60</v>
      </c>
      <c r="C28" s="124" t="s">
        <v>11</v>
      </c>
      <c r="E28" s="37" t="s">
        <v>71</v>
      </c>
    </row>
    <row r="29" spans="2:5" ht="12.75" customHeight="1" x14ac:dyDescent="0.25">
      <c r="B29" s="125"/>
      <c r="C29" s="126"/>
    </row>
    <row r="30" spans="2:5" ht="12.75" customHeight="1" x14ac:dyDescent="0.25">
      <c r="B30" s="125" t="s">
        <v>308</v>
      </c>
      <c r="C30" s="127" t="s">
        <v>11</v>
      </c>
      <c r="E30" s="38" t="s">
        <v>101</v>
      </c>
    </row>
    <row r="31" spans="2:5" ht="12.75" customHeight="1" x14ac:dyDescent="0.25">
      <c r="B31" s="128"/>
      <c r="C31" s="129"/>
      <c r="E31" s="54">
        <f>IF(C45=0,Allowable_Dry_Cleaning_Solvent_Density,C45)</f>
        <v>6.6720000000000006</v>
      </c>
    </row>
    <row r="32" spans="2:5" ht="12.75" customHeight="1" x14ac:dyDescent="0.25">
      <c r="B32" s="125" t="s">
        <v>61</v>
      </c>
      <c r="C32" s="127" t="s">
        <v>11</v>
      </c>
    </row>
    <row r="33" spans="2:5" ht="12.75" customHeight="1" x14ac:dyDescent="0.25">
      <c r="B33" s="128"/>
      <c r="C33" s="129"/>
      <c r="D33" s="43"/>
      <c r="E33" s="38" t="s">
        <v>102</v>
      </c>
    </row>
    <row r="34" spans="2:5" ht="12.75" customHeight="1" x14ac:dyDescent="0.25">
      <c r="B34" s="125" t="s">
        <v>62</v>
      </c>
      <c r="C34" s="127" t="s">
        <v>11</v>
      </c>
      <c r="E34" s="54">
        <f>IF(C47=0,100,C47)</f>
        <v>100</v>
      </c>
    </row>
    <row r="35" spans="2:5" ht="12.75" customHeight="1" x14ac:dyDescent="0.25">
      <c r="B35" s="128"/>
      <c r="C35" s="129"/>
    </row>
    <row r="36" spans="2:5" ht="12.75" customHeight="1" x14ac:dyDescent="0.25">
      <c r="B36" s="125" t="s">
        <v>346</v>
      </c>
      <c r="C36" s="127" t="s">
        <v>11</v>
      </c>
      <c r="E36" s="38" t="s">
        <v>103</v>
      </c>
    </row>
    <row r="37" spans="2:5" ht="12.75" customHeight="1" thickBot="1" x14ac:dyDescent="0.3">
      <c r="B37" s="130"/>
      <c r="C37" s="131"/>
      <c r="E37" s="54">
        <f>IF(C53=0,Distillate_Oil_Allowable_Sulfur_Content,C53)</f>
        <v>0.5</v>
      </c>
    </row>
    <row r="38" spans="2:5" ht="12.75" customHeight="1" thickBot="1" x14ac:dyDescent="0.3">
      <c r="B38" s="16"/>
      <c r="C38" s="92"/>
      <c r="D38" s="43"/>
    </row>
    <row r="39" spans="2:5" ht="13.8" thickBot="1" x14ac:dyDescent="0.3">
      <c r="B39" s="79" t="s">
        <v>58</v>
      </c>
      <c r="C39" s="80"/>
      <c r="E39" s="298" t="s">
        <v>449</v>
      </c>
    </row>
    <row r="40" spans="2:5" ht="42" customHeight="1" thickBot="1" x14ac:dyDescent="0.3">
      <c r="B40" s="362" t="s">
        <v>452</v>
      </c>
      <c r="C40" s="363"/>
      <c r="E40" s="297" t="str">
        <f>'EPA Regional Contact Info'!A5</f>
        <v>Alabama</v>
      </c>
    </row>
    <row r="41" spans="2:5" ht="26.4" x14ac:dyDescent="0.25">
      <c r="B41" s="201" t="s">
        <v>419</v>
      </c>
      <c r="C41" s="218">
        <v>0</v>
      </c>
      <c r="E41" s="297" t="str">
        <f>'EPA Regional Contact Info'!A6</f>
        <v>Alaska</v>
      </c>
    </row>
    <row r="42" spans="2:5" ht="26.4" x14ac:dyDescent="0.25">
      <c r="B42" s="78" t="s">
        <v>418</v>
      </c>
      <c r="C42" s="206">
        <v>3</v>
      </c>
      <c r="E42" s="297" t="str">
        <f>'EPA Regional Contact Info'!A7</f>
        <v>Arizona</v>
      </c>
    </row>
    <row r="43" spans="2:5" ht="52.8" x14ac:dyDescent="0.25">
      <c r="B43" s="78" t="s">
        <v>412</v>
      </c>
      <c r="C43" s="206">
        <v>1</v>
      </c>
      <c r="E43" s="297" t="str">
        <f>'EPA Regional Contact Info'!A8</f>
        <v>Arkansas</v>
      </c>
    </row>
    <row r="44" spans="2:5" ht="26.4" x14ac:dyDescent="0.25">
      <c r="B44" s="78" t="s">
        <v>427</v>
      </c>
      <c r="C44" s="206">
        <v>0.1</v>
      </c>
      <c r="E44" s="297" t="str">
        <f>'EPA Regional Contact Info'!A9</f>
        <v>California</v>
      </c>
    </row>
    <row r="45" spans="2:5" ht="39.6" x14ac:dyDescent="0.25">
      <c r="B45" s="74" t="s">
        <v>347</v>
      </c>
      <c r="C45" s="127">
        <v>0</v>
      </c>
      <c r="E45" s="297" t="str">
        <f>'EPA Regional Contact Info'!A10</f>
        <v>Colorado</v>
      </c>
    </row>
    <row r="46" spans="2:5" x14ac:dyDescent="0.25">
      <c r="B46" s="74" t="s">
        <v>417</v>
      </c>
      <c r="C46" s="230">
        <f>Solvent_Density</f>
        <v>6.6720000000000006</v>
      </c>
      <c r="E46" s="297" t="str">
        <f>'EPA Regional Contact Info'!A11</f>
        <v>Connecticut</v>
      </c>
    </row>
    <row r="47" spans="2:5" ht="39.6" x14ac:dyDescent="0.25">
      <c r="B47" s="74" t="s">
        <v>348</v>
      </c>
      <c r="C47" s="127">
        <v>0</v>
      </c>
      <c r="E47" s="297" t="str">
        <f>'EPA Regional Contact Info'!A12</f>
        <v>Florida</v>
      </c>
    </row>
    <row r="48" spans="2:5" ht="26.4" x14ac:dyDescent="0.25">
      <c r="B48" s="74" t="s">
        <v>416</v>
      </c>
      <c r="C48" s="230">
        <f>VOC_Content</f>
        <v>100</v>
      </c>
      <c r="E48" s="297" t="str">
        <f>'EPA Regional Contact Info'!A13</f>
        <v>Georgia</v>
      </c>
    </row>
    <row r="49" spans="2:5" x14ac:dyDescent="0.25">
      <c r="B49" s="75" t="s">
        <v>68</v>
      </c>
      <c r="C49" s="127" t="s">
        <v>53</v>
      </c>
      <c r="E49" s="297" t="str">
        <f>'EPA Regional Contact Info'!A14</f>
        <v>Hawaii</v>
      </c>
    </row>
    <row r="50" spans="2:5" ht="26.4" x14ac:dyDescent="0.25">
      <c r="B50" s="76" t="s">
        <v>354</v>
      </c>
      <c r="C50" s="205">
        <v>1</v>
      </c>
      <c r="E50" s="297" t="str">
        <f>'EPA Regional Contact Info'!A15</f>
        <v>Idaho</v>
      </c>
    </row>
    <row r="51" spans="2:5" x14ac:dyDescent="0.25">
      <c r="B51" s="77" t="s">
        <v>335</v>
      </c>
      <c r="C51" s="127" t="s">
        <v>71</v>
      </c>
      <c r="E51" s="297" t="str">
        <f>'EPA Regional Contact Info'!A16</f>
        <v>Illinois</v>
      </c>
    </row>
    <row r="52" spans="2:5" ht="26.4" x14ac:dyDescent="0.25">
      <c r="B52" s="76" t="str">
        <f>IF(C51="Natural gas","How much fuel was combusted in the boiler in calendar year 2012 (MMscf)?","How much fuel was combusted in the boiler in calendar year 2012 (1000 gal)?")</f>
        <v>How much fuel was combusted in the boiler in calendar year 2012 (1000 gal)?</v>
      </c>
      <c r="C52" s="238">
        <v>0</v>
      </c>
      <c r="E52" s="297" t="str">
        <f>'EPA Regional Contact Info'!A17</f>
        <v>Indiana</v>
      </c>
    </row>
    <row r="53" spans="2:5" ht="39.6" x14ac:dyDescent="0.25">
      <c r="B53" s="226" t="s">
        <v>349</v>
      </c>
      <c r="C53" s="127">
        <v>0</v>
      </c>
      <c r="E53" s="297" t="str">
        <f>'EPA Regional Contact Info'!A18</f>
        <v>Iowa</v>
      </c>
    </row>
    <row r="54" spans="2:5" ht="14.25" customHeight="1" thickBot="1" x14ac:dyDescent="0.3">
      <c r="B54" s="56" t="s">
        <v>414</v>
      </c>
      <c r="C54" s="227">
        <f>Sulfur_Content_of_Fuel</f>
        <v>0.5</v>
      </c>
      <c r="E54" s="297" t="str">
        <f>'EPA Regional Contact Info'!A19</f>
        <v>Kansas</v>
      </c>
    </row>
    <row r="55" spans="2:5" x14ac:dyDescent="0.25">
      <c r="E55" s="297" t="str">
        <f>'EPA Regional Contact Info'!A20</f>
        <v>Kentucky</v>
      </c>
    </row>
    <row r="56" spans="2:5" x14ac:dyDescent="0.25">
      <c r="E56" s="297" t="str">
        <f>'EPA Regional Contact Info'!A21</f>
        <v>Louisiana</v>
      </c>
    </row>
    <row r="57" spans="2:5" x14ac:dyDescent="0.25">
      <c r="E57" s="297" t="str">
        <f>'EPA Regional Contact Info'!A22</f>
        <v>Maine</v>
      </c>
    </row>
    <row r="58" spans="2:5" x14ac:dyDescent="0.25">
      <c r="E58" s="297" t="str">
        <f>'EPA Regional Contact Info'!A23</f>
        <v>Massachusetts</v>
      </c>
    </row>
    <row r="59" spans="2:5" x14ac:dyDescent="0.25">
      <c r="E59" s="297" t="str">
        <f>'EPA Regional Contact Info'!A24</f>
        <v>Michigan</v>
      </c>
    </row>
    <row r="60" spans="2:5" x14ac:dyDescent="0.25">
      <c r="B60" s="58"/>
      <c r="E60" s="297" t="str">
        <f>'EPA Regional Contact Info'!A25</f>
        <v>Minnesota</v>
      </c>
    </row>
    <row r="61" spans="2:5" x14ac:dyDescent="0.25">
      <c r="B61" s="58"/>
      <c r="E61" s="297" t="str">
        <f>'EPA Regional Contact Info'!A26</f>
        <v>Mississippi</v>
      </c>
    </row>
    <row r="62" spans="2:5" x14ac:dyDescent="0.25">
      <c r="B62" s="58"/>
      <c r="E62" s="297" t="str">
        <f>'EPA Regional Contact Info'!A27</f>
        <v>Missouri</v>
      </c>
    </row>
    <row r="63" spans="2:5" x14ac:dyDescent="0.25">
      <c r="B63" s="58"/>
      <c r="E63" s="297" t="str">
        <f>'EPA Regional Contact Info'!A28</f>
        <v>Montana</v>
      </c>
    </row>
    <row r="64" spans="2:5" x14ac:dyDescent="0.25">
      <c r="B64" s="58"/>
      <c r="E64" s="297" t="str">
        <f>'EPA Regional Contact Info'!A29</f>
        <v>Nebraska</v>
      </c>
    </row>
    <row r="65" spans="2:5" x14ac:dyDescent="0.25">
      <c r="B65" s="58"/>
      <c r="E65" s="297" t="str">
        <f>'EPA Regional Contact Info'!A30</f>
        <v>Nevada</v>
      </c>
    </row>
    <row r="66" spans="2:5" x14ac:dyDescent="0.25">
      <c r="B66" s="58"/>
      <c r="E66" s="297" t="str">
        <f>'EPA Regional Contact Info'!A31</f>
        <v>New Hampshire</v>
      </c>
    </row>
    <row r="67" spans="2:5" x14ac:dyDescent="0.25">
      <c r="B67" s="58"/>
      <c r="E67" s="297" t="str">
        <f>'EPA Regional Contact Info'!A32</f>
        <v>New Jersey</v>
      </c>
    </row>
    <row r="68" spans="2:5" x14ac:dyDescent="0.25">
      <c r="E68" s="297" t="str">
        <f>'EPA Regional Contact Info'!A33</f>
        <v>New Mexico</v>
      </c>
    </row>
    <row r="69" spans="2:5" x14ac:dyDescent="0.25">
      <c r="E69" s="297" t="str">
        <f>'EPA Regional Contact Info'!A34</f>
        <v>New York</v>
      </c>
    </row>
    <row r="70" spans="2:5" x14ac:dyDescent="0.25">
      <c r="E70" s="297" t="str">
        <f>'EPA Regional Contact Info'!A35</f>
        <v>North Carolina</v>
      </c>
    </row>
    <row r="71" spans="2:5" x14ac:dyDescent="0.25">
      <c r="E71" s="297" t="str">
        <f>'EPA Regional Contact Info'!A36</f>
        <v>North Dakota</v>
      </c>
    </row>
    <row r="72" spans="2:5" x14ac:dyDescent="0.25">
      <c r="E72" s="297" t="str">
        <f>'EPA Regional Contact Info'!A37</f>
        <v>Ohio</v>
      </c>
    </row>
    <row r="73" spans="2:5" x14ac:dyDescent="0.25">
      <c r="E73" s="297" t="str">
        <f>'EPA Regional Contact Info'!A38</f>
        <v>Oklahoma</v>
      </c>
    </row>
    <row r="74" spans="2:5" x14ac:dyDescent="0.25">
      <c r="E74" s="297" t="str">
        <f>'EPA Regional Contact Info'!A39</f>
        <v>Oregon</v>
      </c>
    </row>
    <row r="75" spans="2:5" x14ac:dyDescent="0.25">
      <c r="E75" s="297" t="str">
        <f>'EPA Regional Contact Info'!A40</f>
        <v>Rhode Island</v>
      </c>
    </row>
    <row r="76" spans="2:5" x14ac:dyDescent="0.25">
      <c r="E76" s="297" t="str">
        <f>'EPA Regional Contact Info'!A41</f>
        <v>South Carolina</v>
      </c>
    </row>
    <row r="77" spans="2:5" x14ac:dyDescent="0.25">
      <c r="E77" s="297" t="str">
        <f>'EPA Regional Contact Info'!A42</f>
        <v>South Dakota</v>
      </c>
    </row>
    <row r="78" spans="2:5" x14ac:dyDescent="0.25">
      <c r="E78" s="297" t="str">
        <f>'EPA Regional Contact Info'!A43</f>
        <v>Tennessee</v>
      </c>
    </row>
    <row r="79" spans="2:5" x14ac:dyDescent="0.25">
      <c r="E79" s="297" t="str">
        <f>'EPA Regional Contact Info'!A44</f>
        <v>Texas</v>
      </c>
    </row>
    <row r="80" spans="2:5" x14ac:dyDescent="0.25">
      <c r="E80" s="297" t="str">
        <f>'EPA Regional Contact Info'!A45</f>
        <v>Utah</v>
      </c>
    </row>
    <row r="81" spans="5:5" x14ac:dyDescent="0.25">
      <c r="E81" s="297" t="str">
        <f>'EPA Regional Contact Info'!A46</f>
        <v>Vermont</v>
      </c>
    </row>
    <row r="82" spans="5:5" x14ac:dyDescent="0.25">
      <c r="E82" s="297" t="str">
        <f>'EPA Regional Contact Info'!A47</f>
        <v>Washington</v>
      </c>
    </row>
    <row r="83" spans="5:5" x14ac:dyDescent="0.25">
      <c r="E83" s="297" t="str">
        <f>'EPA Regional Contact Info'!A48</f>
        <v>Wisconsin</v>
      </c>
    </row>
    <row r="84" spans="5:5" x14ac:dyDescent="0.25">
      <c r="E84" s="297" t="str">
        <f>'EPA Regional Contact Info'!A49</f>
        <v>Wyoming</v>
      </c>
    </row>
  </sheetData>
  <sheetProtection password="C969" sheet="1" objects="1" scenarios="1"/>
  <dataConsolidate/>
  <mergeCells count="5">
    <mergeCell ref="B3:C3"/>
    <mergeCell ref="B10:C10"/>
    <mergeCell ref="B27:C27"/>
    <mergeCell ref="B15:C15"/>
    <mergeCell ref="B40:C40"/>
  </mergeCells>
  <conditionalFormatting sqref="B50:C54">
    <cfRule type="expression" dxfId="12" priority="5">
      <formula>$C$49="No"</formula>
    </cfRule>
  </conditionalFormatting>
  <conditionalFormatting sqref="B52:C52">
    <cfRule type="expression" dxfId="11" priority="4">
      <formula>$C$51="Electricity"</formula>
    </cfRule>
  </conditionalFormatting>
  <conditionalFormatting sqref="B53:C54">
    <cfRule type="expression" dxfId="10" priority="1">
      <formula>$C$51&lt;&gt;"oil - distillate"</formula>
    </cfRule>
  </conditionalFormatting>
  <dataValidations xWindow="539" yWindow="719" count="20">
    <dataValidation type="decimal" allowBlank="1" showInputMessage="1" showErrorMessage="1" errorTitle="Value Out of Range" error="Boiler capacity must be greater than 0 and less than 100 MMBtu/hr." promptTitle="Boiler Heat Input" prompt="Enter the maximum heat input of your boiler in MMBtu/hr." sqref="C50">
      <formula1>0.0000000000001</formula1>
      <formula2>100</formula2>
    </dataValidation>
    <dataValidation type="list" allowBlank="1" showInputMessage="1" showErrorMessage="1" sqref="C49">
      <formula1>Yes_No_Boiler_List</formula1>
    </dataValidation>
    <dataValidation allowBlank="1" showInputMessage="1" showErrorMessage="1" errorTitle="Value - Out of Range" error="Value entered must be between 0 and 168." promptTitle="Batches Run in 2012" prompt="Enter the number of batches of clothes cleaned at your facility in 2012." sqref="C41"/>
    <dataValidation type="decimal" allowBlank="1" showInputMessage="1" showErrorMessage="1" errorTitle="Value - Out of Range" error="Value entered must be between 0 and 100." promptTitle="VOC Content" prompt="Enter the average VOC content (percentage) of dry cleaning solvents used at your facility. Enter 0 if unknown and a default value of 100 percent will be used." sqref="C47">
      <formula1>0</formula1>
      <formula2>100</formula2>
    </dataValidation>
    <dataValidation type="decimal" allowBlank="1" showInputMessage="1" showErrorMessage="1" errorTitle="Value - Out of Range" error="Value entered must be between 0 and 8.34." promptTitle="Average Density (lb/gal)" prompt="Enter the average density (pounds/gallon) of dry cleaning solvents used at your facility. Enter 0 if unknown and a default value of 6.67 lb/gal will be used. To convert specific gravity to density, multiply the specific gravity by 8.34 lb/gal." sqref="C45">
      <formula1>0</formula1>
      <formula2>8.34</formula2>
    </dataValidation>
    <dataValidation type="list" allowBlank="1" showInputMessage="1" showErrorMessage="1" promptTitle="Primary Fuel" prompt="Select the fuel that is combusted most frequently in the boiler. For example, if the boiler combusts LPG for 10 months out of the year and natural gas for the remaining 2 months, select LPG." sqref="C51">
      <formula1>Boiler_Fuel_Type_List</formula1>
    </dataValidation>
    <dataValidation allowBlank="1" showInputMessage="1" showErrorMessage="1" promptTitle="Fuel Combustion" prompt="Enter the quantity of fuel combusted in 2012. The units should match those in cell B47._x000a__x000a_MMscf = million standard cubic feet_x000a_1000 gal = thousand gallons_x000a__x000a_For example, if your facility combusted 2,000 gallons of distillate oil in 2012, you should enter 2." sqref="C52"/>
    <dataValidation type="decimal" allowBlank="1" showInputMessage="1" showErrorMessage="1" errorTitle="Value - Out of Range" error="The sulfur content must be between 0 and 0.5 percent. The maximum allowable sulfur content of distillate oil combusted on Tribal lands is 0.5 percent. See 40 CFR 49.130(d)(2)" promptTitle="Sulfur Content" prompt="Enter the sulfur content of the distillate oil as a weight percentage. Enter 0 if unknown and a default value of 0.5 percent will be used." sqref="C53">
      <formula1>0</formula1>
      <formula2>0.5</formula2>
    </dataValidation>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decimal" operator="greaterThan" allowBlank="1" showInputMessage="1" showErrorMessage="1" errorTitle="Value Out of Range" error="Value entered must be greater than 0." promptTitle="Solvent Use per Batch (gallons)" prompt="Enter the gallons of solvent used to wash a batch of clothes." sqref="C44">
      <formula1>0</formula1>
    </dataValidation>
    <dataValidation type="decimal" allowBlank="1" showInputMessage="1" showErrorMessage="1" errorTitle="Value Out of Range" error="Value entered must be between 0.5 and 10." promptTitle="Batch Time (hours)" prompt="Enter the number of hours it takes to run a batch of clothes at your facility, including loading and unloading time." sqref="C42">
      <formula1>0.5</formula1>
      <formula2>10</formula2>
    </dataValidation>
    <dataValidation type="whole" operator="greaterThanOrEqual" allowBlank="1" showInputMessage="1" showErrorMessage="1" errorTitle="Value Out of Range" error="Value entered must be greater than or equal to 1." promptTitle="Max # of Simultaneous Batches" prompt="Enter the number of batches that can be run simultaneously at your facility. For example, if your facility has two washers and two dryers, you could run two batches at the same time." sqref="C43">
      <formula1>1</formula1>
    </dataValidation>
    <dataValidation type="decimal" allowBlank="1" showInputMessage="1" showErrorMessage="1" errorTitle="Value - Out of Range" error="Value entered must be between 0 and 8.34." promptTitle="Average Density (lb/gal)" prompt="The average density (pounds/gallon) of dry cleaning solvents used for calculating emissions in this calculator. If 0 is entered in the field above, a default value of 6.67 lb/gal will be used." sqref="C46">
      <formula1>0</formula1>
      <formula2>8.34</formula2>
    </dataValidation>
    <dataValidation type="decimal" allowBlank="1" showInputMessage="1" showErrorMessage="1" errorTitle="Value - Out of Range" error="Value entered must be between 0 and 100." promptTitle="VOC Content" prompt="The average VOC content (percentage) of dry cleaning solvents used to calculate emissions in this calculator. If 0 is entered in the field above, a default value of 100 percent will be used." sqref="C48">
      <formula1>0</formula1>
      <formula2>100</formula2>
    </dataValidation>
    <dataValidation type="decimal" allowBlank="1" showInputMessage="1" showErrorMessage="1" errorTitle="Value - Out of Range" error="The sulfur content must be between 0 and 0.5 percent. The maximum allowable sulfur content of distillate oil combusted on Tribal lands is 0.5 percent. See 40 CFR 49.130(d)(2)" promptTitle="Sulfur Content" prompt="The sulfur content of the distillate oil as a weight percentage that is used to calculate emissions in this calculator. If 0 is entered in the field above, a default value of 0.5 percent will be used." sqref="C54">
      <formula1>0</formula1>
      <formula2>0.5</formula2>
    </dataValidation>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s>
  <pageMargins left="0.7" right="0.7" top="0.75" bottom="0.75" header="0.3" footer="0.3"/>
  <pageSetup scale="85" orientation="landscape" r:id="rId1"/>
  <headerFooter>
    <oddFooter>&amp;LPage &amp;P of &amp;N&amp;C&amp;F&amp;RPrinted &amp;D</oddFooter>
  </headerFooter>
  <rowBreaks count="1" manualBreakCount="1">
    <brk id="38" max="2" man="1"/>
  </rowBreaks>
  <ignoredErrors>
    <ignoredError sqref="C46 C4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showGridLines="0" zoomScaleNormal="100" workbookViewId="0"/>
  </sheetViews>
  <sheetFormatPr defaultColWidth="9.109375" defaultRowHeight="13.2" x14ac:dyDescent="0.25"/>
  <cols>
    <col min="1" max="1" width="2.5546875" style="17" customWidth="1"/>
    <col min="2" max="2" width="48" style="17" customWidth="1"/>
    <col min="3" max="3" width="95" style="17" customWidth="1"/>
    <col min="4" max="5" width="9.109375" style="17"/>
    <col min="6" max="6" width="30.109375" style="17" hidden="1" customWidth="1"/>
    <col min="7" max="7" width="26" style="17" hidden="1" customWidth="1"/>
    <col min="8" max="16384" width="9.109375" style="17"/>
  </cols>
  <sheetData>
    <row r="1" spans="2:7" ht="17.399999999999999" x14ac:dyDescent="0.3">
      <c r="B1" s="155" t="s">
        <v>409</v>
      </c>
    </row>
    <row r="2" spans="2:7" ht="13.8" thickBot="1" x14ac:dyDescent="0.3"/>
    <row r="3" spans="2:7" ht="13.8" thickBot="1" x14ac:dyDescent="0.3">
      <c r="B3" s="79" t="s">
        <v>350</v>
      </c>
      <c r="C3" s="80"/>
      <c r="F3" s="225" t="s">
        <v>413</v>
      </c>
    </row>
    <row r="4" spans="2:7" ht="66" x14ac:dyDescent="0.25">
      <c r="B4" s="78" t="s">
        <v>461</v>
      </c>
      <c r="C4" s="173" t="s">
        <v>146</v>
      </c>
      <c r="F4" s="203" t="s">
        <v>52</v>
      </c>
    </row>
    <row r="5" spans="2:7" ht="29.25" customHeight="1" x14ac:dyDescent="0.25">
      <c r="B5" s="74" t="s">
        <v>415</v>
      </c>
      <c r="C5" s="127">
        <v>0</v>
      </c>
      <c r="F5" s="203" t="s">
        <v>53</v>
      </c>
    </row>
    <row r="6" spans="2:7" ht="15.75" customHeight="1" thickBot="1" x14ac:dyDescent="0.3">
      <c r="B6" s="202" t="s">
        <v>462</v>
      </c>
      <c r="C6" s="231">
        <f>$F$13</f>
        <v>0</v>
      </c>
    </row>
    <row r="7" spans="2:7" ht="13.8" thickBot="1" x14ac:dyDescent="0.3">
      <c r="F7" s="225" t="s">
        <v>351</v>
      </c>
      <c r="G7" s="225" t="s">
        <v>383</v>
      </c>
    </row>
    <row r="8" spans="2:7" ht="13.8" thickBot="1" x14ac:dyDescent="0.3">
      <c r="B8" s="79" t="s">
        <v>375</v>
      </c>
      <c r="C8" s="224"/>
      <c r="F8" s="203" t="s">
        <v>352</v>
      </c>
      <c r="G8" s="203">
        <f>'Additional References'!$B$14</f>
        <v>88.2</v>
      </c>
    </row>
    <row r="9" spans="2:7" ht="84" customHeight="1" x14ac:dyDescent="0.25">
      <c r="B9" s="201" t="s">
        <v>376</v>
      </c>
      <c r="C9" s="218" t="s">
        <v>53</v>
      </c>
      <c r="F9" s="203" t="s">
        <v>353</v>
      </c>
      <c r="G9" s="203">
        <f>'Additional References'!$B$15</f>
        <v>88.2</v>
      </c>
    </row>
    <row r="10" spans="2:7" ht="45.75" customHeight="1" thickBot="1" x14ac:dyDescent="0.3">
      <c r="B10" s="202" t="s">
        <v>377</v>
      </c>
      <c r="C10" s="148">
        <v>0</v>
      </c>
      <c r="F10" s="203" t="s">
        <v>146</v>
      </c>
      <c r="G10" s="203">
        <v>0</v>
      </c>
    </row>
    <row r="11" spans="2:7" x14ac:dyDescent="0.25">
      <c r="F11" s="43"/>
    </row>
    <row r="12" spans="2:7" x14ac:dyDescent="0.25">
      <c r="F12" s="225" t="s">
        <v>379</v>
      </c>
    </row>
    <row r="13" spans="2:7" x14ac:dyDescent="0.25">
      <c r="F13" s="203">
        <f>IF(C4="None",0,IF(C5=0,VLOOKUP(C4,$F$8:$G$9,2,FALSE),C5))</f>
        <v>0</v>
      </c>
    </row>
    <row r="16" spans="2:7" x14ac:dyDescent="0.25">
      <c r="F16" s="225" t="s">
        <v>458</v>
      </c>
    </row>
    <row r="17" spans="6:6" x14ac:dyDescent="0.25">
      <c r="F17" s="203">
        <f>1-VOC_Control_Efficiency/100</f>
        <v>1</v>
      </c>
    </row>
  </sheetData>
  <sheetProtection password="C969" sheet="1" objects="1" scenarios="1"/>
  <conditionalFormatting sqref="B10:C10">
    <cfRule type="expression" dxfId="9" priority="3">
      <formula>$C$9="No"</formula>
    </cfRule>
  </conditionalFormatting>
  <conditionalFormatting sqref="B5:C6">
    <cfRule type="expression" dxfId="8" priority="1">
      <formula>$C$4="None"</formula>
    </cfRule>
  </conditionalFormatting>
  <dataValidations count="5">
    <dataValidation type="list" operator="greaterThan" allowBlank="1" showInputMessage="1" showErrorMessage="1" promptTitle="VOC Control Device" prompt="Select VOC control device. According to 40 CFR 60.622, any dry cleaning facility with a cumulative capacity to dry more than 84 pounds of clothes that installs a dryer after 1984 must install a solvent recovery dryer." sqref="C4">
      <formula1>Control_Device_List</formula1>
    </dataValidation>
    <dataValidation type="list" allowBlank="1" showInputMessage="1" showErrorMessage="1" sqref="C9">
      <formula1>Yes_No_Controls</formula1>
    </dataValidation>
    <dataValidation type="decimal" allowBlank="1" showInputMessage="1" showErrorMessage="1" errorTitle="Value - Out of Range" error="Value entered must be between 0 and 100." promptTitle="VOC Control Efficiency (percent)" prompt="Enter the VOC control efficiency (percentage) of the VOC control device used at your facility in 2012. If unknown, enter 0 and a default value of 88.2 percent will be used." sqref="C5">
      <formula1>0</formula1>
      <formula2>100</formula2>
    </dataValidation>
    <dataValidation allowBlank="1" showInputMessage="1" showErrorMessage="1" promptTitle="VOC Control Efficiency (percent)" prompt="VOC control efficiency used to calculate emissions in this calculator. If 0 is entered in the field above, a default value of 88.2 percent will be used." sqref="C6"/>
    <dataValidation allowBlank="1" showInputMessage="1" showErrorMessage="1" promptTitle="Dryer Shutdown (hours)" prompt="Enter the number of hours a given dryer was shut down at your facility in 2012 to replace cartridge filters." sqref="C10"/>
  </dataValidations>
  <pageMargins left="0.7" right="0.7" top="0.75" bottom="0.75" header="0.3" footer="0.3"/>
  <pageSetup scale="85"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showGridLines="0" zoomScaleNormal="100" workbookViewId="0"/>
  </sheetViews>
  <sheetFormatPr defaultColWidth="9.109375" defaultRowHeight="13.2" x14ac:dyDescent="0.25"/>
  <cols>
    <col min="1" max="1" width="3.88671875" style="17" customWidth="1"/>
    <col min="2" max="2" width="21" style="17" customWidth="1"/>
    <col min="3" max="3" width="14.5546875" style="17" customWidth="1"/>
    <col min="4" max="4" width="14" style="17" customWidth="1"/>
    <col min="5" max="5" width="11.88671875" style="17" customWidth="1"/>
    <col min="6" max="6" width="14.5546875" style="17" customWidth="1"/>
    <col min="7" max="7" width="13.88671875" style="17" customWidth="1"/>
    <col min="8" max="8" width="13" style="17" customWidth="1"/>
    <col min="9" max="16384" width="9.109375" style="17"/>
  </cols>
  <sheetData>
    <row r="1" spans="2:8" ht="17.399999999999999" x14ac:dyDescent="0.3">
      <c r="B1" s="155" t="s">
        <v>327</v>
      </c>
    </row>
    <row r="2" spans="2:8" ht="13.8" thickBot="1" x14ac:dyDescent="0.3"/>
    <row r="3" spans="2:8" ht="13.8" thickBot="1" x14ac:dyDescent="0.3">
      <c r="B3" s="364" t="s">
        <v>450</v>
      </c>
      <c r="C3" s="365"/>
      <c r="D3" s="365"/>
      <c r="E3" s="365"/>
      <c r="F3" s="365"/>
      <c r="G3" s="365"/>
      <c r="H3" s="366"/>
    </row>
    <row r="4" spans="2:8" ht="15.6" x14ac:dyDescent="0.35">
      <c r="B4" s="166" t="s">
        <v>337</v>
      </c>
      <c r="C4" s="167" t="s">
        <v>63</v>
      </c>
      <c r="D4" s="163" t="s">
        <v>64</v>
      </c>
      <c r="E4" s="163" t="s">
        <v>65</v>
      </c>
      <c r="F4" s="163" t="s">
        <v>3</v>
      </c>
      <c r="G4" s="164" t="s">
        <v>66</v>
      </c>
      <c r="H4" s="165" t="s">
        <v>67</v>
      </c>
    </row>
    <row r="5" spans="2:8" x14ac:dyDescent="0.25">
      <c r="B5" s="168" t="s">
        <v>339</v>
      </c>
      <c r="C5" s="219">
        <v>0</v>
      </c>
      <c r="D5" s="219">
        <v>0</v>
      </c>
      <c r="E5" s="219">
        <v>0</v>
      </c>
      <c r="F5" s="219">
        <f>Batches_Run_in_2012*Solvent_per_Batch*Solvent_Density*(VOC_Content/100)*(1/2000)*VOC_Control_Multiplier</f>
        <v>0</v>
      </c>
      <c r="G5" s="219">
        <v>0</v>
      </c>
      <c r="H5" s="220">
        <v>0</v>
      </c>
    </row>
    <row r="6" spans="2:8" ht="13.8" thickBot="1" x14ac:dyDescent="0.3">
      <c r="B6" s="169" t="s">
        <v>338</v>
      </c>
      <c r="C6" s="160">
        <f>IF(Have_Boiler="No",0,IF(Fuel_Type="Electricity",0,Annual_Fuel_Combusted*VLOOKUP(Fuel_Type&amp;"CO",'Emission Factors'!$C$4:$E$24,2,FALSE)*(1/2000)))</f>
        <v>0</v>
      </c>
      <c r="D6" s="160">
        <f>IF(Have_Boiler="No",0,IF(Fuel_Type="Electricity",0,Annual_Fuel_Combusted*VLOOKUP(Fuel_Type&amp;"NOx",'Emission Factors'!$C$4:$E$24,2,FALSE)*(1/2000)))</f>
        <v>0</v>
      </c>
      <c r="E6" s="160">
        <f>IF(Have_Boiler="No",0,IF(Fuel_Type="Electricity",0,Annual_Fuel_Combusted*IF(Fuel_Type="Oil - Distillate",IF(Sulfur_Content_of_Fuel&lt;&gt;0,142*Sulfur_Content_of_Fuel,'Emission Factors'!$D$7),VLOOKUP(Fuel_Type&amp;"SO2",'Emission Factors'!$C$4:$E$24,2,0))*(1/2000)))</f>
        <v>0</v>
      </c>
      <c r="F6" s="160">
        <f>IF(Have_Boiler="No",0,IF(Fuel_Type="Electricity",0,Annual_Fuel_Combusted*VLOOKUP(Fuel_Type&amp;"VOC",'Emission Factors'!$C$4:$E$24,2,FALSE)*(1/2000)))</f>
        <v>0</v>
      </c>
      <c r="G6" s="221">
        <f>IF(Have_Boiler="No",0,IF(Fuel_Type="Electricity",0,Annual_Fuel_Combusted*VLOOKUP(Fuel_Type&amp;"PM10",'Emission Factors'!$C$4:$E$24,2,FALSE)*(1/2000)))</f>
        <v>0</v>
      </c>
      <c r="H6" s="222">
        <f>IF(Have_Boiler="No",0,IF(Fuel_Type="Electricity",0,Annual_Fuel_Combusted*VLOOKUP(Fuel_Type&amp;"PM2.5",'Emission Factors'!$C$4:$E$24,2,FALSE)*(1/2000)))</f>
        <v>0</v>
      </c>
    </row>
    <row r="7" spans="2:8" ht="13.8" thickBot="1" x14ac:dyDescent="0.3">
      <c r="B7" s="170" t="s">
        <v>341</v>
      </c>
      <c r="C7" s="171">
        <f>SUM(C5:C6)</f>
        <v>0</v>
      </c>
      <c r="D7" s="171">
        <f t="shared" ref="D7:H7" si="0">SUM(D5:D6)</f>
        <v>0</v>
      </c>
      <c r="E7" s="171">
        <f t="shared" si="0"/>
        <v>0</v>
      </c>
      <c r="F7" s="171">
        <f t="shared" si="0"/>
        <v>0</v>
      </c>
      <c r="G7" s="171">
        <f t="shared" si="0"/>
        <v>0</v>
      </c>
      <c r="H7" s="172">
        <f t="shared" si="0"/>
        <v>0</v>
      </c>
    </row>
    <row r="8" spans="2:8" ht="13.8" thickBot="1" x14ac:dyDescent="0.3">
      <c r="B8" s="161"/>
      <c r="C8" s="161"/>
      <c r="D8" s="161"/>
      <c r="E8" s="161"/>
      <c r="F8" s="161"/>
      <c r="G8" s="162"/>
      <c r="H8" s="162"/>
    </row>
    <row r="9" spans="2:8" ht="13.8" thickBot="1" x14ac:dyDescent="0.3">
      <c r="B9" s="364" t="s">
        <v>362</v>
      </c>
      <c r="C9" s="365"/>
      <c r="D9" s="365"/>
      <c r="E9" s="365"/>
      <c r="F9" s="365"/>
      <c r="G9" s="365"/>
      <c r="H9" s="366"/>
    </row>
    <row r="10" spans="2:8" ht="16.2" thickBot="1" x14ac:dyDescent="0.4">
      <c r="B10" s="156" t="s">
        <v>337</v>
      </c>
      <c r="C10" s="157" t="s">
        <v>63</v>
      </c>
      <c r="D10" s="157" t="s">
        <v>64</v>
      </c>
      <c r="E10" s="157" t="s">
        <v>65</v>
      </c>
      <c r="F10" s="157" t="s">
        <v>3</v>
      </c>
      <c r="G10" s="158" t="s">
        <v>66</v>
      </c>
      <c r="H10" s="159" t="s">
        <v>67</v>
      </c>
    </row>
    <row r="11" spans="2:8" x14ac:dyDescent="0.25">
      <c r="B11" s="168" t="s">
        <v>340</v>
      </c>
      <c r="C11" s="219">
        <v>0</v>
      </c>
      <c r="D11" s="219">
        <v>0</v>
      </c>
      <c r="E11" s="219">
        <v>0</v>
      </c>
      <c r="F11" s="219">
        <f>(Allowable_Hours_for_Solvent_Usage/Batch_Time_hr)*Simultaneous_Batches*Solvent_per_Batch*Allowable_Dry_Cleaning_Solvent_Density*(Allowable_Dry_Cleaning_Solvent_VOC_Content/100)*(1/2000)*IF('Controls and Restrictions'!$C$4="Carbon Adsorption",VOC_Control_Multiplier,1)</f>
        <v>0.97411200000000009</v>
      </c>
      <c r="G11" s="219">
        <v>0</v>
      </c>
      <c r="H11" s="220">
        <v>0</v>
      </c>
    </row>
    <row r="12" spans="2:8" ht="13.8" thickBot="1" x14ac:dyDescent="0.3">
      <c r="B12" s="169" t="s">
        <v>338</v>
      </c>
      <c r="C12" s="160">
        <f>IF(Have_Boiler="No",0,IF(Fuel_Type="Electricity",0,Boiler_Capacity*(1/VLOOKUP(Fuel_Type,'Fuel Energy Content'!$A$11:$C$13,2,0))*VLOOKUP(Fuel_Type&amp;"CO",'Emission Factors'!$C$4:$E$24,3,0)*Allowable_Hours_for_Boiler_Operation*(1/2000)))</f>
        <v>0</v>
      </c>
      <c r="D12" s="160">
        <f>IF(Have_Boiler="No",0,IF(Fuel_Type="Electricity",0,Boiler_Capacity*(1/VLOOKUP(Fuel_Type,'Fuel Energy Content'!$A$11:$C$13,2,0))*VLOOKUP(Fuel_Type&amp;"NOx",'Emission Factors'!$C$4:$E$24,3,0)*Allowable_Hours_for_Boiler_Operation*(1/2000)))</f>
        <v>0</v>
      </c>
      <c r="E12" s="160">
        <f>IF(Have_Boiler="No",0,IF(Fuel_Type="Electricity",0,Boiler_Capacity*(1/VLOOKUP(Fuel_Type,'Fuel Energy Content'!$A$11:$C$13,2,0))*VLOOKUP(Fuel_Type&amp;"SO2",'Emission Factors'!$C$4:$E$24,3,0)*Allowable_Hours_for_Boiler_Operation*(1/2000)))</f>
        <v>0</v>
      </c>
      <c r="F12" s="160">
        <f>IF(Have_Boiler="No",0,IF(Fuel_Type="Electricity",0,(Boiler_Capacity*(1/VLOOKUP(Fuel_Type,'Fuel Energy Content'!$A$11:$C$13,2,0))*VLOOKUP(Fuel_Type&amp;"VOC",'Emission Factors'!$C$4:$E$24,3,0)*Allowable_Hours_for_Boiler_Operation*(1/2000))))</f>
        <v>0</v>
      </c>
      <c r="G12" s="221">
        <f>IF(Have_Boiler="No",0,IF(Fuel_Type="Electricity",0,Boiler_Capacity*(1/VLOOKUP(Fuel_Type,'Fuel Energy Content'!$A$11:$C$13,2,0))*VLOOKUP(Fuel_Type&amp;"PM10",'Emission Factors'!$C$4:$E$24,3,0)*Allowable_Hours_for_Boiler_Operation*(1/2000)))</f>
        <v>0</v>
      </c>
      <c r="H12" s="222">
        <f>IF(Have_Boiler="No",0,IF(Fuel_Type="Electricity",0,Boiler_Capacity*(1/VLOOKUP(Fuel_Type,'Fuel Energy Content'!$A$11:$C$13,2,0))*VLOOKUP(Fuel_Type&amp;"PM2.5",'Emission Factors'!$C$4:$E$24,3,0)*Allowable_Hours_for_Boiler_Operation*(1/2000)))</f>
        <v>0</v>
      </c>
    </row>
    <row r="13" spans="2:8" ht="13.8" thickBot="1" x14ac:dyDescent="0.3">
      <c r="B13" s="170" t="s">
        <v>341</v>
      </c>
      <c r="C13" s="171">
        <f>SUM(C11:C12)</f>
        <v>0</v>
      </c>
      <c r="D13" s="171">
        <f t="shared" ref="D13:H13" si="1">SUM(D11:D12)</f>
        <v>0</v>
      </c>
      <c r="E13" s="171">
        <f t="shared" si="1"/>
        <v>0</v>
      </c>
      <c r="F13" s="171">
        <f t="shared" si="1"/>
        <v>0.97411200000000009</v>
      </c>
      <c r="G13" s="171">
        <f t="shared" si="1"/>
        <v>0</v>
      </c>
      <c r="H13" s="172">
        <f t="shared" si="1"/>
        <v>0</v>
      </c>
    </row>
  </sheetData>
  <sheetProtection password="C969" sheet="1" objects="1" scenarios="1"/>
  <mergeCells count="2">
    <mergeCell ref="B3:H3"/>
    <mergeCell ref="B9:H9"/>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B4 B9:B10"/>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2"/>
  <sheetViews>
    <sheetView showGridLines="0" zoomScaleNormal="100" workbookViewId="0">
      <selection sqref="A1:XFD1"/>
    </sheetView>
  </sheetViews>
  <sheetFormatPr defaultColWidth="3.33203125" defaultRowHeight="13.2" x14ac:dyDescent="0.25"/>
  <cols>
    <col min="1" max="1" width="16.109375" style="17" customWidth="1"/>
    <col min="2" max="2" width="4.6640625" style="17" customWidth="1"/>
    <col min="3" max="3" width="24.6640625" style="17" customWidth="1"/>
    <col min="4" max="4" width="5.5546875" style="17" customWidth="1"/>
    <col min="5" max="5" width="25.44140625" style="17" customWidth="1"/>
    <col min="6" max="6" width="32.44140625" style="17" customWidth="1"/>
    <col min="7" max="9" width="1.88671875" style="17" customWidth="1"/>
    <col min="10" max="10" width="3.109375" style="17" customWidth="1"/>
    <col min="11" max="11" width="16.6640625" style="44" hidden="1" customWidth="1"/>
    <col min="12" max="12" width="16.6640625" style="189" hidden="1" customWidth="1"/>
    <col min="13" max="13" width="18" style="189" hidden="1" customWidth="1"/>
    <col min="14" max="14" width="20.44140625" style="17" customWidth="1"/>
    <col min="15" max="58" width="1.88671875" style="17" customWidth="1"/>
    <col min="59" max="16384" width="3.33203125" style="17"/>
  </cols>
  <sheetData>
    <row r="1" spans="1:13" ht="24.75" customHeight="1" thickBot="1" x14ac:dyDescent="0.3"/>
    <row r="2" spans="1:13" ht="14.25" customHeight="1" x14ac:dyDescent="0.25">
      <c r="A2" s="19"/>
      <c r="B2" s="20"/>
      <c r="C2" s="20"/>
      <c r="D2" s="20"/>
      <c r="E2" s="20"/>
      <c r="F2" s="21"/>
    </row>
    <row r="3" spans="1:13" x14ac:dyDescent="0.25">
      <c r="A3" s="22" t="s">
        <v>30</v>
      </c>
      <c r="B3" s="136" t="str">
        <f>"  "&amp;Inputs!C4</f>
        <v xml:space="preserve">  Acme Dry Cleaning</v>
      </c>
      <c r="C3" s="136"/>
      <c r="E3" s="187" t="str">
        <f>"Facility Contact:"&amp;"  "&amp;Inputs!C11</f>
        <v>Facility Contact:  John Doe</v>
      </c>
      <c r="F3" s="23"/>
    </row>
    <row r="4" spans="1:13" ht="14.25" customHeight="1" x14ac:dyDescent="0.25">
      <c r="A4" s="22" t="s">
        <v>31</v>
      </c>
      <c r="B4" s="136" t="str">
        <f>"  "&amp;Inputs!C5</f>
        <v xml:space="preserve">  101 Acme Way</v>
      </c>
      <c r="C4" s="136"/>
      <c r="E4" s="187" t="str">
        <f>"              Phone:"&amp;"  "&amp;Inputs!C12</f>
        <v xml:space="preserve">              Phone:  555-555-5555</v>
      </c>
      <c r="F4" s="23"/>
    </row>
    <row r="5" spans="1:13" x14ac:dyDescent="0.25">
      <c r="A5" s="24"/>
      <c r="B5" s="136" t="str">
        <f>"  "&amp;Inputs!C6&amp;", "&amp;VLOOKUP(Inputs!C7,'EPA Regional Contact Info'!$A$5:$B$49,2,FALSE)&amp;" "&amp;Inputs!C8</f>
        <v xml:space="preserve">  Albuquerque, NM 87101</v>
      </c>
      <c r="C5" s="136"/>
      <c r="E5" s="187" t="str">
        <f>"               Email:"&amp;"  "&amp;Inputs!C13</f>
        <v xml:space="preserve">               Email:  john.doe@acme.com</v>
      </c>
      <c r="F5" s="23"/>
    </row>
    <row r="6" spans="1:13" ht="13.8" thickBot="1" x14ac:dyDescent="0.3">
      <c r="A6" s="31"/>
      <c r="B6" s="32"/>
      <c r="C6" s="32"/>
      <c r="D6" s="32"/>
      <c r="E6" s="32"/>
      <c r="F6" s="33"/>
    </row>
    <row r="7" spans="1:13" ht="18" customHeight="1" thickBot="1" x14ac:dyDescent="0.3">
      <c r="A7" s="367" t="s">
        <v>329</v>
      </c>
      <c r="B7" s="368"/>
      <c r="C7" s="368"/>
      <c r="D7" s="368"/>
      <c r="E7" s="368"/>
      <c r="F7" s="369"/>
    </row>
    <row r="8" spans="1:13" ht="15.75" customHeight="1" x14ac:dyDescent="0.25">
      <c r="A8" s="370" t="s">
        <v>0</v>
      </c>
      <c r="B8" s="373" t="s">
        <v>451</v>
      </c>
      <c r="C8" s="374"/>
      <c r="D8" s="48"/>
      <c r="E8" s="237"/>
      <c r="F8" s="34" t="s">
        <v>13</v>
      </c>
      <c r="K8" s="382" t="s">
        <v>356</v>
      </c>
      <c r="L8" s="29" t="s">
        <v>357</v>
      </c>
      <c r="M8" s="381" t="s">
        <v>359</v>
      </c>
    </row>
    <row r="9" spans="1:13" x14ac:dyDescent="0.25">
      <c r="A9" s="371"/>
      <c r="B9" s="373"/>
      <c r="C9" s="374"/>
      <c r="D9" s="375" t="s">
        <v>360</v>
      </c>
      <c r="E9" s="376"/>
      <c r="F9" s="34" t="s">
        <v>328</v>
      </c>
      <c r="K9" s="382"/>
      <c r="L9" s="29" t="s">
        <v>328</v>
      </c>
      <c r="M9" s="381"/>
    </row>
    <row r="10" spans="1:13" ht="13.8" thickBot="1" x14ac:dyDescent="0.3">
      <c r="A10" s="372"/>
      <c r="B10" s="377" t="s">
        <v>1</v>
      </c>
      <c r="C10" s="378"/>
      <c r="D10" s="379" t="s">
        <v>1</v>
      </c>
      <c r="E10" s="380"/>
      <c r="F10" s="25" t="s">
        <v>1</v>
      </c>
      <c r="K10" s="382"/>
      <c r="L10" s="188" t="s">
        <v>1</v>
      </c>
      <c r="M10" s="381"/>
    </row>
    <row r="11" spans="1:13" ht="5.25" customHeight="1" x14ac:dyDescent="0.25">
      <c r="A11" s="59"/>
      <c r="B11" s="60"/>
      <c r="C11" s="196"/>
      <c r="D11" s="61"/>
      <c r="E11" s="197"/>
      <c r="F11" s="62"/>
      <c r="L11" s="190"/>
    </row>
    <row r="12" spans="1:13" x14ac:dyDescent="0.25">
      <c r="A12" s="179" t="s">
        <v>63</v>
      </c>
      <c r="B12" s="45"/>
      <c r="C12" s="175">
        <f>'Total Emissions'!$C$7</f>
        <v>0</v>
      </c>
      <c r="D12" s="18"/>
      <c r="E12" s="176">
        <f>'Total Emissions'!$C$13</f>
        <v>0</v>
      </c>
      <c r="F12" s="184">
        <f>IF(Inputs!$C$28="Attainment",10,5)</f>
        <v>10</v>
      </c>
      <c r="K12" s="44">
        <f>IF(E12&gt;=F12,1,0)</f>
        <v>0</v>
      </c>
      <c r="L12" s="193">
        <f>IF(Inputs!$C$28="Attainment",250,IF(Inputs!$C$28="Nonattainment - moderate",100,50))</f>
        <v>250</v>
      </c>
      <c r="M12" s="189">
        <f>IF(E12&gt;=L12,1,0)</f>
        <v>0</v>
      </c>
    </row>
    <row r="13" spans="1:13" ht="5.25" customHeight="1" x14ac:dyDescent="0.25">
      <c r="A13" s="180"/>
      <c r="B13" s="63"/>
      <c r="C13" s="175"/>
      <c r="D13" s="177"/>
      <c r="E13" s="178"/>
      <c r="F13" s="184"/>
      <c r="L13" s="193"/>
    </row>
    <row r="14" spans="1:13" ht="15.75" customHeight="1" x14ac:dyDescent="0.35">
      <c r="A14" s="179" t="s">
        <v>64</v>
      </c>
      <c r="B14" s="45"/>
      <c r="C14" s="175">
        <f>'Total Emissions'!$D$7</f>
        <v>0</v>
      </c>
      <c r="D14" s="18"/>
      <c r="E14" s="176">
        <f>'Total Emissions'!D13</f>
        <v>0</v>
      </c>
      <c r="F14" s="184">
        <f>IF(Inputs!$C$30="Attainment",10,5)</f>
        <v>10</v>
      </c>
      <c r="K14" s="44">
        <f t="shared" ref="K14:K22" si="0">IF(E14&gt;=F14,1,0)</f>
        <v>0</v>
      </c>
      <c r="L14" s="193">
        <f>IF(Inputs!$C$30="Attainment",250,IF(Inputs!$C$30="Nonattainment - marginal",100,IF(Inputs!$C$30="Nonattainment - moderate",100,IF(Inputs!$C$30="Nonattainment - serious",50,IF(Inputs!$C$30="Nonattainment - severe",25,10)))))</f>
        <v>250</v>
      </c>
      <c r="M14" s="189">
        <f t="shared" ref="M14:M22" si="1">IF(E14&gt;=L14,1,0)</f>
        <v>0</v>
      </c>
    </row>
    <row r="15" spans="1:13" ht="5.25" customHeight="1" x14ac:dyDescent="0.25">
      <c r="A15" s="180"/>
      <c r="B15" s="63"/>
      <c r="C15" s="175"/>
      <c r="D15" s="18"/>
      <c r="E15" s="186"/>
      <c r="F15" s="184"/>
      <c r="L15" s="193"/>
    </row>
    <row r="16" spans="1:13" ht="15.6" x14ac:dyDescent="0.35">
      <c r="A16" s="179" t="s">
        <v>65</v>
      </c>
      <c r="B16" s="45"/>
      <c r="C16" s="175">
        <f>'Total Emissions'!$E$7</f>
        <v>0</v>
      </c>
      <c r="D16" s="18"/>
      <c r="E16" s="176">
        <f>'Total Emissions'!$E$13</f>
        <v>0</v>
      </c>
      <c r="F16" s="184">
        <f>IF(Inputs!$C$32="Attainment",10,5)</f>
        <v>10</v>
      </c>
      <c r="K16" s="44">
        <f t="shared" si="0"/>
        <v>0</v>
      </c>
      <c r="L16" s="193">
        <f>IF(Inputs!$C$32="Attainment",250,100)</f>
        <v>250</v>
      </c>
      <c r="M16" s="189">
        <f t="shared" si="1"/>
        <v>0</v>
      </c>
    </row>
    <row r="17" spans="1:13" ht="5.25" customHeight="1" x14ac:dyDescent="0.25">
      <c r="A17" s="181"/>
      <c r="B17" s="46"/>
      <c r="C17" s="175"/>
      <c r="D17" s="18"/>
      <c r="E17" s="186"/>
      <c r="F17" s="184"/>
      <c r="L17" s="193"/>
    </row>
    <row r="18" spans="1:13" x14ac:dyDescent="0.25">
      <c r="A18" s="179" t="s">
        <v>3</v>
      </c>
      <c r="B18" s="45"/>
      <c r="C18" s="175">
        <f>'Total Emissions'!$F$7</f>
        <v>0</v>
      </c>
      <c r="D18" s="18"/>
      <c r="E18" s="176">
        <f>'Total Emissions'!$F$13</f>
        <v>0.97411200000000009</v>
      </c>
      <c r="F18" s="184">
        <f>IF(Inputs!$C$30="Attainment",5,2)</f>
        <v>5</v>
      </c>
      <c r="K18" s="44">
        <f t="shared" si="0"/>
        <v>0</v>
      </c>
      <c r="L18" s="193">
        <f>IF(Inputs!$C$30="Attainment",250,IF(Inputs!$C$30="Nonattainment - marginal",100,IF(Inputs!$C$30="Nonattainment - moderate",100,IF(Inputs!$C$30="Nonattainment - serious",50,IF(Inputs!$C$30="Nonattainment - severe",25,10)))))</f>
        <v>250</v>
      </c>
      <c r="M18" s="189">
        <f t="shared" si="1"/>
        <v>0</v>
      </c>
    </row>
    <row r="19" spans="1:13" ht="5.25" customHeight="1" x14ac:dyDescent="0.25">
      <c r="A19" s="182"/>
      <c r="B19" s="64"/>
      <c r="C19" s="175"/>
      <c r="D19" s="18"/>
      <c r="E19" s="186"/>
      <c r="F19" s="184"/>
      <c r="L19" s="193"/>
    </row>
    <row r="20" spans="1:13" ht="15.6" x14ac:dyDescent="0.35">
      <c r="A20" s="179" t="s">
        <v>66</v>
      </c>
      <c r="B20" s="45"/>
      <c r="C20" s="175">
        <f>'Total Emissions'!$G$7</f>
        <v>0</v>
      </c>
      <c r="D20" s="18"/>
      <c r="E20" s="176">
        <f>'Total Emissions'!$G$13</f>
        <v>0</v>
      </c>
      <c r="F20" s="184">
        <f>IF(Inputs!$C$34="Attainment",5,1)</f>
        <v>5</v>
      </c>
      <c r="K20" s="44">
        <f t="shared" si="0"/>
        <v>0</v>
      </c>
      <c r="L20" s="193">
        <f>IF(Inputs!$C$34="Attainment",250,IF(Inputs!$C$34="Nonattainment - moderate",100,70))</f>
        <v>250</v>
      </c>
      <c r="M20" s="189">
        <f t="shared" si="1"/>
        <v>0</v>
      </c>
    </row>
    <row r="21" spans="1:13" ht="5.25" customHeight="1" x14ac:dyDescent="0.25">
      <c r="A21" s="180"/>
      <c r="B21" s="63"/>
      <c r="C21" s="175"/>
      <c r="D21" s="18"/>
      <c r="E21" s="186"/>
      <c r="F21" s="185"/>
      <c r="L21" s="194"/>
    </row>
    <row r="22" spans="1:13" ht="15.6" x14ac:dyDescent="0.35">
      <c r="A22" s="183" t="s">
        <v>67</v>
      </c>
      <c r="B22" s="65"/>
      <c r="C22" s="175">
        <f>'Total Emissions'!$H$7</f>
        <v>0</v>
      </c>
      <c r="D22" s="18"/>
      <c r="E22" s="176">
        <f>'Total Emissions'!$H$13</f>
        <v>0</v>
      </c>
      <c r="F22" s="184">
        <f>IF(Inputs!$C$36="Attainment",3,0.6)</f>
        <v>3</v>
      </c>
      <c r="K22" s="44">
        <f t="shared" si="0"/>
        <v>0</v>
      </c>
      <c r="L22" s="193">
        <f>IF(Inputs!$C$36="Attainment",250,100)</f>
        <v>250</v>
      </c>
      <c r="M22" s="189">
        <f t="shared" si="1"/>
        <v>0</v>
      </c>
    </row>
    <row r="23" spans="1:13" ht="5.25" customHeight="1" x14ac:dyDescent="0.25">
      <c r="A23" s="26"/>
      <c r="B23" s="47"/>
      <c r="C23" s="174"/>
      <c r="D23" s="18"/>
      <c r="E23" s="50"/>
      <c r="F23" s="27"/>
      <c r="L23" s="192"/>
    </row>
    <row r="24" spans="1:13" x14ac:dyDescent="0.25">
      <c r="A24" s="389" t="s">
        <v>29</v>
      </c>
      <c r="B24" s="390"/>
      <c r="C24" s="390"/>
      <c r="D24" s="390"/>
      <c r="E24" s="390"/>
      <c r="F24" s="391"/>
      <c r="L24" s="191"/>
    </row>
    <row r="25" spans="1:13" x14ac:dyDescent="0.25">
      <c r="A25" s="28"/>
      <c r="B25" s="29"/>
      <c r="C25" s="29"/>
      <c r="D25" s="29"/>
      <c r="E25" s="29"/>
      <c r="F25" s="66"/>
      <c r="L25" s="190"/>
    </row>
    <row r="26" spans="1:13" x14ac:dyDescent="0.25">
      <c r="A26" s="24"/>
      <c r="B26" s="18"/>
      <c r="C26" s="195">
        <v>100</v>
      </c>
      <c r="D26" s="16" t="s">
        <v>358</v>
      </c>
      <c r="E26" s="18"/>
      <c r="F26" s="66"/>
      <c r="G26" s="29"/>
      <c r="K26" s="17"/>
      <c r="L26" s="44"/>
    </row>
    <row r="27" spans="1:13" x14ac:dyDescent="0.25">
      <c r="A27" s="24"/>
      <c r="B27" s="18"/>
      <c r="C27" s="30">
        <v>50</v>
      </c>
      <c r="D27" s="16" t="s">
        <v>27</v>
      </c>
      <c r="E27" s="18"/>
      <c r="F27" s="23"/>
      <c r="L27" s="190"/>
    </row>
    <row r="28" spans="1:13" x14ac:dyDescent="0.25">
      <c r="A28" s="24"/>
      <c r="B28" s="18"/>
      <c r="C28" s="30">
        <v>0</v>
      </c>
      <c r="D28" s="16" t="s">
        <v>28</v>
      </c>
      <c r="E28" s="18"/>
      <c r="F28" s="23"/>
    </row>
    <row r="29" spans="1:13" ht="13.8" thickBot="1" x14ac:dyDescent="0.3">
      <c r="A29" s="31"/>
      <c r="B29" s="32"/>
      <c r="C29" s="32"/>
      <c r="D29" s="32"/>
      <c r="E29" s="32"/>
      <c r="F29" s="33"/>
    </row>
    <row r="30" spans="1:13" ht="22.5" customHeight="1" thickBot="1" x14ac:dyDescent="0.3">
      <c r="A30" s="392" t="str">
        <f>IF(OR($M$12=1,$M$14=1,$M$16=1,$M$18=1,$M$20=1,$M$22=1),"PLEASE CONSULT WITH YOUR EPA REGIONAL CONTACT LISTED BELOW",IF(OR(K12=1,K14=1,K16=1,K18=1,K20=1,K22=1),"YOU ARE REQUIRED TO REGISTER YOUR FACILITY UNDER THE TRIBAL NEW SOURCE REVIEW RULE","PLEASE SEE NOTE BELOW"))</f>
        <v>PLEASE SEE NOTE BELOW</v>
      </c>
      <c r="B30" s="393"/>
      <c r="C30" s="393"/>
      <c r="D30" s="393"/>
      <c r="E30" s="393"/>
      <c r="F30" s="394"/>
    </row>
    <row r="31" spans="1:13" x14ac:dyDescent="0.25">
      <c r="A31" s="19"/>
      <c r="B31" s="20"/>
      <c r="C31" s="20"/>
      <c r="D31" s="20"/>
      <c r="E31" s="20"/>
      <c r="F31" s="21"/>
    </row>
    <row r="32" spans="1:13" ht="164.25" customHeight="1" thickBot="1" x14ac:dyDescent="0.3">
      <c r="A32" s="383"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384"/>
      <c r="C32" s="384"/>
      <c r="D32" s="384"/>
      <c r="E32" s="384"/>
      <c r="F32" s="385"/>
    </row>
    <row r="33" spans="1:6" ht="15.75" customHeight="1" thickBot="1" x14ac:dyDescent="0.3">
      <c r="A33" s="386" t="str">
        <f>"U.S. Environmental Protection Agency Region "&amp;VLOOKUP(Inputs!$C$7,'EPA Regional Contact Info'!$A$5:$C$49,3,FALSE)&amp;" Contact"</f>
        <v>U.S. Environmental Protection Agency Region 6 Contact</v>
      </c>
      <c r="B33" s="387"/>
      <c r="C33" s="387"/>
      <c r="D33" s="387"/>
      <c r="E33" s="387"/>
      <c r="F33" s="388"/>
    </row>
    <row r="34" spans="1:6" ht="15.6" x14ac:dyDescent="0.3">
      <c r="A34" s="114"/>
      <c r="B34" s="115" t="s">
        <v>305</v>
      </c>
      <c r="C34" s="151"/>
      <c r="D34" s="149" t="str">
        <f>Inputs!C16</f>
        <v>Bonnie Braganza</v>
      </c>
      <c r="E34" s="151"/>
      <c r="F34" s="116"/>
    </row>
    <row r="35" spans="1:6" ht="15.6" x14ac:dyDescent="0.3">
      <c r="A35" s="117"/>
      <c r="B35" s="118" t="s">
        <v>306</v>
      </c>
      <c r="C35" s="152"/>
      <c r="D35" s="150" t="str">
        <f>Inputs!C22</f>
        <v>U.S. Environmental Protection Agency Region 6</v>
      </c>
      <c r="E35" s="152"/>
      <c r="F35" s="119"/>
    </row>
    <row r="36" spans="1:6" ht="15.6" x14ac:dyDescent="0.3">
      <c r="A36" s="117"/>
      <c r="B36" s="118"/>
      <c r="C36" s="152"/>
      <c r="D36" s="150" t="str">
        <f>Inputs!C23</f>
        <v>1445 Ross Avenue, Suite 1200</v>
      </c>
      <c r="E36" s="152"/>
      <c r="F36" s="119"/>
    </row>
    <row r="37" spans="1:6" ht="15.6" x14ac:dyDescent="0.3">
      <c r="A37" s="117"/>
      <c r="B37" s="118"/>
      <c r="C37" s="152"/>
      <c r="D37" s="150" t="str">
        <f>Inputs!C24</f>
        <v>MC: 6PD</v>
      </c>
      <c r="E37" s="152"/>
      <c r="F37" s="119"/>
    </row>
    <row r="38" spans="1:6" ht="15.6" x14ac:dyDescent="0.3">
      <c r="A38" s="117"/>
      <c r="B38" s="118"/>
      <c r="C38" s="152"/>
      <c r="D38" s="150" t="str">
        <f>Inputs!C25</f>
        <v>Dallas, TX 75202-2733</v>
      </c>
      <c r="E38" s="152"/>
      <c r="F38" s="119"/>
    </row>
    <row r="39" spans="1:6" ht="15.6" x14ac:dyDescent="0.3">
      <c r="A39" s="117"/>
      <c r="B39" s="118"/>
      <c r="C39" s="152"/>
      <c r="D39" s="150"/>
      <c r="E39" s="152"/>
      <c r="F39" s="119"/>
    </row>
    <row r="40" spans="1:6" ht="15.6" x14ac:dyDescent="0.3">
      <c r="A40" s="117"/>
      <c r="B40" s="118" t="s">
        <v>307</v>
      </c>
      <c r="C40" s="152"/>
      <c r="D40" s="150" t="str">
        <f>Inputs!C17</f>
        <v>214-665-7340</v>
      </c>
      <c r="E40" s="152"/>
      <c r="F40" s="119"/>
    </row>
    <row r="41" spans="1:6" ht="15.6" x14ac:dyDescent="0.3">
      <c r="A41" s="117"/>
      <c r="B41" s="118" t="s">
        <v>32</v>
      </c>
      <c r="C41" s="152"/>
      <c r="D41" s="150" t="str">
        <f>Inputs!C18</f>
        <v>braganza.bonnie@epa.gov</v>
      </c>
      <c r="E41" s="152"/>
      <c r="F41" s="119"/>
    </row>
    <row r="42" spans="1:6" ht="13.8" thickBot="1" x14ac:dyDescent="0.3">
      <c r="A42" s="120"/>
      <c r="B42" s="121"/>
      <c r="C42" s="121"/>
      <c r="D42" s="121"/>
      <c r="E42" s="121"/>
      <c r="F42" s="122"/>
    </row>
  </sheetData>
  <sheetProtection password="C969" sheet="1" objects="1" scenarios="1"/>
  <customSheetViews>
    <customSheetView guid="{8C263A95-99F9-4260-B64A-0E771D03F536}" showRuler="0">
      <selection sqref="A1:H1"/>
      <pageMargins left="0.5" right="0.5" top="0.5" bottom="0.5" header="0.25" footer="0.25"/>
      <printOptions gridLines="1"/>
      <pageSetup scale="95" orientation="landscape" horizontalDpi="4294967292" verticalDpi="300" r:id="rId1"/>
      <headerFooter alignWithMargins="0">
        <oddHeader>&amp;A</oddHeader>
        <oddFooter>Page &amp;P</oddFooter>
      </headerFooter>
    </customSheetView>
  </customSheetViews>
  <mergeCells count="12">
    <mergeCell ref="M8:M10"/>
    <mergeCell ref="K8:K10"/>
    <mergeCell ref="A32:F32"/>
    <mergeCell ref="A33:F33"/>
    <mergeCell ref="A24:F24"/>
    <mergeCell ref="A30:F30"/>
    <mergeCell ref="A7:F7"/>
    <mergeCell ref="A8:A10"/>
    <mergeCell ref="B8:C9"/>
    <mergeCell ref="D9:E9"/>
    <mergeCell ref="B10:C10"/>
    <mergeCell ref="D10:E10"/>
  </mergeCells>
  <phoneticPr fontId="0" type="noConversion"/>
  <conditionalFormatting sqref="A33 A32:F32">
    <cfRule type="expression" dxfId="7" priority="10">
      <formula>$A$30="PLEASE SEE NOTE BELOW"</formula>
    </cfRule>
  </conditionalFormatting>
  <conditionalFormatting sqref="A30:F30">
    <cfRule type="expression" dxfId="6" priority="9">
      <formula>$A$30="You are required to register your facility under the tribal new source review rule"</formula>
    </cfRule>
  </conditionalFormatting>
  <conditionalFormatting sqref="C27:C28">
    <cfRule type="iconSet" priority="34">
      <iconSet iconSet="3Symbols" showValue="0" reverse="1">
        <cfvo type="percent" val="0"/>
        <cfvo type="num" val="0" gte="0"/>
        <cfvo type="num" val="100"/>
      </iconSet>
    </cfRule>
  </conditionalFormatting>
  <conditionalFormatting sqref="C12 E12">
    <cfRule type="cellIs" dxfId="5" priority="55" operator="greaterThanOrEqual">
      <formula>$F$12</formula>
    </cfRule>
  </conditionalFormatting>
  <conditionalFormatting sqref="C14 E14">
    <cfRule type="cellIs" dxfId="4" priority="59" operator="greaterThanOrEqual">
      <formula>$F$14</formula>
    </cfRule>
  </conditionalFormatting>
  <conditionalFormatting sqref="C16 E16">
    <cfRule type="cellIs" dxfId="3" priority="63" operator="greaterThanOrEqual">
      <formula>$F$16</formula>
    </cfRule>
  </conditionalFormatting>
  <conditionalFormatting sqref="C18 E18">
    <cfRule type="cellIs" dxfId="2" priority="67" operator="greaterThanOrEqual">
      <formula>$F$18</formula>
    </cfRule>
  </conditionalFormatting>
  <conditionalFormatting sqref="C20 E20">
    <cfRule type="cellIs" dxfId="1" priority="71" operator="greaterThanOrEqual">
      <formula>$F$20</formula>
    </cfRule>
  </conditionalFormatting>
  <conditionalFormatting sqref="C22 E22">
    <cfRule type="cellIs" dxfId="0" priority="7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56">
      <iconSet iconSet="3Symbols" reverse="1">
        <cfvo type="percent" val="0"/>
        <cfvo type="formula" val="$F$12"/>
        <cfvo type="formula" val="$L$12"/>
      </iconSet>
    </cfRule>
  </conditionalFormatting>
  <conditionalFormatting sqref="E14">
    <cfRule type="iconSet" priority="60">
      <iconSet iconSet="3Symbols" reverse="1">
        <cfvo type="percent" val="0"/>
        <cfvo type="formula" val="$F$14"/>
        <cfvo type="formula" val="$L$14"/>
      </iconSet>
    </cfRule>
  </conditionalFormatting>
  <conditionalFormatting sqref="E16">
    <cfRule type="iconSet" priority="64">
      <iconSet iconSet="3Symbols" reverse="1">
        <cfvo type="percent" val="0"/>
        <cfvo type="formula" val="$F$16"/>
        <cfvo type="formula" val="$L$16"/>
      </iconSet>
    </cfRule>
  </conditionalFormatting>
  <conditionalFormatting sqref="E18">
    <cfRule type="iconSet" priority="68">
      <iconSet iconSet="3Symbols" reverse="1">
        <cfvo type="percent" val="0"/>
        <cfvo type="formula" val="$F$18"/>
        <cfvo type="formula" val="$L$18"/>
      </iconSet>
    </cfRule>
  </conditionalFormatting>
  <conditionalFormatting sqref="E20">
    <cfRule type="iconSet" priority="72">
      <iconSet iconSet="3Symbols" reverse="1">
        <cfvo type="percent" val="0"/>
        <cfvo type="formula" val="$F$20"/>
        <cfvo type="formula" val="$L$20"/>
      </iconSet>
    </cfRule>
  </conditionalFormatting>
  <conditionalFormatting sqref="E22">
    <cfRule type="iconSet" priority="7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horizontalDpi="1200" verticalDpi="1200" r:id="rId2"/>
  <headerFooter alignWithMargins="0">
    <oddHeader xml:space="preserve">&amp;C&amp;"Arial,Bold"&amp;14
Dry Cleaning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7"/>
  <sheetViews>
    <sheetView workbookViewId="0">
      <selection sqref="A1:F1"/>
    </sheetView>
  </sheetViews>
  <sheetFormatPr defaultRowHeight="13.2" x14ac:dyDescent="0.25"/>
  <cols>
    <col min="1" max="1" width="17.88671875" style="13" bestFit="1" customWidth="1"/>
    <col min="2" max="2" width="17.5546875" style="139" customWidth="1"/>
    <col min="3" max="3" width="34.33203125" customWidth="1"/>
    <col min="4" max="5" width="20" style="7" customWidth="1"/>
    <col min="6" max="6" width="25" style="7" customWidth="1"/>
    <col min="7" max="7" width="29.5546875" customWidth="1"/>
  </cols>
  <sheetData>
    <row r="1" spans="1:7" ht="17.399999999999999" x14ac:dyDescent="0.3">
      <c r="A1" s="396" t="s">
        <v>315</v>
      </c>
      <c r="B1" s="396"/>
      <c r="C1" s="396"/>
      <c r="D1" s="396"/>
      <c r="E1" s="396"/>
      <c r="F1" s="396"/>
    </row>
    <row r="2" spans="1:7" x14ac:dyDescent="0.25">
      <c r="A2" s="395" t="s">
        <v>474</v>
      </c>
      <c r="B2" s="395"/>
      <c r="C2" s="395"/>
      <c r="D2" s="395"/>
      <c r="E2" s="395"/>
      <c r="F2" s="395"/>
    </row>
    <row r="3" spans="1:7" ht="13.8" thickBot="1" x14ac:dyDescent="0.3"/>
    <row r="4" spans="1:7" ht="13.8" thickBot="1" x14ac:dyDescent="0.3">
      <c r="A4" s="278" t="s">
        <v>25</v>
      </c>
      <c r="B4" s="279" t="s">
        <v>21</v>
      </c>
      <c r="C4" s="280" t="s">
        <v>23</v>
      </c>
      <c r="D4" s="280" t="s">
        <v>22</v>
      </c>
      <c r="E4" s="267" t="s">
        <v>40</v>
      </c>
      <c r="F4" s="267" t="s">
        <v>42</v>
      </c>
      <c r="G4" s="281" t="s">
        <v>24</v>
      </c>
    </row>
    <row r="5" spans="1:7" ht="16.5" customHeight="1" x14ac:dyDescent="0.25">
      <c r="A5" s="282">
        <v>1</v>
      </c>
      <c r="B5" s="274" t="s">
        <v>115</v>
      </c>
      <c r="C5" s="275" t="s">
        <v>39</v>
      </c>
      <c r="D5" s="276" t="s">
        <v>111</v>
      </c>
      <c r="E5" s="276" t="s">
        <v>41</v>
      </c>
      <c r="F5" s="277" t="s">
        <v>113</v>
      </c>
      <c r="G5" s="283" t="s">
        <v>114</v>
      </c>
    </row>
    <row r="6" spans="1:7" ht="108" customHeight="1" x14ac:dyDescent="0.25">
      <c r="A6" s="284">
        <v>1.1000000000000001</v>
      </c>
      <c r="B6" s="137">
        <v>41274</v>
      </c>
      <c r="C6" s="40" t="s">
        <v>331</v>
      </c>
      <c r="D6" s="5" t="s">
        <v>330</v>
      </c>
      <c r="E6" s="52" t="s">
        <v>41</v>
      </c>
      <c r="F6" s="52" t="s">
        <v>111</v>
      </c>
      <c r="G6" s="285" t="s">
        <v>114</v>
      </c>
    </row>
    <row r="7" spans="1:7" ht="118.5" customHeight="1" x14ac:dyDescent="0.25">
      <c r="A7" s="286">
        <v>1.2</v>
      </c>
      <c r="B7" s="210" t="s">
        <v>408</v>
      </c>
      <c r="C7" s="42" t="s">
        <v>428</v>
      </c>
      <c r="D7" s="41" t="s">
        <v>111</v>
      </c>
      <c r="E7" s="41" t="s">
        <v>41</v>
      </c>
      <c r="F7" s="41" t="s">
        <v>330</v>
      </c>
      <c r="G7" s="285" t="s">
        <v>114</v>
      </c>
    </row>
    <row r="8" spans="1:7" ht="105.6" x14ac:dyDescent="0.25">
      <c r="A8" s="286">
        <v>1.3</v>
      </c>
      <c r="B8" s="223" t="s">
        <v>411</v>
      </c>
      <c r="C8" s="42" t="s">
        <v>429</v>
      </c>
      <c r="D8" s="41" t="s">
        <v>111</v>
      </c>
      <c r="E8" s="41" t="s">
        <v>41</v>
      </c>
      <c r="F8" s="41" t="s">
        <v>330</v>
      </c>
      <c r="G8" s="285" t="s">
        <v>114</v>
      </c>
    </row>
    <row r="9" spans="1:7" ht="27.75" customHeight="1" x14ac:dyDescent="0.25">
      <c r="A9" s="286">
        <v>1.4</v>
      </c>
      <c r="B9" s="210" t="s">
        <v>433</v>
      </c>
      <c r="C9" s="40" t="s">
        <v>434</v>
      </c>
      <c r="D9" s="52" t="s">
        <v>111</v>
      </c>
      <c r="E9" s="52" t="s">
        <v>41</v>
      </c>
      <c r="F9" s="52" t="s">
        <v>330</v>
      </c>
      <c r="G9" s="295" t="s">
        <v>114</v>
      </c>
    </row>
    <row r="10" spans="1:7" ht="29.25" customHeight="1" x14ac:dyDescent="0.25">
      <c r="A10" s="286">
        <v>1.5</v>
      </c>
      <c r="B10" s="210" t="s">
        <v>455</v>
      </c>
      <c r="C10" s="40" t="s">
        <v>448</v>
      </c>
      <c r="D10" s="52" t="s">
        <v>111</v>
      </c>
      <c r="E10" s="52" t="s">
        <v>41</v>
      </c>
      <c r="F10" s="52" t="s">
        <v>330</v>
      </c>
      <c r="G10" s="295" t="s">
        <v>114</v>
      </c>
    </row>
    <row r="11" spans="1:7" ht="27.75" customHeight="1" x14ac:dyDescent="0.25">
      <c r="A11" s="286">
        <v>1.6</v>
      </c>
      <c r="B11" s="223" t="s">
        <v>463</v>
      </c>
      <c r="C11" s="42" t="s">
        <v>464</v>
      </c>
      <c r="D11" s="41" t="s">
        <v>111</v>
      </c>
      <c r="E11" s="41" t="s">
        <v>41</v>
      </c>
      <c r="F11" s="41" t="s">
        <v>330</v>
      </c>
      <c r="G11" s="295" t="s">
        <v>114</v>
      </c>
    </row>
    <row r="12" spans="1:7" ht="30.75" customHeight="1" x14ac:dyDescent="0.25">
      <c r="A12" s="286">
        <v>1.7</v>
      </c>
      <c r="B12" s="223" t="s">
        <v>468</v>
      </c>
      <c r="C12" s="42" t="s">
        <v>469</v>
      </c>
      <c r="D12" s="41" t="s">
        <v>111</v>
      </c>
      <c r="E12" s="41" t="s">
        <v>41</v>
      </c>
      <c r="F12" s="41" t="s">
        <v>330</v>
      </c>
      <c r="G12" s="295" t="s">
        <v>114</v>
      </c>
    </row>
    <row r="13" spans="1:7" ht="16.5" customHeight="1" x14ac:dyDescent="0.25">
      <c r="A13" s="286">
        <v>1.8</v>
      </c>
      <c r="B13" s="223" t="s">
        <v>470</v>
      </c>
      <c r="C13" s="42" t="s">
        <v>471</v>
      </c>
      <c r="D13" s="41" t="s">
        <v>111</v>
      </c>
      <c r="E13" s="41" t="s">
        <v>41</v>
      </c>
      <c r="F13" s="41" t="s">
        <v>330</v>
      </c>
      <c r="G13" s="295" t="s">
        <v>114</v>
      </c>
    </row>
    <row r="14" spans="1:7" ht="24.75" customHeight="1" x14ac:dyDescent="0.25">
      <c r="A14" s="286">
        <v>1.9</v>
      </c>
      <c r="B14" s="223" t="s">
        <v>472</v>
      </c>
      <c r="C14" s="42" t="s">
        <v>473</v>
      </c>
      <c r="D14" s="41" t="s">
        <v>111</v>
      </c>
      <c r="E14" s="41" t="s">
        <v>41</v>
      </c>
      <c r="F14" s="41" t="s">
        <v>330</v>
      </c>
      <c r="G14" s="295" t="s">
        <v>114</v>
      </c>
    </row>
    <row r="15" spans="1:7" ht="16.5" customHeight="1" x14ac:dyDescent="0.25">
      <c r="A15" s="286"/>
      <c r="B15" s="138"/>
      <c r="C15" s="42"/>
      <c r="D15" s="41"/>
      <c r="E15" s="41"/>
      <c r="F15" s="41"/>
      <c r="G15" s="287"/>
    </row>
    <row r="16" spans="1:7" ht="16.5" customHeight="1" x14ac:dyDescent="0.25">
      <c r="A16" s="286"/>
      <c r="B16" s="138"/>
      <c r="C16" s="42"/>
      <c r="D16" s="41"/>
      <c r="E16" s="41"/>
      <c r="F16" s="41"/>
      <c r="G16" s="287"/>
    </row>
    <row r="17" spans="1:7" ht="16.5" customHeight="1" x14ac:dyDescent="0.25">
      <c r="A17" s="286"/>
      <c r="B17" s="138"/>
      <c r="C17" s="42"/>
      <c r="D17" s="41"/>
      <c r="E17" s="41"/>
      <c r="F17" s="41"/>
      <c r="G17" s="287"/>
    </row>
    <row r="18" spans="1:7" ht="16.5" customHeight="1" x14ac:dyDescent="0.25">
      <c r="A18" s="286"/>
      <c r="B18" s="138"/>
      <c r="C18" s="42"/>
      <c r="D18" s="41"/>
      <c r="E18" s="41"/>
      <c r="F18" s="41"/>
      <c r="G18" s="287"/>
    </row>
    <row r="19" spans="1:7" ht="16.5" customHeight="1" x14ac:dyDescent="0.25">
      <c r="A19" s="286"/>
      <c r="B19" s="138"/>
      <c r="C19" s="42"/>
      <c r="D19" s="41"/>
      <c r="E19" s="41"/>
      <c r="F19" s="41"/>
      <c r="G19" s="287"/>
    </row>
    <row r="20" spans="1:7" ht="16.5" customHeight="1" x14ac:dyDescent="0.25">
      <c r="A20" s="286"/>
      <c r="B20" s="138"/>
      <c r="C20" s="42"/>
      <c r="D20" s="41"/>
      <c r="E20" s="41"/>
      <c r="F20" s="41"/>
      <c r="G20" s="287"/>
    </row>
    <row r="21" spans="1:7" ht="16.5" customHeight="1" x14ac:dyDescent="0.25">
      <c r="A21" s="286"/>
      <c r="B21" s="138"/>
      <c r="C21" s="42"/>
      <c r="D21" s="41"/>
      <c r="E21" s="41"/>
      <c r="F21" s="41"/>
      <c r="G21" s="287"/>
    </row>
    <row r="22" spans="1:7" ht="16.5" customHeight="1" x14ac:dyDescent="0.25">
      <c r="A22" s="286"/>
      <c r="B22" s="138"/>
      <c r="C22" s="42"/>
      <c r="D22" s="41"/>
      <c r="E22" s="41"/>
      <c r="F22" s="41"/>
      <c r="G22" s="287"/>
    </row>
    <row r="23" spans="1:7" ht="16.5" customHeight="1" x14ac:dyDescent="0.25">
      <c r="A23" s="286"/>
      <c r="B23" s="138"/>
      <c r="C23" s="42"/>
      <c r="D23" s="41"/>
      <c r="E23" s="41"/>
      <c r="F23" s="41"/>
      <c r="G23" s="287"/>
    </row>
    <row r="24" spans="1:7" ht="16.5" customHeight="1" x14ac:dyDescent="0.25">
      <c r="A24" s="286"/>
      <c r="B24" s="138"/>
      <c r="C24" s="42"/>
      <c r="D24" s="41"/>
      <c r="E24" s="41"/>
      <c r="F24" s="41"/>
      <c r="G24" s="287"/>
    </row>
    <row r="25" spans="1:7" ht="16.5" customHeight="1" x14ac:dyDescent="0.25">
      <c r="A25" s="286"/>
      <c r="B25" s="138"/>
      <c r="C25" s="42"/>
      <c r="D25" s="41"/>
      <c r="E25" s="41"/>
      <c r="F25" s="41"/>
      <c r="G25" s="287"/>
    </row>
    <row r="26" spans="1:7" ht="16.5" customHeight="1" x14ac:dyDescent="0.25">
      <c r="A26" s="286"/>
      <c r="B26" s="138"/>
      <c r="C26" s="42"/>
      <c r="D26" s="41"/>
      <c r="E26" s="41"/>
      <c r="F26" s="41"/>
      <c r="G26" s="287"/>
    </row>
    <row r="27" spans="1:7" ht="13.8" thickBot="1" x14ac:dyDescent="0.3">
      <c r="A27" s="288"/>
      <c r="B27" s="289"/>
      <c r="C27" s="290"/>
      <c r="D27" s="291"/>
      <c r="E27" s="291"/>
      <c r="F27" s="291"/>
      <c r="G27" s="292"/>
    </row>
  </sheetData>
  <mergeCells count="2">
    <mergeCell ref="A2:F2"/>
    <mergeCell ref="A1:F1"/>
  </mergeCells>
  <hyperlinks>
    <hyperlink ref="G5" r:id="rId1"/>
    <hyperlink ref="G6" r:id="rId2"/>
    <hyperlink ref="G7" r:id="rId3"/>
    <hyperlink ref="G8" r:id="rId4"/>
    <hyperlink ref="G9" r:id="rId5"/>
    <hyperlink ref="G10" r:id="rId6"/>
    <hyperlink ref="G11" r:id="rId7"/>
    <hyperlink ref="G12" r:id="rId8"/>
    <hyperlink ref="G13" r:id="rId9"/>
    <hyperlink ref="G14" r:id="rId10"/>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24"/>
  <sheetViews>
    <sheetView zoomScaleNormal="100" workbookViewId="0">
      <pane ySplit="3" topLeftCell="A4" activePane="bottomLeft" state="frozen"/>
      <selection pane="bottomLeft" activeCell="A4" sqref="A4"/>
    </sheetView>
  </sheetViews>
  <sheetFormatPr defaultRowHeight="13.2" x14ac:dyDescent="0.25"/>
  <cols>
    <col min="1" max="1" width="34.44140625" style="3" customWidth="1"/>
    <col min="2" max="2" width="17" customWidth="1"/>
    <col min="3" max="3" width="34.33203125" customWidth="1"/>
    <col min="4" max="4" width="26" style="8" customWidth="1"/>
    <col min="5" max="5" width="29.109375" style="8" customWidth="1"/>
    <col min="6" max="6" width="17" customWidth="1"/>
    <col min="7" max="7" width="19.6640625" customWidth="1"/>
    <col min="8" max="8" width="40.6640625" customWidth="1"/>
  </cols>
  <sheetData>
    <row r="1" spans="1:8" ht="17.399999999999999" x14ac:dyDescent="0.3">
      <c r="A1" s="1" t="s">
        <v>33</v>
      </c>
    </row>
    <row r="2" spans="1:8" ht="13.8" thickBot="1" x14ac:dyDescent="0.3"/>
    <row r="3" spans="1:8" ht="13.8" thickBot="1" x14ac:dyDescent="0.3">
      <c r="A3" s="240" t="s">
        <v>54</v>
      </c>
      <c r="B3" s="241" t="s">
        <v>0</v>
      </c>
      <c r="C3" s="241" t="s">
        <v>34</v>
      </c>
      <c r="D3" s="242" t="s">
        <v>453</v>
      </c>
      <c r="E3" s="242" t="s">
        <v>454</v>
      </c>
      <c r="F3" s="241" t="s">
        <v>36</v>
      </c>
      <c r="G3" s="241" t="s">
        <v>35</v>
      </c>
      <c r="H3" s="243" t="s">
        <v>37</v>
      </c>
    </row>
    <row r="4" spans="1:8" x14ac:dyDescent="0.25">
      <c r="A4" s="244" t="s">
        <v>71</v>
      </c>
      <c r="B4" s="245" t="s">
        <v>3</v>
      </c>
      <c r="C4" s="245" t="str">
        <f t="shared" ref="C4:C24" si="0">A4&amp;B4</f>
        <v>Oil - DistillateVOC</v>
      </c>
      <c r="D4" s="246">
        <v>0.2</v>
      </c>
      <c r="E4" s="246">
        <f t="shared" ref="E4:E24" si="1">D4</f>
        <v>0.2</v>
      </c>
      <c r="F4" s="247" t="s">
        <v>38</v>
      </c>
      <c r="G4" s="247" t="s">
        <v>74</v>
      </c>
      <c r="H4" s="248" t="s">
        <v>75</v>
      </c>
    </row>
    <row r="5" spans="1:8" ht="15.6" x14ac:dyDescent="0.25">
      <c r="A5" s="12" t="s">
        <v>71</v>
      </c>
      <c r="B5" s="6" t="s">
        <v>76</v>
      </c>
      <c r="C5" s="4" t="str">
        <f t="shared" si="0"/>
        <v>Oil - DistillateNOx</v>
      </c>
      <c r="D5" s="9">
        <v>20</v>
      </c>
      <c r="E5" s="9">
        <f t="shared" si="1"/>
        <v>20</v>
      </c>
      <c r="F5" s="6" t="s">
        <v>38</v>
      </c>
      <c r="G5" s="6" t="s">
        <v>74</v>
      </c>
      <c r="H5" s="14" t="s">
        <v>75</v>
      </c>
    </row>
    <row r="6" spans="1:8" x14ac:dyDescent="0.25">
      <c r="A6" s="12" t="s">
        <v>71</v>
      </c>
      <c r="B6" s="6" t="s">
        <v>63</v>
      </c>
      <c r="C6" s="4" t="str">
        <f t="shared" si="0"/>
        <v>Oil - DistillateCO</v>
      </c>
      <c r="D6" s="9">
        <v>5</v>
      </c>
      <c r="E6" s="9">
        <f t="shared" si="1"/>
        <v>5</v>
      </c>
      <c r="F6" s="6" t="s">
        <v>38</v>
      </c>
      <c r="G6" s="6" t="s">
        <v>74</v>
      </c>
      <c r="H6" s="14" t="s">
        <v>75</v>
      </c>
    </row>
    <row r="7" spans="1:8" ht="15.6" x14ac:dyDescent="0.25">
      <c r="A7" s="12" t="s">
        <v>71</v>
      </c>
      <c r="B7" s="6" t="s">
        <v>77</v>
      </c>
      <c r="C7" s="4" t="str">
        <f t="shared" si="0"/>
        <v>Oil - DistillateSO2</v>
      </c>
      <c r="D7" s="10">
        <f>IF(Fuel_Type="Oil - Distillate",IF(Inputs!C53=0,142*'Additional References'!B6,142*Inputs!C53),142*Inputs!C53)</f>
        <v>71</v>
      </c>
      <c r="E7" s="9">
        <f>IF(D7&gt;142*Distillate_Oil_Allowable_Sulfur_Content,D7,142*Distillate_Oil_Allowable_Sulfur_Content)</f>
        <v>71</v>
      </c>
      <c r="F7" s="6" t="s">
        <v>38</v>
      </c>
      <c r="G7" s="6" t="s">
        <v>74</v>
      </c>
      <c r="H7" s="14" t="s">
        <v>75</v>
      </c>
    </row>
    <row r="8" spans="1:8" x14ac:dyDescent="0.25">
      <c r="A8" s="12" t="s">
        <v>71</v>
      </c>
      <c r="B8" s="6" t="s">
        <v>73</v>
      </c>
      <c r="C8" s="4" t="str">
        <f t="shared" si="0"/>
        <v>Oil - DistillateTotal PM</v>
      </c>
      <c r="D8" s="9">
        <v>4.5999999999999996</v>
      </c>
      <c r="E8" s="9">
        <f t="shared" si="1"/>
        <v>4.5999999999999996</v>
      </c>
      <c r="F8" s="6" t="s">
        <v>38</v>
      </c>
      <c r="G8" s="6" t="s">
        <v>74</v>
      </c>
      <c r="H8" s="14" t="s">
        <v>75</v>
      </c>
    </row>
    <row r="9" spans="1:8" ht="15.6" x14ac:dyDescent="0.25">
      <c r="A9" s="12" t="s">
        <v>71</v>
      </c>
      <c r="B9" s="6" t="s">
        <v>78</v>
      </c>
      <c r="C9" s="4" t="str">
        <f t="shared" si="0"/>
        <v>Oil - DistillatePM10</v>
      </c>
      <c r="D9" s="9">
        <v>2.2999999999999998</v>
      </c>
      <c r="E9" s="9">
        <f t="shared" si="1"/>
        <v>2.2999999999999998</v>
      </c>
      <c r="F9" s="6" t="s">
        <v>38</v>
      </c>
      <c r="G9" s="6" t="s">
        <v>74</v>
      </c>
      <c r="H9" s="14" t="s">
        <v>75</v>
      </c>
    </row>
    <row r="10" spans="1:8" ht="15.6" x14ac:dyDescent="0.25">
      <c r="A10" s="12" t="s">
        <v>71</v>
      </c>
      <c r="B10" s="6" t="s">
        <v>79</v>
      </c>
      <c r="C10" s="4" t="str">
        <f t="shared" si="0"/>
        <v>Oil - DistillatePM2.5</v>
      </c>
      <c r="D10" s="9">
        <v>1.55</v>
      </c>
      <c r="E10" s="9">
        <f t="shared" si="1"/>
        <v>1.55</v>
      </c>
      <c r="F10" s="6" t="s">
        <v>38</v>
      </c>
      <c r="G10" s="6" t="s">
        <v>74</v>
      </c>
      <c r="H10" s="14" t="s">
        <v>75</v>
      </c>
    </row>
    <row r="11" spans="1:8" x14ac:dyDescent="0.25">
      <c r="A11" s="12" t="s">
        <v>69</v>
      </c>
      <c r="B11" s="4" t="s">
        <v>3</v>
      </c>
      <c r="C11" s="4" t="str">
        <f t="shared" si="0"/>
        <v>Natural GasVOC</v>
      </c>
      <c r="D11" s="9">
        <v>5.5</v>
      </c>
      <c r="E11" s="9">
        <f t="shared" si="1"/>
        <v>5.5</v>
      </c>
      <c r="F11" s="6" t="s">
        <v>38</v>
      </c>
      <c r="G11" s="6" t="s">
        <v>465</v>
      </c>
      <c r="H11" s="14" t="s">
        <v>75</v>
      </c>
    </row>
    <row r="12" spans="1:8" ht="15.6" x14ac:dyDescent="0.25">
      <c r="A12" s="12" t="s">
        <v>69</v>
      </c>
      <c r="B12" s="6" t="s">
        <v>76</v>
      </c>
      <c r="C12" s="4" t="str">
        <f t="shared" si="0"/>
        <v>Natural GasNOx</v>
      </c>
      <c r="D12" s="9">
        <v>100</v>
      </c>
      <c r="E12" s="9">
        <f t="shared" si="1"/>
        <v>100</v>
      </c>
      <c r="F12" s="6" t="s">
        <v>38</v>
      </c>
      <c r="G12" s="6" t="s">
        <v>465</v>
      </c>
      <c r="H12" s="14" t="s">
        <v>75</v>
      </c>
    </row>
    <row r="13" spans="1:8" x14ac:dyDescent="0.25">
      <c r="A13" s="12" t="s">
        <v>69</v>
      </c>
      <c r="B13" s="6" t="s">
        <v>63</v>
      </c>
      <c r="C13" s="4" t="str">
        <f t="shared" si="0"/>
        <v>Natural GasCO</v>
      </c>
      <c r="D13" s="9">
        <v>84</v>
      </c>
      <c r="E13" s="9">
        <f t="shared" si="1"/>
        <v>84</v>
      </c>
      <c r="F13" s="6" t="s">
        <v>38</v>
      </c>
      <c r="G13" s="6" t="s">
        <v>465</v>
      </c>
      <c r="H13" s="14" t="s">
        <v>75</v>
      </c>
    </row>
    <row r="14" spans="1:8" ht="15.6" x14ac:dyDescent="0.25">
      <c r="A14" s="12" t="s">
        <v>69</v>
      </c>
      <c r="B14" s="6" t="s">
        <v>77</v>
      </c>
      <c r="C14" s="4" t="str">
        <f t="shared" si="0"/>
        <v>Natural GasSO2</v>
      </c>
      <c r="D14" s="9">
        <v>0.6</v>
      </c>
      <c r="E14" s="9">
        <f>D14*Natural_Gas_Allowable_Sulfur_Content/Natural_Gas_Actual_Sulfur_Content</f>
        <v>143.99999999999997</v>
      </c>
      <c r="F14" s="6" t="s">
        <v>38</v>
      </c>
      <c r="G14" s="6" t="s">
        <v>465</v>
      </c>
      <c r="H14" s="14" t="s">
        <v>75</v>
      </c>
    </row>
    <row r="15" spans="1:8" x14ac:dyDescent="0.25">
      <c r="A15" s="12" t="s">
        <v>69</v>
      </c>
      <c r="B15" s="6" t="s">
        <v>73</v>
      </c>
      <c r="C15" s="4" t="str">
        <f t="shared" si="0"/>
        <v>Natural GasTotal PM</v>
      </c>
      <c r="D15" s="67">
        <v>0.52</v>
      </c>
      <c r="E15" s="9">
        <f t="shared" si="1"/>
        <v>0.52</v>
      </c>
      <c r="F15" s="6" t="s">
        <v>38</v>
      </c>
      <c r="G15" s="6" t="s">
        <v>465</v>
      </c>
      <c r="H15" s="14" t="s">
        <v>75</v>
      </c>
    </row>
    <row r="16" spans="1:8" ht="15.6" x14ac:dyDescent="0.25">
      <c r="A16" s="12" t="s">
        <v>69</v>
      </c>
      <c r="B16" s="6" t="s">
        <v>78</v>
      </c>
      <c r="C16" s="4" t="str">
        <f t="shared" si="0"/>
        <v>Natural GasPM10</v>
      </c>
      <c r="D16" s="9">
        <v>0.52</v>
      </c>
      <c r="E16" s="9">
        <f t="shared" si="1"/>
        <v>0.52</v>
      </c>
      <c r="F16" s="6" t="s">
        <v>38</v>
      </c>
      <c r="G16" s="6" t="s">
        <v>465</v>
      </c>
      <c r="H16" s="14" t="s">
        <v>75</v>
      </c>
    </row>
    <row r="17" spans="1:8" ht="15.6" x14ac:dyDescent="0.25">
      <c r="A17" s="12" t="s">
        <v>69</v>
      </c>
      <c r="B17" s="6" t="s">
        <v>79</v>
      </c>
      <c r="C17" s="4" t="str">
        <f t="shared" si="0"/>
        <v>Natural GasPM2.5</v>
      </c>
      <c r="D17" s="9">
        <v>0.43</v>
      </c>
      <c r="E17" s="9">
        <f t="shared" si="1"/>
        <v>0.43</v>
      </c>
      <c r="F17" s="6" t="s">
        <v>38</v>
      </c>
      <c r="G17" s="6" t="s">
        <v>465</v>
      </c>
      <c r="H17" s="14" t="s">
        <v>75</v>
      </c>
    </row>
    <row r="18" spans="1:8" x14ac:dyDescent="0.25">
      <c r="A18" s="12" t="s">
        <v>70</v>
      </c>
      <c r="B18" s="4" t="s">
        <v>3</v>
      </c>
      <c r="C18" s="4" t="str">
        <f t="shared" si="0"/>
        <v>LPGVOC</v>
      </c>
      <c r="D18" s="9">
        <v>0.52</v>
      </c>
      <c r="E18" s="9">
        <f t="shared" si="1"/>
        <v>0.52</v>
      </c>
      <c r="F18" s="6" t="s">
        <v>38</v>
      </c>
      <c r="G18" s="6" t="s">
        <v>74</v>
      </c>
      <c r="H18" s="14" t="s">
        <v>75</v>
      </c>
    </row>
    <row r="19" spans="1:8" ht="15.6" x14ac:dyDescent="0.25">
      <c r="A19" s="12" t="s">
        <v>70</v>
      </c>
      <c r="B19" s="6" t="s">
        <v>76</v>
      </c>
      <c r="C19" s="4" t="str">
        <f t="shared" si="0"/>
        <v>LPGNOx</v>
      </c>
      <c r="D19" s="9">
        <v>14.23</v>
      </c>
      <c r="E19" s="9">
        <f t="shared" si="1"/>
        <v>14.23</v>
      </c>
      <c r="F19" s="6" t="s">
        <v>38</v>
      </c>
      <c r="G19" s="6" t="s">
        <v>74</v>
      </c>
      <c r="H19" s="14" t="s">
        <v>75</v>
      </c>
    </row>
    <row r="20" spans="1:8" x14ac:dyDescent="0.25">
      <c r="A20" s="12" t="s">
        <v>70</v>
      </c>
      <c r="B20" s="6" t="s">
        <v>63</v>
      </c>
      <c r="C20" s="4" t="str">
        <f t="shared" si="0"/>
        <v>LPGCO</v>
      </c>
      <c r="D20" s="9">
        <v>7.97</v>
      </c>
      <c r="E20" s="9">
        <f t="shared" si="1"/>
        <v>7.97</v>
      </c>
      <c r="F20" s="6" t="s">
        <v>38</v>
      </c>
      <c r="G20" s="6" t="s">
        <v>74</v>
      </c>
      <c r="H20" s="14" t="s">
        <v>75</v>
      </c>
    </row>
    <row r="21" spans="1:8" ht="15.6" x14ac:dyDescent="0.25">
      <c r="A21" s="12" t="s">
        <v>70</v>
      </c>
      <c r="B21" s="6" t="s">
        <v>77</v>
      </c>
      <c r="C21" s="4" t="str">
        <f t="shared" si="0"/>
        <v>LPGSO2</v>
      </c>
      <c r="D21" s="9">
        <v>0.06</v>
      </c>
      <c r="E21" s="9">
        <f>D21*LPG_Allowable_Sulfur_Content/LPG_Actual_Sulfur_Content</f>
        <v>14.399999999999999</v>
      </c>
      <c r="F21" s="6" t="s">
        <v>38</v>
      </c>
      <c r="G21" s="6" t="s">
        <v>74</v>
      </c>
      <c r="H21" s="14" t="s">
        <v>75</v>
      </c>
    </row>
    <row r="22" spans="1:8" x14ac:dyDescent="0.25">
      <c r="A22" s="12" t="s">
        <v>70</v>
      </c>
      <c r="B22" s="6" t="s">
        <v>73</v>
      </c>
      <c r="C22" s="4" t="str">
        <f t="shared" si="0"/>
        <v>LPGTotal PM</v>
      </c>
      <c r="D22" s="67">
        <v>0.05</v>
      </c>
      <c r="E22" s="9">
        <f t="shared" si="1"/>
        <v>0.05</v>
      </c>
      <c r="F22" s="6" t="s">
        <v>38</v>
      </c>
      <c r="G22" s="6" t="s">
        <v>74</v>
      </c>
      <c r="H22" s="14" t="s">
        <v>75</v>
      </c>
    </row>
    <row r="23" spans="1:8" ht="15.6" x14ac:dyDescent="0.25">
      <c r="A23" s="12" t="s">
        <v>70</v>
      </c>
      <c r="B23" s="6" t="s">
        <v>78</v>
      </c>
      <c r="C23" s="4" t="str">
        <f t="shared" si="0"/>
        <v>LPGPM10</v>
      </c>
      <c r="D23" s="9">
        <v>0.05</v>
      </c>
      <c r="E23" s="9">
        <f t="shared" si="1"/>
        <v>0.05</v>
      </c>
      <c r="F23" s="6" t="s">
        <v>38</v>
      </c>
      <c r="G23" s="6" t="s">
        <v>74</v>
      </c>
      <c r="H23" s="14" t="s">
        <v>75</v>
      </c>
    </row>
    <row r="24" spans="1:8" ht="16.2" thickBot="1" x14ac:dyDescent="0.3">
      <c r="A24" s="249" t="s">
        <v>70</v>
      </c>
      <c r="B24" s="250" t="s">
        <v>79</v>
      </c>
      <c r="C24" s="251" t="str">
        <f t="shared" si="0"/>
        <v>LPGPM2.5</v>
      </c>
      <c r="D24" s="252">
        <v>0.04</v>
      </c>
      <c r="E24" s="252">
        <f t="shared" si="1"/>
        <v>0.04</v>
      </c>
      <c r="F24" s="250" t="s">
        <v>38</v>
      </c>
      <c r="G24" s="250" t="s">
        <v>74</v>
      </c>
      <c r="H24" s="253" t="s">
        <v>75</v>
      </c>
    </row>
  </sheetData>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
  <sheetViews>
    <sheetView workbookViewId="0"/>
  </sheetViews>
  <sheetFormatPr defaultRowHeight="13.2" x14ac:dyDescent="0.25"/>
  <cols>
    <col min="1" max="1" width="19.88671875" bestFit="1" customWidth="1"/>
    <col min="2" max="2" width="15" bestFit="1" customWidth="1"/>
    <col min="3" max="3" width="25.5546875" bestFit="1" customWidth="1"/>
    <col min="4" max="4" width="27.6640625" bestFit="1" customWidth="1"/>
    <col min="5" max="5" width="228.109375" bestFit="1" customWidth="1"/>
  </cols>
  <sheetData>
    <row r="1" spans="1:5" ht="17.399999999999999" x14ac:dyDescent="0.3">
      <c r="A1" s="1" t="s">
        <v>89</v>
      </c>
      <c r="C1" s="7"/>
      <c r="D1" s="7"/>
    </row>
    <row r="2" spans="1:5" ht="13.8" thickBot="1" x14ac:dyDescent="0.3">
      <c r="C2" s="7"/>
      <c r="D2" s="7"/>
    </row>
    <row r="3" spans="1:5" ht="13.8" thickBot="1" x14ac:dyDescent="0.3">
      <c r="A3" s="397" t="s">
        <v>88</v>
      </c>
      <c r="B3" s="398"/>
      <c r="C3" s="398"/>
      <c r="D3" s="398"/>
      <c r="E3" s="399"/>
    </row>
    <row r="4" spans="1:5" x14ac:dyDescent="0.25">
      <c r="A4" s="269" t="s">
        <v>90</v>
      </c>
      <c r="B4" s="270" t="s">
        <v>91</v>
      </c>
      <c r="C4" s="271" t="s">
        <v>92</v>
      </c>
      <c r="D4" s="271" t="s">
        <v>93</v>
      </c>
      <c r="E4" s="272" t="s">
        <v>37</v>
      </c>
    </row>
    <row r="5" spans="1:5" x14ac:dyDescent="0.25">
      <c r="A5" s="12" t="s">
        <v>70</v>
      </c>
      <c r="B5" s="68">
        <v>3.8492000000000002</v>
      </c>
      <c r="C5" s="11" t="s">
        <v>81</v>
      </c>
      <c r="D5" s="11" t="s">
        <v>82</v>
      </c>
      <c r="E5" s="69" t="s">
        <v>83</v>
      </c>
    </row>
    <row r="6" spans="1:5" ht="15.6" x14ac:dyDescent="0.25">
      <c r="A6" s="12" t="s">
        <v>69</v>
      </c>
      <c r="B6" s="68">
        <v>1023</v>
      </c>
      <c r="C6" s="11" t="s">
        <v>84</v>
      </c>
      <c r="D6" s="11" t="s">
        <v>85</v>
      </c>
      <c r="E6" s="69" t="s">
        <v>86</v>
      </c>
    </row>
    <row r="7" spans="1:5" ht="13.8" thickBot="1" x14ac:dyDescent="0.3">
      <c r="A7" s="249" t="s">
        <v>71</v>
      </c>
      <c r="B7" s="254">
        <v>5.8250000000000002</v>
      </c>
      <c r="C7" s="255" t="s">
        <v>81</v>
      </c>
      <c r="D7" s="255" t="s">
        <v>82</v>
      </c>
      <c r="E7" s="257" t="s">
        <v>87</v>
      </c>
    </row>
    <row r="8" spans="1:5" ht="13.8" thickBot="1" x14ac:dyDescent="0.3">
      <c r="A8" s="2"/>
      <c r="C8" s="7"/>
      <c r="D8" s="7"/>
    </row>
    <row r="9" spans="1:5" ht="13.8" thickBot="1" x14ac:dyDescent="0.3">
      <c r="A9" s="397" t="s">
        <v>94</v>
      </c>
      <c r="B9" s="398"/>
      <c r="C9" s="398"/>
      <c r="D9" s="399"/>
    </row>
    <row r="10" spans="1:5" x14ac:dyDescent="0.25">
      <c r="A10" s="269" t="s">
        <v>90</v>
      </c>
      <c r="B10" s="270" t="s">
        <v>91</v>
      </c>
      <c r="C10" s="271" t="s">
        <v>92</v>
      </c>
      <c r="D10" s="273" t="s">
        <v>93</v>
      </c>
      <c r="E10" s="70"/>
    </row>
    <row r="11" spans="1:5" x14ac:dyDescent="0.25">
      <c r="A11" s="12" t="s">
        <v>70</v>
      </c>
      <c r="B11" s="68">
        <f>3.86*1000/42</f>
        <v>91.904761904761898</v>
      </c>
      <c r="C11" s="11" t="s">
        <v>81</v>
      </c>
      <c r="D11" s="71" t="s">
        <v>74</v>
      </c>
    </row>
    <row r="12" spans="1:5" x14ac:dyDescent="0.25">
      <c r="A12" s="12" t="s">
        <v>69</v>
      </c>
      <c r="B12" s="68">
        <f>B6</f>
        <v>1023</v>
      </c>
      <c r="C12" s="11" t="s">
        <v>81</v>
      </c>
      <c r="D12" s="71" t="s">
        <v>80</v>
      </c>
    </row>
    <row r="13" spans="1:5" ht="13.8" thickBot="1" x14ac:dyDescent="0.3">
      <c r="A13" s="249" t="s">
        <v>71</v>
      </c>
      <c r="B13" s="254">
        <f>B7*1000/42</f>
        <v>138.6904761904762</v>
      </c>
      <c r="C13" s="255" t="s">
        <v>81</v>
      </c>
      <c r="D13" s="256" t="s">
        <v>74</v>
      </c>
    </row>
    <row r="14" spans="1:5" x14ac:dyDescent="0.25">
      <c r="C14" s="7"/>
      <c r="D14" s="7"/>
    </row>
  </sheetData>
  <mergeCells count="2">
    <mergeCell ref="A3:E3"/>
    <mergeCell ref="A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34</vt:i4>
      </vt:variant>
    </vt:vector>
  </HeadingPairs>
  <TitlesOfParts>
    <vt:vector size="45" baseType="lpstr">
      <vt:lpstr>Registration FAQs</vt:lpstr>
      <vt:lpstr>Instructions</vt:lpstr>
      <vt:lpstr>Inputs</vt:lpstr>
      <vt:lpstr>Controls and Restrictions</vt:lpstr>
      <vt:lpstr>Total Emissions</vt:lpstr>
      <vt:lpstr>Output-Summary Printout</vt:lpstr>
      <vt:lpstr>Change Log</vt:lpstr>
      <vt:lpstr>Emission Factors</vt:lpstr>
      <vt:lpstr>Fuel Energy Content</vt:lpstr>
      <vt:lpstr>Additional References</vt:lpstr>
      <vt:lpstr>EPA Regional Contact Info</vt:lpstr>
      <vt:lpstr>Allowable_Dry_Cleaning_Solvent_Density</vt:lpstr>
      <vt:lpstr>Allowable_Dry_Cleaning_Solvent_VOC_Content</vt:lpstr>
      <vt:lpstr>Allowable_Hours_for_Boiler_Operation</vt:lpstr>
      <vt:lpstr>Allowable_Hours_for_Solvent_Usage</vt:lpstr>
      <vt:lpstr>Annual_Fuel_Combusted</vt:lpstr>
      <vt:lpstr>Batch_Time_hr</vt:lpstr>
      <vt:lpstr>Batches_Run_in_2012</vt:lpstr>
      <vt:lpstr>Boiler_Capacity</vt:lpstr>
      <vt:lpstr>Boiler_Fuel_Type_List</vt:lpstr>
      <vt:lpstr>CO_PM10_Attainment_List</vt:lpstr>
      <vt:lpstr>Control_Device_List</vt:lpstr>
      <vt:lpstr>Distillate_Oil_Allowable_Sulfur_Content</vt:lpstr>
      <vt:lpstr>Fuel_Type</vt:lpstr>
      <vt:lpstr>Have_Boiler</vt:lpstr>
      <vt:lpstr>LPG_Actual_Sulfur_Content</vt:lpstr>
      <vt:lpstr>LPG_Allowable_Sulfur_Content</vt:lpstr>
      <vt:lpstr>Natural_Gas_Actual_Sulfur_Content</vt:lpstr>
      <vt:lpstr>Natural_Gas_Allowable_Sulfur_Content</vt:lpstr>
      <vt:lpstr>Ozone_Attainment_List</vt:lpstr>
      <vt:lpstr>Inputs!Print_Area</vt:lpstr>
      <vt:lpstr>Instructions!Print_Area</vt:lpstr>
      <vt:lpstr>'Output-Summary Printout'!Print_Area</vt:lpstr>
      <vt:lpstr>'Registration FAQs'!Print_Area</vt:lpstr>
      <vt:lpstr>Simultaneous_Batches</vt:lpstr>
      <vt:lpstr>SO2_PM25_Attainment_List</vt:lpstr>
      <vt:lpstr>Solvent_Density</vt:lpstr>
      <vt:lpstr>Solvent_per_Batch</vt:lpstr>
      <vt:lpstr>State_List</vt:lpstr>
      <vt:lpstr>Sulfur_Content_of_Fuel</vt:lpstr>
      <vt:lpstr>VOC_Content</vt:lpstr>
      <vt:lpstr>VOC_Control_Efficiency</vt:lpstr>
      <vt:lpstr>VOC_Control_Multiplier</vt:lpstr>
      <vt:lpstr>Yes_No_Boiler_List</vt:lpstr>
      <vt:lpstr>Yes_No_Controls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2013-02-02T15:05:24Z</cp:lastPrinted>
  <dcterms:created xsi:type="dcterms:W3CDTF">1999-01-25T20:14:01Z</dcterms:created>
  <dcterms:modified xsi:type="dcterms:W3CDTF">2016-02-03T17:53:22Z</dcterms:modified>
</cp:coreProperties>
</file>