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DDIXON\Desktop\"/>
    </mc:Choice>
  </mc:AlternateContent>
  <bookViews>
    <workbookView xWindow="120" yWindow="96" windowWidth="26220" windowHeight="14496" firstSheet="1" activeTab="3"/>
  </bookViews>
  <sheets>
    <sheet name="Inputs" sheetId="1" r:id="rId1"/>
    <sheet name="Output" sheetId="4" r:id="rId2"/>
    <sheet name="Emission Factors" sheetId="2" r:id="rId3"/>
    <sheet name="Emissions" sheetId="3" r:id="rId4"/>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B57" i="1" l="1"/>
  <c r="D33" i="3" s="1"/>
  <c r="F11" i="1"/>
  <c r="F12" i="1"/>
  <c r="B25" i="2"/>
  <c r="C25" i="2"/>
  <c r="E23" i="2"/>
  <c r="E22" i="2"/>
  <c r="C23" i="2"/>
  <c r="C22" i="2"/>
  <c r="B23" i="2"/>
  <c r="B22" i="2"/>
  <c r="D21" i="3"/>
  <c r="D22" i="3"/>
  <c r="D23" i="3"/>
  <c r="D24" i="3"/>
  <c r="D25" i="3"/>
  <c r="D26" i="3"/>
  <c r="D27" i="3"/>
  <c r="D28" i="3"/>
  <c r="D20" i="3"/>
  <c r="H20" i="2"/>
  <c r="G20" i="2"/>
  <c r="F20" i="2"/>
  <c r="E20" i="2"/>
  <c r="D20" i="2"/>
  <c r="C20" i="2"/>
  <c r="B20" i="2"/>
  <c r="H19" i="2"/>
  <c r="G19" i="2"/>
  <c r="F19" i="2"/>
  <c r="E19" i="2"/>
  <c r="D19" i="2"/>
  <c r="C19" i="2"/>
  <c r="B19" i="2"/>
  <c r="H18" i="2"/>
  <c r="G18" i="2"/>
  <c r="F18" i="2"/>
  <c r="E18" i="2"/>
  <c r="D18" i="2"/>
  <c r="C18" i="2"/>
  <c r="B18" i="2"/>
  <c r="H17" i="2"/>
  <c r="G17" i="2"/>
  <c r="F17" i="2"/>
  <c r="E17" i="2"/>
  <c r="D17" i="2"/>
  <c r="C17" i="2"/>
  <c r="B17" i="2"/>
  <c r="H16" i="2"/>
  <c r="G16" i="2"/>
  <c r="F16" i="2"/>
  <c r="E16" i="2"/>
  <c r="D16" i="2"/>
  <c r="C16" i="2"/>
  <c r="B16" i="2"/>
  <c r="D7" i="2"/>
  <c r="D8" i="2"/>
  <c r="D9" i="2"/>
  <c r="D10" i="2"/>
  <c r="D11" i="2"/>
  <c r="D12" i="2"/>
  <c r="D13" i="2"/>
  <c r="D14" i="2"/>
  <c r="D15" i="2"/>
  <c r="D6" i="2"/>
  <c r="D8" i="3"/>
  <c r="G8" i="3" s="1"/>
  <c r="B8" i="3"/>
  <c r="C8" i="3" s="1"/>
  <c r="D9" i="3"/>
  <c r="J9" i="3" s="1"/>
  <c r="D10" i="3"/>
  <c r="K10" i="3" s="1"/>
  <c r="D11" i="3"/>
  <c r="J11" i="3" s="1"/>
  <c r="D12" i="3"/>
  <c r="K12" i="3" s="1"/>
  <c r="D13" i="3"/>
  <c r="J13" i="3" s="1"/>
  <c r="D14" i="3"/>
  <c r="K14" i="3" s="1"/>
  <c r="D15" i="3"/>
  <c r="J15" i="3" s="1"/>
  <c r="D16" i="3"/>
  <c r="K16" i="3" s="1"/>
  <c r="D7" i="3"/>
  <c r="J7" i="3" s="1"/>
  <c r="B9" i="3"/>
  <c r="C9" i="3" s="1"/>
  <c r="B10" i="3"/>
  <c r="C10" i="3" s="1"/>
  <c r="B11" i="3"/>
  <c r="C11" i="3" s="1"/>
  <c r="B12" i="3"/>
  <c r="C12" i="3" s="1"/>
  <c r="E12" i="3" s="1"/>
  <c r="B13" i="3"/>
  <c r="C13" i="3" s="1"/>
  <c r="B14" i="3"/>
  <c r="C14" i="3" s="1"/>
  <c r="E14" i="3" s="1"/>
  <c r="B15" i="3"/>
  <c r="C15" i="3" s="1"/>
  <c r="B16" i="3"/>
  <c r="C16" i="3" s="1"/>
  <c r="E16" i="3" s="1"/>
  <c r="A8" i="3"/>
  <c r="A9" i="3"/>
  <c r="A10" i="3"/>
  <c r="A11" i="3"/>
  <c r="A12" i="3"/>
  <c r="A13" i="3"/>
  <c r="A14" i="3"/>
  <c r="A15" i="3"/>
  <c r="A16" i="3"/>
  <c r="A7" i="3"/>
  <c r="B21" i="3"/>
  <c r="C21" i="3" s="1"/>
  <c r="B22" i="3"/>
  <c r="C22" i="3" s="1"/>
  <c r="B23" i="3"/>
  <c r="C23" i="3" s="1"/>
  <c r="B24" i="3"/>
  <c r="C24" i="3" s="1"/>
  <c r="B25" i="3"/>
  <c r="C25" i="3" s="1"/>
  <c r="B26" i="3"/>
  <c r="C26" i="3" s="1"/>
  <c r="B27" i="3"/>
  <c r="C27" i="3" s="1"/>
  <c r="B28" i="3"/>
  <c r="C28" i="3" s="1"/>
  <c r="B20" i="3"/>
  <c r="C20" i="3" s="1"/>
  <c r="A21" i="3"/>
  <c r="A22" i="3"/>
  <c r="A23" i="3"/>
  <c r="A24" i="3"/>
  <c r="A25" i="3"/>
  <c r="A26" i="3"/>
  <c r="A27" i="3"/>
  <c r="A28" i="3"/>
  <c r="A20" i="3"/>
  <c r="H25" i="2"/>
  <c r="G25" i="2"/>
  <c r="F25" i="2"/>
  <c r="D25" i="2"/>
  <c r="E25" i="2"/>
  <c r="H23" i="2"/>
  <c r="G23" i="2"/>
  <c r="F23" i="2"/>
  <c r="H29" i="2"/>
  <c r="G29" i="2"/>
  <c r="F29" i="2"/>
  <c r="H28" i="2"/>
  <c r="G28" i="2"/>
  <c r="F28" i="2"/>
  <c r="E28" i="2"/>
  <c r="H22" i="2"/>
  <c r="G22" i="2"/>
  <c r="F22" i="2"/>
  <c r="H21" i="2"/>
  <c r="G21" i="2"/>
  <c r="F21" i="2"/>
  <c r="E21" i="2"/>
  <c r="H33" i="2"/>
  <c r="H32" i="2"/>
  <c r="G33" i="2"/>
  <c r="G32" i="2"/>
  <c r="F33" i="2"/>
  <c r="F32" i="2"/>
  <c r="E32" i="2"/>
  <c r="D30" i="2"/>
  <c r="D33" i="2"/>
  <c r="D32" i="2"/>
  <c r="D23" i="2"/>
  <c r="D21" i="2"/>
  <c r="D29" i="2"/>
  <c r="D28" i="2"/>
  <c r="D22" i="2"/>
  <c r="D26" i="2"/>
  <c r="H30" i="2"/>
  <c r="G30" i="2"/>
  <c r="F30" i="2"/>
  <c r="E30" i="2"/>
  <c r="C30" i="2"/>
  <c r="B30" i="2"/>
  <c r="H26" i="2"/>
  <c r="G26" i="2"/>
  <c r="F26" i="2"/>
  <c r="E26" i="2"/>
  <c r="C26" i="2"/>
  <c r="B26" i="2"/>
  <c r="H31" i="2"/>
  <c r="G31" i="2"/>
  <c r="F31" i="2"/>
  <c r="E31" i="2"/>
  <c r="D31" i="2"/>
  <c r="C31" i="2"/>
  <c r="B31" i="2"/>
  <c r="H27" i="2"/>
  <c r="G27" i="2"/>
  <c r="F27" i="2"/>
  <c r="E27" i="2"/>
  <c r="D27" i="2"/>
  <c r="C27" i="2"/>
  <c r="B27" i="2"/>
  <c r="H24" i="2"/>
  <c r="G24" i="2"/>
  <c r="F24" i="2"/>
  <c r="E24" i="2"/>
  <c r="D24" i="2"/>
  <c r="E33" i="2"/>
  <c r="C33" i="2"/>
  <c r="B33" i="2"/>
  <c r="C32" i="2"/>
  <c r="B32" i="2"/>
  <c r="E29" i="2"/>
  <c r="B29" i="2"/>
  <c r="C29" i="2"/>
  <c r="B28" i="2"/>
  <c r="C28" i="2"/>
  <c r="E12" i="2"/>
  <c r="E11" i="2"/>
  <c r="E10" i="2"/>
  <c r="H15" i="2"/>
  <c r="G15" i="2"/>
  <c r="F15" i="2"/>
  <c r="E15" i="2"/>
  <c r="B15" i="2"/>
  <c r="C15" i="2"/>
  <c r="B7" i="3"/>
  <c r="C7" i="3" s="1"/>
  <c r="E7" i="3" s="1"/>
  <c r="F7" i="3"/>
  <c r="F16" i="3"/>
  <c r="F12" i="3"/>
  <c r="G11" i="3"/>
  <c r="H16" i="3"/>
  <c r="H12" i="3"/>
  <c r="I11" i="3"/>
  <c r="J16" i="3"/>
  <c r="J12" i="3"/>
  <c r="K11" i="3"/>
  <c r="F11" i="3"/>
  <c r="G16" i="3"/>
  <c r="G12" i="3"/>
  <c r="H11" i="3"/>
  <c r="I16" i="3"/>
  <c r="I12" i="3"/>
  <c r="H8" i="3"/>
  <c r="J8" i="3" l="1"/>
  <c r="F8" i="3"/>
  <c r="H15" i="3"/>
  <c r="F15" i="3"/>
  <c r="K15" i="3"/>
  <c r="I15" i="3"/>
  <c r="G15" i="3"/>
  <c r="I7" i="3"/>
  <c r="K25" i="3"/>
  <c r="J21" i="3"/>
  <c r="E11" i="3"/>
  <c r="E9" i="3"/>
  <c r="G20" i="3"/>
  <c r="E27" i="3"/>
  <c r="G28" i="3"/>
  <c r="K28" i="3"/>
  <c r="E28" i="3"/>
  <c r="I28" i="3"/>
  <c r="E20" i="3"/>
  <c r="H20" i="3"/>
  <c r="K27" i="3"/>
  <c r="G27" i="3"/>
  <c r="I27" i="3"/>
  <c r="K8" i="3"/>
  <c r="I8" i="3"/>
  <c r="I10" i="3"/>
  <c r="I14" i="3"/>
  <c r="H9" i="3"/>
  <c r="H13" i="3"/>
  <c r="G10" i="3"/>
  <c r="G14" i="3"/>
  <c r="F9" i="3"/>
  <c r="F13" i="3"/>
  <c r="K9" i="3"/>
  <c r="K13" i="3"/>
  <c r="J10" i="3"/>
  <c r="J14" i="3"/>
  <c r="I9" i="3"/>
  <c r="I13" i="3"/>
  <c r="H10" i="3"/>
  <c r="H14" i="3"/>
  <c r="G9" i="3"/>
  <c r="G13" i="3"/>
  <c r="F10" i="3"/>
  <c r="F14" i="3"/>
  <c r="H7" i="3"/>
  <c r="K7" i="3"/>
  <c r="G7" i="3"/>
  <c r="E15" i="3"/>
  <c r="E13" i="3"/>
  <c r="E10" i="3"/>
  <c r="E8" i="3"/>
  <c r="F28" i="3"/>
  <c r="K26" i="3"/>
  <c r="K22" i="3"/>
  <c r="K20" i="3"/>
  <c r="J28" i="3"/>
  <c r="H28" i="3"/>
  <c r="J27" i="3"/>
  <c r="H27" i="3"/>
  <c r="F27" i="3"/>
  <c r="K21" i="3"/>
  <c r="K24" i="3"/>
  <c r="J24" i="3"/>
  <c r="E24" i="3"/>
  <c r="F24" i="3"/>
  <c r="G24" i="3"/>
  <c r="H24" i="3"/>
  <c r="I24" i="3"/>
  <c r="K32" i="3"/>
  <c r="I32" i="3"/>
  <c r="G32" i="3"/>
  <c r="E32" i="3"/>
  <c r="J32" i="3"/>
  <c r="H32" i="3"/>
  <c r="F32" i="3"/>
  <c r="K23" i="3"/>
  <c r="J23" i="3"/>
  <c r="E23" i="3"/>
  <c r="F23" i="3"/>
  <c r="G23" i="3"/>
  <c r="H23" i="3"/>
  <c r="I23" i="3"/>
  <c r="F20" i="3"/>
  <c r="I20" i="3"/>
  <c r="J26" i="3"/>
  <c r="I22" i="3"/>
  <c r="I26" i="3"/>
  <c r="H22" i="3"/>
  <c r="H26" i="3"/>
  <c r="G22" i="3"/>
  <c r="G26" i="3"/>
  <c r="F22" i="3"/>
  <c r="F26" i="3"/>
  <c r="E22" i="3"/>
  <c r="E26" i="3"/>
  <c r="J25" i="3"/>
  <c r="I21" i="3"/>
  <c r="I25" i="3"/>
  <c r="H21" i="3"/>
  <c r="H25" i="3"/>
  <c r="G21" i="3"/>
  <c r="G25" i="3"/>
  <c r="F21" i="3"/>
  <c r="F25" i="3"/>
  <c r="E21" i="3"/>
  <c r="E25" i="3"/>
  <c r="J22" i="3"/>
  <c r="J20" i="3"/>
  <c r="E17" i="3" l="1"/>
  <c r="J17" i="3"/>
  <c r="G17" i="3"/>
  <c r="H17" i="3"/>
  <c r="I17" i="3"/>
  <c r="K17" i="3"/>
  <c r="F17" i="3"/>
  <c r="K29" i="3"/>
  <c r="G6" i="4" s="1"/>
  <c r="E29" i="3"/>
  <c r="G29" i="3"/>
  <c r="H29" i="3"/>
  <c r="F29" i="3"/>
  <c r="A6" i="4"/>
  <c r="J29" i="3"/>
  <c r="F6" i="4" s="1"/>
  <c r="I29" i="3"/>
  <c r="E6" i="4" s="1"/>
  <c r="D6" i="4" l="1"/>
  <c r="B6" i="4"/>
  <c r="C6" i="4"/>
</calcChain>
</file>

<file path=xl/sharedStrings.xml><?xml version="1.0" encoding="utf-8"?>
<sst xmlns="http://schemas.openxmlformats.org/spreadsheetml/2006/main" count="163" uniqueCount="100">
  <si>
    <t>CO</t>
  </si>
  <si>
    <t>NOX</t>
  </si>
  <si>
    <t>SO2</t>
  </si>
  <si>
    <t>VOC</t>
  </si>
  <si>
    <t>PM</t>
  </si>
  <si>
    <t>PM10</t>
  </si>
  <si>
    <t>PM2.5</t>
  </si>
  <si>
    <t>Attainment/Unclassifiable</t>
  </si>
  <si>
    <t>Nonattainment</t>
  </si>
  <si>
    <t>Moderate Nonattainment</t>
  </si>
  <si>
    <t>Serious Nonattainment</t>
  </si>
  <si>
    <t>Marginal Nonattainment</t>
  </si>
  <si>
    <t xml:space="preserve">Serious Nonattainment </t>
  </si>
  <si>
    <t>Severe Nonattainment</t>
  </si>
  <si>
    <t>Extreme Nonattainment</t>
  </si>
  <si>
    <t>Engine Type</t>
  </si>
  <si>
    <t>Diesel - Non-Emergency (Prime)</t>
  </si>
  <si>
    <t>Diesel - Emergency</t>
  </si>
  <si>
    <t>Natural Gas - Non-Emergency (Prime)</t>
  </si>
  <si>
    <t>Natural Gas - Emergency</t>
  </si>
  <si>
    <t>Gasoline - Non-Emergency (Prime)</t>
  </si>
  <si>
    <t xml:space="preserve">Gasoline - Emergency </t>
  </si>
  <si>
    <t>LPG - Non-Emergency (Prime)</t>
  </si>
  <si>
    <t>LPG - Emergency</t>
  </si>
  <si>
    <t>Select</t>
  </si>
  <si>
    <t>2006 or earlier</t>
  </si>
  <si>
    <t>2007-2013</t>
  </si>
  <si>
    <t>2014 or later</t>
  </si>
  <si>
    <t>Engine ID</t>
  </si>
  <si>
    <t>Engine ID (1,2, 3….)</t>
  </si>
  <si>
    <t>Engine Size (bhp - mechanical)</t>
  </si>
  <si>
    <t>Engine Size (BHP)</t>
  </si>
  <si>
    <t>Convert to KW</t>
  </si>
  <si>
    <t>Rich Burn LPG 2006 or earlier</t>
  </si>
  <si>
    <t>Lean Burn LPG Emergency &lt;130 HP</t>
  </si>
  <si>
    <t>Lean Burn LPG Emergency &gt;=130HP</t>
  </si>
  <si>
    <t>Natural Gas Emergency &lt;130 HP</t>
  </si>
  <si>
    <t>Natural Gas Emergency &gt;=130 HP</t>
  </si>
  <si>
    <t>Lean Burn LPG pre-2008</t>
  </si>
  <si>
    <t>Natural Gas pre-2008, rich burn</t>
  </si>
  <si>
    <t>Natural Gas pre-2008, lean burn</t>
  </si>
  <si>
    <t>Emission Factors are taken from the NSPS standards and AP-42. These factors are intended to be conservative. Actual emissions may be lowered depending on the exact model year and power rating for an individual engine. Owner/operators may use a lower EF if the specific NSPS standard for their engine is lower than the EF used here. Where needed, the following conversions were used: 1 hp = 0.7457 kW, 1 lb = 453.592 g, average BSFC = 7000 Btu/hp-hr.</t>
  </si>
  <si>
    <t>Diesel - Non Emergency (Prime), Model Year 2014 or later, Rating &lt;75HP</t>
  </si>
  <si>
    <r>
      <t>Diesel - Non Emergency (Prime), Model Year 2014 or later, Rating  75&lt;HP</t>
    </r>
    <r>
      <rPr>
        <sz val="11"/>
        <color theme="1"/>
        <rFont val="Calibri"/>
        <family val="2"/>
      </rPr>
      <t>≤</t>
    </r>
    <r>
      <rPr>
        <sz val="11"/>
        <color theme="1"/>
        <rFont val="Calibri"/>
        <family val="2"/>
        <scheme val="minor"/>
      </rPr>
      <t>751HP</t>
    </r>
  </si>
  <si>
    <t>Diesel - Non Emergency (Prime), Model Year 2014 or later, Rating &gt;751 HP, generator set</t>
  </si>
  <si>
    <t>Diesel - Non Emergency (Prime), Model Year 2014 or later, Rating &gt;751 HP, non-generator set</t>
  </si>
  <si>
    <t>Diesel - Non Emergency (Prime), Model Year 2007-2013, Rating &lt;50 HP</t>
  </si>
  <si>
    <r>
      <t>Diesel - Non Emergency (Prime), Model Year 2007-2013, Rating 50</t>
    </r>
    <r>
      <rPr>
        <sz val="11"/>
        <color theme="1"/>
        <rFont val="Calibri"/>
        <family val="2"/>
      </rPr>
      <t>≤</t>
    </r>
    <r>
      <rPr>
        <sz val="11"/>
        <color theme="1"/>
        <rFont val="Calibri"/>
        <family val="2"/>
        <scheme val="minor"/>
      </rPr>
      <t>HP&lt;100</t>
    </r>
  </si>
  <si>
    <t>Diesel - Non Emergency (Prime), Model Year 2007-2013,Rating &gt;751 HP</t>
  </si>
  <si>
    <r>
      <t>Diesel - Non Emergency (Prime), Model Year 2007-2013, Rating 175</t>
    </r>
    <r>
      <rPr>
        <sz val="11"/>
        <color theme="1"/>
        <rFont val="Calibri"/>
        <family val="2"/>
      </rPr>
      <t>≤</t>
    </r>
    <r>
      <rPr>
        <sz val="11"/>
        <color theme="1"/>
        <rFont val="Calibri"/>
        <family val="2"/>
        <scheme val="minor"/>
      </rPr>
      <t>HP=&lt;751HP</t>
    </r>
  </si>
  <si>
    <r>
      <t xml:space="preserve">Diesel - Non Emergency (Prime), Model Year 2007-2013, Rating </t>
    </r>
    <r>
      <rPr>
        <sz val="11"/>
        <color theme="1"/>
        <rFont val="Calibri"/>
        <family val="2"/>
      </rPr>
      <t>≤</t>
    </r>
    <r>
      <rPr>
        <sz val="11"/>
        <color theme="1"/>
        <rFont val="Calibri"/>
        <family val="2"/>
        <scheme val="minor"/>
      </rPr>
      <t>100HP&lt;175</t>
    </r>
  </si>
  <si>
    <t>Engine Information - Non Emergency (Prime) Engines - ONLY</t>
  </si>
  <si>
    <t>Non Emergency Diesel Engines</t>
  </si>
  <si>
    <t>Emergency Engines</t>
  </si>
  <si>
    <t>Emissions Factors (g/kw-hr)</t>
  </si>
  <si>
    <t>VLOOkUP</t>
  </si>
  <si>
    <t>Total Emissions from Prime Engines</t>
  </si>
  <si>
    <t>TPY</t>
  </si>
  <si>
    <t>Gasoline - Emergency</t>
  </si>
  <si>
    <t>Rich Burn LPG, Emergency</t>
  </si>
  <si>
    <t>Lean Burn LPG, Emergency</t>
  </si>
  <si>
    <t>Rich Burn Natural Gas - Emergency</t>
  </si>
  <si>
    <t>Lean Burn Natural Gas - Emergency</t>
  </si>
  <si>
    <t>Total Emissions from Emergency Engines</t>
  </si>
  <si>
    <t>Potential to Emit - TPY</t>
  </si>
  <si>
    <t>Instructions</t>
  </si>
  <si>
    <t>Step 1</t>
  </si>
  <si>
    <t>Assign an ID number to each engine at your facility</t>
  </si>
  <si>
    <t>Step 2</t>
  </si>
  <si>
    <t>Step 3</t>
  </si>
  <si>
    <t>Step 4</t>
  </si>
  <si>
    <t>Engine Information - Emergency Engines - ONLY</t>
  </si>
  <si>
    <r>
      <t xml:space="preserve">For each </t>
    </r>
    <r>
      <rPr>
        <b/>
        <sz val="11"/>
        <color theme="1"/>
        <rFont val="Calibri"/>
        <family val="2"/>
        <scheme val="minor"/>
      </rPr>
      <t>Non-Emergency (Prime) Engine</t>
    </r>
    <r>
      <rPr>
        <sz val="11"/>
        <color theme="1"/>
        <rFont val="Calibri"/>
        <family val="2"/>
        <scheme val="minor"/>
      </rPr>
      <t xml:space="preserve">, identify the Engine ID, Engine Type (select from drop down box), and Engine Size in </t>
    </r>
    <r>
      <rPr>
        <b/>
        <sz val="11"/>
        <color theme="1"/>
        <rFont val="Calibri"/>
        <family val="2"/>
        <scheme val="minor"/>
      </rPr>
      <t>Table 1</t>
    </r>
    <r>
      <rPr>
        <sz val="11"/>
        <color theme="1"/>
        <rFont val="Calibri"/>
        <family val="2"/>
        <scheme val="minor"/>
      </rPr>
      <t xml:space="preserve"> below.</t>
    </r>
  </si>
  <si>
    <r>
      <t xml:space="preserve">For each </t>
    </r>
    <r>
      <rPr>
        <b/>
        <sz val="11"/>
        <color theme="1"/>
        <rFont val="Calibri"/>
        <family val="2"/>
        <scheme val="minor"/>
      </rPr>
      <t>Emergency Engine</t>
    </r>
    <r>
      <rPr>
        <sz val="11"/>
        <color theme="1"/>
        <rFont val="Calibri"/>
        <family val="2"/>
        <scheme val="minor"/>
      </rPr>
      <t xml:space="preserve">, identify the Engine ID, Engine Type (select from dropdown box), and Engine Size in </t>
    </r>
    <r>
      <rPr>
        <b/>
        <sz val="11"/>
        <color theme="1"/>
        <rFont val="Calibri"/>
        <family val="2"/>
        <scheme val="minor"/>
      </rPr>
      <t>Table 2</t>
    </r>
    <r>
      <rPr>
        <sz val="11"/>
        <color theme="1"/>
        <rFont val="Calibri"/>
        <family val="2"/>
        <scheme val="minor"/>
      </rPr>
      <t xml:space="preserve"> below.</t>
    </r>
  </si>
  <si>
    <t>Click on the "Output" tab below to review your facility's Potential to Emit</t>
  </si>
  <si>
    <t>Engine size (bhp - mechanical)</t>
  </si>
  <si>
    <t xml:space="preserve">**Note: For generator sets, the engine size is not the electrical output of the engine. Input the maximum power of the engine. </t>
  </si>
  <si>
    <t>HP</t>
  </si>
  <si>
    <t>kW</t>
  </si>
  <si>
    <t>Convert maximum power in kW to HP:</t>
  </si>
  <si>
    <t>Convert maximum power in HP to kW:</t>
  </si>
  <si>
    <t>Rich Burn LPG, Non-Emergency (Prime)</t>
  </si>
  <si>
    <t>Lean Burn LPG, Non- Emergency (Prime)</t>
  </si>
  <si>
    <t>Natural Gas, Non-Emergency (Prime)</t>
  </si>
  <si>
    <t>Gasoline, Non Emergency (Prime)</t>
  </si>
  <si>
    <t>Landfill/Digester Gas, Non Emergency (Prime)</t>
  </si>
  <si>
    <t>Table 1</t>
  </si>
  <si>
    <t>Table 2</t>
  </si>
  <si>
    <t>***This does not convert eletrical output in kW to mechanical output in HP. Please contact your reviewing authority for assitance.</t>
  </si>
  <si>
    <t>Step 5</t>
  </si>
  <si>
    <r>
      <t xml:space="preserve">For each </t>
    </r>
    <r>
      <rPr>
        <b/>
        <sz val="11"/>
        <color theme="1"/>
        <rFont val="Calibri"/>
        <family val="2"/>
        <scheme val="minor"/>
      </rPr>
      <t>Auxiliary Heater</t>
    </r>
    <r>
      <rPr>
        <sz val="11"/>
        <color theme="1"/>
        <rFont val="Calibri"/>
        <family val="2"/>
        <scheme val="minor"/>
      </rPr>
      <t xml:space="preserve">, identify the maximum rating and fuel type in </t>
    </r>
    <r>
      <rPr>
        <b/>
        <sz val="11"/>
        <color theme="1"/>
        <rFont val="Calibri"/>
        <family val="2"/>
        <scheme val="minor"/>
      </rPr>
      <t xml:space="preserve">Table 3 </t>
    </r>
    <r>
      <rPr>
        <sz val="11"/>
        <color theme="1"/>
        <rFont val="Calibri"/>
        <family val="2"/>
        <scheme val="minor"/>
      </rPr>
      <t>below.</t>
    </r>
  </si>
  <si>
    <t>Table 3</t>
  </si>
  <si>
    <t>Auxiliary Heaters</t>
  </si>
  <si>
    <t>Unit ID</t>
  </si>
  <si>
    <t>Maximum Rating (MMBtu/hr)</t>
  </si>
  <si>
    <t>Fuel Type</t>
  </si>
  <si>
    <t>Total MMBtu/hr</t>
  </si>
  <si>
    <t>Potential to Emit Calculator for Engines (Spark Ignition Engines)</t>
  </si>
  <si>
    <t>Natural Gas Boiler</t>
  </si>
  <si>
    <t xml:space="preserve">This spreadsheet helps estimate a facility's potential to emit. It is provided for the convenience of the permitted community. Emission factor sources are subject to revision or correction. It is the permittee's responsibility to determine their emissions. The permittee should consult with the reviewing authority to determine the appropriateness of this calculator for its source.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</si>
</sst>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11"/>
      <color theme="1"/>
      <name val="Calibri"/>
      <family val="2"/>
    </font>
    <font>
      <u/>
      <sz val="11"/>
      <color theme="10"/>
      <name val="Calibri"/>
      <family val="2"/>
    </font>
    <font>
      <sz val="11"/>
      <name val="Calibri"/>
      <family val="2"/>
    </font>
    <font>
      <b/>
      <sz val="14"/>
      <color theme="1"/>
      <name val="Calibri"/>
      <family val="2"/>
      <scheme val="minor"/>
    </font>
    <font>
      <b/>
      <sz val="16"/>
      <color theme="1"/>
      <name val="Calibri"/>
      <family val="2"/>
      <scheme val="minor"/>
    </font>
    <font>
      <b/>
      <sz val="12"/>
      <color theme="1"/>
      <name val="Calibri"/>
      <family val="2"/>
      <scheme val="minor"/>
    </font>
    <font>
      <sz val="12"/>
      <color rgb="FFFF0000"/>
      <name val="Calibri"/>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6">
    <xf numFmtId="0" fontId="0" fillId="0" borderId="0" xfId="0"/>
    <xf numFmtId="0" fontId="1" fillId="0" borderId="0" xfId="0" applyFont="1"/>
    <xf numFmtId="0" fontId="0" fillId="0" borderId="1" xfId="0" applyBorder="1"/>
    <xf numFmtId="0" fontId="0" fillId="0" borderId="0" xfId="0" applyBorder="1"/>
    <xf numFmtId="0" fontId="1" fillId="0" borderId="0" xfId="0" applyFont="1" applyBorder="1"/>
    <xf numFmtId="0" fontId="0" fillId="0" borderId="0" xfId="0" applyFill="1" applyBorder="1"/>
    <xf numFmtId="0" fontId="1" fillId="0" borderId="1" xfId="0" applyFont="1" applyBorder="1"/>
    <xf numFmtId="0" fontId="4" fillId="0" borderId="1" xfId="1" applyFont="1" applyBorder="1" applyAlignment="1" applyProtection="1"/>
    <xf numFmtId="0" fontId="7" fillId="0" borderId="0" xfId="0" applyFont="1" applyBorder="1"/>
    <xf numFmtId="0" fontId="5" fillId="0" borderId="0" xfId="0" applyFont="1" applyBorder="1"/>
    <xf numFmtId="0" fontId="7" fillId="0" borderId="0" xfId="0" applyFont="1"/>
    <xf numFmtId="0" fontId="0" fillId="0" borderId="0" xfId="0" applyAlignment="1">
      <alignment horizontal="right"/>
    </xf>
    <xf numFmtId="0" fontId="8" fillId="0" borderId="0" xfId="0" applyFont="1" applyBorder="1" applyAlignment="1">
      <alignment horizontal="center" vertical="center" wrapText="1"/>
    </xf>
    <xf numFmtId="0" fontId="0" fillId="0" borderId="1" xfId="0" applyFont="1" applyBorder="1"/>
    <xf numFmtId="0" fontId="0" fillId="0" borderId="1" xfId="0" applyFill="1" applyBorder="1"/>
    <xf numFmtId="0" fontId="0" fillId="0" borderId="2" xfId="0" applyFill="1" applyBorder="1" applyAlignment="1">
      <alignment horizontal="left" wrapText="1"/>
    </xf>
    <xf numFmtId="0" fontId="0" fillId="0" borderId="0" xfId="0" applyFill="1" applyBorder="1" applyAlignment="1">
      <alignment horizontal="left" wrapText="1"/>
    </xf>
    <xf numFmtId="0" fontId="6" fillId="0" borderId="0" xfId="0" applyFont="1" applyBorder="1" applyAlignment="1">
      <alignment horizontal="center"/>
    </xf>
    <xf numFmtId="0" fontId="0" fillId="0" borderId="0" xfId="0" applyAlignment="1"/>
    <xf numFmtId="14" fontId="0" fillId="0" borderId="0" xfId="0" applyNumberFormat="1" applyFont="1" applyBorder="1" applyAlignment="1">
      <alignment horizontal="center"/>
    </xf>
    <xf numFmtId="0" fontId="0" fillId="0" borderId="0" xfId="0" applyFont="1" applyAlignment="1">
      <alignment horizontal="center"/>
    </xf>
    <xf numFmtId="0" fontId="8" fillId="0" borderId="0" xfId="0" applyFont="1" applyBorder="1" applyAlignment="1">
      <alignment horizontal="center" vertical="center" wrapText="1"/>
    </xf>
    <xf numFmtId="0" fontId="1" fillId="0" borderId="1" xfId="0" applyFont="1" applyBorder="1" applyAlignment="1">
      <alignment horizontal="center"/>
    </xf>
    <xf numFmtId="0" fontId="0" fillId="0" borderId="0" xfId="0" applyAlignment="1">
      <alignment horizontal="left" vertical="top" wrapText="1"/>
    </xf>
    <xf numFmtId="0" fontId="1" fillId="0" borderId="0" xfId="0" applyFont="1" applyAlignment="1">
      <alignment horizontal="center"/>
    </xf>
    <xf numFmtId="0" fontId="0" fillId="0" borderId="0" xfId="0" applyFont="1" applyAlignment="1"/>
  </cellXfs>
  <cellStyles count="2">
    <cellStyle name="Hyperlink" xfId="1" builtinId="8"/>
    <cellStyle name="Normal" xfId="0" builtinId="0"/>
  </cellStyles>
  <dxfs count="0"/>
  <tableStyles count="0" defaultTableStyle="TableStyleMedium9" defaultPivotStyle="PivotStyleLight16"/>
  <colors>
    <mruColors>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57"/>
  <sheetViews>
    <sheetView workbookViewId="0">
      <selection activeCell="A3" sqref="A3:J3"/>
    </sheetView>
  </sheetViews>
  <sheetFormatPr defaultColWidth="8.6640625" defaultRowHeight="14.4" x14ac:dyDescent="0.3"/>
  <cols>
    <col min="1" max="1" width="18.44140625" customWidth="1"/>
    <col min="2" max="2" width="65" customWidth="1"/>
    <col min="3" max="3" width="34.109375" customWidth="1"/>
    <col min="4" max="4" width="16.44140625" customWidth="1"/>
    <col min="11" max="11" width="80.44140625" customWidth="1"/>
    <col min="13" max="13" width="0" hidden="1" customWidth="1"/>
    <col min="16" max="16" width="37.6640625" customWidth="1"/>
    <col min="17" max="17" width="0" hidden="1" customWidth="1"/>
  </cols>
  <sheetData>
    <row r="1" spans="1:24" ht="21" x14ac:dyDescent="0.4">
      <c r="A1" s="17" t="s">
        <v>97</v>
      </c>
      <c r="B1" s="18"/>
      <c r="C1" s="18"/>
      <c r="D1" s="18"/>
      <c r="E1" s="18"/>
      <c r="F1" s="18"/>
      <c r="G1" s="18"/>
      <c r="H1" s="18"/>
      <c r="I1" s="18"/>
      <c r="J1" s="18"/>
      <c r="Q1" t="s">
        <v>7</v>
      </c>
      <c r="T1" t="s">
        <v>7</v>
      </c>
      <c r="X1" t="s">
        <v>7</v>
      </c>
    </row>
    <row r="2" spans="1:24" x14ac:dyDescent="0.3">
      <c r="A2" s="19">
        <v>41822</v>
      </c>
      <c r="B2" s="20"/>
      <c r="C2" s="20"/>
      <c r="D2" s="20"/>
      <c r="E2" s="20"/>
      <c r="F2" s="20"/>
      <c r="G2" s="20"/>
      <c r="H2" s="20"/>
      <c r="I2" s="20"/>
      <c r="J2" s="20"/>
    </row>
    <row r="3" spans="1:24" ht="30" customHeight="1" x14ac:dyDescent="0.3">
      <c r="A3" s="21" t="s">
        <v>99</v>
      </c>
      <c r="B3" s="21"/>
      <c r="C3" s="21"/>
      <c r="D3" s="21"/>
      <c r="E3" s="21"/>
      <c r="F3" s="21"/>
      <c r="G3" s="21"/>
      <c r="H3" s="21"/>
      <c r="I3" s="21"/>
      <c r="J3" s="21"/>
      <c r="K3" s="12"/>
      <c r="L3" s="12"/>
      <c r="Q3" t="s">
        <v>8</v>
      </c>
      <c r="T3" t="s">
        <v>9</v>
      </c>
      <c r="X3" t="s">
        <v>11</v>
      </c>
    </row>
    <row r="4" spans="1:24" x14ac:dyDescent="0.3">
      <c r="T4" t="s">
        <v>10</v>
      </c>
      <c r="X4" t="s">
        <v>9</v>
      </c>
    </row>
    <row r="5" spans="1:24" ht="18" x14ac:dyDescent="0.35">
      <c r="A5" s="9" t="s">
        <v>65</v>
      </c>
      <c r="B5" s="3"/>
      <c r="C5" s="3"/>
      <c r="X5" t="s">
        <v>12</v>
      </c>
    </row>
    <row r="6" spans="1:24" x14ac:dyDescent="0.3">
      <c r="A6" s="3" t="s">
        <v>66</v>
      </c>
      <c r="B6" s="3" t="s">
        <v>67</v>
      </c>
      <c r="C6" s="3"/>
      <c r="X6" t="s">
        <v>13</v>
      </c>
    </row>
    <row r="7" spans="1:24" x14ac:dyDescent="0.3">
      <c r="A7" s="3" t="s">
        <v>68</v>
      </c>
      <c r="B7" s="3" t="s">
        <v>72</v>
      </c>
      <c r="C7" s="3"/>
      <c r="X7" t="s">
        <v>14</v>
      </c>
    </row>
    <row r="8" spans="1:24" x14ac:dyDescent="0.3">
      <c r="A8" s="3" t="s">
        <v>69</v>
      </c>
      <c r="B8" s="3" t="s">
        <v>73</v>
      </c>
      <c r="C8" s="3"/>
    </row>
    <row r="9" spans="1:24" x14ac:dyDescent="0.3">
      <c r="A9" s="5" t="s">
        <v>70</v>
      </c>
      <c r="B9" s="5" t="s">
        <v>90</v>
      </c>
      <c r="C9" s="3"/>
    </row>
    <row r="10" spans="1:24" x14ac:dyDescent="0.3">
      <c r="A10" s="5" t="s">
        <v>89</v>
      </c>
      <c r="B10" s="5" t="s">
        <v>74</v>
      </c>
      <c r="C10" s="3"/>
      <c r="E10" s="3"/>
    </row>
    <row r="11" spans="1:24" x14ac:dyDescent="0.3">
      <c r="A11" s="5"/>
      <c r="B11" s="3"/>
      <c r="C11" s="2" t="s">
        <v>79</v>
      </c>
      <c r="D11" s="2"/>
      <c r="E11" s="2" t="s">
        <v>78</v>
      </c>
      <c r="F11" s="2">
        <f>D11/0.7457</f>
        <v>0</v>
      </c>
      <c r="G11" s="2" t="s">
        <v>77</v>
      </c>
    </row>
    <row r="12" spans="1:24" x14ac:dyDescent="0.3">
      <c r="A12" s="5"/>
      <c r="B12" s="3"/>
      <c r="C12" s="2" t="s">
        <v>80</v>
      </c>
      <c r="D12" s="2">
        <v>1000</v>
      </c>
      <c r="E12" s="2" t="s">
        <v>77</v>
      </c>
      <c r="F12" s="2">
        <f>D12*0.7457</f>
        <v>745.7</v>
      </c>
      <c r="G12" s="7" t="s">
        <v>78</v>
      </c>
    </row>
    <row r="13" spans="1:24" x14ac:dyDescent="0.3">
      <c r="A13" s="5"/>
      <c r="B13" s="3"/>
      <c r="C13" s="3" t="s">
        <v>88</v>
      </c>
      <c r="E13" s="3"/>
    </row>
    <row r="14" spans="1:24" x14ac:dyDescent="0.3">
      <c r="A14" s="5"/>
      <c r="B14" s="3"/>
      <c r="C14" s="3"/>
      <c r="E14" s="3"/>
      <c r="M14" t="s">
        <v>24</v>
      </c>
      <c r="Q14" t="s">
        <v>16</v>
      </c>
    </row>
    <row r="15" spans="1:24" ht="15.6" x14ac:dyDescent="0.3">
      <c r="A15" s="10" t="s">
        <v>86</v>
      </c>
      <c r="E15" s="3"/>
      <c r="M15" t="s">
        <v>81</v>
      </c>
      <c r="Q15" t="s">
        <v>17</v>
      </c>
    </row>
    <row r="16" spans="1:24" x14ac:dyDescent="0.3">
      <c r="A16" s="1" t="s">
        <v>51</v>
      </c>
      <c r="E16" s="3"/>
      <c r="M16" t="s">
        <v>82</v>
      </c>
      <c r="Q16" t="s">
        <v>18</v>
      </c>
    </row>
    <row r="17" spans="1:17" x14ac:dyDescent="0.3">
      <c r="E17" s="3"/>
      <c r="M17" t="s">
        <v>83</v>
      </c>
      <c r="Q17" t="s">
        <v>19</v>
      </c>
    </row>
    <row r="18" spans="1:17" x14ac:dyDescent="0.3">
      <c r="A18" s="6" t="s">
        <v>29</v>
      </c>
      <c r="B18" s="6" t="s">
        <v>15</v>
      </c>
      <c r="C18" s="6" t="s">
        <v>75</v>
      </c>
      <c r="D18" s="15" t="s">
        <v>76</v>
      </c>
      <c r="E18" s="16"/>
      <c r="F18" s="16"/>
      <c r="G18" s="16"/>
      <c r="H18" s="16"/>
      <c r="M18" t="s">
        <v>84</v>
      </c>
      <c r="Q18" t="s">
        <v>20</v>
      </c>
    </row>
    <row r="19" spans="1:17" x14ac:dyDescent="0.3">
      <c r="A19" s="2"/>
      <c r="B19" s="2" t="s">
        <v>24</v>
      </c>
      <c r="C19" s="2"/>
      <c r="D19" s="15"/>
      <c r="E19" s="16"/>
      <c r="F19" s="16"/>
      <c r="G19" s="16"/>
      <c r="H19" s="16"/>
      <c r="M19" t="s">
        <v>85</v>
      </c>
      <c r="Q19" t="s">
        <v>21</v>
      </c>
    </row>
    <row r="20" spans="1:17" x14ac:dyDescent="0.3">
      <c r="A20" s="2"/>
      <c r="B20" s="2" t="s">
        <v>24</v>
      </c>
      <c r="C20" s="2">
        <v>0</v>
      </c>
      <c r="D20" s="15"/>
      <c r="E20" s="16"/>
      <c r="F20" s="16"/>
      <c r="G20" s="16"/>
      <c r="H20" s="16"/>
      <c r="Q20" t="s">
        <v>22</v>
      </c>
    </row>
    <row r="21" spans="1:17" x14ac:dyDescent="0.3">
      <c r="A21" s="2"/>
      <c r="B21" s="2" t="s">
        <v>24</v>
      </c>
      <c r="C21" s="2">
        <v>0</v>
      </c>
      <c r="Q21" t="s">
        <v>23</v>
      </c>
    </row>
    <row r="22" spans="1:17" x14ac:dyDescent="0.3">
      <c r="A22" s="2"/>
      <c r="B22" s="2" t="s">
        <v>24</v>
      </c>
      <c r="C22" s="2">
        <v>0</v>
      </c>
    </row>
    <row r="23" spans="1:17" x14ac:dyDescent="0.3">
      <c r="A23" s="2"/>
      <c r="B23" s="2" t="s">
        <v>24</v>
      </c>
      <c r="C23" s="2">
        <v>0</v>
      </c>
    </row>
    <row r="24" spans="1:17" x14ac:dyDescent="0.3">
      <c r="A24" s="2"/>
      <c r="B24" s="2" t="s">
        <v>24</v>
      </c>
      <c r="C24" s="2">
        <v>0</v>
      </c>
      <c r="Q24" t="s">
        <v>24</v>
      </c>
    </row>
    <row r="25" spans="1:17" x14ac:dyDescent="0.3">
      <c r="A25" s="2"/>
      <c r="B25" s="2" t="s">
        <v>24</v>
      </c>
      <c r="C25" s="2">
        <v>0</v>
      </c>
      <c r="M25" t="s">
        <v>53</v>
      </c>
      <c r="Q25" t="s">
        <v>25</v>
      </c>
    </row>
    <row r="26" spans="1:17" x14ac:dyDescent="0.3">
      <c r="A26" s="2"/>
      <c r="B26" s="2" t="s">
        <v>24</v>
      </c>
      <c r="C26" s="2">
        <v>0</v>
      </c>
      <c r="M26" t="s">
        <v>24</v>
      </c>
    </row>
    <row r="27" spans="1:17" x14ac:dyDescent="0.3">
      <c r="A27" s="2"/>
      <c r="B27" s="2" t="s">
        <v>24</v>
      </c>
      <c r="C27" s="2">
        <v>0</v>
      </c>
      <c r="M27" t="s">
        <v>17</v>
      </c>
      <c r="Q27" t="s">
        <v>26</v>
      </c>
    </row>
    <row r="28" spans="1:17" x14ac:dyDescent="0.3">
      <c r="A28" s="2"/>
      <c r="B28" s="2" t="s">
        <v>24</v>
      </c>
      <c r="C28" s="2">
        <v>0</v>
      </c>
      <c r="M28" t="s">
        <v>59</v>
      </c>
      <c r="Q28" t="s">
        <v>27</v>
      </c>
    </row>
    <row r="29" spans="1:17" x14ac:dyDescent="0.3">
      <c r="A29" s="3"/>
      <c r="B29" s="3"/>
      <c r="C29" s="3"/>
      <c r="M29" t="s">
        <v>60</v>
      </c>
    </row>
    <row r="30" spans="1:17" ht="15.6" x14ac:dyDescent="0.3">
      <c r="A30" s="8" t="s">
        <v>87</v>
      </c>
      <c r="B30" s="3"/>
      <c r="C30" s="3"/>
      <c r="M30" t="s">
        <v>61</v>
      </c>
    </row>
    <row r="31" spans="1:17" x14ac:dyDescent="0.3">
      <c r="A31" s="4" t="s">
        <v>71</v>
      </c>
      <c r="B31" s="3"/>
      <c r="C31" s="3"/>
      <c r="M31" t="s">
        <v>62</v>
      </c>
    </row>
    <row r="32" spans="1:17" x14ac:dyDescent="0.3">
      <c r="A32" s="3"/>
      <c r="B32" s="3"/>
      <c r="C32" s="3"/>
      <c r="M32" t="s">
        <v>58</v>
      </c>
    </row>
    <row r="33" spans="1:3" x14ac:dyDescent="0.3">
      <c r="A33" s="6" t="s">
        <v>29</v>
      </c>
      <c r="B33" s="6" t="s">
        <v>15</v>
      </c>
      <c r="C33" s="6" t="s">
        <v>30</v>
      </c>
    </row>
    <row r="34" spans="1:3" x14ac:dyDescent="0.3">
      <c r="A34" s="2"/>
      <c r="B34" s="2" t="s">
        <v>24</v>
      </c>
      <c r="C34" s="2">
        <v>0</v>
      </c>
    </row>
    <row r="35" spans="1:3" x14ac:dyDescent="0.3">
      <c r="A35" s="2"/>
      <c r="B35" s="2" t="s">
        <v>24</v>
      </c>
      <c r="C35" s="2">
        <v>0</v>
      </c>
    </row>
    <row r="36" spans="1:3" x14ac:dyDescent="0.3">
      <c r="A36" s="2"/>
      <c r="B36" s="2" t="s">
        <v>24</v>
      </c>
      <c r="C36" s="2">
        <v>0</v>
      </c>
    </row>
    <row r="37" spans="1:3" x14ac:dyDescent="0.3">
      <c r="A37" s="2"/>
      <c r="B37" s="2" t="s">
        <v>24</v>
      </c>
      <c r="C37" s="2">
        <v>0</v>
      </c>
    </row>
    <row r="38" spans="1:3" x14ac:dyDescent="0.3">
      <c r="A38" s="2"/>
      <c r="B38" s="2" t="s">
        <v>24</v>
      </c>
      <c r="C38" s="2">
        <v>0</v>
      </c>
    </row>
    <row r="39" spans="1:3" x14ac:dyDescent="0.3">
      <c r="A39" s="2"/>
      <c r="B39" s="2" t="s">
        <v>24</v>
      </c>
      <c r="C39" s="2">
        <v>0</v>
      </c>
    </row>
    <row r="40" spans="1:3" x14ac:dyDescent="0.3">
      <c r="A40" s="2"/>
      <c r="B40" s="2" t="s">
        <v>24</v>
      </c>
      <c r="C40" s="2">
        <v>0</v>
      </c>
    </row>
    <row r="41" spans="1:3" x14ac:dyDescent="0.3">
      <c r="A41" s="2"/>
      <c r="B41" s="2" t="s">
        <v>24</v>
      </c>
      <c r="C41" s="2">
        <v>0</v>
      </c>
    </row>
    <row r="42" spans="1:3" x14ac:dyDescent="0.3">
      <c r="A42" s="2"/>
      <c r="B42" s="2" t="s">
        <v>24</v>
      </c>
      <c r="C42" s="2"/>
    </row>
    <row r="43" spans="1:3" x14ac:dyDescent="0.3">
      <c r="A43" s="2"/>
      <c r="B43" s="2" t="s">
        <v>24</v>
      </c>
      <c r="C43" s="2"/>
    </row>
    <row r="44" spans="1:3" x14ac:dyDescent="0.3">
      <c r="A44" s="3"/>
      <c r="B44" s="3"/>
      <c r="C44" s="3"/>
    </row>
    <row r="45" spans="1:3" ht="15.6" x14ac:dyDescent="0.3">
      <c r="A45" s="8" t="s">
        <v>91</v>
      </c>
      <c r="B45" s="3"/>
      <c r="C45" s="3"/>
    </row>
    <row r="46" spans="1:3" x14ac:dyDescent="0.3">
      <c r="A46" s="1" t="s">
        <v>92</v>
      </c>
    </row>
    <row r="48" spans="1:3" x14ac:dyDescent="0.3">
      <c r="A48" s="6" t="s">
        <v>93</v>
      </c>
      <c r="B48" s="6" t="s">
        <v>94</v>
      </c>
      <c r="C48" s="6" t="s">
        <v>95</v>
      </c>
    </row>
    <row r="49" spans="1:3" x14ac:dyDescent="0.3">
      <c r="A49" s="2"/>
      <c r="B49" s="2"/>
      <c r="C49" s="2"/>
    </row>
    <row r="50" spans="1:3" x14ac:dyDescent="0.3">
      <c r="A50" s="2"/>
      <c r="B50" s="2"/>
      <c r="C50" s="2"/>
    </row>
    <row r="51" spans="1:3" x14ac:dyDescent="0.3">
      <c r="A51" s="2"/>
      <c r="B51" s="2"/>
      <c r="C51" s="2"/>
    </row>
    <row r="52" spans="1:3" x14ac:dyDescent="0.3">
      <c r="A52" s="2"/>
      <c r="B52" s="2"/>
      <c r="C52" s="2"/>
    </row>
    <row r="53" spans="1:3" x14ac:dyDescent="0.3">
      <c r="A53" s="2"/>
      <c r="B53" s="2"/>
      <c r="C53" s="2"/>
    </row>
    <row r="54" spans="1:3" x14ac:dyDescent="0.3">
      <c r="A54" s="2"/>
      <c r="B54" s="2"/>
      <c r="C54" s="2"/>
    </row>
    <row r="55" spans="1:3" x14ac:dyDescent="0.3">
      <c r="A55" s="2"/>
      <c r="B55" s="2"/>
      <c r="C55" s="2"/>
    </row>
    <row r="56" spans="1:3" x14ac:dyDescent="0.3">
      <c r="A56" s="2"/>
      <c r="B56" s="2"/>
      <c r="C56" s="2"/>
    </row>
    <row r="57" spans="1:3" x14ac:dyDescent="0.3">
      <c r="A57" t="s">
        <v>96</v>
      </c>
      <c r="B57">
        <f>SUM(B49:B56)</f>
        <v>0</v>
      </c>
    </row>
  </sheetData>
  <mergeCells count="4">
    <mergeCell ref="D18:H20"/>
    <mergeCell ref="A1:J1"/>
    <mergeCell ref="A2:J2"/>
    <mergeCell ref="A3:J3"/>
  </mergeCells>
  <dataValidations count="3">
    <dataValidation type="list" allowBlank="1" showInputMessage="1" showErrorMessage="1" sqref="B29:B32 B44:B45">
      <formula1>$M$14:$M$44</formula1>
    </dataValidation>
    <dataValidation type="list" allowBlank="1" showInputMessage="1" showErrorMessage="1" sqref="B34:B43">
      <formula1>$M$26:$M$32</formula1>
    </dataValidation>
    <dataValidation type="list" allowBlank="1" showInputMessage="1" showErrorMessage="1" sqref="B19:B28">
      <formula1>$M$14:$M$19</formula1>
    </dataValidation>
  </dataValidation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J6"/>
  <sheetViews>
    <sheetView workbookViewId="0">
      <selection activeCell="A3" sqref="A3"/>
    </sheetView>
  </sheetViews>
  <sheetFormatPr defaultColWidth="8.6640625" defaultRowHeight="14.4" x14ac:dyDescent="0.3"/>
  <sheetData>
    <row r="1" spans="1:10" ht="21" x14ac:dyDescent="0.4">
      <c r="A1" s="17" t="s">
        <v>97</v>
      </c>
      <c r="B1" s="18"/>
      <c r="C1" s="18"/>
      <c r="D1" s="18"/>
      <c r="E1" s="18"/>
      <c r="F1" s="18"/>
      <c r="G1" s="18"/>
      <c r="H1" s="18"/>
      <c r="I1" s="18"/>
      <c r="J1" s="18"/>
    </row>
    <row r="2" spans="1:10" x14ac:dyDescent="0.3">
      <c r="A2" s="19">
        <v>41822</v>
      </c>
      <c r="B2" s="20"/>
      <c r="C2" s="20"/>
      <c r="D2" s="20"/>
      <c r="E2" s="20"/>
      <c r="F2" s="20"/>
      <c r="G2" s="20"/>
      <c r="H2" s="20"/>
      <c r="I2" s="20"/>
      <c r="J2" s="20"/>
    </row>
    <row r="4" spans="1:10" x14ac:dyDescent="0.3">
      <c r="A4" s="22" t="s">
        <v>64</v>
      </c>
      <c r="B4" s="22"/>
      <c r="C4" s="22"/>
      <c r="D4" s="22"/>
      <c r="E4" s="22"/>
      <c r="F4" s="22"/>
      <c r="G4" s="22"/>
    </row>
    <row r="5" spans="1:10" x14ac:dyDescent="0.3">
      <c r="A5" s="2" t="s">
        <v>0</v>
      </c>
      <c r="B5" s="2" t="s">
        <v>1</v>
      </c>
      <c r="C5" s="2" t="s">
        <v>2</v>
      </c>
      <c r="D5" s="2" t="s">
        <v>3</v>
      </c>
      <c r="E5" s="2" t="s">
        <v>4</v>
      </c>
      <c r="F5" s="2" t="s">
        <v>5</v>
      </c>
      <c r="G5" s="2" t="s">
        <v>6</v>
      </c>
    </row>
    <row r="6" spans="1:10" x14ac:dyDescent="0.3">
      <c r="A6" s="2">
        <f>Emissions!E17+Emissions!E29+Emissions!E32</f>
        <v>0</v>
      </c>
      <c r="B6" s="2">
        <f>Emissions!F17+Emissions!F29+Emissions!F32</f>
        <v>0</v>
      </c>
      <c r="C6" s="2">
        <f>Emissions!G17+Emissions!G29+Emissions!G32</f>
        <v>0</v>
      </c>
      <c r="D6" s="2">
        <f>Emissions!H17+Emissions!H29+Emissions!H32</f>
        <v>0</v>
      </c>
      <c r="E6" s="2">
        <f>Emissions!I17+Emissions!I29+Emissions!I32</f>
        <v>0</v>
      </c>
      <c r="F6" s="2">
        <f>Emissions!J17+Emissions!J29+Emissions!J32</f>
        <v>0</v>
      </c>
      <c r="G6" s="2">
        <f>Emissions!K17+Emissions!K29+Emissions!K32</f>
        <v>0</v>
      </c>
    </row>
  </sheetData>
  <mergeCells count="3">
    <mergeCell ref="A4:G4"/>
    <mergeCell ref="A1:J1"/>
    <mergeCell ref="A2:J2"/>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00"/>
  </sheetPr>
  <dimension ref="A1:N35"/>
  <sheetViews>
    <sheetView workbookViewId="0">
      <selection activeCell="A3" sqref="A3"/>
    </sheetView>
  </sheetViews>
  <sheetFormatPr defaultColWidth="8.6640625" defaultRowHeight="14.4" x14ac:dyDescent="0.3"/>
  <cols>
    <col min="1" max="1" width="72.44140625" customWidth="1"/>
  </cols>
  <sheetData>
    <row r="1" spans="1:10" ht="21" x14ac:dyDescent="0.4">
      <c r="A1" s="17" t="s">
        <v>97</v>
      </c>
      <c r="B1" s="18"/>
      <c r="C1" s="18"/>
      <c r="D1" s="18"/>
      <c r="E1" s="18"/>
      <c r="F1" s="18"/>
      <c r="G1" s="18"/>
      <c r="H1" s="18"/>
      <c r="I1" s="18"/>
      <c r="J1" s="18"/>
    </row>
    <row r="2" spans="1:10" x14ac:dyDescent="0.3">
      <c r="A2" s="19">
        <v>41822</v>
      </c>
      <c r="B2" s="20"/>
      <c r="C2" s="20"/>
      <c r="D2" s="20"/>
      <c r="E2" s="20"/>
      <c r="F2" s="20"/>
      <c r="G2" s="20"/>
      <c r="H2" s="20"/>
      <c r="I2" s="20"/>
      <c r="J2" s="20"/>
    </row>
    <row r="4" spans="1:10" x14ac:dyDescent="0.3">
      <c r="A4" s="6" t="s">
        <v>54</v>
      </c>
      <c r="B4" s="6" t="s">
        <v>0</v>
      </c>
      <c r="C4" s="6" t="s">
        <v>1</v>
      </c>
      <c r="D4" s="6" t="s">
        <v>2</v>
      </c>
      <c r="E4" s="6" t="s">
        <v>3</v>
      </c>
      <c r="F4" s="6" t="s">
        <v>4</v>
      </c>
      <c r="G4" s="6" t="s">
        <v>5</v>
      </c>
      <c r="H4" s="6" t="s">
        <v>6</v>
      </c>
    </row>
    <row r="5" spans="1:10" x14ac:dyDescent="0.3">
      <c r="A5" s="13" t="s">
        <v>24</v>
      </c>
      <c r="B5" s="13">
        <v>0</v>
      </c>
      <c r="C5" s="13">
        <v>0</v>
      </c>
      <c r="D5" s="13">
        <v>0</v>
      </c>
      <c r="E5" s="13">
        <v>0</v>
      </c>
      <c r="F5" s="13">
        <v>0</v>
      </c>
      <c r="G5" s="13">
        <v>0</v>
      </c>
      <c r="H5" s="13">
        <v>0</v>
      </c>
    </row>
    <row r="6" spans="1:10" x14ac:dyDescent="0.3">
      <c r="A6" s="2" t="s">
        <v>42</v>
      </c>
      <c r="B6" s="2">
        <v>5</v>
      </c>
      <c r="C6" s="2">
        <v>4.7</v>
      </c>
      <c r="D6" s="2">
        <f>0.00809*0.0015*453.592/0.7457</f>
        <v>7.3814388091725889E-3</v>
      </c>
      <c r="E6" s="2">
        <v>0.19</v>
      </c>
      <c r="F6" s="2">
        <v>0.03</v>
      </c>
      <c r="G6" s="2">
        <v>0.03</v>
      </c>
      <c r="H6" s="2">
        <v>0.03</v>
      </c>
    </row>
    <row r="7" spans="1:10" x14ac:dyDescent="0.3">
      <c r="A7" s="2" t="s">
        <v>43</v>
      </c>
      <c r="B7" s="2">
        <v>3.5</v>
      </c>
      <c r="C7" s="2">
        <v>0.4</v>
      </c>
      <c r="D7" s="2">
        <f t="shared" ref="D7:D15" si="0">0.00809*0.0015*453.592/0.7457</f>
        <v>7.3814388091725889E-3</v>
      </c>
      <c r="E7" s="2">
        <v>0.19</v>
      </c>
      <c r="F7" s="2">
        <v>0.02</v>
      </c>
      <c r="G7" s="2">
        <v>0.02</v>
      </c>
      <c r="H7" s="2">
        <v>0.02</v>
      </c>
    </row>
    <row r="8" spans="1:10" x14ac:dyDescent="0.3">
      <c r="A8" s="2" t="s">
        <v>44</v>
      </c>
      <c r="B8" s="2">
        <v>3.5</v>
      </c>
      <c r="C8" s="2">
        <v>0.67</v>
      </c>
      <c r="D8" s="2">
        <f t="shared" si="0"/>
        <v>7.3814388091725889E-3</v>
      </c>
      <c r="E8" s="2">
        <v>0.19</v>
      </c>
      <c r="F8" s="2">
        <v>0.03</v>
      </c>
      <c r="G8" s="2">
        <v>0.03</v>
      </c>
      <c r="H8" s="2">
        <v>0.03</v>
      </c>
    </row>
    <row r="9" spans="1:10" x14ac:dyDescent="0.3">
      <c r="A9" s="2" t="s">
        <v>45</v>
      </c>
      <c r="B9" s="2">
        <v>3.5</v>
      </c>
      <c r="C9" s="2">
        <v>3.5</v>
      </c>
      <c r="D9" s="2">
        <f t="shared" si="0"/>
        <v>7.3814388091725889E-3</v>
      </c>
      <c r="E9" s="2">
        <v>0.19</v>
      </c>
      <c r="F9" s="2">
        <v>0.04</v>
      </c>
      <c r="G9" s="2">
        <v>0.04</v>
      </c>
      <c r="H9" s="2">
        <v>0.04</v>
      </c>
    </row>
    <row r="10" spans="1:10" x14ac:dyDescent="0.3">
      <c r="A10" s="2" t="s">
        <v>46</v>
      </c>
      <c r="B10" s="2">
        <v>5.5</v>
      </c>
      <c r="C10" s="2">
        <v>9.1999999999999993</v>
      </c>
      <c r="D10" s="2">
        <f t="shared" si="0"/>
        <v>7.3814388091725889E-3</v>
      </c>
      <c r="E10" s="2">
        <f>0.00247*453.592/0.7457</f>
        <v>1.5024436636717178</v>
      </c>
      <c r="F10" s="2">
        <v>0.8</v>
      </c>
      <c r="G10" s="2">
        <v>0.8</v>
      </c>
      <c r="H10" s="2">
        <v>0.8</v>
      </c>
    </row>
    <row r="11" spans="1:10" x14ac:dyDescent="0.3">
      <c r="A11" s="2" t="s">
        <v>47</v>
      </c>
      <c r="B11" s="2">
        <v>5</v>
      </c>
      <c r="C11" s="2">
        <v>7.5</v>
      </c>
      <c r="D11" s="2">
        <f t="shared" si="0"/>
        <v>7.3814388091725889E-3</v>
      </c>
      <c r="E11" s="2">
        <f>0.00247*453.592/0.7457</f>
        <v>1.5024436636717178</v>
      </c>
      <c r="F11" s="2">
        <v>0.4</v>
      </c>
      <c r="G11" s="2">
        <v>0.4</v>
      </c>
      <c r="H11" s="2">
        <v>0.4</v>
      </c>
    </row>
    <row r="12" spans="1:10" x14ac:dyDescent="0.3">
      <c r="A12" s="2" t="s">
        <v>50</v>
      </c>
      <c r="B12" s="2">
        <v>5</v>
      </c>
      <c r="C12" s="2">
        <v>4</v>
      </c>
      <c r="D12" s="2">
        <f t="shared" si="0"/>
        <v>7.3814388091725889E-3</v>
      </c>
      <c r="E12" s="2">
        <f>0.00247*453.592/0.7457</f>
        <v>1.5024436636717178</v>
      </c>
      <c r="F12" s="2">
        <v>0.3</v>
      </c>
      <c r="G12" s="2">
        <v>0.3</v>
      </c>
      <c r="H12" s="2">
        <v>0.3</v>
      </c>
    </row>
    <row r="13" spans="1:10" x14ac:dyDescent="0.3">
      <c r="A13" s="2" t="s">
        <v>49</v>
      </c>
      <c r="B13" s="2">
        <v>3.5</v>
      </c>
      <c r="C13" s="2">
        <v>4</v>
      </c>
      <c r="D13" s="2">
        <f t="shared" si="0"/>
        <v>7.3814388091725889E-3</v>
      </c>
      <c r="E13" s="2">
        <v>1.3</v>
      </c>
      <c r="F13" s="2">
        <v>0.2</v>
      </c>
      <c r="G13" s="2">
        <v>0.2</v>
      </c>
      <c r="H13" s="2">
        <v>0.2</v>
      </c>
    </row>
    <row r="14" spans="1:10" x14ac:dyDescent="0.3">
      <c r="A14" s="2" t="s">
        <v>48</v>
      </c>
      <c r="B14" s="2">
        <v>3.5</v>
      </c>
      <c r="C14" s="2">
        <v>6.4</v>
      </c>
      <c r="D14" s="2">
        <f t="shared" si="0"/>
        <v>7.3814388091725889E-3</v>
      </c>
      <c r="E14" s="2">
        <v>1.3</v>
      </c>
      <c r="F14" s="2">
        <v>0.2</v>
      </c>
      <c r="G14" s="2">
        <v>0.2</v>
      </c>
      <c r="H14" s="2">
        <v>0.2</v>
      </c>
    </row>
    <row r="15" spans="1:10" x14ac:dyDescent="0.3">
      <c r="A15" s="2" t="s">
        <v>17</v>
      </c>
      <c r="B15" s="2">
        <f>0.00668*453.592/0.7457</f>
        <v>4.0632889365696663</v>
      </c>
      <c r="C15" s="2">
        <f>0.031*453.592/0.7457</f>
        <v>18.856580394260426</v>
      </c>
      <c r="D15" s="2">
        <f t="shared" si="0"/>
        <v>7.3814388091725889E-3</v>
      </c>
      <c r="E15" s="2">
        <f>0.00247*453.592/0.7457</f>
        <v>1.5024436636717178</v>
      </c>
      <c r="F15" s="2">
        <f>0.0022*453.592/0.7457</f>
        <v>1.3382089312055787</v>
      </c>
      <c r="G15" s="2">
        <f>0.0022*453.592/0.7457</f>
        <v>1.3382089312055787</v>
      </c>
      <c r="H15" s="2">
        <f>0.0022*453.592/0.7457</f>
        <v>1.3382089312055787</v>
      </c>
    </row>
    <row r="16" spans="1:10" x14ac:dyDescent="0.3">
      <c r="A16" s="2" t="s">
        <v>59</v>
      </c>
      <c r="B16" s="2">
        <f>3.72*7000*453.592/1000000/0.7457</f>
        <v>15.839527531178758</v>
      </c>
      <c r="C16" s="2">
        <f>2.27*7000*453.592/1000000/0.7457</f>
        <v>9.6655181440257465</v>
      </c>
      <c r="D16" s="2">
        <f>0.000588*7000*453.592/0.7457/1000000</f>
        <v>2.5036672549282549E-3</v>
      </c>
      <c r="E16" s="2">
        <f>0.0296*7000*453.592/1000000/0.7457</f>
        <v>0.12603495024808906</v>
      </c>
      <c r="F16" s="2">
        <f t="shared" ref="F16:H16" si="1">(0.00991+0.0095)*7000*453.592/0.7457/1000000</f>
        <v>8.2646567037682708E-2</v>
      </c>
      <c r="G16" s="2">
        <f t="shared" si="1"/>
        <v>8.2646567037682708E-2</v>
      </c>
      <c r="H16" s="2">
        <f t="shared" si="1"/>
        <v>8.2646567037682708E-2</v>
      </c>
    </row>
    <row r="17" spans="1:10" x14ac:dyDescent="0.3">
      <c r="A17" s="2" t="s">
        <v>60</v>
      </c>
      <c r="B17" s="2">
        <f>5.57*7000*453.592/1000000/0.7457</f>
        <v>23.716711921684318</v>
      </c>
      <c r="C17" s="2">
        <f>4.08*7000*453.592/1000000/0.7457</f>
        <v>17.372385034196054</v>
      </c>
      <c r="D17" s="2">
        <f>0.000588*7000*453.592/1000000/0.7457</f>
        <v>2.5036672549282549E-3</v>
      </c>
      <c r="E17" s="2">
        <f>0.118*7000*453.592/1000000/0.7457</f>
        <v>0.50243662598900352</v>
      </c>
      <c r="F17" s="2">
        <f t="shared" ref="F17:H17" si="2">(0.0000771+0.0091)*7000*453.592/1000000/0.7457</f>
        <v>3.9075518308166815E-2</v>
      </c>
      <c r="G17" s="2">
        <f t="shared" si="2"/>
        <v>3.9075518308166815E-2</v>
      </c>
      <c r="H17" s="2">
        <f t="shared" si="2"/>
        <v>3.9075518308166815E-2</v>
      </c>
    </row>
    <row r="18" spans="1:10" x14ac:dyDescent="0.3">
      <c r="A18" s="2" t="s">
        <v>61</v>
      </c>
      <c r="B18" s="2">
        <f>3.72*7000*453.592/1000000/0.7457</f>
        <v>15.839527531178758</v>
      </c>
      <c r="C18" s="2">
        <f>2.27*7000*453.592/1000000/0.7457</f>
        <v>9.6655181440257465</v>
      </c>
      <c r="D18" s="2">
        <f>0.000588*7000*453.592/0.7457/1000000</f>
        <v>2.5036672549282549E-3</v>
      </c>
      <c r="E18" s="2">
        <f>0.0296*7000*453.592/1000000/0.7457</f>
        <v>0.12603495024808906</v>
      </c>
      <c r="F18" s="2">
        <f>(0.00991+0.0095)*7000*453.592/0.7457/1000000</f>
        <v>8.2646567037682708E-2</v>
      </c>
      <c r="G18" s="2">
        <f>(0.00991+0.0095)*7000*453.592/0.7457/1000000</f>
        <v>8.2646567037682708E-2</v>
      </c>
      <c r="H18" s="2">
        <f>(0.00991+0.0095)*7000*453.592/0.7457/1000000</f>
        <v>8.2646567037682708E-2</v>
      </c>
    </row>
    <row r="19" spans="1:10" x14ac:dyDescent="0.3">
      <c r="A19" s="2" t="s">
        <v>62</v>
      </c>
      <c r="B19" s="2">
        <f>5.57*7000*453.592/1000000/0.7457</f>
        <v>23.716711921684318</v>
      </c>
      <c r="C19" s="2">
        <f>4.08*7000*453.592/1000000/0.7457</f>
        <v>17.372385034196054</v>
      </c>
      <c r="D19" s="2">
        <f>0.000588*7000*453.592/1000000/0.7457</f>
        <v>2.5036672549282549E-3</v>
      </c>
      <c r="E19" s="2">
        <f>0.118*7000*453.592/1000000/0.7457</f>
        <v>0.50243662598900352</v>
      </c>
      <c r="F19" s="2">
        <f>(0.0000771+0.0091)*7000*453.592/1000000/0.7457</f>
        <v>3.9075518308166815E-2</v>
      </c>
      <c r="G19" s="2">
        <f>(0.0000771+0.0091)*7000*453.592/1000000/0.7457</f>
        <v>3.9075518308166815E-2</v>
      </c>
      <c r="H19" s="2">
        <f>(0.0000771+0.0091)*7000*453.592/1000000/0.7457</f>
        <v>3.9075518308166815E-2</v>
      </c>
    </row>
    <row r="20" spans="1:10" x14ac:dyDescent="0.3">
      <c r="A20" s="2" t="s">
        <v>58</v>
      </c>
      <c r="B20" s="2">
        <f>0.00696*453.592/0.7457</f>
        <v>4.2336064369049211</v>
      </c>
      <c r="C20" s="2">
        <f>0.011*453.592/0.7457</f>
        <v>6.6910446560278922</v>
      </c>
      <c r="D20" s="2">
        <f>0.000591*453.592/0.7457</f>
        <v>0.35949158106477136</v>
      </c>
      <c r="E20" s="2">
        <f>0.015*453.592/0.7457</f>
        <v>9.1241518036743994</v>
      </c>
      <c r="F20" s="2">
        <f>0.000721*453.592/0.7457</f>
        <v>0.43856756336328279</v>
      </c>
      <c r="G20" s="2">
        <f>0.000721*453.592/0.7457</f>
        <v>0.43856756336328279</v>
      </c>
      <c r="H20" s="2">
        <f>0.000721*453.592/0.7457</f>
        <v>0.43856756336328279</v>
      </c>
    </row>
    <row r="21" spans="1:10" x14ac:dyDescent="0.3">
      <c r="A21" s="2" t="s">
        <v>81</v>
      </c>
      <c r="B21" s="14">
        <v>6.5</v>
      </c>
      <c r="C21" s="14">
        <v>3.8</v>
      </c>
      <c r="D21" s="14">
        <f>0.000588*7000*453.592/0.7457/1000000</f>
        <v>2.5036672549282549E-3</v>
      </c>
      <c r="E21" s="14">
        <f>0.0296*7000*453.592/1000000/0.7457</f>
        <v>0.12603495024808906</v>
      </c>
      <c r="F21" s="14">
        <f t="shared" ref="F21:H26" si="3">(0.00991+0.0095)*7000*453.592/0.7457/1000000</f>
        <v>8.2646567037682708E-2</v>
      </c>
      <c r="G21" s="14">
        <f t="shared" si="3"/>
        <v>8.2646567037682708E-2</v>
      </c>
      <c r="H21" s="14">
        <f t="shared" si="3"/>
        <v>8.2646567037682708E-2</v>
      </c>
      <c r="J21">
        <v>6.5</v>
      </c>
    </row>
    <row r="22" spans="1:10" x14ac:dyDescent="0.3">
      <c r="A22" s="2" t="s">
        <v>82</v>
      </c>
      <c r="B22" s="14">
        <f>2/0.7457</f>
        <v>2.6820437173125922</v>
      </c>
      <c r="C22" s="14">
        <f>1/0.7457</f>
        <v>1.3410218586562961</v>
      </c>
      <c r="D22" s="14">
        <f>0.000588*7000*453.592/0.7457/1000000</f>
        <v>2.5036672549282549E-3</v>
      </c>
      <c r="E22" s="14">
        <f>0.7/0.7457</f>
        <v>0.93871530105940715</v>
      </c>
      <c r="F22" s="14">
        <f t="shared" ref="F22:H27" si="4">(0.0000771+0.0091)*7000*453.592/1000000/0.7457</f>
        <v>3.9075518308166815E-2</v>
      </c>
      <c r="G22" s="14">
        <f t="shared" si="4"/>
        <v>3.9075518308166815E-2</v>
      </c>
      <c r="H22" s="14">
        <f t="shared" si="4"/>
        <v>3.9075518308166815E-2</v>
      </c>
    </row>
    <row r="23" spans="1:10" x14ac:dyDescent="0.3">
      <c r="A23" s="2" t="s">
        <v>83</v>
      </c>
      <c r="B23" s="14">
        <f>2/0.7457</f>
        <v>2.6820437173125922</v>
      </c>
      <c r="C23" s="14">
        <f>1/0.7457</f>
        <v>1.3410218586562961</v>
      </c>
      <c r="D23" s="14">
        <f>0.000588*7000*453.592/0.7457/1000000</f>
        <v>2.5036672549282549E-3</v>
      </c>
      <c r="E23" s="14">
        <f>0.7/0.7457</f>
        <v>0.93871530105940715</v>
      </c>
      <c r="F23" s="14">
        <f>(0.0000771+0.0091)*7000*453.592/1000000/0.7457</f>
        <v>3.9075518308166815E-2</v>
      </c>
      <c r="G23" s="14">
        <f>(0.0000771+0.0091)*7000*453.592/1000000/0.7457</f>
        <v>3.9075518308166815E-2</v>
      </c>
      <c r="H23" s="14">
        <f>(0.0000771+0.0091)*7000*453.592/1000000/0.7457</f>
        <v>3.9075518308166815E-2</v>
      </c>
    </row>
    <row r="24" spans="1:10" x14ac:dyDescent="0.3">
      <c r="A24" s="2" t="s">
        <v>84</v>
      </c>
      <c r="B24" s="14">
        <v>6.5</v>
      </c>
      <c r="C24" s="14">
        <v>3.8</v>
      </c>
      <c r="D24" s="14">
        <f>0.000591*453.592/0.7457</f>
        <v>0.35949158106477136</v>
      </c>
      <c r="E24" s="14">
        <f>0.015*453.592/0.7457</f>
        <v>9.1241518036743994</v>
      </c>
      <c r="F24" s="14">
        <f>0.000721*453.592/0.7457</f>
        <v>0.43856756336328279</v>
      </c>
      <c r="G24" s="14">
        <f>0.000721*453.592/0.7457</f>
        <v>0.43856756336328279</v>
      </c>
      <c r="H24" s="14">
        <f>0.000721*453.592/0.7457</f>
        <v>0.43856756336328279</v>
      </c>
      <c r="J24">
        <v>6.5</v>
      </c>
    </row>
    <row r="25" spans="1:10" x14ac:dyDescent="0.3">
      <c r="A25" s="2" t="s">
        <v>85</v>
      </c>
      <c r="B25" s="14">
        <f>5/0.7457</f>
        <v>6.7051092932814802</v>
      </c>
      <c r="C25" s="14">
        <f>2/0.7457</f>
        <v>2.6820437173125922</v>
      </c>
      <c r="D25" s="14">
        <f>0.000588*7000*453.592/0.7457/1000000</f>
        <v>2.5036672549282549E-3</v>
      </c>
      <c r="E25" s="14">
        <f>1/0.7457</f>
        <v>1.3410218586562961</v>
      </c>
      <c r="F25" s="14">
        <f>(0.00991+0.0095)*7000*453.592/0.7457/1000000</f>
        <v>8.2646567037682708E-2</v>
      </c>
      <c r="G25" s="14">
        <f>(0.00991+0.0095)*7000*453.592/0.7457/1000000</f>
        <v>8.2646567037682708E-2</v>
      </c>
      <c r="H25" s="14">
        <f>(0.00991+0.0095)*7000*453.592/0.7457/1000000</f>
        <v>8.2646567037682708E-2</v>
      </c>
    </row>
    <row r="26" spans="1:10" x14ac:dyDescent="0.3">
      <c r="A26" s="2" t="s">
        <v>33</v>
      </c>
      <c r="B26" s="2">
        <f>3.72*7000*453.592/1000000/0.7457</f>
        <v>15.839527531178758</v>
      </c>
      <c r="C26" s="2">
        <f>2.27*7000*453.592/1000000/0.7457</f>
        <v>9.6655181440257465</v>
      </c>
      <c r="D26" s="2">
        <f>0.000588*7000*453.592/0.7457/1000000</f>
        <v>2.5036672549282549E-3</v>
      </c>
      <c r="E26" s="2">
        <f>0.0296*7000*453.592/1000000/0.7457</f>
        <v>0.12603495024808906</v>
      </c>
      <c r="F26" s="2">
        <f t="shared" si="3"/>
        <v>8.2646567037682708E-2</v>
      </c>
      <c r="G26" s="2">
        <f t="shared" si="3"/>
        <v>8.2646567037682708E-2</v>
      </c>
      <c r="H26" s="2">
        <f t="shared" si="3"/>
        <v>8.2646567037682708E-2</v>
      </c>
    </row>
    <row r="27" spans="1:10" x14ac:dyDescent="0.3">
      <c r="A27" s="2" t="s">
        <v>38</v>
      </c>
      <c r="B27" s="2">
        <f>5.57*7000*453.592/1000000/0.7457</f>
        <v>23.716711921684318</v>
      </c>
      <c r="C27" s="2">
        <f>4.08*7000*453.592/1000000/0.7457</f>
        <v>17.372385034196054</v>
      </c>
      <c r="D27" s="2">
        <f>0.000588*7000*453.592/1000000/0.7457</f>
        <v>2.5036672549282549E-3</v>
      </c>
      <c r="E27" s="2">
        <f>0.118*7000*453.592/1000000/0.7457</f>
        <v>0.50243662598900352</v>
      </c>
      <c r="F27" s="2">
        <f t="shared" si="4"/>
        <v>3.9075518308166815E-2</v>
      </c>
      <c r="G27" s="2">
        <f t="shared" si="4"/>
        <v>3.9075518308166815E-2</v>
      </c>
      <c r="H27" s="2">
        <f t="shared" si="4"/>
        <v>3.9075518308166815E-2</v>
      </c>
    </row>
    <row r="28" spans="1:10" x14ac:dyDescent="0.3">
      <c r="A28" s="2" t="s">
        <v>34</v>
      </c>
      <c r="B28" s="2">
        <f>387/0.7457</f>
        <v>518.9754592999866</v>
      </c>
      <c r="C28" s="2">
        <f>10/0.7457</f>
        <v>13.41021858656296</v>
      </c>
      <c r="D28" s="2">
        <f>0.000588*7000*453.592/0.7457/1000000</f>
        <v>2.5036672549282549E-3</v>
      </c>
      <c r="E28" s="2">
        <f>0.118*7000*453.592/1000000/0.7457</f>
        <v>0.50243662598900352</v>
      </c>
      <c r="F28" s="2">
        <f t="shared" ref="F28:H29" si="5">(0.00991+0.0095)*7000*453.592/0.7457/1000000</f>
        <v>8.2646567037682708E-2</v>
      </c>
      <c r="G28" s="2">
        <f t="shared" si="5"/>
        <v>8.2646567037682708E-2</v>
      </c>
      <c r="H28" s="2">
        <f t="shared" si="5"/>
        <v>8.2646567037682708E-2</v>
      </c>
    </row>
    <row r="29" spans="1:10" x14ac:dyDescent="0.3">
      <c r="A29" s="2" t="s">
        <v>35</v>
      </c>
      <c r="B29" s="2">
        <f>4/0.7457</f>
        <v>5.3640874346251843</v>
      </c>
      <c r="C29" s="2">
        <f>2/0.7457</f>
        <v>2.6820437173125922</v>
      </c>
      <c r="D29" s="2">
        <f>0.000588*7000*453.592/0.7457/1000000</f>
        <v>2.5036672549282549E-3</v>
      </c>
      <c r="E29" s="2">
        <f>1/0.7457</f>
        <v>1.3410218586562961</v>
      </c>
      <c r="F29" s="2">
        <f t="shared" si="5"/>
        <v>8.2646567037682708E-2</v>
      </c>
      <c r="G29" s="2">
        <f t="shared" si="5"/>
        <v>8.2646567037682708E-2</v>
      </c>
      <c r="H29" s="2">
        <f t="shared" si="5"/>
        <v>8.2646567037682708E-2</v>
      </c>
    </row>
    <row r="30" spans="1:10" x14ac:dyDescent="0.3">
      <c r="A30" s="2" t="s">
        <v>39</v>
      </c>
      <c r="B30" s="2">
        <f>3.72*7000*453.592/1000000/0.7457</f>
        <v>15.839527531178758</v>
      </c>
      <c r="C30" s="2">
        <f>2.27*7000*453.592/1000000/0.7457</f>
        <v>9.6655181440257465</v>
      </c>
      <c r="D30" s="2">
        <f>0.000588*7000*453.592/0.7457/1000000</f>
        <v>2.5036672549282549E-3</v>
      </c>
      <c r="E30" s="2">
        <f>0.0296*7000*453.592/1000000/0.7457</f>
        <v>0.12603495024808906</v>
      </c>
      <c r="F30" s="2">
        <f>(0.00991+0.0095)*7000*453.592/0.7457/1000000</f>
        <v>8.2646567037682708E-2</v>
      </c>
      <c r="G30" s="2">
        <f>(0.00991+0.0095)*7000*453.592/0.7457/1000000</f>
        <v>8.2646567037682708E-2</v>
      </c>
      <c r="H30" s="2">
        <f>(0.00991+0.0095)*7000*453.592/0.7457/1000000</f>
        <v>8.2646567037682708E-2</v>
      </c>
    </row>
    <row r="31" spans="1:10" x14ac:dyDescent="0.3">
      <c r="A31" s="2" t="s">
        <v>40</v>
      </c>
      <c r="B31" s="2">
        <f>5.57*7000*453.592/1000000/0.7457</f>
        <v>23.716711921684318</v>
      </c>
      <c r="C31" s="2">
        <f>4.08*7000*453.592/1000000/0.7457</f>
        <v>17.372385034196054</v>
      </c>
      <c r="D31" s="2">
        <f>0.000588*7000*453.592/1000000/0.7457</f>
        <v>2.5036672549282549E-3</v>
      </c>
      <c r="E31" s="2">
        <f>0.118*7000*453.592/1000000/0.7457</f>
        <v>0.50243662598900352</v>
      </c>
      <c r="F31" s="2">
        <f>(0.0000771+0.0091)*7000*453.592/1000000/0.7457</f>
        <v>3.9075518308166815E-2</v>
      </c>
      <c r="G31" s="2">
        <f>(0.0000771+0.0091)*7000*453.592/1000000/0.7457</f>
        <v>3.9075518308166815E-2</v>
      </c>
      <c r="H31" s="2">
        <f>(0.0000771+0.0091)*7000*453.592/1000000/0.7457</f>
        <v>3.9075518308166815E-2</v>
      </c>
    </row>
    <row r="32" spans="1:10" x14ac:dyDescent="0.3">
      <c r="A32" s="2" t="s">
        <v>36</v>
      </c>
      <c r="B32" s="2">
        <f>387/0.7457</f>
        <v>518.9754592999866</v>
      </c>
      <c r="C32" s="2">
        <f>10/0.7457</f>
        <v>13.41021858656296</v>
      </c>
      <c r="D32" s="2">
        <f>0.000588*7000*453.592/0.7457/1000000</f>
        <v>2.5036672549282549E-3</v>
      </c>
      <c r="E32" s="2">
        <f>0.118*7000*453.592/1000000/0.7457</f>
        <v>0.50243662598900352</v>
      </c>
      <c r="F32" s="2">
        <f t="shared" ref="F32:H33" si="6">(0.00991+0.0095)*7000*453.592/0.7457/1000000</f>
        <v>8.2646567037682708E-2</v>
      </c>
      <c r="G32" s="2">
        <f t="shared" si="6"/>
        <v>8.2646567037682708E-2</v>
      </c>
      <c r="H32" s="2">
        <f t="shared" si="6"/>
        <v>8.2646567037682708E-2</v>
      </c>
    </row>
    <row r="33" spans="1:14" x14ac:dyDescent="0.3">
      <c r="A33" s="2" t="s">
        <v>37</v>
      </c>
      <c r="B33" s="2">
        <f>4/0.7457</f>
        <v>5.3640874346251843</v>
      </c>
      <c r="C33" s="2">
        <f>2/0.7457</f>
        <v>2.6820437173125922</v>
      </c>
      <c r="D33" s="2">
        <f>0.000588*7000*453.592/0.7457/1000000</f>
        <v>2.5036672549282549E-3</v>
      </c>
      <c r="E33" s="2">
        <f>1/0.7457</f>
        <v>1.3410218586562961</v>
      </c>
      <c r="F33" s="2">
        <f t="shared" si="6"/>
        <v>8.2646567037682708E-2</v>
      </c>
      <c r="G33" s="2">
        <f t="shared" si="6"/>
        <v>8.2646567037682708E-2</v>
      </c>
      <c r="H33" s="2">
        <f t="shared" si="6"/>
        <v>8.2646567037682708E-2</v>
      </c>
    </row>
    <row r="35" spans="1:14" ht="59.25" customHeight="1" x14ac:dyDescent="0.3">
      <c r="A35" s="23" t="s">
        <v>41</v>
      </c>
      <c r="B35" s="23"/>
      <c r="C35" s="23"/>
      <c r="D35" s="23"/>
      <c r="E35" s="23"/>
      <c r="F35" s="23"/>
      <c r="G35" s="23"/>
      <c r="H35" s="23"/>
      <c r="I35" s="23"/>
      <c r="J35" s="23"/>
      <c r="K35" s="23"/>
      <c r="L35" s="23"/>
      <c r="M35" s="23"/>
      <c r="N35" s="23"/>
    </row>
  </sheetData>
  <mergeCells count="3">
    <mergeCell ref="A35:N35"/>
    <mergeCell ref="A1:J1"/>
    <mergeCell ref="A2:J2"/>
  </mergeCells>
  <pageMargins left="0.7" right="0.7" top="0.75" bottom="0.75" header="0.3" footer="0.3"/>
  <pageSetup orientation="portrait" copie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00"/>
  </sheetPr>
  <dimension ref="A1:K33"/>
  <sheetViews>
    <sheetView tabSelected="1" workbookViewId="0">
      <selection activeCell="A3" sqref="A3"/>
    </sheetView>
  </sheetViews>
  <sheetFormatPr defaultColWidth="8.6640625" defaultRowHeight="14.4" x14ac:dyDescent="0.3"/>
  <cols>
    <col min="1" max="1" width="10.33203125" customWidth="1"/>
    <col min="2" max="2" width="16.6640625" customWidth="1"/>
    <col min="3" max="3" width="14.6640625" customWidth="1"/>
    <col min="4" max="4" width="69.109375" customWidth="1"/>
    <col min="7" max="7" width="11" bestFit="1" customWidth="1"/>
  </cols>
  <sheetData>
    <row r="1" spans="1:11" ht="21" x14ac:dyDescent="0.4">
      <c r="A1" s="17" t="s">
        <v>97</v>
      </c>
      <c r="B1" s="18"/>
      <c r="C1" s="18"/>
      <c r="D1" s="18"/>
      <c r="E1" s="18"/>
      <c r="F1" s="18"/>
      <c r="G1" s="18"/>
      <c r="H1" s="18"/>
      <c r="I1" s="18"/>
      <c r="J1" s="18"/>
      <c r="K1" s="18"/>
    </row>
    <row r="2" spans="1:11" x14ac:dyDescent="0.3">
      <c r="A2" s="19">
        <v>41822</v>
      </c>
      <c r="B2" s="25"/>
      <c r="C2" s="25"/>
      <c r="D2" s="25"/>
      <c r="E2" s="25"/>
      <c r="F2" s="25"/>
      <c r="G2" s="25"/>
      <c r="H2" s="25"/>
      <c r="I2" s="25"/>
      <c r="J2" s="25"/>
      <c r="K2" s="25"/>
    </row>
    <row r="5" spans="1:11" x14ac:dyDescent="0.3">
      <c r="A5" t="s">
        <v>52</v>
      </c>
      <c r="B5" s="11"/>
      <c r="E5" s="24" t="s">
        <v>57</v>
      </c>
      <c r="F5" s="24"/>
      <c r="G5" s="24"/>
      <c r="H5" s="24"/>
      <c r="I5" s="24"/>
      <c r="J5" s="24"/>
      <c r="K5" s="24"/>
    </row>
    <row r="6" spans="1:11" x14ac:dyDescent="0.3">
      <c r="A6" s="2" t="s">
        <v>28</v>
      </c>
      <c r="B6" s="2" t="s">
        <v>31</v>
      </c>
      <c r="C6" s="2" t="s">
        <v>32</v>
      </c>
      <c r="D6" s="2" t="s">
        <v>55</v>
      </c>
      <c r="E6" s="2" t="s">
        <v>0</v>
      </c>
      <c r="F6" s="2" t="s">
        <v>1</v>
      </c>
      <c r="G6" s="2" t="s">
        <v>2</v>
      </c>
      <c r="H6" s="2" t="s">
        <v>3</v>
      </c>
      <c r="I6" s="2" t="s">
        <v>4</v>
      </c>
      <c r="J6" s="2" t="s">
        <v>5</v>
      </c>
      <c r="K6" s="2" t="s">
        <v>6</v>
      </c>
    </row>
    <row r="7" spans="1:11" x14ac:dyDescent="0.3">
      <c r="A7" s="2">
        <f>Inputs!A19</f>
        <v>0</v>
      </c>
      <c r="B7" s="2">
        <f>Inputs!C19</f>
        <v>0</v>
      </c>
      <c r="C7" s="2">
        <f>B7*0.7457</f>
        <v>0</v>
      </c>
      <c r="D7" s="2" t="str">
        <f>Inputs!B19</f>
        <v>Select</v>
      </c>
      <c r="E7" s="2">
        <f>VLOOKUP(D7,'Emission Factors'!$A$5:$H$25,2,FALSE)*C7*8760/453.5928/2000</f>
        <v>0</v>
      </c>
      <c r="F7" s="2">
        <f>VLOOKUP(D7,'Emission Factors'!$A$5:$H$25,3,FALSE)*8760/453.5928/2000</f>
        <v>0</v>
      </c>
      <c r="G7" s="2">
        <f>VLOOKUP(D7,'Emission Factors'!$A$5:$H$25,4,FALSE)*8760/453.5928/2000</f>
        <v>0</v>
      </c>
      <c r="H7" s="2">
        <f>VLOOKUP(D7,'Emission Factors'!$A$5:$H$25,5,FALSE)*8760/453.5928/2000</f>
        <v>0</v>
      </c>
      <c r="I7" s="2">
        <f>VLOOKUP(D7,'Emission Factors'!$A$5:$H$25,6,FALSE)*8760/453.5928/2000</f>
        <v>0</v>
      </c>
      <c r="J7" s="2">
        <f>VLOOKUP(D7,'Emission Factors'!$A$5:$H$25,7,FALSE)*8760/453.5928/2000</f>
        <v>0</v>
      </c>
      <c r="K7" s="2">
        <f>VLOOKUP(D7,'Emission Factors'!$A$5:$H$25,8,FALSE)*8760/453.5928/2000</f>
        <v>0</v>
      </c>
    </row>
    <row r="8" spans="1:11" x14ac:dyDescent="0.3">
      <c r="A8" s="2">
        <f>Inputs!A20</f>
        <v>0</v>
      </c>
      <c r="B8" s="2">
        <f>Inputs!C20</f>
        <v>0</v>
      </c>
      <c r="C8" s="2">
        <f t="shared" ref="C8:C16" si="0">B8*0.7457</f>
        <v>0</v>
      </c>
      <c r="D8" s="2" t="str">
        <f>Inputs!B20</f>
        <v>Select</v>
      </c>
      <c r="E8" s="2">
        <f>VLOOKUP(D8,'Emission Factors'!$A$5:$H$25,2,FALSE)*C8*8760/453.5928/2000</f>
        <v>0</v>
      </c>
      <c r="F8" s="2">
        <f>VLOOKUP(D8,'Emission Factors'!$A$5:$H$25,3,FALSE)*8760/453.5928/2000</f>
        <v>0</v>
      </c>
      <c r="G8" s="2">
        <f>VLOOKUP(D8,'Emission Factors'!$A$5:$H$25,4,FALSE)*8760/453.5928/2000</f>
        <v>0</v>
      </c>
      <c r="H8" s="2">
        <f>VLOOKUP(D8,'Emission Factors'!$A$5:$H$25,5,FALSE)*8760/453.5928/2000</f>
        <v>0</v>
      </c>
      <c r="I8" s="2">
        <f>VLOOKUP(D8,'Emission Factors'!$A$5:$H$25,6,FALSE)*8760/453.5928/2000</f>
        <v>0</v>
      </c>
      <c r="J8" s="2">
        <f>VLOOKUP(D8,'Emission Factors'!$A$5:$H$25,7,FALSE)*8760/453.5928/2000</f>
        <v>0</v>
      </c>
      <c r="K8" s="2">
        <f>VLOOKUP(D8,'Emission Factors'!$A$5:$H$25,8,FALSE)*8760/453.5928/2000</f>
        <v>0</v>
      </c>
    </row>
    <row r="9" spans="1:11" x14ac:dyDescent="0.3">
      <c r="A9" s="2">
        <f>Inputs!A21</f>
        <v>0</v>
      </c>
      <c r="B9" s="2">
        <f>Inputs!C21</f>
        <v>0</v>
      </c>
      <c r="C9" s="2">
        <f t="shared" si="0"/>
        <v>0</v>
      </c>
      <c r="D9" s="2" t="str">
        <f>Inputs!B21</f>
        <v>Select</v>
      </c>
      <c r="E9" s="2">
        <f>VLOOKUP(D9,'Emission Factors'!$A$5:$H$25,2,FALSE)*C9*8760/453.5928/2000</f>
        <v>0</v>
      </c>
      <c r="F9" s="2">
        <f>VLOOKUP(D9,'Emission Factors'!$A$5:$H$25,3,FALSE)*8760/453.5928/2000</f>
        <v>0</v>
      </c>
      <c r="G9" s="2">
        <f>VLOOKUP(D9,'Emission Factors'!$A$5:$H$25,4,FALSE)*8760/453.5928/2000</f>
        <v>0</v>
      </c>
      <c r="H9" s="2">
        <f>VLOOKUP(D9,'Emission Factors'!$A$5:$H$25,5,FALSE)*8760/453.5928/2000</f>
        <v>0</v>
      </c>
      <c r="I9" s="2">
        <f>VLOOKUP(D9,'Emission Factors'!$A$5:$H$25,6,FALSE)*8760/453.5928/2000</f>
        <v>0</v>
      </c>
      <c r="J9" s="2">
        <f>VLOOKUP(D9,'Emission Factors'!$A$5:$H$25,7,FALSE)*8760/453.5928/2000</f>
        <v>0</v>
      </c>
      <c r="K9" s="2">
        <f>VLOOKUP(D9,'Emission Factors'!$A$5:$H$25,8,FALSE)*8760/453.5928/2000</f>
        <v>0</v>
      </c>
    </row>
    <row r="10" spans="1:11" x14ac:dyDescent="0.3">
      <c r="A10" s="2">
        <f>Inputs!A22</f>
        <v>0</v>
      </c>
      <c r="B10" s="2">
        <f>Inputs!C22</f>
        <v>0</v>
      </c>
      <c r="C10" s="2">
        <f t="shared" si="0"/>
        <v>0</v>
      </c>
      <c r="D10" s="2" t="str">
        <f>Inputs!B22</f>
        <v>Select</v>
      </c>
      <c r="E10" s="2">
        <f>VLOOKUP(D10,'Emission Factors'!$A$5:$H$25,2,FALSE)*C10*8760/453.5928/2000</f>
        <v>0</v>
      </c>
      <c r="F10" s="2">
        <f>VLOOKUP(D10,'Emission Factors'!$A$5:$H$25,3,FALSE)*8760/453.5928/2000</f>
        <v>0</v>
      </c>
      <c r="G10" s="2">
        <f>VLOOKUP(D10,'Emission Factors'!$A$5:$H$25,4,FALSE)*8760/453.5928/2000</f>
        <v>0</v>
      </c>
      <c r="H10" s="2">
        <f>VLOOKUP(D10,'Emission Factors'!$A$5:$H$25,5,FALSE)*8760/453.5928/2000</f>
        <v>0</v>
      </c>
      <c r="I10" s="2">
        <f>VLOOKUP(D10,'Emission Factors'!$A$5:$H$25,6,FALSE)*8760/453.5928/2000</f>
        <v>0</v>
      </c>
      <c r="J10" s="2">
        <f>VLOOKUP(D10,'Emission Factors'!$A$5:$H$25,7,FALSE)*8760/453.5928/2000</f>
        <v>0</v>
      </c>
      <c r="K10" s="2">
        <f>VLOOKUP(D10,'Emission Factors'!$A$5:$H$25,8,FALSE)*8760/453.5928/2000</f>
        <v>0</v>
      </c>
    </row>
    <row r="11" spans="1:11" x14ac:dyDescent="0.3">
      <c r="A11" s="2">
        <f>Inputs!A23</f>
        <v>0</v>
      </c>
      <c r="B11" s="2">
        <f>Inputs!C23</f>
        <v>0</v>
      </c>
      <c r="C11" s="2">
        <f t="shared" si="0"/>
        <v>0</v>
      </c>
      <c r="D11" s="2" t="str">
        <f>Inputs!B23</f>
        <v>Select</v>
      </c>
      <c r="E11" s="2">
        <f>VLOOKUP(D11,'Emission Factors'!$A$5:$H$25,2,FALSE)*C11*8760/453.5928/2000</f>
        <v>0</v>
      </c>
      <c r="F11" s="2">
        <f>VLOOKUP(D11,'Emission Factors'!$A$5:$H$25,3,FALSE)*8760/453.5928/2000</f>
        <v>0</v>
      </c>
      <c r="G11" s="2">
        <f>VLOOKUP(D11,'Emission Factors'!$A$5:$H$25,4,FALSE)*8760/453.5928/2000</f>
        <v>0</v>
      </c>
      <c r="H11" s="2">
        <f>VLOOKUP(D11,'Emission Factors'!$A$5:$H$25,5,FALSE)*8760/453.5928/2000</f>
        <v>0</v>
      </c>
      <c r="I11" s="2">
        <f>VLOOKUP(D11,'Emission Factors'!$A$5:$H$25,6,FALSE)*8760/453.5928/2000</f>
        <v>0</v>
      </c>
      <c r="J11" s="2">
        <f>VLOOKUP(D11,'Emission Factors'!$A$5:$H$25,7,FALSE)*8760/453.5928/2000</f>
        <v>0</v>
      </c>
      <c r="K11" s="2">
        <f>VLOOKUP(D11,'Emission Factors'!$A$5:$H$25,8,FALSE)*8760/453.5928/2000</f>
        <v>0</v>
      </c>
    </row>
    <row r="12" spans="1:11" x14ac:dyDescent="0.3">
      <c r="A12" s="2">
        <f>Inputs!A24</f>
        <v>0</v>
      </c>
      <c r="B12" s="2">
        <f>Inputs!C24</f>
        <v>0</v>
      </c>
      <c r="C12" s="2">
        <f t="shared" si="0"/>
        <v>0</v>
      </c>
      <c r="D12" s="2" t="str">
        <f>Inputs!B24</f>
        <v>Select</v>
      </c>
      <c r="E12" s="2">
        <f>VLOOKUP(D12,'Emission Factors'!$A$5:$H$25,2,FALSE)*C12*8760/453.5928/2000</f>
        <v>0</v>
      </c>
      <c r="F12" s="2">
        <f>VLOOKUP(D12,'Emission Factors'!$A$5:$H$25,3,FALSE)*8760/453.5928/2000</f>
        <v>0</v>
      </c>
      <c r="G12" s="2">
        <f>VLOOKUP(D12,'Emission Factors'!$A$5:$H$25,4,FALSE)*8760/453.5928/2000</f>
        <v>0</v>
      </c>
      <c r="H12" s="2">
        <f>VLOOKUP(D12,'Emission Factors'!$A$5:$H$25,5,FALSE)*8760/453.5928/2000</f>
        <v>0</v>
      </c>
      <c r="I12" s="2">
        <f>VLOOKUP(D12,'Emission Factors'!$A$5:$H$25,6,FALSE)*8760/453.5928/2000</f>
        <v>0</v>
      </c>
      <c r="J12" s="2">
        <f>VLOOKUP(D12,'Emission Factors'!$A$5:$H$25,7,FALSE)*8760/453.5928/2000</f>
        <v>0</v>
      </c>
      <c r="K12" s="2">
        <f>VLOOKUP(D12,'Emission Factors'!$A$5:$H$25,8,FALSE)*8760/453.5928/2000</f>
        <v>0</v>
      </c>
    </row>
    <row r="13" spans="1:11" x14ac:dyDescent="0.3">
      <c r="A13" s="2">
        <f>Inputs!A25</f>
        <v>0</v>
      </c>
      <c r="B13" s="2">
        <f>Inputs!C25</f>
        <v>0</v>
      </c>
      <c r="C13" s="2">
        <f t="shared" si="0"/>
        <v>0</v>
      </c>
      <c r="D13" s="2" t="str">
        <f>Inputs!B25</f>
        <v>Select</v>
      </c>
      <c r="E13" s="2">
        <f>VLOOKUP(D13,'Emission Factors'!$A$5:$H$25,2,FALSE)*C13*8760/453.5928/2000</f>
        <v>0</v>
      </c>
      <c r="F13" s="2">
        <f>VLOOKUP(D13,'Emission Factors'!$A$5:$H$25,3,FALSE)*8760/453.5928/2000</f>
        <v>0</v>
      </c>
      <c r="G13" s="2">
        <f>VLOOKUP(D13,'Emission Factors'!$A$5:$H$25,4,FALSE)*8760/453.5928/2000</f>
        <v>0</v>
      </c>
      <c r="H13" s="2">
        <f>VLOOKUP(D13,'Emission Factors'!$A$5:$H$25,5,FALSE)*8760/453.5928/2000</f>
        <v>0</v>
      </c>
      <c r="I13" s="2">
        <f>VLOOKUP(D13,'Emission Factors'!$A$5:$H$25,6,FALSE)*8760/453.5928/2000</f>
        <v>0</v>
      </c>
      <c r="J13" s="2">
        <f>VLOOKUP(D13,'Emission Factors'!$A$5:$H$25,7,FALSE)*8760/453.5928/2000</f>
        <v>0</v>
      </c>
      <c r="K13" s="2">
        <f>VLOOKUP(D13,'Emission Factors'!$A$5:$H$25,8,FALSE)*8760/453.5928/2000</f>
        <v>0</v>
      </c>
    </row>
    <row r="14" spans="1:11" x14ac:dyDescent="0.3">
      <c r="A14" s="2">
        <f>Inputs!A26</f>
        <v>0</v>
      </c>
      <c r="B14" s="2">
        <f>Inputs!C26</f>
        <v>0</v>
      </c>
      <c r="C14" s="2">
        <f t="shared" si="0"/>
        <v>0</v>
      </c>
      <c r="D14" s="2" t="str">
        <f>Inputs!B26</f>
        <v>Select</v>
      </c>
      <c r="E14" s="2">
        <f>VLOOKUP(D14,'Emission Factors'!$A$5:$H$25,2,FALSE)*C14*8760/453.5928/2000</f>
        <v>0</v>
      </c>
      <c r="F14" s="2">
        <f>VLOOKUP(D14,'Emission Factors'!$A$5:$H$25,3,FALSE)*8760/453.5928/2000</f>
        <v>0</v>
      </c>
      <c r="G14" s="2">
        <f>VLOOKUP(D14,'Emission Factors'!$A$5:$H$25,4,FALSE)*8760/453.5928/2000</f>
        <v>0</v>
      </c>
      <c r="H14" s="2">
        <f>VLOOKUP(D14,'Emission Factors'!$A$5:$H$25,5,FALSE)*8760/453.5928/2000</f>
        <v>0</v>
      </c>
      <c r="I14" s="2">
        <f>VLOOKUP(D14,'Emission Factors'!$A$5:$H$25,6,FALSE)*8760/453.5928/2000</f>
        <v>0</v>
      </c>
      <c r="J14" s="2">
        <f>VLOOKUP(D14,'Emission Factors'!$A$5:$H$25,7,FALSE)*8760/453.5928/2000</f>
        <v>0</v>
      </c>
      <c r="K14" s="2">
        <f>VLOOKUP(D14,'Emission Factors'!$A$5:$H$25,8,FALSE)*8760/453.5928/2000</f>
        <v>0</v>
      </c>
    </row>
    <row r="15" spans="1:11" x14ac:dyDescent="0.3">
      <c r="A15" s="2">
        <f>Inputs!A27</f>
        <v>0</v>
      </c>
      <c r="B15" s="2">
        <f>Inputs!C27</f>
        <v>0</v>
      </c>
      <c r="C15" s="2">
        <f t="shared" si="0"/>
        <v>0</v>
      </c>
      <c r="D15" s="2" t="str">
        <f>Inputs!B27</f>
        <v>Select</v>
      </c>
      <c r="E15" s="2">
        <f>VLOOKUP(D15,'Emission Factors'!$A$5:$H$25,2,FALSE)*C15*8760/453.5928/2000</f>
        <v>0</v>
      </c>
      <c r="F15" s="2">
        <f>VLOOKUP(D15,'Emission Factors'!$A$5:$H$25,3,FALSE)*8760/453.5928/2000</f>
        <v>0</v>
      </c>
      <c r="G15" s="2">
        <f>VLOOKUP(D15,'Emission Factors'!$A$5:$H$25,4,FALSE)*8760/453.5928/2000</f>
        <v>0</v>
      </c>
      <c r="H15" s="2">
        <f>VLOOKUP(D15,'Emission Factors'!$A$5:$H$25,5,FALSE)*8760/453.5928/2000</f>
        <v>0</v>
      </c>
      <c r="I15" s="2">
        <f>VLOOKUP(D15,'Emission Factors'!$A$5:$H$25,6,FALSE)*8760/453.5928/2000</f>
        <v>0</v>
      </c>
      <c r="J15" s="2">
        <f>VLOOKUP(D15,'Emission Factors'!$A$5:$H$25,7,FALSE)*8760/453.5928/2000</f>
        <v>0</v>
      </c>
      <c r="K15" s="2">
        <f>VLOOKUP(D15,'Emission Factors'!$A$5:$H$25,8,FALSE)*8760/453.5928/2000</f>
        <v>0</v>
      </c>
    </row>
    <row r="16" spans="1:11" x14ac:dyDescent="0.3">
      <c r="A16" s="2">
        <f>Inputs!A28</f>
        <v>0</v>
      </c>
      <c r="B16" s="2">
        <f>Inputs!C28</f>
        <v>0</v>
      </c>
      <c r="C16" s="2">
        <f t="shared" si="0"/>
        <v>0</v>
      </c>
      <c r="D16" s="2" t="str">
        <f>Inputs!B28</f>
        <v>Select</v>
      </c>
      <c r="E16" s="2">
        <f>VLOOKUP(D16,'Emission Factors'!$A$5:$H$25,2,FALSE)*C16*8760/453.5928/2000</f>
        <v>0</v>
      </c>
      <c r="F16" s="2">
        <f>VLOOKUP(D16,'Emission Factors'!$A$5:$H$25,3,FALSE)*8760/453.5928/2000</f>
        <v>0</v>
      </c>
      <c r="G16" s="2">
        <f>VLOOKUP(D16,'Emission Factors'!$A$5:$H$25,4,FALSE)*8760/453.5928/2000</f>
        <v>0</v>
      </c>
      <c r="H16" s="2">
        <f>VLOOKUP(D16,'Emission Factors'!$A$5:$H$25,5,FALSE)*8760/453.5928/2000</f>
        <v>0</v>
      </c>
      <c r="I16" s="2">
        <f>VLOOKUP(D16,'Emission Factors'!$A$5:$H$25,6,FALSE)*8760/453.5928/2000</f>
        <v>0</v>
      </c>
      <c r="J16" s="2">
        <f>VLOOKUP(D16,'Emission Factors'!$A$5:$H$25,7,FALSE)*8760/453.5928/2000</f>
        <v>0</v>
      </c>
      <c r="K16" s="2">
        <f>VLOOKUP(D16,'Emission Factors'!$A$5:$H$25,8,FALSE)*8760/453.5928/2000</f>
        <v>0</v>
      </c>
    </row>
    <row r="17" spans="1:11" x14ac:dyDescent="0.3">
      <c r="A17" s="2"/>
      <c r="B17" s="2"/>
      <c r="C17" s="2"/>
      <c r="D17" s="6" t="s">
        <v>56</v>
      </c>
      <c r="E17" s="6">
        <f>SUM(E7:E16)</f>
        <v>0</v>
      </c>
      <c r="F17" s="6">
        <f t="shared" ref="F17:K17" si="1">SUM(F7:F16)</f>
        <v>0</v>
      </c>
      <c r="G17" s="6">
        <f t="shared" si="1"/>
        <v>0</v>
      </c>
      <c r="H17" s="6">
        <f t="shared" si="1"/>
        <v>0</v>
      </c>
      <c r="I17" s="6">
        <f t="shared" si="1"/>
        <v>0</v>
      </c>
      <c r="J17" s="6">
        <f t="shared" si="1"/>
        <v>0</v>
      </c>
      <c r="K17" s="6">
        <f t="shared" si="1"/>
        <v>0</v>
      </c>
    </row>
    <row r="18" spans="1:11" x14ac:dyDescent="0.3">
      <c r="A18" t="s">
        <v>53</v>
      </c>
      <c r="D18" s="1"/>
      <c r="E18" s="1"/>
      <c r="F18" s="1"/>
      <c r="G18" s="1"/>
      <c r="H18" s="1"/>
      <c r="I18" s="1"/>
      <c r="J18" s="1"/>
      <c r="K18" s="1"/>
    </row>
    <row r="19" spans="1:11" x14ac:dyDescent="0.3">
      <c r="A19" s="2" t="s">
        <v>28</v>
      </c>
      <c r="B19" s="2" t="s">
        <v>31</v>
      </c>
      <c r="C19" s="2" t="s">
        <v>32</v>
      </c>
      <c r="D19" s="2"/>
      <c r="E19" s="2"/>
      <c r="F19" s="2"/>
      <c r="G19" s="2"/>
      <c r="H19" s="2"/>
      <c r="I19" s="2"/>
      <c r="J19" s="2"/>
      <c r="K19" s="2"/>
    </row>
    <row r="20" spans="1:11" x14ac:dyDescent="0.3">
      <c r="A20" s="2">
        <f>Inputs!A34</f>
        <v>0</v>
      </c>
      <c r="B20" s="2">
        <f>Inputs!C34</f>
        <v>0</v>
      </c>
      <c r="C20" s="2">
        <f>B20*0.7457</f>
        <v>0</v>
      </c>
      <c r="D20" s="2" t="str">
        <f>Inputs!B34</f>
        <v>Select</v>
      </c>
      <c r="E20" s="2">
        <f>(VLOOKUP(D20,'Emission Factors'!$A$5:$H$20,2,FALSE))*C20*500/453.5928/2000</f>
        <v>0</v>
      </c>
      <c r="F20" s="2">
        <f>(VLOOKUP(D20,'Emission Factors'!$A$5:$H$20,3, FALSE))*C20*500/453.592/2000</f>
        <v>0</v>
      </c>
      <c r="G20" s="2">
        <f>(VLOOKUP(D20,'Emission Factors'!$A$5:$H$20,4,FALSE))*C20*500/453.592/2000</f>
        <v>0</v>
      </c>
      <c r="H20" s="2">
        <f>(VLOOKUP(D20,'Emission Factors'!$A$5:$H$20,5,FALSE))*C20*500/453.592/2000</f>
        <v>0</v>
      </c>
      <c r="I20" s="2">
        <f>(VLOOKUP(D20,'Emission Factors'!$A$5:$H$20,6,FALSE))*C20*500/453.592/2000</f>
        <v>0</v>
      </c>
      <c r="J20" s="2">
        <f>(VLOOKUP(D20,'Emission Factors'!$A$5:$H$20,7,FALSE))*C20*500/453.592/2000</f>
        <v>0</v>
      </c>
      <c r="K20" s="2">
        <f>(VLOOKUP(Emissions!D20,'Emission Factors'!$A$5:$H$20,8,FALSE))*C20*500/453.592/2000</f>
        <v>0</v>
      </c>
    </row>
    <row r="21" spans="1:11" x14ac:dyDescent="0.3">
      <c r="A21" s="2">
        <f>Inputs!A35</f>
        <v>0</v>
      </c>
      <c r="B21" s="2">
        <f>Inputs!C35</f>
        <v>0</v>
      </c>
      <c r="C21" s="2">
        <f t="shared" ref="C21:C28" si="2">B21*0.7457</f>
        <v>0</v>
      </c>
      <c r="D21" s="2" t="str">
        <f>Inputs!B35</f>
        <v>Select</v>
      </c>
      <c r="E21" s="2">
        <f>(VLOOKUP(D21,'Emission Factors'!$A$5:$H$20,2,FALSE))*C21*500/453.5928/2000</f>
        <v>0</v>
      </c>
      <c r="F21" s="2">
        <f>(VLOOKUP(D21,'Emission Factors'!$A$5:$H$20,3, FALSE))*C21*500/453.592/2000</f>
        <v>0</v>
      </c>
      <c r="G21" s="2">
        <f>(VLOOKUP(D21,'Emission Factors'!$A$5:$H$20,4,FALSE))*C21*500/453.592/2000</f>
        <v>0</v>
      </c>
      <c r="H21" s="2">
        <f>(VLOOKUP(D21,'Emission Factors'!$A$5:$H$20,5,FALSE))*C21*500/453.592/2000</f>
        <v>0</v>
      </c>
      <c r="I21" s="2">
        <f>(VLOOKUP(D21,'Emission Factors'!$A$5:$H$20,6,FALSE))*C21*500/453.592/2000</f>
        <v>0</v>
      </c>
      <c r="J21" s="2">
        <f>(VLOOKUP(D21,'Emission Factors'!$A$5:$H$20,7,FALSE))*C21*500/453.592/2000</f>
        <v>0</v>
      </c>
      <c r="K21" s="2">
        <f>(VLOOKUP(Emissions!D21,'Emission Factors'!$A$5:$H$20,8,FALSE))*C21*500/453.592/2000</f>
        <v>0</v>
      </c>
    </row>
    <row r="22" spans="1:11" x14ac:dyDescent="0.3">
      <c r="A22" s="2">
        <f>Inputs!A36</f>
        <v>0</v>
      </c>
      <c r="B22" s="2">
        <f>Inputs!C36</f>
        <v>0</v>
      </c>
      <c r="C22" s="2">
        <f t="shared" si="2"/>
        <v>0</v>
      </c>
      <c r="D22" s="2" t="str">
        <f>Inputs!B36</f>
        <v>Select</v>
      </c>
      <c r="E22" s="2">
        <f>(VLOOKUP(D22,'Emission Factors'!$A$5:$H$20,2,FALSE))*C22*500/453.5928/2000</f>
        <v>0</v>
      </c>
      <c r="F22" s="2">
        <f>(VLOOKUP(D22,'Emission Factors'!$A$5:$H$20,3, FALSE))*C22*500/453.592/2000</f>
        <v>0</v>
      </c>
      <c r="G22" s="2">
        <f>(VLOOKUP(D22,'Emission Factors'!$A$5:$H$20,4,FALSE))*C22*500/453.592/2000</f>
        <v>0</v>
      </c>
      <c r="H22" s="2">
        <f>(VLOOKUP(D22,'Emission Factors'!$A$5:$H$20,5,FALSE))*C22*500/453.592/2000</f>
        <v>0</v>
      </c>
      <c r="I22" s="2">
        <f>(VLOOKUP(D22,'Emission Factors'!$A$5:$H$20,6,FALSE))*C22*500/453.592/2000</f>
        <v>0</v>
      </c>
      <c r="J22" s="2">
        <f>(VLOOKUP(D22,'Emission Factors'!$A$5:$H$20,7,FALSE))*C22*500/453.592/2000</f>
        <v>0</v>
      </c>
      <c r="K22" s="2">
        <f>(VLOOKUP(Emissions!D22,'Emission Factors'!$A$5:$H$20,8,FALSE))*C22*500/453.592/2000</f>
        <v>0</v>
      </c>
    </row>
    <row r="23" spans="1:11" x14ac:dyDescent="0.3">
      <c r="A23" s="2">
        <f>Inputs!A37</f>
        <v>0</v>
      </c>
      <c r="B23" s="2">
        <f>Inputs!C37</f>
        <v>0</v>
      </c>
      <c r="C23" s="2">
        <f t="shared" si="2"/>
        <v>0</v>
      </c>
      <c r="D23" s="2" t="str">
        <f>Inputs!B37</f>
        <v>Select</v>
      </c>
      <c r="E23" s="2">
        <f>(VLOOKUP(D23,'Emission Factors'!$A$5:$H$20,2,FALSE))*C23*500/453.5928/2000</f>
        <v>0</v>
      </c>
      <c r="F23" s="2">
        <f>(VLOOKUP(D23,'Emission Factors'!$A$5:$H$20,3, FALSE))*C23*500/453.592/2000</f>
        <v>0</v>
      </c>
      <c r="G23" s="2">
        <f>(VLOOKUP(D23,'Emission Factors'!$A$5:$H$20,4,FALSE))*C23*500/453.592/2000</f>
        <v>0</v>
      </c>
      <c r="H23" s="2">
        <f>(VLOOKUP(D23,'Emission Factors'!$A$5:$H$20,5,FALSE))*C23*500/453.592/2000</f>
        <v>0</v>
      </c>
      <c r="I23" s="2">
        <f>(VLOOKUP(D23,'Emission Factors'!$A$5:$H$20,6,FALSE))*C23*500/453.592/2000</f>
        <v>0</v>
      </c>
      <c r="J23" s="2">
        <f>(VLOOKUP(D23,'Emission Factors'!$A$5:$H$20,7,FALSE))*C23*500/453.592/2000</f>
        <v>0</v>
      </c>
      <c r="K23" s="2">
        <f>(VLOOKUP(Emissions!D23,'Emission Factors'!$A$5:$H$20,8,FALSE))*C23*500/453.592/2000</f>
        <v>0</v>
      </c>
    </row>
    <row r="24" spans="1:11" x14ac:dyDescent="0.3">
      <c r="A24" s="2">
        <f>Inputs!A38</f>
        <v>0</v>
      </c>
      <c r="B24" s="2">
        <f>Inputs!C38</f>
        <v>0</v>
      </c>
      <c r="C24" s="2">
        <f t="shared" si="2"/>
        <v>0</v>
      </c>
      <c r="D24" s="2" t="str">
        <f>Inputs!B38</f>
        <v>Select</v>
      </c>
      <c r="E24" s="2">
        <f>(VLOOKUP(D24,'Emission Factors'!$A$5:$H$20,2,FALSE))*C24*500/453.5928/2000</f>
        <v>0</v>
      </c>
      <c r="F24" s="2">
        <f>(VLOOKUP(D24,'Emission Factors'!$A$5:$H$20,3, FALSE))*C24*500/453.592/2000</f>
        <v>0</v>
      </c>
      <c r="G24" s="2">
        <f>(VLOOKUP(D24,'Emission Factors'!$A$5:$H$20,4,FALSE))*C24*500/453.592/2000</f>
        <v>0</v>
      </c>
      <c r="H24" s="2">
        <f>(VLOOKUP(D24,'Emission Factors'!$A$5:$H$20,5,FALSE))*C24*500/453.592/2000</f>
        <v>0</v>
      </c>
      <c r="I24" s="2">
        <f>(VLOOKUP(D24,'Emission Factors'!$A$5:$H$20,6,FALSE))*C24*500/453.592/2000</f>
        <v>0</v>
      </c>
      <c r="J24" s="2">
        <f>(VLOOKUP(D24,'Emission Factors'!$A$5:$H$20,7,FALSE))*C24*500/453.592/2000</f>
        <v>0</v>
      </c>
      <c r="K24" s="2">
        <f>(VLOOKUP(Emissions!D24,'Emission Factors'!$A$5:$H$20,8,FALSE))*C24*500/453.592/2000</f>
        <v>0</v>
      </c>
    </row>
    <row r="25" spans="1:11" x14ac:dyDescent="0.3">
      <c r="A25" s="2">
        <f>Inputs!A39</f>
        <v>0</v>
      </c>
      <c r="B25" s="2">
        <f>Inputs!C39</f>
        <v>0</v>
      </c>
      <c r="C25" s="2">
        <f t="shared" si="2"/>
        <v>0</v>
      </c>
      <c r="D25" s="2" t="str">
        <f>Inputs!B39</f>
        <v>Select</v>
      </c>
      <c r="E25" s="2">
        <f>(VLOOKUP(D25,'Emission Factors'!$A$5:$H$20,2,FALSE))*C25*500/453.5928/2000</f>
        <v>0</v>
      </c>
      <c r="F25" s="2">
        <f>(VLOOKUP(D25,'Emission Factors'!$A$5:$H$20,3, FALSE))*C25*500/453.592/2000</f>
        <v>0</v>
      </c>
      <c r="G25" s="2">
        <f>(VLOOKUP(D25,'Emission Factors'!$A$5:$H$20,4,FALSE))*C25*500/453.592/2000</f>
        <v>0</v>
      </c>
      <c r="H25" s="2">
        <f>(VLOOKUP(D25,'Emission Factors'!$A$5:$H$20,5,FALSE))*C25*500/453.592/2000</f>
        <v>0</v>
      </c>
      <c r="I25" s="2">
        <f>(VLOOKUP(D25,'Emission Factors'!$A$5:$H$20,6,FALSE))*C25*500/453.592/2000</f>
        <v>0</v>
      </c>
      <c r="J25" s="2">
        <f>(VLOOKUP(D25,'Emission Factors'!$A$5:$H$20,7,FALSE))*C25*500/453.592/2000</f>
        <v>0</v>
      </c>
      <c r="K25" s="2">
        <f>(VLOOKUP(Emissions!D25,'Emission Factors'!$A$5:$H$20,8,FALSE))*C25*500/453.592/2000</f>
        <v>0</v>
      </c>
    </row>
    <row r="26" spans="1:11" x14ac:dyDescent="0.3">
      <c r="A26" s="2">
        <f>Inputs!A40</f>
        <v>0</v>
      </c>
      <c r="B26" s="2">
        <f>Inputs!C40</f>
        <v>0</v>
      </c>
      <c r="C26" s="2">
        <f t="shared" si="2"/>
        <v>0</v>
      </c>
      <c r="D26" s="2" t="str">
        <f>Inputs!B40</f>
        <v>Select</v>
      </c>
      <c r="E26" s="2">
        <f>(VLOOKUP(D26,'Emission Factors'!$A$5:$H$20,2,FALSE))*C26*500/453.5928/2000</f>
        <v>0</v>
      </c>
      <c r="F26" s="2">
        <f>(VLOOKUP(D26,'Emission Factors'!$A$5:$H$20,3, FALSE))*C26*500/453.592/2000</f>
        <v>0</v>
      </c>
      <c r="G26" s="2">
        <f>(VLOOKUP(D26,'Emission Factors'!$A$5:$H$20,4,FALSE))*C26*500/453.592/2000</f>
        <v>0</v>
      </c>
      <c r="H26" s="2">
        <f>(VLOOKUP(D26,'Emission Factors'!$A$5:$H$20,5,FALSE))*C26*500/453.592/2000</f>
        <v>0</v>
      </c>
      <c r="I26" s="2">
        <f>(VLOOKUP(D26,'Emission Factors'!$A$5:$H$20,6,FALSE))*C26*500/453.592/2000</f>
        <v>0</v>
      </c>
      <c r="J26" s="2">
        <f>(VLOOKUP(D26,'Emission Factors'!$A$5:$H$20,7,FALSE))*C26*500/453.592/2000</f>
        <v>0</v>
      </c>
      <c r="K26" s="2">
        <f>(VLOOKUP(Emissions!D26,'Emission Factors'!$A$5:$H$20,8,FALSE))*C26*500/453.592/2000</f>
        <v>0</v>
      </c>
    </row>
    <row r="27" spans="1:11" x14ac:dyDescent="0.3">
      <c r="A27" s="2">
        <f>Inputs!A41</f>
        <v>0</v>
      </c>
      <c r="B27" s="2">
        <f>Inputs!C41</f>
        <v>0</v>
      </c>
      <c r="C27" s="2">
        <f t="shared" si="2"/>
        <v>0</v>
      </c>
      <c r="D27" s="2" t="str">
        <f>Inputs!B41</f>
        <v>Select</v>
      </c>
      <c r="E27" s="2">
        <f>(VLOOKUP(D27,'Emission Factors'!$A$5:$H$20,2,FALSE))*C27*500/453.5928/2000</f>
        <v>0</v>
      </c>
      <c r="F27" s="2">
        <f>(VLOOKUP(D27,'Emission Factors'!$A$5:$H$20,3, FALSE))*C27*500/453.592/2000</f>
        <v>0</v>
      </c>
      <c r="G27" s="2">
        <f>(VLOOKUP(D27,'Emission Factors'!$A$5:$H$20,4,FALSE))*C27*500/453.592/2000</f>
        <v>0</v>
      </c>
      <c r="H27" s="2">
        <f>(VLOOKUP(D27,'Emission Factors'!$A$5:$H$20,5,FALSE))*C27*500/453.592/2000</f>
        <v>0</v>
      </c>
      <c r="I27" s="2">
        <f>(VLOOKUP(D27,'Emission Factors'!$A$5:$H$20,6,FALSE))*C27*500/453.592/2000</f>
        <v>0</v>
      </c>
      <c r="J27" s="2">
        <f>(VLOOKUP(D27,'Emission Factors'!$A$5:$H$20,7,FALSE))*C27*500/453.592/2000</f>
        <v>0</v>
      </c>
      <c r="K27" s="2">
        <f>(VLOOKUP(Emissions!D27,'Emission Factors'!$A$5:$H$20,8,FALSE))*C27*500/453.592/2000</f>
        <v>0</v>
      </c>
    </row>
    <row r="28" spans="1:11" x14ac:dyDescent="0.3">
      <c r="A28" s="2">
        <f>Inputs!A42</f>
        <v>0</v>
      </c>
      <c r="B28" s="2">
        <f>Inputs!C42</f>
        <v>0</v>
      </c>
      <c r="C28" s="2">
        <f t="shared" si="2"/>
        <v>0</v>
      </c>
      <c r="D28" s="2" t="str">
        <f>Inputs!B42</f>
        <v>Select</v>
      </c>
      <c r="E28" s="2">
        <f>(VLOOKUP(D28,'Emission Factors'!$A$5:$H$20,2,FALSE))*C28*500/453.5928/2000</f>
        <v>0</v>
      </c>
      <c r="F28" s="2">
        <f>(VLOOKUP(D28,'Emission Factors'!$A$5:$H$20,3, FALSE))*C28*500/453.592/2000</f>
        <v>0</v>
      </c>
      <c r="G28" s="2">
        <f>(VLOOKUP(D28,'Emission Factors'!$A$5:$H$20,4,FALSE))*C28*500/453.592/2000</f>
        <v>0</v>
      </c>
      <c r="H28" s="2">
        <f>(VLOOKUP(D28,'Emission Factors'!$A$5:$H$20,5,FALSE))*C28*500/453.592/2000</f>
        <v>0</v>
      </c>
      <c r="I28" s="2">
        <f>(VLOOKUP(D28,'Emission Factors'!$A$5:$H$20,6,FALSE))*C28*500/453.592/2000</f>
        <v>0</v>
      </c>
      <c r="J28" s="2">
        <f>(VLOOKUP(D28,'Emission Factors'!$A$5:$H$20,7,FALSE))*C28*500/453.592/2000</f>
        <v>0</v>
      </c>
      <c r="K28" s="2">
        <f>(VLOOKUP(Emissions!D28,'Emission Factors'!$A$5:$H$20,8,FALSE))*C28*500/453.592/2000</f>
        <v>0</v>
      </c>
    </row>
    <row r="29" spans="1:11" x14ac:dyDescent="0.3">
      <c r="A29" s="2"/>
      <c r="B29" s="2"/>
      <c r="C29" s="2"/>
      <c r="D29" s="2" t="s">
        <v>63</v>
      </c>
      <c r="E29" s="2">
        <f>SUM(E20:E28)</f>
        <v>0</v>
      </c>
      <c r="F29" s="2">
        <f t="shared" ref="F29:K29" si="3">SUM(F20:F28)</f>
        <v>0</v>
      </c>
      <c r="G29" s="2">
        <f t="shared" si="3"/>
        <v>0</v>
      </c>
      <c r="H29" s="2">
        <f t="shared" si="3"/>
        <v>0</v>
      </c>
      <c r="I29" s="2">
        <f t="shared" si="3"/>
        <v>0</v>
      </c>
      <c r="J29" s="2">
        <f t="shared" si="3"/>
        <v>0</v>
      </c>
      <c r="K29" s="2">
        <f t="shared" si="3"/>
        <v>0</v>
      </c>
    </row>
    <row r="32" spans="1:11" x14ac:dyDescent="0.3">
      <c r="D32" t="s">
        <v>98</v>
      </c>
      <c r="E32">
        <f>D33*100/1020*8760/2000</f>
        <v>0</v>
      </c>
      <c r="F32">
        <f>D33*84/1020*8760/2000</f>
        <v>0</v>
      </c>
      <c r="G32">
        <f>D33*0.6/1020*8760/2000</f>
        <v>0</v>
      </c>
      <c r="H32">
        <f>D33*5.5/1020*8760/2000</f>
        <v>0</v>
      </c>
      <c r="I32">
        <f>D33*7.6/1020*8760/2000</f>
        <v>0</v>
      </c>
      <c r="J32">
        <f>D33*7.6/1020*8760/2000</f>
        <v>0</v>
      </c>
      <c r="K32">
        <f>D33*7.6/1020*8760/2000</f>
        <v>0</v>
      </c>
    </row>
    <row r="33" spans="4:4" x14ac:dyDescent="0.3">
      <c r="D33">
        <f>Inputs!B57</f>
        <v>0</v>
      </c>
    </row>
  </sheetData>
  <mergeCells count="3">
    <mergeCell ref="E5:K5"/>
    <mergeCell ref="A1:K1"/>
    <mergeCell ref="A2:K2"/>
  </mergeCells>
  <pageMargins left="0.7" right="0.7" top="0.75" bottom="0.75" header="0.3" footer="0.3"/>
  <pageSetup orientation="portrait"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Inputs</vt:lpstr>
      <vt:lpstr>Output</vt:lpstr>
      <vt:lpstr>Emission Factors</vt:lpstr>
      <vt:lpstr>Emissions</vt:lpstr>
    </vt:vector>
  </TitlesOfParts>
  <Company>US-EPA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lbeckham</dc:creator>
  <cp:lastModifiedBy>Dixon, Danielle</cp:lastModifiedBy>
  <dcterms:created xsi:type="dcterms:W3CDTF">2014-01-03T20:29:33Z</dcterms:created>
  <dcterms:modified xsi:type="dcterms:W3CDTF">2016-06-17T16:40:42Z</dcterms:modified>
</cp:coreProperties>
</file>