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48" yWindow="852" windowWidth="15480" windowHeight="10596" tabRatio="759"/>
  </bookViews>
  <sheets>
    <sheet name="Registration FAQs" sheetId="32" r:id="rId1"/>
    <sheet name="Instructions" sheetId="1" r:id="rId2"/>
    <sheet name="Inputs" sheetId="13" r:id="rId3"/>
    <sheet name="Controls and Restrictions" sheetId="33" r:id="rId4"/>
    <sheet name="Total Emissions" sheetId="29" r:id="rId5"/>
    <sheet name="Output-Summary Printout" sheetId="34" r:id="rId6"/>
    <sheet name="Change Log" sheetId="14" state="hidden" r:id="rId7"/>
    <sheet name="Emission Factors" sheetId="9" state="hidden" r:id="rId8"/>
    <sheet name="Fuel Energy Content" sheetId="30" state="hidden" r:id="rId9"/>
    <sheet name="Additional References" sheetId="20" state="hidden" r:id="rId10"/>
    <sheet name="EPA Regional Contact Info" sheetId="31" state="hidden" r:id="rId11"/>
  </sheets>
  <externalReferences>
    <externalReference r:id="rId12"/>
  </externalReferences>
  <definedNames>
    <definedName name="_xlnm._FilterDatabase" localSheetId="10" hidden="1">'EPA Regional Contact Info'!$A$4:$N$55</definedName>
    <definedName name="Allowable_Emission_Restriction">'Controls and Restrictions'!$L$17</definedName>
    <definedName name="CO_PM10_Attainment_List">Inputs!$E$3:$E$5</definedName>
    <definedName name="Dryer_Fuel">Inputs!$C$46</definedName>
    <definedName name="Dryer_Fuel_List">Inputs!$E$33:$E$36</definedName>
    <definedName name="Facility_Type">Inputs!$C$40</definedName>
    <definedName name="Facility_Type_List">Inputs!$E$21:$E$22</definedName>
    <definedName name="Heater_Capacity">Inputs!$C$50</definedName>
    <definedName name="Heater_Fuel">Inputs!$C$51</definedName>
    <definedName name="Heater_Fuel_Combusted">Inputs!$C$52</definedName>
    <definedName name="Heater_Fuel_List">Inputs!$E$25:$E$29</definedName>
    <definedName name="Heater_Fuel_Sulfur_Content">Inputs!$C$53</definedName>
    <definedName name="Hourly_Production_Average">Inputs!$C$41</definedName>
    <definedName name="Hourly_Production_Max">Inputs!$C$42</definedName>
    <definedName name="Natural_Gas_Registration_Sulfur_Content">'Additional References'!$B$9</definedName>
    <definedName name="Natural_Gas_Unc_Sulfur_Content">'Additional References'!$B$8</definedName>
    <definedName name="NOx_Control_Multiplier">'Controls and Restrictions'!$L$11</definedName>
    <definedName name="Oil_Distillate_Registration_Sulfur_Content">'Additional References'!$B$11</definedName>
    <definedName name="Oil_Distillate_Uncontrolled_Sulfur_Content">'Additional References'!$B$10</definedName>
    <definedName name="Oil_Residual_Registration_Sulfur_Content">'Additional References'!$B$13</definedName>
    <definedName name="Oil_Residual_Uncontrolled_Sulfur_Content">'Additional References'!$B$12</definedName>
    <definedName name="Ozone_Attainment_List">Inputs!$E$8:$E$13</definedName>
    <definedName name="PM_Control_List">'[1]Controls and Restrictions'!$L$4:$L$6</definedName>
    <definedName name="PM_Control_Yes_No_List">'Controls and Restrictions'!$L$4:$L$5</definedName>
    <definedName name="_xlnm.Print_Area" localSheetId="2">Inputs!$A$1:$C$54</definedName>
    <definedName name="_xlnm.Print_Area" localSheetId="5">'Output-Summary Printout'!$A$1:$F$42</definedName>
    <definedName name="_xlnm.Print_Area" localSheetId="0">'Registration FAQs'!$B$1:$C$37</definedName>
    <definedName name="_xlnm.Print_Area" localSheetId="4">'Total Emissions'!$A$1:$H$15</definedName>
    <definedName name="Production_Hours">Inputs!$C$43</definedName>
    <definedName name="SO2_Control_Multiplier">'Controls and Restrictions'!$L$8</definedName>
    <definedName name="SO2_PM25_Attainment_List">Inputs!$E$16:$E$17</definedName>
    <definedName name="State_List">Inputs!$E$39:$E$83</definedName>
    <definedName name="Waste_Oil_Registration_Ash_Content">'Additional References'!$B$5</definedName>
    <definedName name="Waste_Oil_Registration_Sulfur_Content">'Additional References'!$B$7</definedName>
    <definedName name="Waste_Oil_Unc_Ash_Content">'Additional References'!$B$4</definedName>
    <definedName name="Waste_Oil_Unc_Sulfur_Content">'Additional References'!$B$6</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L11" i="33" l="1"/>
  <c r="L8" i="33"/>
  <c r="L17" i="33" l="1"/>
  <c r="L14" i="33"/>
  <c r="C54" i="13" l="1"/>
  <c r="B54" i="13"/>
  <c r="B52" i="13"/>
  <c r="E39" i="13" l="1"/>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38" i="13"/>
  <c r="A33" i="34"/>
  <c r="L22" i="34"/>
  <c r="F22" i="34"/>
  <c r="L20" i="34"/>
  <c r="F20" i="34"/>
  <c r="L18" i="34"/>
  <c r="F18" i="34"/>
  <c r="L16" i="34"/>
  <c r="F16" i="34"/>
  <c r="L14" i="34"/>
  <c r="F14" i="34"/>
  <c r="L12" i="34"/>
  <c r="F12" i="34"/>
  <c r="E5" i="34"/>
  <c r="B5" i="34"/>
  <c r="E4" i="34"/>
  <c r="B4" i="34"/>
  <c r="E3" i="34"/>
  <c r="B3" i="34"/>
  <c r="D80" i="9" l="1"/>
  <c r="B53" i="13"/>
  <c r="E80" i="9" l="1"/>
  <c r="B15" i="13"/>
  <c r="C25" i="13"/>
  <c r="D38" i="34" s="1"/>
  <c r="C24" i="13"/>
  <c r="D37" i="34" s="1"/>
  <c r="C23" i="13"/>
  <c r="D36" i="34" s="1"/>
  <c r="C22" i="13"/>
  <c r="D35" i="34" s="1"/>
  <c r="C21" i="13"/>
  <c r="C20" i="13"/>
  <c r="C18" i="13"/>
  <c r="D41" i="34" s="1"/>
  <c r="C17" i="13"/>
  <c r="D40" i="34" s="1"/>
  <c r="C16" i="13"/>
  <c r="D34" i="34" s="1"/>
  <c r="C19" i="13"/>
  <c r="C54" i="9" l="1"/>
  <c r="C53" i="9"/>
  <c r="C52" i="9"/>
  <c r="C51" i="9"/>
  <c r="E50" i="9"/>
  <c r="F50" i="9" s="1"/>
  <c r="C50" i="9"/>
  <c r="E49" i="9"/>
  <c r="F49" i="9" s="1"/>
  <c r="C49" i="9"/>
  <c r="C48" i="9"/>
  <c r="E21" i="9" l="1"/>
  <c r="F21" i="9" s="1"/>
  <c r="E20" i="9"/>
  <c r="F20" i="9" s="1"/>
  <c r="E19" i="9"/>
  <c r="F19" i="9" s="1"/>
  <c r="C19" i="9"/>
  <c r="C20" i="9"/>
  <c r="C21" i="9"/>
  <c r="C22" i="9"/>
  <c r="C23" i="9"/>
  <c r="C24" i="9"/>
  <c r="C25" i="9"/>
  <c r="D76" i="9" l="1"/>
  <c r="E76" i="9" s="1"/>
  <c r="D75" i="9"/>
  <c r="E75" i="9" s="1"/>
  <c r="D74" i="9"/>
  <c r="E74" i="9" s="1"/>
  <c r="D73" i="9"/>
  <c r="E73" i="9" s="1"/>
  <c r="D66" i="9"/>
  <c r="E66" i="9" s="1"/>
  <c r="C5" i="9" l="1"/>
  <c r="E5" i="9"/>
  <c r="F5" i="9" s="1"/>
  <c r="C6" i="9"/>
  <c r="E6" i="9"/>
  <c r="F6" i="9" s="1"/>
  <c r="C7" i="9"/>
  <c r="E7" i="9"/>
  <c r="F7" i="9" s="1"/>
  <c r="C8" i="9"/>
  <c r="C9" i="9"/>
  <c r="C10" i="9"/>
  <c r="C11" i="9"/>
  <c r="C12" i="9"/>
  <c r="E12" i="9"/>
  <c r="F12" i="9" s="1"/>
  <c r="C13" i="9"/>
  <c r="E13" i="9"/>
  <c r="F13" i="9" s="1"/>
  <c r="C14" i="9"/>
  <c r="E14" i="9"/>
  <c r="F14" i="9" s="1"/>
  <c r="C15" i="9"/>
  <c r="C16" i="9"/>
  <c r="C17" i="9"/>
  <c r="C18" i="9"/>
  <c r="C26" i="9"/>
  <c r="E26" i="9"/>
  <c r="F26" i="9" s="1"/>
  <c r="C27" i="9"/>
  <c r="E27" i="9"/>
  <c r="F27" i="9" s="1"/>
  <c r="C28" i="9"/>
  <c r="E28" i="9"/>
  <c r="F28" i="9" s="1"/>
  <c r="C29" i="9"/>
  <c r="C30" i="9"/>
  <c r="C31" i="9"/>
  <c r="C32" i="9"/>
  <c r="C34" i="9"/>
  <c r="C35" i="9"/>
  <c r="C36" i="9"/>
  <c r="C37" i="9"/>
  <c r="C38" i="9"/>
  <c r="C39" i="9"/>
  <c r="C40" i="9"/>
  <c r="C41" i="9"/>
  <c r="C42" i="9"/>
  <c r="C43" i="9"/>
  <c r="C44" i="9"/>
  <c r="C45" i="9"/>
  <c r="C46" i="9"/>
  <c r="C47" i="9"/>
  <c r="C55" i="9"/>
  <c r="C56" i="9"/>
  <c r="C57" i="9"/>
  <c r="C58" i="9"/>
  <c r="C59" i="9"/>
  <c r="C60" i="9"/>
  <c r="C61" i="9"/>
  <c r="C63" i="9"/>
  <c r="E63" i="9"/>
  <c r="C64" i="9"/>
  <c r="E64" i="9"/>
  <c r="C65" i="9"/>
  <c r="E65" i="9"/>
  <c r="C66" i="9"/>
  <c r="C67" i="9"/>
  <c r="E67" i="9"/>
  <c r="C68" i="9"/>
  <c r="E68" i="9"/>
  <c r="C69" i="9"/>
  <c r="E69" i="9"/>
  <c r="C70" i="9"/>
  <c r="E70" i="9"/>
  <c r="C71" i="9"/>
  <c r="E71" i="9"/>
  <c r="C72" i="9"/>
  <c r="E72" i="9"/>
  <c r="C73" i="9"/>
  <c r="C74" i="9"/>
  <c r="C75" i="9"/>
  <c r="C76" i="9"/>
  <c r="C77" i="9"/>
  <c r="E77" i="9"/>
  <c r="C78" i="9"/>
  <c r="E78" i="9"/>
  <c r="C79" i="9"/>
  <c r="E79" i="9"/>
  <c r="C80" i="9"/>
  <c r="C81" i="9"/>
  <c r="E81" i="9"/>
  <c r="C82" i="9"/>
  <c r="E82" i="9"/>
  <c r="C83" i="9"/>
  <c r="E83" i="9"/>
  <c r="C84" i="9"/>
  <c r="C85" i="9"/>
  <c r="E85" i="9"/>
  <c r="C86" i="9"/>
  <c r="E86" i="9"/>
  <c r="C87" i="9"/>
  <c r="D87" i="9"/>
  <c r="E87" i="9" s="1"/>
  <c r="C88" i="9"/>
  <c r="D88" i="9"/>
  <c r="E88" i="9" s="1"/>
  <c r="C89" i="9"/>
  <c r="D89" i="9"/>
  <c r="E89" i="9" s="1"/>
  <c r="C90" i="9"/>
  <c r="C91" i="9"/>
  <c r="C92" i="9"/>
  <c r="C93" i="9"/>
  <c r="C94" i="9"/>
  <c r="C95" i="9"/>
  <c r="C96" i="9"/>
  <c r="C97" i="9"/>
  <c r="D5" i="29" l="1"/>
  <c r="F5" i="29"/>
  <c r="E5" i="29"/>
  <c r="H13" i="29"/>
  <c r="H6" i="29" s="1"/>
  <c r="G13" i="29"/>
  <c r="G6" i="29" s="1"/>
  <c r="G5" i="29"/>
  <c r="H5" i="29"/>
  <c r="C5" i="29"/>
  <c r="C6" i="29"/>
  <c r="D90" i="9"/>
  <c r="E90" i="9"/>
  <c r="C13" i="29"/>
  <c r="D13" i="29"/>
  <c r="F13" i="29"/>
  <c r="E6" i="29"/>
  <c r="E13" i="29"/>
  <c r="D6" i="29"/>
  <c r="F6" i="29"/>
  <c r="B14" i="30" l="1"/>
  <c r="B13" i="30"/>
  <c r="B12" i="30"/>
  <c r="D12" i="29" l="1"/>
  <c r="H12" i="29"/>
  <c r="F7" i="29"/>
  <c r="C18" i="34" s="1"/>
  <c r="G12" i="29"/>
  <c r="E12" i="29"/>
  <c r="C12" i="29"/>
  <c r="F12" i="29"/>
  <c r="C7" i="29"/>
  <c r="C12" i="34" s="1"/>
  <c r="D7" i="29"/>
  <c r="C14" i="34" s="1"/>
  <c r="E7" i="29" l="1"/>
  <c r="C16" i="34" s="1"/>
  <c r="D14" i="29"/>
  <c r="E14" i="34" s="1"/>
  <c r="E14" i="29"/>
  <c r="E16" i="34" s="1"/>
  <c r="F14" i="29"/>
  <c r="E18" i="34" s="1"/>
  <c r="C14" i="29"/>
  <c r="E12" i="34" s="1"/>
  <c r="K12" i="34" l="1"/>
  <c r="M12" i="34"/>
  <c r="K18" i="34"/>
  <c r="M18" i="34"/>
  <c r="M16" i="34"/>
  <c r="K16" i="34"/>
  <c r="K14" i="34"/>
  <c r="M14" i="34"/>
  <c r="G14" i="29" l="1"/>
  <c r="E20" i="34" s="1"/>
  <c r="H14" i="29"/>
  <c r="E22" i="34" s="1"/>
  <c r="K22" i="34" l="1"/>
  <c r="M22" i="34"/>
  <c r="M20" i="34"/>
  <c r="K20" i="34"/>
  <c r="H7" i="29"/>
  <c r="C22" i="34" s="1"/>
  <c r="G7" i="29"/>
  <c r="C20" i="34" s="1"/>
  <c r="A30" i="34" l="1"/>
  <c r="A32" i="34" s="1"/>
  <c r="B2" i="1"/>
  <c r="B1" i="1" l="1"/>
</calcChain>
</file>

<file path=xl/sharedStrings.xml><?xml version="1.0" encoding="utf-8"?>
<sst xmlns="http://schemas.openxmlformats.org/spreadsheetml/2006/main" count="1381" uniqueCount="481">
  <si>
    <t>Pollutant</t>
  </si>
  <si>
    <t>(tons/yr)</t>
  </si>
  <si>
    <t>volatile organic compound</t>
  </si>
  <si>
    <t>VOC</t>
  </si>
  <si>
    <t>Purpose</t>
  </si>
  <si>
    <t>Facility Information</t>
  </si>
  <si>
    <t>Name</t>
  </si>
  <si>
    <t>Address</t>
  </si>
  <si>
    <t>Telephone</t>
  </si>
  <si>
    <t>Email</t>
  </si>
  <si>
    <t>Facility Contact</t>
  </si>
  <si>
    <t>Attainment</t>
  </si>
  <si>
    <t>Source Category Description</t>
  </si>
  <si>
    <t>Major Source</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</si>
  <si>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</si>
  <si>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</si>
  <si>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</si>
  <si>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</si>
  <si>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</si>
  <si>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</si>
  <si>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</si>
  <si>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</si>
  <si>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</si>
  <si>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</si>
  <si>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</si>
  <si>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</si>
  <si>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</si>
  <si>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</si>
  <si>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</si>
  <si>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</si>
  <si>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</si>
  <si>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</si>
  <si>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</si>
  <si>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</si>
  <si>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</si>
  <si>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Data Key 1</t>
  </si>
  <si>
    <t>EF Denominator</t>
  </si>
  <si>
    <t>EF Numerator</t>
  </si>
  <si>
    <t>Source</t>
  </si>
  <si>
    <t>lb</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</si>
  <si>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</si>
  <si>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</si>
  <si>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</si>
  <si>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</si>
  <si>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</si>
  <si>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</si>
  <si>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</si>
  <si>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</si>
  <si>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</si>
  <si>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</si>
  <si>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Exceeds major source threshold.</t>
  </si>
  <si>
    <t>Additional References</t>
  </si>
  <si>
    <t>Data Element</t>
  </si>
  <si>
    <t>new source review</t>
  </si>
  <si>
    <t>Yes</t>
  </si>
  <si>
    <t>No</t>
  </si>
  <si>
    <t>Fuel and Process</t>
  </si>
  <si>
    <t xml:space="preserve">Value </t>
  </si>
  <si>
    <t>N/A</t>
  </si>
  <si>
    <t>CO Attainment Status (select one):</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</si>
  <si>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</si>
  <si>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</si>
  <si>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t>CO</t>
  </si>
  <si>
    <r>
      <t>NO</t>
    </r>
    <r>
      <rPr>
        <b/>
        <vertAlign val="subscript"/>
        <sz val="10"/>
        <rFont val="Arial"/>
        <family val="2"/>
      </rPr>
      <t>x</t>
    </r>
  </si>
  <si>
    <r>
      <t>SO</t>
    </r>
    <r>
      <rPr>
        <b/>
        <vertAlign val="subscript"/>
        <sz val="10"/>
        <rFont val="Arial"/>
        <family val="2"/>
      </rPr>
      <t>2</t>
    </r>
  </si>
  <si>
    <r>
      <t>PM</t>
    </r>
    <r>
      <rPr>
        <b/>
        <vertAlign val="subscript"/>
        <sz val="10"/>
        <rFont val="Arial"/>
        <family val="2"/>
      </rPr>
      <t>10</t>
    </r>
  </si>
  <si>
    <r>
      <t>PM</t>
    </r>
    <r>
      <rPr>
        <b/>
        <vertAlign val="subscript"/>
        <sz val="10"/>
        <rFont val="Arial"/>
        <family val="2"/>
      </rPr>
      <t>2.5</t>
    </r>
  </si>
  <si>
    <t>Natural Gas</t>
  </si>
  <si>
    <t>Oil - Distillate</t>
  </si>
  <si>
    <t>Total PM</t>
  </si>
  <si>
    <t>1000 gal</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</si>
  <si>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t>
  </si>
  <si>
    <r>
      <t>NO</t>
    </r>
    <r>
      <rPr>
        <vertAlign val="subscript"/>
        <sz val="10"/>
        <rFont val="Arial"/>
        <family val="2"/>
      </rPr>
      <t>x</t>
    </r>
  </si>
  <si>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</si>
  <si>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</si>
  <si>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</si>
  <si>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carbon monoxide</t>
  </si>
  <si>
    <t>nitrogen oxides</t>
  </si>
  <si>
    <t>sulfur dioxide</t>
  </si>
  <si>
    <t>Electricity</t>
  </si>
  <si>
    <t>million British thermal units</t>
  </si>
  <si>
    <t>Units</t>
  </si>
  <si>
    <t>Hot Mix Asphalt Plant Registration Calculator</t>
  </si>
  <si>
    <t>Facility Type</t>
  </si>
  <si>
    <t>Drum Mix</t>
  </si>
  <si>
    <t>Batch Mix</t>
  </si>
  <si>
    <t>Heater Questions</t>
  </si>
  <si>
    <t>Waste Oil</t>
  </si>
  <si>
    <t>Oil - Residual</t>
  </si>
  <si>
    <t>SO2</t>
  </si>
  <si>
    <t>NOx</t>
  </si>
  <si>
    <t>tons of HMA</t>
  </si>
  <si>
    <t>U.S. Environmental Protection Agency. 2004. AP 42, Fifth Edition, Volume I, Chapter 11.1 Hot Mix Asphalt. Table 11.1-7. Available electronically at: http://www.epa.gov/ttnchie1/ap42/ch11/final/c11s01.pdf</t>
  </si>
  <si>
    <t>Heater Fuel Types</t>
  </si>
  <si>
    <t>Dryer Fuel Types</t>
  </si>
  <si>
    <t>Heater:</t>
  </si>
  <si>
    <t>Heater</t>
  </si>
  <si>
    <t>Fuel Energy Content</t>
  </si>
  <si>
    <t>Units Same as Source</t>
  </si>
  <si>
    <t>Fuel</t>
  </si>
  <si>
    <t>Energy Content</t>
  </si>
  <si>
    <t>Energy Content Numerator</t>
  </si>
  <si>
    <t>Energy Content Denominator</t>
  </si>
  <si>
    <t>MMBtu</t>
  </si>
  <si>
    <t>bbl</t>
  </si>
  <si>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</si>
  <si>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t>U.S. Environmental Protection Agency, Direct Emissions from Stationary Combustion Sources, EPA430-K-08-003, May 2008, http://www.epa.gov/climateleadership/documents/resources/stationarycombustionguidance.pdf.</t>
  </si>
  <si>
    <t>Btu</t>
  </si>
  <si>
    <r>
      <t>ft</t>
    </r>
    <r>
      <rPr>
        <vertAlign val="superscript"/>
        <sz val="10"/>
        <rFont val="Arial"/>
        <family val="2"/>
      </rPr>
      <t>3</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</si>
  <si>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</si>
  <si>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t>Units Converted to Match Emission Factors</t>
  </si>
  <si>
    <t>%</t>
  </si>
  <si>
    <t>U.S. Environmental Protection Agency 1993. Emissions Factor Documentation for AP-42 Section 1.11 Waste Oil Combustion. Table 2-1. Available electronically at: http://www.epa.gov/ttnchie1/ap42/ch01/bgdocs/b01s11.pdf</t>
  </si>
  <si>
    <t>U.S. Environmental Protection Agency. 2004. AP 42, Fifth Edition, Volume I, Chapter 1.11 Waste Oil Combustion. Table 1.11-1. Available electronically at: http://www.epa.gov/ttn/chief/ap42/ch01/final/c01s11.pdf</t>
  </si>
  <si>
    <t>U.S. Environmental Protection Agency. 2004. AP 42, Fifth Edition, Volume I, Chapter 1.11 Waste Oil Combustion. Table 1.11-2. Available electronically at: http://www.epa.gov/ttn/chief/ap42/ch01/final/c01s11.pdf</t>
  </si>
  <si>
    <t>U.S. Environmental Protection Agency. 2004. AP 42, Fifth Edition, Volume I, Chapter 1.11 Waste Oil Combustion. Table 1.11-3. Available electronically at: http://www.epa.gov/ttn/chief/ap42/ch01/final/c01s11.pdf</t>
  </si>
  <si>
    <t>Engineering Assumption</t>
  </si>
  <si>
    <t>NA</t>
  </si>
  <si>
    <t>Dryer (Drum Mix):</t>
  </si>
  <si>
    <t>Dryer (Batch Mix):</t>
  </si>
  <si>
    <t>U.S. Environmental Protection Agency. 2004. AP 42, Fifth Edition, Volume I, Chapter 11.1 Hot Mix Asphalt. Table 11.1-3. Available electronically at: http://www.epa.gov/ttnchie1/ap42/ch11/final/c11s01.pdf</t>
  </si>
  <si>
    <t>U.S. Environmental Protection Agency. 2004. AP 42, Fifth Edition, Volume I, Chapter 11.1 Hot Mix Asphalt. Table 11.1-8. Available electronically at: http://www.epa.gov/ttnchie1/ap42/ch11/final/c11s01.pdf</t>
  </si>
  <si>
    <t>U.S. Environmental Protection Agency. 2004. AP 42, Fifth Edition, Volume I, Chapter 11.1 Hot Mix Asphalt. Table 11.1-6. Available electronically at: http://www.epa.gov/ttnchie1/ap42/ch11/final/c11s01.pdf</t>
  </si>
  <si>
    <t>U.S. Environmental Protection Agency. 2004. AP 42, Fifth Edition, Volume I, Chapter 11.1 Hot Mix Asphalt. Table 11.1-1. Available electronically at: http://www.epa.gov/ttnchie1/ap42/ch11/final/c11s01.pdf</t>
  </si>
  <si>
    <t>United States Environmental Protection Agency (EPA). 1996. Emission Inventory Improvement Program, Volume 2: Preferred and Alternative Methods for Estimating Air Emissions from Hot-Mix Asphalt Plants. Accessible electronically at: http://www.epa.gov/ttn/chief/eiip/techreport/volume02/ii03.pdf</t>
  </si>
  <si>
    <t>4: Facility Use Questions</t>
  </si>
  <si>
    <t>U.S. Environmental Protection Agency, AP-42, Fifth Edition, Volume I, Chapter 1: External Combustion, Section 1.11: Waste Oil Combustion, 1996, available at http://www.epa.gov/ttn/chief/ap42/ch01/final/c01s11.pdf</t>
  </si>
  <si>
    <t>Dryer Questions</t>
  </si>
  <si>
    <t>General Questions</t>
  </si>
  <si>
    <t>Assumed equal to emissions factors for Oil - Distillate and Waste oil from U.S. Environmental Protection Agency. 2004. AP 42, Fifth Edition, Volume I, Chapter 11.1 Hot Mix Asphalt. Table 11.1-8. Available electronically at: http://www.epa.gov/ttnchie1/ap42/ch11/final/c11s01.pdf</t>
  </si>
  <si>
    <t>Dryer, Mix</t>
  </si>
  <si>
    <t xml:space="preserve">Dryer, Mix </t>
  </si>
  <si>
    <t>Registration Calculator Inputs</t>
  </si>
  <si>
    <t>Registration Summary</t>
  </si>
  <si>
    <t>Cells shaded gray do not need to be completed.</t>
  </si>
  <si>
    <t>Jonathan Dorn
Matt Hynson</t>
  </si>
  <si>
    <t>Tracey Westfield</t>
  </si>
  <si>
    <t xml:space="preserve">jonathan_dorn@abtassoc.com </t>
  </si>
  <si>
    <t xml:space="preserve">Hot-mix asphalt plants mix and heat a combination of aggregate, recycled materials, and liquid cement to produce an asphalt suitable for paving applications. The process of creating hot-mix asphalt involves heating and drying aggregate and then applying cement to bond the material together.  HMA plants can be categorized as either batch mix plants or drum mix plants. In batch mix plants, specified quantities of asphalt components are dried, mixed, and heated in separate “batches”, while in drum mix plants this occurs in a continuous process. The majority of emissions from an HMA plant come from the drying process. Combustion in the dryer can release nitrogen oxides, sulfur oxides, and products of incomplete combustion, such as carbon monoxide, and VOCs. HMA plants also release particulate matter through the drying process, as well as in the handling and storage of raw materials. 
</t>
  </si>
  <si>
    <r>
      <t xml:space="preserve">You will need to enter information on the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</si>
  <si>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t>EF</t>
  </si>
  <si>
    <t>emission factor</t>
  </si>
  <si>
    <t>Acronyms/Definitions</t>
  </si>
  <si>
    <t>NSR</t>
  </si>
  <si>
    <r>
      <t>PM</t>
    </r>
    <r>
      <rPr>
        <vertAlign val="subscript"/>
        <sz val="10"/>
        <rFont val="Arial"/>
        <family val="2"/>
      </rPr>
      <t>10</t>
    </r>
    <r>
      <rPr>
        <sz val="10"/>
        <rFont val="Arial"/>
        <family val="2"/>
      </rPr>
      <t xml:space="preserve"> </t>
    </r>
  </si>
  <si>
    <r>
      <t>PM</t>
    </r>
    <r>
      <rPr>
        <vertAlign val="subscript"/>
        <sz val="10"/>
        <rFont val="Arial"/>
        <family val="2"/>
      </rPr>
      <t>2.5</t>
    </r>
    <r>
      <rPr>
        <sz val="10"/>
        <rFont val="Arial"/>
        <family val="2"/>
      </rPr>
      <t xml:space="preserve"> </t>
    </r>
  </si>
  <si>
    <t xml:space="preserve">VOC </t>
  </si>
  <si>
    <t>EPA</t>
  </si>
  <si>
    <t>U.S. Environmental Protection Agency</t>
  </si>
  <si>
    <t xml:space="preserve">http://www.epa.gov/oar/oaqps/greenbk/ancl.html </t>
  </si>
  <si>
    <t>Total Emissions</t>
  </si>
  <si>
    <t>Threshold</t>
  </si>
  <si>
    <t>State</t>
  </si>
  <si>
    <t>Zip Code</t>
  </si>
  <si>
    <t>City</t>
  </si>
  <si>
    <t>Albuquerque</t>
  </si>
  <si>
    <t>EPA Regional Contact Information</t>
  </si>
  <si>
    <t>Regional Contact Information</t>
  </si>
  <si>
    <t>State Abbreviation</t>
  </si>
  <si>
    <t>EPA Region</t>
  </si>
  <si>
    <t>Alternate Name</t>
  </si>
  <si>
    <t>Alt Telephone</t>
  </si>
  <si>
    <t>Alt Email</t>
  </si>
  <si>
    <t>Address 1</t>
  </si>
  <si>
    <t>Address 2</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</si>
  <si>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</si>
  <si>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</si>
  <si>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</si>
  <si>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</si>
  <si>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</si>
  <si>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</si>
  <si>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</si>
  <si>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</si>
  <si>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</si>
  <si>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</si>
  <si>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</si>
  <si>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</si>
  <si>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</si>
  <si>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</si>
  <si>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</si>
  <si>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</si>
  <si>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</si>
  <si>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</si>
  <si>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</si>
  <si>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</si>
  <si>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</si>
  <si>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</si>
  <si>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</si>
  <si>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</si>
  <si>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</si>
  <si>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</si>
  <si>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</si>
  <si>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</si>
  <si>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</si>
  <si>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</si>
  <si>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</si>
  <si>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</si>
  <si>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</si>
  <si>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</si>
  <si>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</si>
  <si>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</si>
  <si>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</si>
  <si>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</si>
  <si>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Kaushal Gupta</t>
  </si>
  <si>
    <t>312-886-6803</t>
  </si>
  <si>
    <t>gupta.kaushal@epa.gov</t>
  </si>
  <si>
    <t>77 West Jackson Boulevard</t>
  </si>
  <si>
    <t>Rm#: 18130</t>
  </si>
  <si>
    <t>Chicago</t>
  </si>
  <si>
    <t>IL</t>
  </si>
  <si>
    <t>60604-3507</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</si>
  <si>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</si>
  <si>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</si>
  <si>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</si>
  <si>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</si>
  <si>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</si>
  <si>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</si>
  <si>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</si>
  <si>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</si>
  <si>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</si>
  <si>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</si>
  <si>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</si>
  <si>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</si>
  <si>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</si>
  <si>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</si>
  <si>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</si>
  <si>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</si>
  <si>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</si>
  <si>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</si>
  <si>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</si>
  <si>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</si>
  <si>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</si>
  <si>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</si>
  <si>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</si>
  <si>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</si>
  <si>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</si>
  <si>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</si>
  <si>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</si>
  <si>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</si>
  <si>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</si>
  <si>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Indiana</t>
  </si>
  <si>
    <t>IN</t>
  </si>
  <si>
    <t>Iowa</t>
  </si>
  <si>
    <t>IA</t>
  </si>
  <si>
    <t>Bob Webber</t>
  </si>
  <si>
    <t>913-551-7251</t>
  </si>
  <si>
    <t>webber.robert@epa.gov</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</si>
  <si>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</si>
  <si>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</si>
  <si>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</si>
  <si>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</si>
  <si>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</si>
  <si>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</si>
  <si>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</si>
  <si>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</si>
  <si>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</si>
  <si>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</si>
  <si>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</si>
  <si>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</si>
  <si>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</si>
  <si>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</si>
  <si>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</si>
  <si>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</si>
  <si>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</si>
  <si>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</si>
  <si>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</si>
  <si>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</si>
  <si>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</si>
  <si>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</si>
  <si>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</si>
  <si>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</si>
  <si>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</si>
  <si>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</si>
  <si>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</si>
  <si>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</si>
  <si>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</si>
  <si>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</si>
  <si>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</si>
  <si>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</si>
  <si>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</si>
  <si>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</si>
  <si>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</si>
  <si>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</si>
  <si>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</si>
  <si>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</si>
  <si>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</si>
  <si>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</si>
  <si>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</si>
  <si>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</si>
  <si>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</si>
  <si>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</si>
  <si>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</si>
  <si>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</si>
  <si>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</si>
  <si>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</si>
  <si>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</si>
  <si>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</si>
  <si>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</si>
  <si>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</si>
  <si>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</si>
  <si>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</si>
  <si>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</si>
  <si>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</si>
  <si>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</si>
  <si>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</si>
  <si>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</si>
  <si>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TX</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</si>
  <si>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</si>
  <si>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</si>
  <si>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</si>
  <si>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</si>
  <si>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</si>
  <si>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</si>
  <si>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</si>
  <si>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</si>
  <si>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</si>
  <si>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</si>
  <si>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</si>
  <si>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</si>
  <si>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</si>
  <si>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</si>
  <si>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</si>
  <si>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</si>
  <si>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</si>
  <si>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</si>
  <si>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</si>
  <si>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</si>
  <si>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</si>
  <si>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t>Primary Contact Name</t>
  </si>
  <si>
    <t>Primary Contact Telephone</t>
  </si>
  <si>
    <t>Primary Contact Email</t>
  </si>
  <si>
    <t>Alternate Contact Name</t>
  </si>
  <si>
    <t>Alternate Contact Telephone</t>
  </si>
  <si>
    <t>Alternate Contact Email</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</si>
  <si>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</si>
  <si>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</si>
  <si>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</si>
  <si>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</si>
  <si>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</si>
  <si>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</si>
  <si>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Name:</t>
  </si>
  <si>
    <t>Address:</t>
  </si>
  <si>
    <t>Telephone:</t>
  </si>
  <si>
    <t>1997 8-Hr Ozone Attainment Status (select one):</t>
  </si>
  <si>
    <t>12/24/2012</t>
  </si>
  <si>
    <t>Emissions Source:</t>
  </si>
  <si>
    <t>particulate matter less than or equal to 10 micrometers (µm) in size</t>
  </si>
  <si>
    <t>particulate matter less than or equal to 2.5 micrometers (µm) in size</t>
  </si>
  <si>
    <t>Bonnie Braganza</t>
  </si>
  <si>
    <t>214-665-7340</t>
  </si>
  <si>
    <t>braganza.bonnie@epa.gov</t>
  </si>
  <si>
    <t>1445 Ross Avenue, Suite 1200</t>
  </si>
  <si>
    <t>MC: 6PD</t>
  </si>
  <si>
    <t>Dallas</t>
  </si>
  <si>
    <t>75202-2733</t>
  </si>
  <si>
    <t>Acme Hot Mix Asphalt</t>
  </si>
  <si>
    <t xml:space="preserve">Average value from U.S. Environmental Protection Agency, AP-42, Fifth Edition, Volume I, Chapter 1: External Combustion, Section 1.4: Natural Gas Combustion, 1998, available at http://www.epa.gov/ttn/chief/ap42/ch01/final/c01s04.pdf. </t>
  </si>
  <si>
    <t>grains/100 scf</t>
  </si>
  <si>
    <t>TOTAL</t>
  </si>
  <si>
    <t>scf</t>
  </si>
  <si>
    <t>standard cubic feet</t>
  </si>
  <si>
    <t>TRIBAL NEW SOURCE REVIEW PROGRAM</t>
  </si>
  <si>
    <t>Registration for Existing True Minor Sources of Air Pollution in Indian Country</t>
  </si>
  <si>
    <t>What is the Tribal New Source Review Rule?</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</si>
  <si>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</si>
  <si>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</si>
  <si>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Do I need to register my minor source?</t>
  </si>
  <si>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</si>
  <si>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r>
      <t xml:space="preserve">How do I determine if my source is a </t>
    </r>
    <r>
      <rPr>
        <b/>
        <i/>
        <sz val="10"/>
        <rFont val="Arial"/>
        <family val="2"/>
      </rPr>
      <t>true minor</t>
    </r>
    <r>
      <rPr>
        <b/>
        <sz val="10"/>
        <rFont val="Arial"/>
        <family val="2"/>
      </rPr>
      <t xml:space="preserve"> source?</t>
    </r>
  </si>
  <si>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</si>
  <si>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How do I register my true minor source?</t>
  </si>
  <si>
    <t>The EPA has provided this registration calculator to assist you in determining your registration requirements. Completing this calculator will:</t>
  </si>
  <si>
    <t>1.</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</si>
  <si>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</si>
  <si>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2.</t>
  </si>
  <si>
    <t>How often must I register?</t>
  </si>
  <si>
    <t>This is a one-time registration for your true minor source.  However, after registration, you must notify your EPA Regional Office in writing if:</t>
  </si>
  <si>
    <t>your source relocates (send report no later than 30 days prior to relocation);</t>
  </si>
  <si>
    <t>your source has a new owner/operator (send report within 90 days after change in ownership); or</t>
  </si>
  <si>
    <t>3.</t>
  </si>
  <si>
    <t>your source closes (send report within 90 days after cessation of all operations).</t>
  </si>
  <si>
    <t>May I register using my own emission information, rather than using the Registration Calculators?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</si>
  <si>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</si>
  <si>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</si>
  <si>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t>How does registration relate to obtaining a permit?</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</si>
  <si>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</si>
  <si>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Registration steps for existing true minor sources:</t>
  </si>
  <si>
    <t>Complete this calculator and all other calculators that are applicable to your true minor source as accurately as possible.</t>
  </si>
  <si>
    <t>Once completed, the calculator’s Output-Summary Printout worksheet will provide information on your registration requirements.</t>
  </si>
  <si>
    <t>4.</t>
  </si>
  <si>
    <t>5.</t>
  </si>
  <si>
    <t>If you have any questions about registration or completing the calculators, please contact your EPA Regional Office.</t>
  </si>
  <si>
    <t>Emission Controls and Operational Restrictions</t>
  </si>
  <si>
    <r>
      <t>PM</t>
    </r>
    <r>
      <rPr>
        <vertAlign val="subscript"/>
        <sz val="10"/>
        <rFont val="Arial"/>
        <family val="2"/>
      </rPr>
      <t>2.5</t>
    </r>
    <r>
      <rPr>
        <sz val="10"/>
        <rFont val="Arial"/>
        <family val="2"/>
      </rPr>
      <t xml:space="preserve"> Attainment Status (select one):</t>
    </r>
  </si>
  <si>
    <t>Georgia</t>
  </si>
  <si>
    <t>Louisiana</t>
  </si>
  <si>
    <t>Estimated Actual Emissions
for 2012</t>
  </si>
  <si>
    <t>Registration Determination</t>
  </si>
  <si>
    <t>Exceeds Major Source Threshold Determination</t>
  </si>
  <si>
    <t>Allowable Emissions</t>
  </si>
  <si>
    <t>Estimated Actual Emissions for 2012 (tons/yr):</t>
  </si>
  <si>
    <t>Allowable Emissions (tons/yr):</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</si>
  <si>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</si>
  <si>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r>
      <t xml:space="preserve">Owners/operators of hot mix asphalt (HMA) plants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</si>
  <si>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t>Explanation of Text Colors and Cell Shading</t>
  </si>
  <si>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</si>
  <si>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</si>
  <si>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</si>
  <si>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t>Allowable
Emissions</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</si>
  <si>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</si>
  <si>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CE</t>
  </si>
  <si>
    <t>control efficiency</t>
  </si>
  <si>
    <t>Estimated Actual Emissions</t>
  </si>
  <si>
    <t>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t>
  </si>
  <si>
    <r>
      <t xml:space="preserve">On the </t>
    </r>
    <r>
      <rPr>
        <b/>
        <i/>
        <sz val="10"/>
        <rFont val="Arial"/>
        <family val="2"/>
      </rPr>
      <t>Inputs</t>
    </r>
    <r>
      <rPr>
        <sz val="10"/>
        <rFont val="Arial"/>
        <family val="2"/>
      </rPr>
      <t xml:space="preserve"> worksheet, replace the default facility information with information specific to your facility.</t>
    </r>
  </si>
  <si>
    <r>
      <t>On the</t>
    </r>
    <r>
      <rPr>
        <b/>
        <i/>
        <sz val="10"/>
        <rFont val="Arial"/>
        <family val="2"/>
      </rPr>
      <t xml:space="preserve"> 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</si>
  <si>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r>
      <t>The</t>
    </r>
    <r>
      <rPr>
        <b/>
        <i/>
        <sz val="10"/>
        <rFont val="Arial"/>
        <family val="2"/>
      </rPr>
      <t xml:space="preserve"> 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</si>
  <si>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On average, how many hours a week did your facility produce hot mix asphalt in 2012?</t>
  </si>
  <si>
    <t>What fuel did your plant's heater use in 2012?</t>
  </si>
  <si>
    <t>Did your facility use a batch mix or a drum mix in calendar year 2012?</t>
  </si>
  <si>
    <t>What fuel did your plant's dryer use in calendar year 2012?</t>
  </si>
  <si>
    <t>What was the capacity of your heater in calendar year 2012? (in MMBtu/hr)</t>
  </si>
  <si>
    <t>40 CFR 49.130(d)(2)</t>
  </si>
  <si>
    <t>Waste Oil Allowable Ash Content</t>
  </si>
  <si>
    <t>Waste Oil Allowable Sulfur Content</t>
  </si>
  <si>
    <t>Natural Gas Allowable Sulfur Content</t>
  </si>
  <si>
    <t>Oil Distillate Allowable Sulfur Content</t>
  </si>
  <si>
    <t>Oil Residual Allowable Sulfur Content</t>
  </si>
  <si>
    <t>Allowable Emission Factor</t>
  </si>
  <si>
    <t>Actual Emission Factor</t>
  </si>
  <si>
    <t xml:space="preserve">11201 Renner Blvd. </t>
  </si>
  <si>
    <t xml:space="preserve">MC: AWMD/APCO </t>
  </si>
  <si>
    <t>Lenexa</t>
  </si>
  <si>
    <t>Waste Oil Actual Ash Content</t>
  </si>
  <si>
    <t>Waste Oil Actual Sulfur Content</t>
  </si>
  <si>
    <t>Natural Gas Actual Sulfur Content</t>
  </si>
  <si>
    <t>Oil Distillate Actual Sulfur Content</t>
  </si>
  <si>
    <t>Oil Residual Actual Sulfur Content</t>
  </si>
  <si>
    <r>
      <t xml:space="preserve">Note: Your facility's information and estimates will be entered on the </t>
    </r>
    <r>
      <rPr>
        <b/>
        <i/>
        <sz val="10"/>
        <rFont val="Arial"/>
        <family val="2"/>
      </rPr>
      <t>Inputs</t>
    </r>
    <r>
      <rPr>
        <b/>
        <i/>
        <sz val="10"/>
        <rFont val="Arial"/>
        <family val="2"/>
      </rPr>
      <t xml:space="preserve"> </t>
    </r>
    <r>
      <rPr>
        <sz val="10"/>
        <rFont val="Arial"/>
        <family val="2"/>
      </rPr>
      <t>and</t>
    </r>
    <r>
      <rPr>
        <b/>
        <i/>
        <sz val="10"/>
        <rFont val="Arial"/>
        <family val="2"/>
      </rPr>
      <t xml:space="preserve"> Controls and Restrictions</t>
    </r>
    <r>
      <rPr>
        <sz val="10"/>
        <rFont val="Arial"/>
        <family val="2"/>
      </rPr>
      <t xml:space="preserve"> worksheets.</t>
    </r>
  </si>
  <si>
    <t>5: Emission Controls and
    Operational Restrictions</t>
  </si>
  <si>
    <t>6:  Emissions Summaries</t>
  </si>
  <si>
    <t xml:space="preserve">Corrected address on Output-Summary Printout worksheet. Corrected EPA Regional contact table. Adopted "estimated actual emissions" and "allowable emissions" terminology throughout, added Registration FAQs and Controls and Restrictions worksheets, removed fugitive emissions. </t>
  </si>
  <si>
    <t>Assumed equal to emissions factors for Oil - Distillate and Waste oil from U.S. Environmental Protection Agency. 2004. AP 42, Fifth Edition, Volume I, Chapter 11.1 Hot Mix Asphalt. Table 11.1-5. Available electronically at: http://www.epa.gov/ttnchie1/ap42/ch11/final/c11s01.pdf</t>
  </si>
  <si>
    <t>U.S. Environmental Protection Agency. 2004. AP 42, Fifth Edition, Volume I, Chapter 11.1 Hot Mix Asphalt. Table 11.1-5. Available electronically at: http://www.epa.gov/ttnchie1/ap42/ch11/final/c11s01.pdf</t>
  </si>
  <si>
    <t>U.S. Environmental Protection Agency. 2004. AP 42, Fifth Edition, Volume I, Chapter 11.1 Hot Mix Asphalt. Table 11.1-4. Available electronically at: http://www.epa.gov/ttnchie1/ap42/ch11/final/c11s01.pdf</t>
  </si>
  <si>
    <t>Assumed equal to emissions factors for Oil - Distillate and Waste oil from U.S. Environmental Protection Agency. 2004. AP 42, Fifth Edition, Volume I, Chapter 11.1 Hot Mix Asphalt. Table 11.1-7. Available electronically at: http://www.epa.gov/ttnchie1/ap42/ch11/final/c11s01.pdf</t>
  </si>
  <si>
    <t>Assumed same as PM-10.</t>
  </si>
  <si>
    <r>
      <t>Assumed same as PM</t>
    </r>
    <r>
      <rPr>
        <vertAlign val="subscript"/>
        <sz val="10"/>
        <rFont val="Arial"/>
        <family val="2"/>
      </rPr>
      <t>10</t>
    </r>
    <r>
      <rPr>
        <sz val="10"/>
        <rFont val="Arial"/>
        <family val="2"/>
      </rPr>
      <t>.</t>
    </r>
  </si>
  <si>
    <t>MMscf</t>
  </si>
  <si>
    <t>million standard cubic feet</t>
  </si>
  <si>
    <t>Allowable value from 40 CFR Section 49.130(d)(8); 1.1 grams S per standard cubic meter = 48 grains per 100 scf</t>
  </si>
  <si>
    <t>40 CFR 49.130(d)(3)</t>
  </si>
  <si>
    <t>40 CFR 49.130(d)(4)</t>
  </si>
  <si>
    <t>What was the average hourly asphalt production rate of your plant in 2012? (in tons of hot mix asphalt/hr)</t>
  </si>
  <si>
    <t>What was the maximum hourly asphalt production capacity of your plant in 2012? (in tons of hot mix asphalt/hr)</t>
  </si>
  <si>
    <t>Emission Control Questions</t>
  </si>
  <si>
    <t>Operational Restrictions and Applicable Standards in 40 CFR parts 60 and 61</t>
  </si>
  <si>
    <t>PM Controls</t>
  </si>
  <si>
    <t xml:space="preserve">Did your facility use particulate matter (PM) control devices on exhaust vents at your facility in 2012? </t>
  </si>
  <si>
    <t>Enter the exhaust gas flow rate per hour from drum or hot mix operations at your facility in calendar year 2012 (in dry standard cubic meters):</t>
  </si>
  <si>
    <t>Actual Emissions from Mix Operations in 2012 (tons/year)</t>
  </si>
  <si>
    <t>Allowable Emissions from Mix Operations in 2012 (tons/yr)</t>
  </si>
  <si>
    <r>
      <t>SO</t>
    </r>
    <r>
      <rPr>
        <b/>
        <vertAlign val="subscript"/>
        <sz val="10"/>
        <rFont val="Arial"/>
        <family val="2"/>
      </rPr>
      <t>2</t>
    </r>
    <r>
      <rPr>
        <b/>
        <sz val="10"/>
        <rFont val="Arial"/>
        <family val="2"/>
      </rPr>
      <t xml:space="preserve"> Control Multiplier</t>
    </r>
  </si>
  <si>
    <r>
      <t>NO</t>
    </r>
    <r>
      <rPr>
        <vertAlign val="subscript"/>
        <sz val="10"/>
        <rFont val="Arial"/>
        <family val="2"/>
      </rPr>
      <t>x</t>
    </r>
    <r>
      <rPr>
        <sz val="10"/>
        <rFont val="Arial"/>
        <family val="2"/>
      </rPr>
      <t xml:space="preserve"> Control Multiplier</t>
    </r>
  </si>
  <si>
    <t>Controlled Actual Emission Factor</t>
  </si>
  <si>
    <r>
      <t>If you used a SO</t>
    </r>
    <r>
      <rPr>
        <vertAlign val="subscript"/>
        <sz val="10"/>
        <rFont val="Arial"/>
        <family val="2"/>
      </rPr>
      <t>2</t>
    </r>
    <r>
      <rPr>
        <sz val="10"/>
        <rFont val="Arial"/>
        <family val="2"/>
      </rPr>
      <t xml:space="preserve"> control device on your heater in calendar year 2012, enter the control efficiency (% reduction) of the control device. If you did not use a SO</t>
    </r>
    <r>
      <rPr>
        <vertAlign val="subscript"/>
        <sz val="10"/>
        <rFont val="Arial"/>
        <family val="2"/>
      </rPr>
      <t>2</t>
    </r>
    <r>
      <rPr>
        <sz val="10"/>
        <rFont val="Arial"/>
        <family val="2"/>
      </rPr>
      <t xml:space="preserve"> control device, then enter 0.</t>
    </r>
  </si>
  <si>
    <r>
      <t>If you used a NO</t>
    </r>
    <r>
      <rPr>
        <vertAlign val="subscript"/>
        <sz val="10"/>
        <rFont val="Arial"/>
        <family val="2"/>
      </rPr>
      <t>x</t>
    </r>
    <r>
      <rPr>
        <sz val="10"/>
        <rFont val="Arial"/>
        <family val="2"/>
      </rPr>
      <t xml:space="preserve"> control device on your heater in calendar year 2012, enter the control efficiency (% reduction) of the control device. If you did not use a NO</t>
    </r>
    <r>
      <rPr>
        <vertAlign val="subscript"/>
        <sz val="10"/>
        <rFont val="Arial"/>
        <family val="2"/>
      </rPr>
      <t>x</t>
    </r>
    <r>
      <rPr>
        <sz val="10"/>
        <rFont val="Arial"/>
        <family val="2"/>
      </rPr>
      <t xml:space="preserve"> control device, then enter 0.</t>
    </r>
  </si>
  <si>
    <r>
      <t xml:space="preserve">On the </t>
    </r>
    <r>
      <rPr>
        <b/>
        <i/>
        <sz val="10"/>
        <rFont val="Arial"/>
        <family val="2"/>
      </rPr>
      <t>Inputs</t>
    </r>
    <r>
      <rPr>
        <sz val="10"/>
        <rFont val="Arial"/>
        <family val="2"/>
      </rPr>
      <t xml:space="preserve"> worksheet, enter information on processes used at your facility. Indicate whether your facility uses a batch or drum mix, as well as your facility's average hourly asphalt production rate and maximum hourly production capacity in calendar year 2012. Also, enter the average number of hours per week that your facility produced hot mix asphalt in 2012. Enter the fuels used by your facility's heater and dryer, the volume of fuel combusted in your heater in 2012, and the sulfur content of the fuel, if you have this information. If you do not know the sulfur content, enter 0 and a default value will be used to estimate actual emissions.</t>
    </r>
  </si>
  <si>
    <t>2/10/2013</t>
  </si>
  <si>
    <t>Jonathan Dorn</t>
  </si>
  <si>
    <r>
      <t xml:space="preserve">On the </t>
    </r>
    <r>
      <rPr>
        <b/>
        <i/>
        <sz val="10"/>
        <rFont val="Arial"/>
        <family val="2"/>
      </rPr>
      <t>Controls and Restrictions</t>
    </r>
    <r>
      <rPr>
        <sz val="10"/>
        <rFont val="Arial"/>
        <family val="2"/>
      </rPr>
      <t xml:space="preserve"> worksheet, select whether your facility used particulate matter (PM) control devices on exhaust vents in 2012. Also, if NO</t>
    </r>
    <r>
      <rPr>
        <vertAlign val="subscript"/>
        <sz val="10"/>
        <rFont val="Arial"/>
        <family val="2"/>
      </rPr>
      <t>x</t>
    </r>
    <r>
      <rPr>
        <sz val="10"/>
        <rFont val="Arial"/>
        <family val="2"/>
      </rPr>
      <t xml:space="preserve"> and/or SO</t>
    </r>
    <r>
      <rPr>
        <vertAlign val="subscript"/>
        <sz val="10"/>
        <rFont val="Arial"/>
        <family val="2"/>
      </rPr>
      <t>2</t>
    </r>
    <r>
      <rPr>
        <sz val="10"/>
        <rFont val="Arial"/>
        <family val="2"/>
      </rPr>
      <t xml:space="preserve"> control devices were used on your facility's heater exhaust in 2012, enter the control efficiency (% reduction) of the control device(s).  40 CFR part 60, subpart I, requires all hot mix asphalt facilities that commenced construction or modification after June 11, 1973, to prevent the discharge of any gases into the atmosphere containing particulate matter in excess of 90 milligrams per dry standard cubic meter. If your facility is subject to this requirement, enter the flow rate of gas per hour in dry standard cubic meters from your drum or batch mix operations. Enter 0 if unknown or not applicable. </t>
    </r>
  </si>
  <si>
    <t xml:space="preserve">Note: 40 CFR part 60, subpart I, requires all hot mix asphalt facilities that commenced construction or modification after June 11, 1973, to prevent the discharge of any gases into the atmosphere containing particulate matter in excess of 90 milligrams per dry standard cubic meter. If your facility is subject to this requirement, enter the flow rate of gas per hour in dry standard cubic meters from your drum or batch mix operations below. Enter 0 if unknown or not applicable. </t>
  </si>
  <si>
    <t>Note: If your facility operated for only a portion of 2012, estimate your answer as if you had been operating for the whole year. For example, if your facility operated for only three months in 2012, you should multiply the volume of fuel combusted in those three months by four to project the volume of fuel combusted for the entire 12 months.</t>
  </si>
  <si>
    <t>2/21/2013</t>
  </si>
  <si>
    <t>Updated region 6 telephone number.</t>
  </si>
  <si>
    <t>2'/26/2013</t>
  </si>
  <si>
    <t>Updated data validations to be compatible with Excel 2007.</t>
  </si>
  <si>
    <t>v1.3 (last updated 2013.02.26)</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</si>
  <si>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is required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</si>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</sst>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
    <numFmt numFmtId="167" formatCode="#,##0.000"/>
    <numFmt numFmtId="168" formatCode="0.00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i/>
      <sz val="10"/>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vertAlign val="superscript"/>
      <sz val="10"/>
      <name val="Arial"/>
      <family val="2"/>
    </font>
    <font>
      <i/>
      <sz val="10"/>
      <color rgb="FFFF0000"/>
      <name val="Arial"/>
      <family val="2"/>
    </font>
    <font>
      <b/>
      <i/>
      <sz val="10"/>
      <color rgb="FFFF0000"/>
      <name val="Arial"/>
      <family val="2"/>
    </font>
    <font>
      <b/>
      <sz val="11"/>
      <color theme="1"/>
      <name val="Calibri"/>
      <family val="2"/>
      <scheme val="minor"/>
    </font>
    <font>
      <b/>
      <sz val="10"/>
      <color rgb="FFCC6600"/>
      <name val="Arial"/>
      <family val="2"/>
    </font>
    <font>
      <sz val="10"/>
      <color rgb="FFCC6600"/>
      <name val="Arial"/>
      <family val="2"/>
    </font>
    <font>
      <u/>
      <sz val="11"/>
      <color theme="10"/>
      <name val="Calibri"/>
      <family val="2"/>
      <scheme val="minor"/>
    </font>
    <font>
      <sz val="10"/>
      <color indexed="8"/>
      <name val="Arial"/>
      <family val="2"/>
    </font>
    <font>
      <sz val="10"/>
      <color theme="1"/>
      <name val="Arial"/>
      <family val="2"/>
    </font>
    <font>
      <b/>
      <sz val="11"/>
      <color rgb="FFFF0000"/>
      <name val="Arial"/>
      <family val="2"/>
    </font>
    <font>
      <b/>
      <sz val="11"/>
      <name val="Arial"/>
      <family val="2"/>
    </font>
    <font>
      <b/>
      <sz val="12"/>
      <name val="Arial"/>
      <family val="2"/>
    </font>
    <font>
      <b/>
      <sz val="10"/>
      <color rgb="FFFF0000"/>
      <name val="Arial"/>
      <family val="2"/>
    </font>
    <font>
      <sz val="11"/>
      <name val="Arial"/>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99"/>
        <bgColor indexed="64"/>
      </patternFill>
    </fill>
  </fills>
  <borders count="81">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auto="1"/>
      </left>
      <right/>
      <top/>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thin">
        <color theme="1" tint="0.499984740745262"/>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top style="thin">
        <color indexed="64"/>
      </top>
      <bottom/>
      <diagonal/>
    </border>
    <border>
      <left style="dashed">
        <color indexed="64"/>
      </left>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ashed">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0">
    <xf numFmtId="2" fontId="0" fillId="0" borderId="0"/>
    <xf numFmtId="2" fontId="19" fillId="0" borderId="0" applyNumberFormat="0" applyFill="0" applyBorder="0" applyAlignment="0" applyProtection="0"/>
    <xf numFmtId="2" fontId="7" fillId="0" borderId="0"/>
    <xf numFmtId="9" fontId="7" fillId="0" borderId="0" applyFont="0" applyFill="0" applyBorder="0" applyAlignment="0" applyProtection="0"/>
    <xf numFmtId="0" fontId="5" fillId="0" borderId="0"/>
    <xf numFmtId="0" fontId="19" fillId="0" borderId="0" applyNumberFormat="0" applyFill="0" applyBorder="0" applyAlignment="0" applyProtection="0">
      <alignment vertical="top"/>
      <protection locked="0"/>
    </xf>
    <xf numFmtId="0" fontId="29" fillId="0" borderId="0"/>
    <xf numFmtId="0" fontId="7" fillId="0" borderId="0"/>
    <xf numFmtId="0" fontId="30" fillId="0" borderId="0"/>
    <xf numFmtId="0" fontId="2" fillId="0" borderId="0"/>
  </cellStyleXfs>
  <cellXfs count="454">
    <xf numFmtId="2" fontId="0" fillId="0" borderId="0" xfId="0"/>
    <xf numFmtId="2" fontId="16" fillId="0" borderId="0" xfId="0" applyFont="1"/>
    <xf numFmtId="2" fontId="7" fillId="0" borderId="0" xfId="0" applyFont="1"/>
    <xf numFmtId="2" fontId="8" fillId="4" borderId="6" xfId="0" applyFont="1" applyFill="1" applyBorder="1" applyAlignment="1">
      <alignment horizontal="center"/>
    </xf>
    <xf numFmtId="1" fontId="0" fillId="0" borderId="0" xfId="0" applyNumberFormat="1" applyAlignment="1">
      <alignment horizontal="center" vertical="center"/>
    </xf>
    <xf numFmtId="2" fontId="7" fillId="0" borderId="6" xfId="0" applyFont="1" applyBorder="1" applyAlignment="1">
      <alignment horizontal="center" vertical="center"/>
    </xf>
    <xf numFmtId="2" fontId="0" fillId="0" borderId="0" xfId="0" applyAlignment="1">
      <alignment horizontal="center"/>
    </xf>
    <xf numFmtId="165" fontId="0" fillId="0" borderId="0" xfId="0" applyNumberFormat="1"/>
    <xf numFmtId="2" fontId="6" fillId="4" borderId="6" xfId="0" applyFont="1" applyFill="1" applyBorder="1" applyAlignment="1">
      <alignment horizontal="center"/>
    </xf>
    <xf numFmtId="2" fontId="7" fillId="0" borderId="6" xfId="0" applyFont="1" applyBorder="1" applyAlignment="1">
      <alignment horizontal="center"/>
    </xf>
    <xf numFmtId="164" fontId="8" fillId="4" borderId="6" xfId="0" applyNumberFormat="1" applyFont="1" applyFill="1" applyBorder="1" applyAlignment="1">
      <alignment horizontal="center"/>
    </xf>
    <xf numFmtId="164" fontId="0" fillId="0" borderId="0" xfId="0" applyNumberFormat="1" applyAlignment="1">
      <alignment horizontal="center"/>
    </xf>
    <xf numFmtId="2" fontId="16" fillId="0" borderId="0" xfId="0" applyFont="1" applyProtection="1"/>
    <xf numFmtId="2" fontId="7" fillId="0" borderId="0" xfId="0" applyFont="1" applyBorder="1" applyProtection="1"/>
    <xf numFmtId="2" fontId="0" fillId="0" borderId="0" xfId="0" applyProtection="1"/>
    <xf numFmtId="2" fontId="0" fillId="0" borderId="0" xfId="0" applyBorder="1" applyProtection="1"/>
    <xf numFmtId="2" fontId="0" fillId="0" borderId="28" xfId="0" applyBorder="1" applyProtection="1"/>
    <xf numFmtId="2" fontId="0" fillId="0" borderId="15" xfId="0" applyBorder="1" applyProtection="1"/>
    <xf numFmtId="2" fontId="0" fillId="0" borderId="26" xfId="0" applyBorder="1" applyProtection="1"/>
    <xf numFmtId="2" fontId="6" fillId="0" borderId="3" xfId="0" applyFont="1" applyBorder="1" applyAlignment="1" applyProtection="1">
      <alignment horizontal="right"/>
    </xf>
    <xf numFmtId="2" fontId="0" fillId="0" borderId="18" xfId="0" applyBorder="1" applyProtection="1"/>
    <xf numFmtId="2" fontId="0" fillId="0" borderId="3" xfId="0" applyBorder="1" applyProtection="1"/>
    <xf numFmtId="2" fontId="7" fillId="0" borderId="33" xfId="0" applyFont="1" applyFill="1" applyBorder="1" applyAlignment="1" applyProtection="1">
      <alignment horizontal="center"/>
    </xf>
    <xf numFmtId="2" fontId="0" fillId="0" borderId="3" xfId="0" applyBorder="1" applyAlignment="1" applyProtection="1">
      <alignment horizontal="left" indent="1"/>
    </xf>
    <xf numFmtId="2" fontId="0" fillId="0" borderId="31" xfId="0" applyBorder="1" applyProtection="1"/>
    <xf numFmtId="2" fontId="6" fillId="0" borderId="0" xfId="0" applyFont="1" applyBorder="1" applyAlignment="1" applyProtection="1">
      <alignment horizontal="center"/>
    </xf>
    <xf numFmtId="2" fontId="0" fillId="0" borderId="0" xfId="0" applyFill="1" applyBorder="1" applyAlignment="1" applyProtection="1">
      <alignment horizontal="right" vertical="center"/>
    </xf>
    <xf numFmtId="2" fontId="0" fillId="0" borderId="2" xfId="0" applyBorder="1" applyProtection="1"/>
    <xf numFmtId="2" fontId="0" fillId="0" borderId="1" xfId="0" applyBorder="1" applyProtection="1"/>
    <xf numFmtId="2" fontId="0" fillId="0" borderId="27" xfId="0" applyBorder="1" applyProtection="1"/>
    <xf numFmtId="2" fontId="6" fillId="0" borderId="32" xfId="0" applyFont="1" applyBorder="1" applyAlignment="1" applyProtection="1">
      <alignment horizontal="center"/>
    </xf>
    <xf numFmtId="2" fontId="18" fillId="0" borderId="8" xfId="0" applyFont="1" applyBorder="1" applyProtection="1">
      <protection locked="0"/>
    </xf>
    <xf numFmtId="2" fontId="18" fillId="0" borderId="9" xfId="0" applyFont="1" applyBorder="1" applyProtection="1">
      <protection locked="0"/>
    </xf>
    <xf numFmtId="2" fontId="7" fillId="4" borderId="6" xfId="0" applyFont="1" applyFill="1" applyBorder="1" applyProtection="1"/>
    <xf numFmtId="2" fontId="18" fillId="0" borderId="19" xfId="0" applyFont="1" applyBorder="1" applyProtection="1">
      <protection locked="0"/>
    </xf>
    <xf numFmtId="164" fontId="0" fillId="0" borderId="6" xfId="0" applyNumberFormat="1" applyBorder="1" applyAlignment="1">
      <alignment horizontal="center" vertical="center"/>
    </xf>
    <xf numFmtId="2" fontId="7" fillId="0" borderId="6" xfId="0" quotePrefix="1" applyFont="1" applyBorder="1" applyAlignment="1">
      <alignment horizontal="center" vertical="center"/>
    </xf>
    <xf numFmtId="2" fontId="7" fillId="0" borderId="6" xfId="0" applyFont="1" applyBorder="1" applyAlignment="1">
      <alignment vertical="center" wrapText="1"/>
    </xf>
    <xf numFmtId="2" fontId="19" fillId="0" borderId="6" xfId="1" applyBorder="1" applyAlignment="1">
      <alignment vertical="center"/>
    </xf>
    <xf numFmtId="164" fontId="7" fillId="0" borderId="6" xfId="0" applyNumberFormat="1" applyFont="1" applyBorder="1" applyAlignment="1" applyProtection="1">
      <alignment horizontal="center" vertical="center"/>
      <protection locked="0"/>
    </xf>
    <xf numFmtId="2" fontId="7" fillId="0" borderId="6" xfId="0" applyFont="1" applyBorder="1" applyAlignment="1" applyProtection="1">
      <alignment vertical="center" wrapText="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protection locked="0"/>
    </xf>
    <xf numFmtId="164" fontId="0" fillId="0" borderId="6" xfId="0" applyNumberFormat="1" applyBorder="1" applyAlignment="1" applyProtection="1">
      <alignment horizontal="center" vertical="center"/>
      <protection locked="0"/>
    </xf>
    <xf numFmtId="2" fontId="0" fillId="0" borderId="6" xfId="0" applyBorder="1" applyAlignment="1" applyProtection="1">
      <alignment vertical="center" wrapText="1"/>
      <protection locked="0"/>
    </xf>
    <xf numFmtId="2" fontId="7" fillId="0" borderId="0" xfId="0" applyFont="1" applyProtection="1"/>
    <xf numFmtId="2" fontId="0" fillId="0" borderId="0" xfId="0" applyAlignment="1" applyProtection="1">
      <alignment horizontal="center" vertical="center"/>
    </xf>
    <xf numFmtId="2" fontId="6" fillId="0" borderId="30" xfId="0" applyNumberFormat="1" applyFont="1" applyBorder="1" applyAlignment="1" applyProtection="1">
      <alignment horizontal="left" indent="1"/>
    </xf>
    <xf numFmtId="2" fontId="0" fillId="0" borderId="30" xfId="0" applyNumberFormat="1" applyBorder="1" applyAlignment="1" applyProtection="1">
      <alignment horizontal="left" indent="1"/>
    </xf>
    <xf numFmtId="2" fontId="0" fillId="0" borderId="38" xfId="0" applyBorder="1" applyAlignment="1" applyProtection="1">
      <alignment horizontal="left" indent="1"/>
    </xf>
    <xf numFmtId="2" fontId="6" fillId="0" borderId="0" xfId="0" applyFont="1" applyBorder="1" applyAlignment="1" applyProtection="1">
      <alignment horizontal="center" wrapText="1"/>
    </xf>
    <xf numFmtId="2" fontId="7" fillId="0" borderId="0" xfId="0" applyFont="1" applyAlignment="1">
      <alignment horizontal="center"/>
    </xf>
    <xf numFmtId="166" fontId="9" fillId="0" borderId="4" xfId="0" applyNumberFormat="1" applyFont="1" applyBorder="1" applyAlignment="1" applyProtection="1">
      <alignment horizontal="right" indent="3"/>
    </xf>
    <xf numFmtId="2" fontId="16" fillId="0" borderId="0" xfId="0" applyFont="1" applyAlignment="1">
      <alignment horizontal="center"/>
    </xf>
    <xf numFmtId="2" fontId="6" fillId="4" borderId="28" xfId="0" applyFont="1" applyFill="1" applyBorder="1"/>
    <xf numFmtId="2" fontId="6" fillId="4" borderId="15" xfId="0" applyFont="1" applyFill="1" applyBorder="1" applyAlignment="1">
      <alignment horizontal="center"/>
    </xf>
    <xf numFmtId="2" fontId="6" fillId="4" borderId="26" xfId="0" applyFont="1" applyFill="1" applyBorder="1"/>
    <xf numFmtId="2" fontId="7" fillId="0" borderId="6" xfId="0" applyFont="1" applyBorder="1"/>
    <xf numFmtId="2" fontId="0" fillId="0" borderId="6" xfId="0" applyBorder="1" applyAlignment="1">
      <alignment horizontal="center" vertical="center"/>
    </xf>
    <xf numFmtId="2" fontId="7" fillId="0" borderId="6" xfId="0" applyFont="1" applyBorder="1" applyAlignment="1" applyProtection="1">
      <alignment horizontal="center" vertical="center"/>
      <protection locked="0"/>
    </xf>
    <xf numFmtId="2" fontId="0" fillId="0" borderId="14" xfId="0" applyBorder="1" applyAlignment="1" applyProtection="1">
      <alignment horizontal="left" indent="2"/>
    </xf>
    <xf numFmtId="2" fontId="0" fillId="0" borderId="12" xfId="0" applyBorder="1" applyAlignment="1" applyProtection="1">
      <alignment horizontal="left" indent="2"/>
    </xf>
    <xf numFmtId="2" fontId="7" fillId="0" borderId="12" xfId="0" applyFont="1" applyBorder="1" applyAlignment="1" applyProtection="1">
      <alignment horizontal="left" indent="2"/>
    </xf>
    <xf numFmtId="2" fontId="7" fillId="0" borderId="22" xfId="0" applyFont="1" applyBorder="1" applyAlignment="1" applyProtection="1">
      <alignment horizontal="left" indent="2"/>
    </xf>
    <xf numFmtId="2" fontId="0" fillId="0" borderId="22" xfId="0" applyBorder="1" applyAlignment="1" applyProtection="1">
      <alignment horizontal="left" indent="2"/>
    </xf>
    <xf numFmtId="2" fontId="0" fillId="0" borderId="28" xfId="0" applyNumberFormat="1" applyBorder="1" applyAlignment="1" applyProtection="1">
      <alignment horizontal="left" indent="1"/>
    </xf>
    <xf numFmtId="2" fontId="0" fillId="0" borderId="36" xfId="0" applyNumberFormat="1" applyBorder="1" applyAlignment="1" applyProtection="1">
      <alignment horizontal="left" indent="1"/>
    </xf>
    <xf numFmtId="2" fontId="0" fillId="0" borderId="15" xfId="0" applyNumberFormat="1" applyBorder="1" applyProtection="1"/>
    <xf numFmtId="2" fontId="0" fillId="0" borderId="39" xfId="0" applyBorder="1" applyProtection="1"/>
    <xf numFmtId="2" fontId="0" fillId="0" borderId="30" xfId="0" applyBorder="1" applyAlignment="1" applyProtection="1">
      <alignment horizontal="left" indent="1"/>
    </xf>
    <xf numFmtId="2" fontId="7" fillId="0" borderId="30" xfId="0" applyNumberFormat="1" applyFont="1" applyBorder="1" applyAlignment="1" applyProtection="1">
      <alignment horizontal="left" indent="1"/>
    </xf>
    <xf numFmtId="2" fontId="6" fillId="0" borderId="30" xfId="0" applyFont="1" applyBorder="1" applyAlignment="1" applyProtection="1">
      <alignment horizontal="left" indent="1"/>
    </xf>
    <xf numFmtId="2" fontId="6" fillId="0" borderId="18" xfId="0" applyFont="1" applyBorder="1" applyAlignment="1" applyProtection="1">
      <alignment horizontal="center"/>
    </xf>
    <xf numFmtId="2" fontId="6" fillId="0" borderId="0" xfId="0" applyFont="1" applyFill="1" applyBorder="1" applyAlignment="1" applyProtection="1">
      <alignment horizontal="right" vertical="center"/>
    </xf>
    <xf numFmtId="2" fontId="0" fillId="0" borderId="6" xfId="0" applyBorder="1"/>
    <xf numFmtId="2" fontId="7" fillId="0" borderId="6" xfId="0" applyFont="1" applyFill="1" applyBorder="1"/>
    <xf numFmtId="2" fontId="13" fillId="0" borderId="0" xfId="0" applyFont="1" applyProtection="1"/>
    <xf numFmtId="2" fontId="10" fillId="0" borderId="0" xfId="0" applyFont="1" applyProtection="1"/>
    <xf numFmtId="2" fontId="0" fillId="0" borderId="15" xfId="0" applyBorder="1" applyAlignment="1" applyProtection="1"/>
    <xf numFmtId="2" fontId="0" fillId="0" borderId="0" xfId="0" applyBorder="1" applyAlignment="1" applyProtection="1"/>
    <xf numFmtId="2" fontId="7" fillId="0" borderId="3" xfId="0" applyFont="1" applyBorder="1" applyAlignment="1" applyProtection="1"/>
    <xf numFmtId="2" fontId="0" fillId="0" borderId="24" xfId="0" applyBorder="1" applyAlignment="1" applyProtection="1">
      <alignment horizontal="left"/>
    </xf>
    <xf numFmtId="2" fontId="7" fillId="0" borderId="42" xfId="0" applyFont="1" applyBorder="1" applyAlignment="1" applyProtection="1">
      <alignment vertical="top"/>
    </xf>
    <xf numFmtId="2" fontId="0" fillId="0" borderId="21" xfId="0" applyBorder="1" applyAlignment="1" applyProtection="1">
      <alignment horizontal="left" vertical="top" wrapText="1"/>
    </xf>
    <xf numFmtId="2" fontId="6" fillId="4" borderId="28" xfId="0" applyFont="1" applyFill="1" applyBorder="1" applyAlignment="1" applyProtection="1"/>
    <xf numFmtId="2" fontId="8" fillId="4" borderId="15" xfId="0" applyFont="1" applyFill="1" applyBorder="1" applyAlignment="1" applyProtection="1"/>
    <xf numFmtId="2" fontId="8" fillId="4" borderId="26" xfId="0" applyFont="1" applyFill="1" applyBorder="1" applyAlignment="1" applyProtection="1"/>
    <xf numFmtId="2" fontId="7" fillId="4" borderId="11" xfId="0" applyFont="1" applyFill="1" applyBorder="1" applyAlignment="1" applyProtection="1">
      <alignment horizontal="left"/>
    </xf>
    <xf numFmtId="2" fontId="7" fillId="4" borderId="20" xfId="0" applyFont="1" applyFill="1" applyBorder="1" applyAlignment="1" applyProtection="1">
      <alignment horizontal="left"/>
    </xf>
    <xf numFmtId="2" fontId="7" fillId="4" borderId="10" xfId="0" applyFont="1" applyFill="1" applyBorder="1" applyAlignment="1" applyProtection="1">
      <alignment horizontal="left"/>
    </xf>
    <xf numFmtId="2" fontId="7" fillId="0" borderId="0" xfId="0" applyFont="1" applyBorder="1"/>
    <xf numFmtId="2" fontId="7" fillId="0" borderId="0" xfId="0" applyFont="1" applyBorder="1" applyAlignment="1">
      <alignment horizontal="center"/>
    </xf>
    <xf numFmtId="2" fontId="0" fillId="4" borderId="6" xfId="0" applyFont="1" applyFill="1" applyBorder="1" applyProtection="1"/>
    <xf numFmtId="2" fontId="6" fillId="3" borderId="6" xfId="0" applyFont="1" applyFill="1" applyBorder="1" applyProtection="1"/>
    <xf numFmtId="2" fontId="7" fillId="0" borderId="0" xfId="0" applyFont="1" applyFill="1" applyBorder="1" applyProtection="1"/>
    <xf numFmtId="2" fontId="18" fillId="0" borderId="0" xfId="0" applyFont="1" applyAlignment="1" applyProtection="1">
      <alignment horizontal="left"/>
    </xf>
    <xf numFmtId="2" fontId="0" fillId="0" borderId="0" xfId="0" applyFont="1" applyFill="1" applyBorder="1" applyProtection="1"/>
    <xf numFmtId="1" fontId="7" fillId="0" borderId="6" xfId="0" applyNumberFormat="1" applyFont="1" applyBorder="1" applyAlignment="1">
      <alignment horizontal="left" vertical="center"/>
    </xf>
    <xf numFmtId="1" fontId="6" fillId="4" borderId="50" xfId="0" applyNumberFormat="1" applyFont="1" applyFill="1" applyBorder="1" applyAlignment="1">
      <alignment horizontal="center" vertical="center"/>
    </xf>
    <xf numFmtId="1" fontId="6" fillId="4" borderId="51" xfId="0" applyNumberFormat="1" applyFont="1" applyFill="1" applyBorder="1" applyAlignment="1">
      <alignment horizontal="center" vertical="center"/>
    </xf>
    <xf numFmtId="165" fontId="6" fillId="4" borderId="51" xfId="0" applyNumberFormat="1" applyFont="1" applyFill="1" applyBorder="1" applyAlignment="1">
      <alignment horizontal="center" vertical="center"/>
    </xf>
    <xf numFmtId="2" fontId="0" fillId="0" borderId="0" xfId="0" applyBorder="1"/>
    <xf numFmtId="1" fontId="6" fillId="4" borderId="52" xfId="0" applyNumberFormat="1" applyFont="1" applyFill="1" applyBorder="1" applyAlignment="1">
      <alignment horizontal="center" vertical="center"/>
    </xf>
    <xf numFmtId="1" fontId="6" fillId="4" borderId="47" xfId="0" applyNumberFormat="1" applyFont="1" applyFill="1" applyBorder="1" applyAlignment="1">
      <alignment horizontal="left" vertical="center"/>
    </xf>
    <xf numFmtId="2" fontId="7" fillId="0" borderId="0" xfId="2"/>
    <xf numFmtId="2" fontId="6" fillId="4" borderId="6" xfId="2" applyFont="1" applyFill="1" applyBorder="1"/>
    <xf numFmtId="2" fontId="6" fillId="4" borderId="6" xfId="2" applyFont="1" applyFill="1" applyBorder="1" applyAlignment="1">
      <alignment horizontal="center"/>
    </xf>
    <xf numFmtId="2" fontId="7" fillId="0" borderId="6" xfId="2" applyFont="1" applyBorder="1" applyAlignment="1">
      <alignment horizontal="center"/>
    </xf>
    <xf numFmtId="2" fontId="18" fillId="0" borderId="0" xfId="0" applyFont="1" applyBorder="1" applyAlignment="1" applyProtection="1">
      <alignment horizontal="left"/>
    </xf>
    <xf numFmtId="2" fontId="16" fillId="0" borderId="0" xfId="2" applyFont="1"/>
    <xf numFmtId="2" fontId="7" fillId="0" borderId="0" xfId="2" applyAlignment="1">
      <alignment horizontal="center"/>
    </xf>
    <xf numFmtId="2" fontId="6" fillId="4" borderId="12" xfId="2" applyFont="1" applyFill="1" applyBorder="1"/>
    <xf numFmtId="2" fontId="6" fillId="4" borderId="8" xfId="2" applyFont="1" applyFill="1" applyBorder="1"/>
    <xf numFmtId="2" fontId="7" fillId="0" borderId="12" xfId="2" applyFont="1" applyBorder="1"/>
    <xf numFmtId="2" fontId="7" fillId="0" borderId="6" xfId="2" applyBorder="1"/>
    <xf numFmtId="2" fontId="7" fillId="0" borderId="8" xfId="2" applyFont="1" applyBorder="1"/>
    <xf numFmtId="2" fontId="7" fillId="0" borderId="22" xfId="2" applyFont="1" applyBorder="1"/>
    <xf numFmtId="2" fontId="7" fillId="0" borderId="7" xfId="2" applyBorder="1"/>
    <xf numFmtId="2" fontId="7" fillId="0" borderId="7" xfId="2" applyFont="1" applyBorder="1" applyAlignment="1">
      <alignment horizontal="center"/>
    </xf>
    <xf numFmtId="2" fontId="7" fillId="0" borderId="0" xfId="2" applyFont="1"/>
    <xf numFmtId="2" fontId="6" fillId="4" borderId="8" xfId="2" applyFont="1" applyFill="1" applyBorder="1" applyAlignment="1">
      <alignment horizontal="center"/>
    </xf>
    <xf numFmtId="2" fontId="6" fillId="0" borderId="0" xfId="2" applyFont="1" applyFill="1" applyBorder="1"/>
    <xf numFmtId="2" fontId="7" fillId="0" borderId="8" xfId="2" applyFont="1" applyBorder="1" applyAlignment="1">
      <alignment horizontal="center"/>
    </xf>
    <xf numFmtId="2" fontId="7" fillId="0" borderId="9" xfId="2" applyFont="1" applyBorder="1" applyAlignment="1">
      <alignment horizontal="center"/>
    </xf>
    <xf numFmtId="2" fontId="7" fillId="0" borderId="6" xfId="0" applyFont="1" applyFill="1" applyBorder="1" applyAlignment="1">
      <alignment horizontal="center"/>
    </xf>
    <xf numFmtId="2" fontId="0" fillId="0" borderId="0" xfId="0" applyFill="1" applyBorder="1"/>
    <xf numFmtId="165" fontId="0" fillId="0" borderId="6" xfId="0" applyNumberFormat="1" applyBorder="1" applyAlignment="1">
      <alignment horizontal="right"/>
    </xf>
    <xf numFmtId="2" fontId="0" fillId="4" borderId="6" xfId="0" applyFill="1" applyBorder="1" applyAlignment="1" applyProtection="1">
      <alignment horizontal="left"/>
    </xf>
    <xf numFmtId="165" fontId="0" fillId="0" borderId="6" xfId="0" applyNumberFormat="1" applyBorder="1"/>
    <xf numFmtId="2" fontId="0" fillId="0" borderId="6" xfId="0" applyFill="1" applyBorder="1"/>
    <xf numFmtId="1" fontId="0" fillId="0" borderId="6" xfId="0" applyNumberFormat="1" applyBorder="1" applyAlignment="1">
      <alignment horizontal="left" vertical="center"/>
    </xf>
    <xf numFmtId="165" fontId="0" fillId="0" borderId="6" xfId="0" applyNumberFormat="1" applyBorder="1" applyAlignment="1">
      <alignment horizontal="right" vertical="center"/>
    </xf>
    <xf numFmtId="1" fontId="7" fillId="0" borderId="6" xfId="0" applyNumberFormat="1" applyFont="1" applyBorder="1" applyAlignment="1">
      <alignment horizontal="right" vertical="center"/>
    </xf>
    <xf numFmtId="165" fontId="7" fillId="0" borderId="6" xfId="0" applyNumberFormat="1" applyFont="1" applyBorder="1" applyAlignment="1">
      <alignment horizontal="right" vertical="center"/>
    </xf>
    <xf numFmtId="165" fontId="7" fillId="0" borderId="6" xfId="0" applyNumberFormat="1" applyFont="1" applyBorder="1" applyAlignment="1">
      <alignment horizontal="right"/>
    </xf>
    <xf numFmtId="1" fontId="7" fillId="0" borderId="6" xfId="0" applyNumberFormat="1" applyFont="1" applyFill="1" applyBorder="1" applyAlignment="1">
      <alignment horizontal="left" vertical="center"/>
    </xf>
    <xf numFmtId="1" fontId="0" fillId="0" borderId="6" xfId="0" applyNumberFormat="1" applyFill="1" applyBorder="1" applyAlignment="1">
      <alignment horizontal="left" vertical="center"/>
    </xf>
    <xf numFmtId="165" fontId="0" fillId="0" borderId="6" xfId="0" applyNumberFormat="1" applyFill="1" applyBorder="1"/>
    <xf numFmtId="1" fontId="7" fillId="0" borderId="6" xfId="0" applyNumberFormat="1" applyFont="1" applyFill="1" applyBorder="1" applyAlignment="1">
      <alignment horizontal="right" vertical="center"/>
    </xf>
    <xf numFmtId="2" fontId="0" fillId="0" borderId="6" xfId="0" applyFont="1" applyFill="1" applyBorder="1"/>
    <xf numFmtId="2" fontId="7" fillId="0" borderId="48" xfId="2" applyFont="1" applyBorder="1"/>
    <xf numFmtId="2" fontId="7" fillId="0" borderId="54" xfId="2" applyBorder="1"/>
    <xf numFmtId="2" fontId="7" fillId="0" borderId="54" xfId="2" applyFont="1" applyBorder="1" applyAlignment="1">
      <alignment horizontal="center"/>
    </xf>
    <xf numFmtId="2" fontId="7" fillId="0" borderId="49" xfId="2" applyFont="1" applyBorder="1"/>
    <xf numFmtId="2" fontId="7" fillId="0" borderId="44" xfId="2" applyBorder="1"/>
    <xf numFmtId="2" fontId="7" fillId="0" borderId="9" xfId="2" applyFont="1" applyBorder="1"/>
    <xf numFmtId="2" fontId="7" fillId="0" borderId="0" xfId="0" applyFont="1" applyBorder="1" applyAlignment="1" applyProtection="1">
      <alignment wrapText="1"/>
    </xf>
    <xf numFmtId="2" fontId="0" fillId="0" borderId="18" xfId="0" applyBorder="1" applyAlignment="1" applyProtection="1">
      <alignment horizontal="left"/>
    </xf>
    <xf numFmtId="2" fontId="6" fillId="0" borderId="0" xfId="0" applyFont="1" applyBorder="1" applyAlignment="1" applyProtection="1">
      <alignment horizontal="left"/>
    </xf>
    <xf numFmtId="2" fontId="7" fillId="0" borderId="6" xfId="0" applyFont="1" applyBorder="1" applyAlignment="1">
      <alignment horizontal="center" vertical="center" wrapText="1"/>
    </xf>
    <xf numFmtId="2" fontId="7" fillId="0" borderId="40" xfId="2" applyFont="1" applyBorder="1" applyAlignment="1" applyProtection="1">
      <alignment horizontal="left" vertical="center" wrapText="1"/>
    </xf>
    <xf numFmtId="2" fontId="7" fillId="0" borderId="16" xfId="0" applyFont="1" applyBorder="1" applyAlignment="1" applyProtection="1"/>
    <xf numFmtId="2" fontId="7" fillId="0" borderId="59" xfId="0" applyFont="1" applyBorder="1" applyAlignment="1" applyProtection="1">
      <alignment horizontal="left"/>
    </xf>
    <xf numFmtId="2" fontId="7" fillId="0" borderId="58" xfId="0" applyFont="1" applyBorder="1" applyAlignment="1" applyProtection="1">
      <alignment horizontal="left"/>
    </xf>
    <xf numFmtId="2" fontId="7" fillId="0" borderId="60" xfId="0" applyFont="1" applyBorder="1" applyAlignment="1" applyProtection="1">
      <alignment horizontal="left"/>
    </xf>
    <xf numFmtId="2" fontId="7" fillId="0" borderId="60" xfId="0" applyFont="1" applyBorder="1" applyAlignment="1" applyProtection="1">
      <alignment horizontal="left" vertical="top" wrapText="1"/>
    </xf>
    <xf numFmtId="2" fontId="7" fillId="0" borderId="6" xfId="0" applyFont="1" applyFill="1" applyBorder="1" applyAlignment="1"/>
    <xf numFmtId="2" fontId="7" fillId="0" borderId="48" xfId="0" applyFont="1" applyBorder="1" applyAlignment="1" applyProtection="1">
      <alignment horizontal="left" indent="2"/>
    </xf>
    <xf numFmtId="2" fontId="18" fillId="0" borderId="49" xfId="0" applyFont="1" applyBorder="1" applyProtection="1">
      <protection locked="0"/>
    </xf>
    <xf numFmtId="2" fontId="16" fillId="0" borderId="0" xfId="2" applyFont="1" applyAlignment="1"/>
    <xf numFmtId="0" fontId="5" fillId="0" borderId="0" xfId="4" applyAlignment="1">
      <alignment horizontal="center"/>
    </xf>
    <xf numFmtId="0" fontId="5" fillId="0" borderId="0" xfId="4" applyAlignment="1"/>
    <xf numFmtId="0" fontId="25" fillId="4" borderId="6" xfId="4" applyFont="1" applyFill="1" applyBorder="1" applyAlignment="1"/>
    <xf numFmtId="0" fontId="28" fillId="0" borderId="0" xfId="1" applyNumberFormat="1" applyFont="1" applyAlignment="1">
      <alignment horizontal="left" vertical="center"/>
    </xf>
    <xf numFmtId="0" fontId="28" fillId="0" borderId="0" xfId="1" applyNumberFormat="1" applyFont="1" applyAlignment="1"/>
    <xf numFmtId="2" fontId="7" fillId="0" borderId="3" xfId="2" applyBorder="1" applyProtection="1"/>
    <xf numFmtId="2" fontId="7" fillId="0" borderId="2" xfId="2" applyBorder="1" applyProtection="1"/>
    <xf numFmtId="2" fontId="7" fillId="0" borderId="0" xfId="2" applyBorder="1" applyProtection="1"/>
    <xf numFmtId="2" fontId="7" fillId="0" borderId="0" xfId="2" applyFont="1" applyBorder="1" applyAlignment="1" applyProtection="1">
      <alignment vertical="top"/>
    </xf>
    <xf numFmtId="2" fontId="6" fillId="3" borderId="6" xfId="2" applyFont="1" applyFill="1" applyBorder="1" applyProtection="1"/>
    <xf numFmtId="2" fontId="7" fillId="4" borderId="6" xfId="2" applyFont="1" applyFill="1" applyBorder="1" applyAlignment="1" applyProtection="1">
      <alignment horizontal="left"/>
    </xf>
    <xf numFmtId="2" fontId="7" fillId="0" borderId="28" xfId="2" applyBorder="1" applyProtection="1"/>
    <xf numFmtId="2" fontId="7" fillId="0" borderId="26" xfId="2" applyBorder="1" applyProtection="1"/>
    <xf numFmtId="2" fontId="33" fillId="0" borderId="15" xfId="2" applyFont="1" applyBorder="1" applyAlignment="1" applyProtection="1">
      <alignment horizontal="left" indent="3"/>
    </xf>
    <xf numFmtId="2" fontId="33" fillId="0" borderId="0" xfId="2" applyFont="1" applyBorder="1" applyAlignment="1" applyProtection="1">
      <alignment horizontal="left" indent="3"/>
    </xf>
    <xf numFmtId="2" fontId="7" fillId="0" borderId="18" xfId="2" applyBorder="1" applyProtection="1"/>
    <xf numFmtId="2" fontId="7" fillId="0" borderId="1" xfId="2" applyBorder="1" applyProtection="1"/>
    <xf numFmtId="2" fontId="7" fillId="0" borderId="27" xfId="2" applyBorder="1" applyProtection="1"/>
    <xf numFmtId="0" fontId="16" fillId="0" borderId="0" xfId="7" applyFont="1" applyProtection="1"/>
    <xf numFmtId="2" fontId="7" fillId="0" borderId="12" xfId="0" applyFont="1" applyFill="1" applyBorder="1" applyAlignment="1" applyProtection="1">
      <alignment vertical="center" wrapText="1"/>
    </xf>
    <xf numFmtId="2" fontId="7" fillId="0" borderId="48" xfId="0" applyFont="1" applyBorder="1" applyAlignment="1" applyProtection="1">
      <alignment vertical="center"/>
    </xf>
    <xf numFmtId="2" fontId="7" fillId="0" borderId="22" xfId="0" applyFont="1" applyBorder="1" applyAlignment="1" applyProtection="1">
      <alignment vertical="center"/>
    </xf>
    <xf numFmtId="2" fontId="7" fillId="0" borderId="12" xfId="0" applyFont="1" applyBorder="1" applyAlignment="1" applyProtection="1">
      <alignment vertical="center"/>
    </xf>
    <xf numFmtId="2" fontId="7" fillId="0" borderId="12" xfId="0" applyFont="1" applyBorder="1" applyAlignment="1" applyProtection="1">
      <alignment vertical="center" wrapText="1"/>
    </xf>
    <xf numFmtId="2" fontId="7" fillId="0" borderId="22" xfId="0" applyFont="1" applyBorder="1" applyAlignment="1" applyProtection="1">
      <alignment vertical="center" wrapText="1"/>
    </xf>
    <xf numFmtId="2" fontId="0" fillId="0" borderId="0" xfId="0" applyBorder="1" applyAlignment="1" applyProtection="1">
      <alignment horizontal="right"/>
    </xf>
    <xf numFmtId="2" fontId="9" fillId="0" borderId="0" xfId="0" applyFont="1" applyBorder="1" applyAlignment="1" applyProtection="1">
      <alignment horizontal="center"/>
    </xf>
    <xf numFmtId="2" fontId="7" fillId="0" borderId="0" xfId="0" applyFont="1" applyBorder="1" applyAlignment="1" applyProtection="1">
      <alignment horizontal="right"/>
    </xf>
    <xf numFmtId="2" fontId="18" fillId="0" borderId="9" xfId="0" applyFont="1" applyBorder="1" applyAlignment="1" applyProtection="1">
      <alignment horizontal="center" vertical="center"/>
      <protection locked="0"/>
    </xf>
    <xf numFmtId="0" fontId="25" fillId="4" borderId="6" xfId="4" applyFont="1" applyFill="1" applyBorder="1" applyAlignment="1">
      <alignment horizontal="center"/>
    </xf>
    <xf numFmtId="0" fontId="4" fillId="0" borderId="0" xfId="4" applyFont="1" applyAlignment="1">
      <alignment horizontal="left" vertical="center"/>
    </xf>
    <xf numFmtId="0" fontId="4" fillId="0" borderId="0" xfId="4" applyFont="1" applyAlignment="1"/>
    <xf numFmtId="0" fontId="4" fillId="0" borderId="0" xfId="4" applyFont="1" applyAlignment="1">
      <alignment horizontal="center"/>
    </xf>
    <xf numFmtId="0" fontId="19" fillId="0" borderId="0" xfId="1" applyNumberFormat="1" applyAlignment="1">
      <alignment horizontal="left" vertical="center"/>
    </xf>
    <xf numFmtId="2" fontId="7" fillId="0" borderId="66" xfId="2" applyBorder="1" applyAlignment="1" applyProtection="1">
      <alignment horizontal="left" indent="2"/>
    </xf>
    <xf numFmtId="2" fontId="27" fillId="0" borderId="57" xfId="2" applyFont="1" applyBorder="1" applyProtection="1"/>
    <xf numFmtId="2" fontId="7" fillId="0" borderId="12" xfId="2" applyBorder="1" applyAlignment="1" applyProtection="1">
      <alignment horizontal="left" indent="2"/>
    </xf>
    <xf numFmtId="2" fontId="27" fillId="0" borderId="8" xfId="2" applyFont="1" applyBorder="1" applyProtection="1"/>
    <xf numFmtId="2" fontId="7" fillId="0" borderId="66" xfId="0" applyFont="1" applyBorder="1" applyAlignment="1" applyProtection="1">
      <alignment vertical="center"/>
    </xf>
    <xf numFmtId="2" fontId="18" fillId="0" borderId="57" xfId="0" applyFont="1" applyBorder="1" applyAlignment="1" applyProtection="1">
      <alignment horizontal="center"/>
      <protection locked="0"/>
    </xf>
    <xf numFmtId="2" fontId="18" fillId="0" borderId="8" xfId="0" applyFont="1" applyBorder="1" applyAlignment="1" applyProtection="1">
      <alignment horizontal="center"/>
    </xf>
    <xf numFmtId="2" fontId="18" fillId="0" borderId="8" xfId="0" applyFont="1" applyBorder="1" applyAlignment="1" applyProtection="1">
      <alignment horizontal="center"/>
      <protection locked="0"/>
    </xf>
    <xf numFmtId="2" fontId="0" fillId="0" borderId="12" xfId="0" applyBorder="1" applyAlignment="1" applyProtection="1">
      <alignment vertical="center"/>
    </xf>
    <xf numFmtId="2" fontId="0" fillId="0" borderId="8" xfId="0" applyBorder="1" applyAlignment="1" applyProtection="1">
      <alignment horizontal="center"/>
    </xf>
    <xf numFmtId="2" fontId="0" fillId="0" borderId="22" xfId="0" applyBorder="1" applyProtection="1"/>
    <xf numFmtId="2" fontId="0" fillId="0" borderId="9" xfId="0" applyBorder="1" applyAlignment="1" applyProtection="1">
      <alignment horizontal="center"/>
    </xf>
    <xf numFmtId="2" fontId="6" fillId="0" borderId="3" xfId="0" applyFont="1" applyBorder="1" applyAlignment="1" applyProtection="1">
      <alignment horizontal="center"/>
    </xf>
    <xf numFmtId="2" fontId="6" fillId="0" borderId="34" xfId="0" applyFont="1" applyFill="1" applyBorder="1" applyProtection="1"/>
    <xf numFmtId="2" fontId="7" fillId="0" borderId="66" xfId="0" applyFont="1" applyBorder="1" applyProtection="1"/>
    <xf numFmtId="2" fontId="7" fillId="0" borderId="12" xfId="0" applyFont="1" applyBorder="1" applyProtection="1"/>
    <xf numFmtId="2" fontId="6" fillId="4" borderId="34" xfId="0" applyFont="1" applyFill="1" applyBorder="1" applyProtection="1"/>
    <xf numFmtId="2" fontId="6" fillId="4" borderId="72" xfId="0" applyFont="1" applyFill="1" applyBorder="1" applyAlignment="1" applyProtection="1">
      <alignment horizontal="center"/>
    </xf>
    <xf numFmtId="2" fontId="6" fillId="4" borderId="71" xfId="0" applyFont="1" applyFill="1" applyBorder="1" applyAlignment="1" applyProtection="1">
      <alignment horizontal="center"/>
    </xf>
    <xf numFmtId="2" fontId="6" fillId="4" borderId="35" xfId="0" applyFont="1" applyFill="1" applyBorder="1" applyAlignment="1" applyProtection="1">
      <alignment horizontal="center"/>
    </xf>
    <xf numFmtId="4" fontId="27" fillId="0" borderId="67" xfId="0" applyNumberFormat="1" applyFont="1" applyBorder="1" applyProtection="1"/>
    <xf numFmtId="4" fontId="27" fillId="0" borderId="57" xfId="0" applyNumberFormat="1" applyFont="1" applyBorder="1" applyProtection="1"/>
    <xf numFmtId="4" fontId="27" fillId="0" borderId="6" xfId="0" applyNumberFormat="1" applyFont="1" applyBorder="1" applyProtection="1"/>
    <xf numFmtId="4" fontId="27" fillId="0" borderId="8" xfId="0" applyNumberFormat="1" applyFont="1" applyBorder="1" applyProtection="1"/>
    <xf numFmtId="4" fontId="26" fillId="0" borderId="71" xfId="0" applyNumberFormat="1" applyFont="1" applyBorder="1" applyProtection="1"/>
    <xf numFmtId="4" fontId="26" fillId="0" borderId="35" xfId="0" applyNumberFormat="1" applyFont="1" applyBorder="1" applyProtection="1"/>
    <xf numFmtId="4" fontId="26" fillId="0" borderId="71" xfId="0" applyNumberFormat="1" applyFont="1" applyFill="1" applyBorder="1" applyProtection="1"/>
    <xf numFmtId="4" fontId="26" fillId="0" borderId="35" xfId="0" applyNumberFormat="1" applyFont="1" applyFill="1" applyBorder="1" applyProtection="1"/>
    <xf numFmtId="2" fontId="7" fillId="0" borderId="42" xfId="2" applyBorder="1" applyAlignment="1" applyProtection="1">
      <alignment horizontal="left" vertical="center" wrapText="1"/>
    </xf>
    <xf numFmtId="2" fontId="7" fillId="0" borderId="60" xfId="2" applyBorder="1" applyAlignment="1" applyProtection="1">
      <alignment horizontal="left" vertical="center" wrapText="1"/>
    </xf>
    <xf numFmtId="2" fontId="7" fillId="0" borderId="21" xfId="2" applyBorder="1" applyAlignment="1" applyProtection="1">
      <alignment horizontal="left" vertical="center" wrapText="1"/>
    </xf>
    <xf numFmtId="2" fontId="6" fillId="0" borderId="0" xfId="0" applyFont="1" applyAlignment="1" applyProtection="1">
      <alignment vertical="center" wrapText="1"/>
    </xf>
    <xf numFmtId="2" fontId="19" fillId="0" borderId="0" xfId="1" applyProtection="1"/>
    <xf numFmtId="2" fontId="7" fillId="0" borderId="0" xfId="0" applyFont="1" applyAlignment="1" applyProtection="1">
      <alignment vertical="center" wrapText="1"/>
    </xf>
    <xf numFmtId="2" fontId="7" fillId="0" borderId="0" xfId="0" quotePrefix="1" applyFont="1" applyAlignment="1" applyProtection="1">
      <alignment horizontal="right" vertical="top"/>
    </xf>
    <xf numFmtId="2" fontId="7" fillId="0" borderId="0" xfId="0" applyFont="1" applyAlignment="1" applyProtection="1">
      <alignment horizontal="left" vertical="top" wrapText="1" indent="1"/>
    </xf>
    <xf numFmtId="2" fontId="7" fillId="0" borderId="0" xfId="0" applyFont="1" applyAlignment="1" applyProtection="1">
      <alignment horizontal="left" vertical="center" wrapText="1"/>
    </xf>
    <xf numFmtId="2" fontId="7" fillId="0" borderId="0" xfId="0" applyFont="1" applyAlignment="1" applyProtection="1">
      <alignment horizontal="left" vertical="center" wrapText="1" indent="1"/>
    </xf>
    <xf numFmtId="2" fontId="19" fillId="0" borderId="0" xfId="1" applyFont="1" applyAlignment="1" applyProtection="1">
      <alignment vertical="center" wrapText="1"/>
    </xf>
    <xf numFmtId="2" fontId="7" fillId="0" borderId="0" xfId="0" applyFont="1" applyAlignment="1" applyProtection="1">
      <alignment wrapText="1"/>
    </xf>
    <xf numFmtId="2" fontId="0" fillId="0" borderId="66" xfId="0" applyBorder="1" applyAlignment="1" applyProtection="1">
      <alignment horizontal="left" indent="2"/>
    </xf>
    <xf numFmtId="2" fontId="18" fillId="0" borderId="57" xfId="0" applyFont="1" applyBorder="1" applyProtection="1">
      <protection locked="0"/>
    </xf>
    <xf numFmtId="1" fontId="18" fillId="0" borderId="9" xfId="0" applyNumberFormat="1" applyFont="1" applyBorder="1" applyAlignment="1" applyProtection="1">
      <alignment horizontal="left"/>
      <protection locked="0"/>
    </xf>
    <xf numFmtId="2" fontId="7" fillId="0" borderId="3" xfId="2" applyBorder="1" applyAlignment="1" applyProtection="1">
      <alignment horizontal="left" indent="2"/>
    </xf>
    <xf numFmtId="2" fontId="27" fillId="0" borderId="73" xfId="2" applyFont="1" applyBorder="1" applyProtection="1"/>
    <xf numFmtId="2" fontId="27" fillId="0" borderId="55" xfId="2" applyFont="1" applyBorder="1" applyAlignment="1" applyProtection="1">
      <alignment vertical="top"/>
    </xf>
    <xf numFmtId="0" fontId="3" fillId="0" borderId="0" xfId="4" applyFont="1" applyAlignment="1"/>
    <xf numFmtId="2" fontId="0" fillId="0" borderId="0" xfId="0" applyAlignment="1" applyProtection="1">
      <alignment horizontal="center"/>
    </xf>
    <xf numFmtId="2" fontId="6" fillId="0" borderId="0" xfId="0" applyFont="1" applyBorder="1" applyProtection="1"/>
    <xf numFmtId="2" fontId="0" fillId="0" borderId="0" xfId="0" applyFill="1" applyBorder="1" applyAlignment="1" applyProtection="1">
      <alignment horizontal="center"/>
    </xf>
    <xf numFmtId="167" fontId="9" fillId="0" borderId="29" xfId="0" applyNumberFormat="1" applyFont="1" applyBorder="1" applyAlignment="1" applyProtection="1">
      <alignment horizontal="right" indent="3"/>
    </xf>
    <xf numFmtId="166" fontId="9" fillId="0" borderId="29" xfId="0" applyNumberFormat="1" applyFont="1" applyBorder="1" applyAlignment="1" applyProtection="1">
      <alignment horizontal="right" indent="3"/>
    </xf>
    <xf numFmtId="2" fontId="0" fillId="0" borderId="0" xfId="0" applyBorder="1" applyAlignment="1" applyProtection="1">
      <alignment horizontal="center"/>
    </xf>
    <xf numFmtId="2" fontId="6" fillId="0" borderId="3" xfId="0" applyNumberFormat="1" applyFont="1" applyBorder="1" applyAlignment="1" applyProtection="1">
      <alignment horizontal="left" indent="3"/>
    </xf>
    <xf numFmtId="4" fontId="6" fillId="0" borderId="4" xfId="0" applyNumberFormat="1" applyFont="1" applyBorder="1" applyAlignment="1" applyProtection="1">
      <alignment horizontal="right" indent="7"/>
    </xf>
    <xf numFmtId="164" fontId="6" fillId="0" borderId="4" xfId="0" applyNumberFormat="1" applyFont="1" applyBorder="1" applyAlignment="1" applyProtection="1">
      <alignment horizontal="right" indent="7"/>
    </xf>
    <xf numFmtId="164" fontId="6" fillId="0" borderId="18" xfId="2" applyNumberFormat="1" applyFont="1" applyFill="1" applyBorder="1" applyAlignment="1" applyProtection="1">
      <alignment horizontal="right" indent="8"/>
    </xf>
    <xf numFmtId="164" fontId="6" fillId="0" borderId="0" xfId="2" applyNumberFormat="1" applyFont="1" applyFill="1" applyBorder="1" applyAlignment="1" applyProtection="1">
      <alignment horizontal="right" indent="3"/>
    </xf>
    <xf numFmtId="2" fontId="0" fillId="0" borderId="3" xfId="0" applyBorder="1" applyAlignment="1" applyProtection="1">
      <alignment horizontal="left" indent="3"/>
    </xf>
    <xf numFmtId="167" fontId="6" fillId="0" borderId="0" xfId="0" applyNumberFormat="1" applyFont="1" applyBorder="1" applyAlignment="1" applyProtection="1">
      <alignment horizontal="right" indent="8"/>
    </xf>
    <xf numFmtId="164" fontId="6" fillId="0" borderId="4" xfId="0" applyNumberFormat="1" applyFont="1" applyBorder="1" applyAlignment="1" applyProtection="1">
      <alignment horizontal="right" indent="8"/>
    </xf>
    <xf numFmtId="167" fontId="6" fillId="0" borderId="4" xfId="0" applyNumberFormat="1" applyFont="1" applyBorder="1" applyAlignment="1" applyProtection="1">
      <alignment horizontal="right" indent="7"/>
    </xf>
    <xf numFmtId="2" fontId="0" fillId="0" borderId="3" xfId="0" applyNumberFormat="1" applyBorder="1" applyAlignment="1" applyProtection="1">
      <alignment horizontal="left" indent="3"/>
    </xf>
    <xf numFmtId="2" fontId="7" fillId="0" borderId="3" xfId="0" applyNumberFormat="1" applyFont="1" applyBorder="1" applyAlignment="1" applyProtection="1">
      <alignment horizontal="left" indent="3"/>
    </xf>
    <xf numFmtId="164" fontId="7" fillId="0" borderId="18" xfId="2" applyNumberFormat="1" applyFont="1" applyFill="1" applyBorder="1" applyAlignment="1" applyProtection="1">
      <alignment horizontal="right" indent="8"/>
    </xf>
    <xf numFmtId="164" fontId="7" fillId="0" borderId="0" xfId="2" applyNumberFormat="1" applyFont="1" applyFill="1" applyBorder="1" applyAlignment="1" applyProtection="1">
      <alignment horizontal="right" indent="3"/>
    </xf>
    <xf numFmtId="2" fontId="6" fillId="0" borderId="3" xfId="0" applyFont="1" applyBorder="1" applyAlignment="1" applyProtection="1">
      <alignment horizontal="left" indent="3"/>
    </xf>
    <xf numFmtId="167" fontId="9" fillId="0" borderId="4" xfId="0" applyNumberFormat="1" applyFont="1" applyBorder="1" applyAlignment="1" applyProtection="1">
      <alignment horizontal="right" indent="6"/>
    </xf>
    <xf numFmtId="164" fontId="7" fillId="0" borderId="0" xfId="2" applyNumberFormat="1" applyFont="1" applyFill="1" applyBorder="1" applyAlignment="1" applyProtection="1">
      <alignment horizontal="center"/>
    </xf>
    <xf numFmtId="164" fontId="6" fillId="0" borderId="0" xfId="2" applyNumberFormat="1" applyFont="1" applyFill="1" applyBorder="1" applyAlignment="1" applyProtection="1">
      <alignment horizontal="center"/>
    </xf>
    <xf numFmtId="2" fontId="35" fillId="0" borderId="15" xfId="2" applyFont="1" applyBorder="1" applyProtection="1"/>
    <xf numFmtId="2" fontId="32" fillId="0" borderId="15" xfId="2" applyFont="1" applyBorder="1" applyProtection="1"/>
    <xf numFmtId="2" fontId="35" fillId="0" borderId="0" xfId="2" applyFont="1" applyBorder="1" applyProtection="1"/>
    <xf numFmtId="2" fontId="32" fillId="0" borderId="0" xfId="2" applyFont="1" applyBorder="1" applyProtection="1"/>
    <xf numFmtId="2" fontId="7" fillId="0" borderId="69" xfId="2" applyFont="1" applyBorder="1" applyAlignment="1" applyProtection="1">
      <alignment horizontal="left" vertical="center" wrapText="1"/>
    </xf>
    <xf numFmtId="2" fontId="7" fillId="0" borderId="77" xfId="2" applyFont="1" applyBorder="1" applyAlignment="1" applyProtection="1">
      <alignment horizontal="left" vertical="center" wrapText="1"/>
    </xf>
    <xf numFmtId="2" fontId="7" fillId="0" borderId="63" xfId="2" applyFont="1" applyBorder="1" applyAlignment="1" applyProtection="1">
      <alignment horizontal="left" vertical="center" wrapText="1"/>
    </xf>
    <xf numFmtId="168" fontId="0" fillId="0" borderId="0" xfId="0" applyNumberFormat="1" applyProtection="1"/>
    <xf numFmtId="2" fontId="7" fillId="0" borderId="6" xfId="0" applyFont="1" applyBorder="1" applyAlignment="1" applyProtection="1">
      <alignment horizontal="center" vertical="center" wrapText="1"/>
      <protection locked="0"/>
    </xf>
    <xf numFmtId="2" fontId="7" fillId="0" borderId="48" xfId="0" applyFont="1" applyBorder="1" applyAlignment="1" applyProtection="1">
      <alignment vertical="center" wrapText="1"/>
    </xf>
    <xf numFmtId="2" fontId="7" fillId="0" borderId="78" xfId="0" applyFont="1" applyFill="1" applyBorder="1" applyAlignment="1" applyProtection="1">
      <alignment vertical="center" wrapText="1"/>
    </xf>
    <xf numFmtId="2" fontId="7" fillId="0" borderId="8" xfId="0" applyFont="1" applyBorder="1"/>
    <xf numFmtId="165" fontId="0" fillId="0" borderId="0" xfId="0" applyNumberFormat="1"/>
    <xf numFmtId="2" fontId="7" fillId="0" borderId="6" xfId="0" quotePrefix="1" applyFont="1" applyBorder="1" applyAlignment="1">
      <alignment horizontal="center" vertical="center"/>
    </xf>
    <xf numFmtId="2" fontId="7" fillId="0" borderId="6" xfId="0" applyFont="1" applyFill="1" applyBorder="1"/>
    <xf numFmtId="2" fontId="7" fillId="0" borderId="0" xfId="2" applyProtection="1"/>
    <xf numFmtId="2" fontId="18" fillId="0" borderId="8" xfId="0" applyFont="1" applyBorder="1" applyAlignment="1" applyProtection="1">
      <alignment horizontal="center" vertical="center"/>
      <protection locked="0"/>
    </xf>
    <xf numFmtId="2" fontId="18" fillId="0" borderId="49" xfId="0" applyFont="1" applyBorder="1" applyAlignment="1" applyProtection="1">
      <alignment horizontal="center" vertical="center"/>
      <protection locked="0"/>
    </xf>
    <xf numFmtId="2" fontId="7" fillId="0" borderId="8" xfId="0" applyFont="1" applyBorder="1"/>
    <xf numFmtId="2" fontId="7" fillId="4" borderId="6" xfId="0" applyFont="1" applyFill="1" applyBorder="1" applyAlignment="1" applyProtection="1">
      <alignment horizontal="center" vertical="center"/>
    </xf>
    <xf numFmtId="2" fontId="7" fillId="4" borderId="6" xfId="0" applyFont="1" applyFill="1" applyBorder="1" applyAlignment="1" applyProtection="1">
      <alignment horizontal="center" wrapText="1"/>
    </xf>
    <xf numFmtId="2" fontId="6" fillId="4" borderId="11" xfId="0" applyFont="1" applyFill="1" applyBorder="1" applyProtection="1"/>
    <xf numFmtId="165" fontId="7" fillId="4" borderId="6" xfId="0" applyNumberFormat="1" applyFont="1" applyFill="1" applyBorder="1" applyAlignment="1" applyProtection="1">
      <alignment horizontal="center" vertical="center"/>
    </xf>
    <xf numFmtId="2" fontId="6" fillId="3" borderId="6" xfId="0" applyFont="1" applyFill="1" applyBorder="1" applyAlignment="1" applyProtection="1">
      <alignment horizontal="center" wrapText="1"/>
    </xf>
    <xf numFmtId="2" fontId="6" fillId="3" borderId="6" xfId="0" applyFont="1" applyFill="1" applyBorder="1" applyAlignment="1" applyProtection="1">
      <alignment horizontal="center"/>
    </xf>
    <xf numFmtId="165" fontId="7" fillId="0" borderId="0" xfId="0" applyNumberFormat="1" applyFont="1" applyFill="1" applyBorder="1" applyAlignment="1" applyProtection="1">
      <alignment horizontal="center" vertical="center"/>
    </xf>
    <xf numFmtId="1" fontId="7" fillId="0" borderId="54" xfId="0" applyNumberFormat="1" applyFont="1" applyBorder="1" applyAlignment="1">
      <alignment horizontal="left" vertical="center"/>
    </xf>
    <xf numFmtId="2" fontId="0" fillId="0" borderId="54" xfId="0" applyFill="1" applyBorder="1"/>
    <xf numFmtId="165" fontId="0" fillId="0" borderId="54" xfId="0" applyNumberFormat="1" applyBorder="1"/>
    <xf numFmtId="2" fontId="7" fillId="0" borderId="54" xfId="0" applyFont="1" applyBorder="1"/>
    <xf numFmtId="2" fontId="7" fillId="0" borderId="17" xfId="0" applyFont="1" applyBorder="1"/>
    <xf numFmtId="1" fontId="0" fillId="0" borderId="17" xfId="0" applyNumberFormat="1" applyBorder="1" applyAlignment="1">
      <alignment horizontal="left" vertical="center"/>
    </xf>
    <xf numFmtId="165" fontId="0" fillId="0" borderId="17" xfId="0" applyNumberFormat="1" applyBorder="1" applyAlignment="1">
      <alignment horizontal="right" vertical="center"/>
    </xf>
    <xf numFmtId="1" fontId="7" fillId="0" borderId="17" xfId="0" applyNumberFormat="1" applyFont="1" applyBorder="1" applyAlignment="1">
      <alignment horizontal="right" vertical="center"/>
    </xf>
    <xf numFmtId="1" fontId="7" fillId="0" borderId="17" xfId="0" applyNumberFormat="1" applyFont="1" applyBorder="1" applyAlignment="1">
      <alignment horizontal="left" vertical="center"/>
    </xf>
    <xf numFmtId="1" fontId="6" fillId="0" borderId="0" xfId="0" applyNumberFormat="1" applyFont="1" applyFill="1" applyBorder="1" applyAlignment="1">
      <alignment vertical="center"/>
    </xf>
    <xf numFmtId="2" fontId="6" fillId="4" borderId="11" xfId="0" applyFont="1" applyFill="1" applyBorder="1" applyAlignment="1" applyProtection="1">
      <alignment horizontal="left"/>
    </xf>
    <xf numFmtId="2" fontId="6" fillId="4" borderId="20" xfId="0" applyFont="1" applyFill="1" applyBorder="1" applyAlignment="1" applyProtection="1">
      <alignment horizontal="left"/>
    </xf>
    <xf numFmtId="2" fontId="6" fillId="4" borderId="10" xfId="0" applyFont="1" applyFill="1" applyBorder="1" applyAlignment="1" applyProtection="1">
      <alignment horizontal="left"/>
    </xf>
    <xf numFmtId="2" fontId="17" fillId="0" borderId="0" xfId="0" applyFont="1" applyAlignment="1" applyProtection="1">
      <alignment horizontal="left" vertical="top"/>
    </xf>
    <xf numFmtId="2" fontId="0" fillId="0" borderId="60" xfId="0" applyBorder="1" applyAlignment="1" applyProtection="1">
      <alignment horizontal="left"/>
    </xf>
    <xf numFmtId="2" fontId="0" fillId="0" borderId="21" xfId="0" applyBorder="1" applyAlignment="1" applyProtection="1">
      <alignment horizontal="left"/>
    </xf>
    <xf numFmtId="2" fontId="7" fillId="0" borderId="13" xfId="0" applyFont="1" applyBorder="1" applyAlignment="1" applyProtection="1"/>
    <xf numFmtId="2" fontId="7" fillId="0" borderId="13" xfId="2" applyBorder="1" applyAlignment="1" applyProtection="1">
      <alignment horizontal="left" vertical="center" wrapText="1"/>
    </xf>
    <xf numFmtId="2" fontId="6" fillId="0" borderId="4" xfId="0" applyFont="1" applyBorder="1" applyAlignment="1" applyProtection="1">
      <alignment horizontal="center"/>
    </xf>
    <xf numFmtId="2" fontId="27" fillId="0" borderId="55" xfId="0" applyFont="1" applyBorder="1" applyAlignment="1" applyProtection="1">
      <alignment horizontal="center" vertical="center"/>
    </xf>
    <xf numFmtId="2" fontId="18" fillId="0" borderId="8" xfId="0" applyNumberFormat="1" applyFont="1" applyBorder="1" applyAlignment="1" applyProtection="1">
      <alignment horizontal="center" vertical="center"/>
      <protection locked="0"/>
    </xf>
    <xf numFmtId="0" fontId="1" fillId="0" borderId="0" xfId="4" applyFont="1" applyAlignment="1"/>
    <xf numFmtId="2" fontId="7" fillId="0" borderId="6" xfId="0" quotePrefix="1" applyFont="1" applyBorder="1" applyAlignment="1" applyProtection="1">
      <alignment horizontal="center" vertical="center"/>
      <protection locked="0"/>
    </xf>
    <xf numFmtId="2" fontId="19" fillId="0" borderId="6" xfId="1" applyBorder="1" applyAlignment="1" applyProtection="1">
      <alignment vertical="center"/>
      <protection locked="0"/>
    </xf>
    <xf numFmtId="2" fontId="0" fillId="0" borderId="6" xfId="0" quotePrefix="1" applyBorder="1" applyAlignment="1" applyProtection="1">
      <alignment horizontal="center" vertical="center"/>
      <protection locked="0"/>
    </xf>
    <xf numFmtId="2" fontId="6" fillId="0" borderId="0" xfId="0" applyFont="1" applyAlignment="1" applyProtection="1">
      <alignment horizontal="left" vertical="center" wrapText="1"/>
    </xf>
    <xf numFmtId="2" fontId="7" fillId="0" borderId="0" xfId="0" applyFont="1" applyAlignment="1" applyProtection="1">
      <alignment horizontal="left" vertical="center" wrapText="1"/>
    </xf>
    <xf numFmtId="2" fontId="7" fillId="0" borderId="0" xfId="0" applyFont="1" applyAlignment="1" applyProtection="1">
      <alignment horizontal="left" wrapText="1"/>
    </xf>
    <xf numFmtId="2" fontId="19" fillId="0" borderId="0" xfId="1" applyAlignment="1" applyProtection="1">
      <alignment horizontal="left" vertical="center" wrapText="1"/>
    </xf>
    <xf numFmtId="2" fontId="16" fillId="0" borderId="0" xfId="0" applyFont="1" applyAlignment="1" applyProtection="1">
      <alignment horizontal="left" vertical="center" wrapText="1"/>
    </xf>
    <xf numFmtId="2" fontId="33" fillId="0" borderId="0" xfId="0" applyFont="1" applyAlignment="1" applyProtection="1">
      <alignment horizontal="left" vertical="center" wrapText="1"/>
    </xf>
    <xf numFmtId="2" fontId="0" fillId="0" borderId="61" xfId="0" applyBorder="1" applyAlignment="1" applyProtection="1">
      <alignment horizontal="left"/>
    </xf>
    <xf numFmtId="2" fontId="0" fillId="0" borderId="25" xfId="0" applyBorder="1" applyAlignment="1" applyProtection="1">
      <alignment horizontal="left"/>
    </xf>
    <xf numFmtId="2" fontId="7" fillId="0" borderId="64" xfId="0" applyFont="1" applyBorder="1" applyAlignment="1" applyProtection="1">
      <alignment horizontal="left" vertical="top" wrapText="1"/>
    </xf>
    <xf numFmtId="2" fontId="7" fillId="0" borderId="68" xfId="0" applyFont="1" applyBorder="1" applyAlignment="1" applyProtection="1">
      <alignment horizontal="left" vertical="top" wrapText="1"/>
    </xf>
    <xf numFmtId="2" fontId="7" fillId="0" borderId="43" xfId="0" applyFont="1" applyFill="1" applyBorder="1" applyAlignment="1" applyProtection="1">
      <alignment horizontal="left" vertical="top" wrapText="1"/>
    </xf>
    <xf numFmtId="2" fontId="7" fillId="0" borderId="24" xfId="0" applyFont="1" applyFill="1" applyBorder="1" applyAlignment="1" applyProtection="1">
      <alignment horizontal="left" vertical="top" wrapText="1"/>
    </xf>
    <xf numFmtId="2" fontId="0" fillId="0" borderId="60" xfId="0" applyBorder="1" applyAlignment="1" applyProtection="1">
      <alignment horizontal="left"/>
    </xf>
    <xf numFmtId="2" fontId="0" fillId="0" borderId="21" xfId="0" applyBorder="1" applyAlignment="1" applyProtection="1">
      <alignment horizontal="left"/>
    </xf>
    <xf numFmtId="2" fontId="7" fillId="0" borderId="13" xfId="0" applyFont="1" applyBorder="1" applyAlignment="1" applyProtection="1"/>
    <xf numFmtId="2" fontId="0" fillId="0" borderId="23" xfId="0" applyBorder="1" applyAlignment="1" applyProtection="1"/>
    <xf numFmtId="2" fontId="0" fillId="0" borderId="24" xfId="0" applyBorder="1" applyAlignment="1" applyProtection="1"/>
    <xf numFmtId="2" fontId="7" fillId="0" borderId="56" xfId="2" applyFont="1" applyBorder="1" applyAlignment="1" applyProtection="1">
      <alignment horizontal="left" vertical="center" wrapText="1"/>
    </xf>
    <xf numFmtId="2" fontId="7" fillId="0" borderId="57" xfId="2" applyFont="1" applyBorder="1" applyAlignment="1" applyProtection="1">
      <alignment horizontal="left" vertical="center" wrapText="1"/>
    </xf>
    <xf numFmtId="2" fontId="7" fillId="0" borderId="58" xfId="2" applyBorder="1" applyAlignment="1" applyProtection="1">
      <alignment horizontal="left" vertical="center" wrapText="1"/>
    </xf>
    <xf numFmtId="2" fontId="7" fillId="0" borderId="24" xfId="2" applyBorder="1" applyAlignment="1" applyProtection="1">
      <alignment horizontal="left" vertical="center" wrapText="1"/>
    </xf>
    <xf numFmtId="2" fontId="7" fillId="0" borderId="14" xfId="0" applyFont="1" applyBorder="1" applyAlignment="1" applyProtection="1"/>
    <xf numFmtId="2" fontId="0" fillId="0" borderId="17" xfId="0" applyBorder="1" applyAlignment="1" applyProtection="1"/>
    <xf numFmtId="2" fontId="0" fillId="0" borderId="19" xfId="0" applyBorder="1" applyAlignment="1" applyProtection="1"/>
    <xf numFmtId="2" fontId="7"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7" fillId="6" borderId="22" xfId="0" applyFont="1" applyFill="1" applyBorder="1" applyAlignment="1" applyProtection="1"/>
    <xf numFmtId="2" fontId="0" fillId="6" borderId="7" xfId="0" applyFill="1" applyBorder="1" applyAlignment="1" applyProtection="1"/>
    <xf numFmtId="2" fontId="0" fillId="6" borderId="9" xfId="0" applyFill="1" applyBorder="1" applyAlignment="1" applyProtection="1"/>
    <xf numFmtId="2" fontId="6" fillId="4" borderId="11" xfId="0" applyFont="1" applyFill="1" applyBorder="1" applyAlignment="1" applyProtection="1">
      <alignment horizontal="left"/>
    </xf>
    <xf numFmtId="2" fontId="6" fillId="4" borderId="20" xfId="0" applyFont="1" applyFill="1" applyBorder="1" applyAlignment="1" applyProtection="1">
      <alignment horizontal="left"/>
    </xf>
    <xf numFmtId="2" fontId="6" fillId="4" borderId="10" xfId="0" applyFont="1" applyFill="1" applyBorder="1" applyAlignment="1" applyProtection="1">
      <alignment horizontal="left"/>
    </xf>
    <xf numFmtId="2" fontId="17" fillId="0" borderId="0" xfId="0" applyFont="1" applyAlignment="1" applyProtection="1">
      <alignment horizontal="left" vertical="top"/>
    </xf>
    <xf numFmtId="2" fontId="7" fillId="0" borderId="0" xfId="0" applyFont="1" applyAlignment="1" applyProtection="1">
      <alignment horizontal="left" vertical="top" wrapText="1"/>
    </xf>
    <xf numFmtId="2" fontId="10" fillId="0" borderId="0" xfId="0" applyFont="1" applyAlignment="1" applyProtection="1">
      <alignment horizontal="left" vertical="top" wrapText="1"/>
    </xf>
    <xf numFmtId="2" fontId="7" fillId="0" borderId="0" xfId="2" applyFont="1" applyAlignment="1" applyProtection="1">
      <alignment horizontal="left" vertical="center" wrapText="1"/>
    </xf>
    <xf numFmtId="2" fontId="8" fillId="4" borderId="20" xfId="0" applyFont="1" applyFill="1" applyBorder="1" applyAlignment="1" applyProtection="1">
      <alignment horizontal="left"/>
    </xf>
    <xf numFmtId="2" fontId="8" fillId="4" borderId="10" xfId="0" applyFont="1" applyFill="1" applyBorder="1" applyAlignment="1" applyProtection="1">
      <alignment horizontal="left"/>
    </xf>
    <xf numFmtId="2" fontId="23" fillId="0" borderId="0" xfId="0" applyFont="1" applyAlignment="1" applyProtection="1">
      <alignment horizontal="left" vertical="center" wrapText="1"/>
    </xf>
    <xf numFmtId="2" fontId="7" fillId="0" borderId="70" xfId="0" applyFont="1" applyBorder="1" applyAlignment="1" applyProtection="1">
      <alignment horizontal="left" vertical="top" wrapText="1"/>
    </xf>
    <xf numFmtId="2" fontId="7" fillId="0" borderId="25" xfId="0" applyFont="1" applyBorder="1" applyAlignment="1" applyProtection="1">
      <alignment horizontal="left" vertical="top" wrapText="1"/>
    </xf>
    <xf numFmtId="49" fontId="7" fillId="0" borderId="42" xfId="0" applyNumberFormat="1" applyFont="1" applyBorder="1" applyAlignment="1" applyProtection="1">
      <alignment horizontal="left" vertical="top"/>
    </xf>
    <xf numFmtId="49" fontId="7" fillId="0" borderId="62" xfId="0" applyNumberFormat="1" applyFont="1" applyBorder="1" applyAlignment="1" applyProtection="1">
      <alignment horizontal="left" vertical="top"/>
    </xf>
    <xf numFmtId="49" fontId="7" fillId="0" borderId="69" xfId="0" applyNumberFormat="1" applyFont="1" applyBorder="1" applyAlignment="1" applyProtection="1">
      <alignment horizontal="left" vertical="top"/>
    </xf>
    <xf numFmtId="49" fontId="7" fillId="0" borderId="46" xfId="0" applyNumberFormat="1" applyFont="1" applyBorder="1" applyAlignment="1" applyProtection="1">
      <alignment horizontal="left" vertical="top"/>
    </xf>
    <xf numFmtId="2" fontId="19" fillId="0" borderId="45" xfId="1" applyBorder="1" applyAlignment="1" applyProtection="1">
      <alignment horizontal="center" vertical="center" wrapText="1"/>
    </xf>
    <xf numFmtId="2" fontId="7" fillId="0" borderId="63" xfId="2" applyFont="1" applyBorder="1" applyAlignment="1" applyProtection="1">
      <alignment horizontal="center" vertical="center" wrapText="1"/>
    </xf>
    <xf numFmtId="49" fontId="7" fillId="0" borderId="66" xfId="0" applyNumberFormat="1" applyFont="1" applyBorder="1" applyAlignment="1" applyProtection="1">
      <alignment horizontal="left" vertical="top"/>
    </xf>
    <xf numFmtId="49" fontId="7" fillId="0" borderId="67" xfId="0" applyNumberFormat="1" applyFont="1" applyBorder="1" applyAlignment="1" applyProtection="1">
      <alignment horizontal="left" vertical="top"/>
    </xf>
    <xf numFmtId="49" fontId="7" fillId="0" borderId="12" xfId="0" applyNumberFormat="1" applyFont="1" applyBorder="1" applyAlignment="1" applyProtection="1">
      <alignment horizontal="left" vertical="top"/>
    </xf>
    <xf numFmtId="49" fontId="7" fillId="0" borderId="6" xfId="0" applyNumberFormat="1" applyFont="1" applyBorder="1" applyAlignment="1" applyProtection="1">
      <alignment horizontal="left" vertical="top"/>
    </xf>
    <xf numFmtId="49" fontId="7" fillId="0" borderId="22" xfId="0" applyNumberFormat="1" applyFont="1" applyBorder="1" applyAlignment="1" applyProtection="1">
      <alignment horizontal="left" vertical="top"/>
    </xf>
    <xf numFmtId="49" fontId="7" fillId="0" borderId="7" xfId="0" applyNumberFormat="1" applyFont="1" applyBorder="1" applyAlignment="1" applyProtection="1">
      <alignment horizontal="left" vertical="top"/>
    </xf>
    <xf numFmtId="2" fontId="7" fillId="0" borderId="65" xfId="0" applyFont="1" applyBorder="1" applyAlignment="1" applyProtection="1">
      <alignment horizontal="left" vertical="top" wrapText="1"/>
    </xf>
    <xf numFmtId="2" fontId="7" fillId="0" borderId="41" xfId="0" applyFont="1" applyBorder="1" applyAlignment="1" applyProtection="1">
      <alignment horizontal="left" vertical="top" wrapText="1"/>
    </xf>
    <xf numFmtId="2" fontId="7" fillId="0" borderId="43" xfId="0" applyFont="1" applyBorder="1" applyAlignment="1" applyProtection="1">
      <alignment horizontal="left" vertical="top" wrapText="1"/>
    </xf>
    <xf numFmtId="2" fontId="7" fillId="0" borderId="24" xfId="0" applyFont="1" applyBorder="1" applyAlignment="1" applyProtection="1">
      <alignment horizontal="left" vertical="top" wrapText="1"/>
    </xf>
    <xf numFmtId="49" fontId="7" fillId="0" borderId="13" xfId="0" applyNumberFormat="1" applyFont="1" applyBorder="1" applyAlignment="1" applyProtection="1">
      <alignment horizontal="left" vertical="top" wrapText="1"/>
    </xf>
    <xf numFmtId="2" fontId="0" fillId="0" borderId="44" xfId="0" applyBorder="1" applyAlignment="1">
      <alignment horizontal="left" vertical="top" wrapText="1"/>
    </xf>
    <xf numFmtId="2" fontId="0" fillId="0" borderId="24" xfId="0" applyFill="1" applyBorder="1" applyAlignment="1">
      <alignment horizontal="left" vertical="top" wrapText="1"/>
    </xf>
    <xf numFmtId="2" fontId="7" fillId="4" borderId="13" xfId="0" applyFont="1" applyFill="1" applyBorder="1" applyAlignment="1" applyProtection="1">
      <alignment horizontal="left" vertical="center" wrapText="1"/>
    </xf>
    <xf numFmtId="2" fontId="7" fillId="4" borderId="24" xfId="0" applyFont="1" applyFill="1" applyBorder="1" applyAlignment="1" applyProtection="1">
      <alignment horizontal="left" vertical="center" wrapText="1"/>
    </xf>
    <xf numFmtId="2" fontId="6" fillId="4" borderId="40" xfId="0" applyFont="1" applyFill="1" applyBorder="1" applyAlignment="1" applyProtection="1">
      <alignment horizontal="left" wrapText="1"/>
    </xf>
    <xf numFmtId="2" fontId="6" fillId="4" borderId="41" xfId="0" applyFont="1" applyFill="1" applyBorder="1" applyAlignment="1" applyProtection="1">
      <alignment horizontal="left" wrapText="1"/>
    </xf>
    <xf numFmtId="2" fontId="6" fillId="4" borderId="11" xfId="2" applyFont="1" applyFill="1" applyBorder="1" applyAlignment="1" applyProtection="1">
      <alignment horizontal="left"/>
    </xf>
    <xf numFmtId="2" fontId="6" fillId="4" borderId="10" xfId="2" applyFont="1" applyFill="1" applyBorder="1" applyAlignment="1" applyProtection="1">
      <alignment horizontal="left"/>
    </xf>
    <xf numFmtId="2" fontId="8" fillId="4" borderId="11" xfId="0" applyFont="1" applyFill="1" applyBorder="1" applyAlignment="1" applyProtection="1">
      <alignment horizontal="left"/>
    </xf>
    <xf numFmtId="2" fontId="6" fillId="4" borderId="34" xfId="0" applyFont="1" applyFill="1" applyBorder="1" applyAlignment="1" applyProtection="1">
      <alignment horizontal="left"/>
    </xf>
    <xf numFmtId="2" fontId="6" fillId="4" borderId="35" xfId="0" applyFont="1" applyFill="1" applyBorder="1" applyAlignment="1" applyProtection="1">
      <alignment horizontal="left"/>
    </xf>
    <xf numFmtId="2" fontId="6" fillId="4" borderId="40" xfId="0" applyFont="1" applyFill="1" applyBorder="1" applyAlignment="1" applyProtection="1">
      <alignment horizontal="left"/>
    </xf>
    <xf numFmtId="2" fontId="6" fillId="4" borderId="41" xfId="0" applyFont="1" applyFill="1" applyBorder="1" applyAlignment="1" applyProtection="1">
      <alignment horizontal="left"/>
    </xf>
    <xf numFmtId="2" fontId="7" fillId="4" borderId="11" xfId="0" applyFont="1" applyFill="1" applyBorder="1" applyAlignment="1" applyProtection="1">
      <alignment horizontal="left" vertical="center" wrapText="1"/>
    </xf>
    <xf numFmtId="2" fontId="0" fillId="4" borderId="20" xfId="0" applyFill="1" applyBorder="1" applyAlignment="1" applyProtection="1">
      <alignment horizontal="left" vertical="center" wrapText="1"/>
    </xf>
    <xf numFmtId="2" fontId="0" fillId="4" borderId="10" xfId="0" applyFill="1" applyBorder="1" applyAlignment="1" applyProtection="1">
      <alignment horizontal="left" vertical="center" wrapText="1"/>
    </xf>
    <xf numFmtId="2" fontId="7" fillId="0" borderId="11" xfId="0" applyFont="1" applyBorder="1" applyAlignment="1" applyProtection="1">
      <alignment horizontal="left" vertical="center" wrapText="1"/>
    </xf>
    <xf numFmtId="2" fontId="7" fillId="0" borderId="20" xfId="0" applyFont="1" applyBorder="1" applyAlignment="1" applyProtection="1">
      <alignment horizontal="left" vertical="center" wrapText="1"/>
    </xf>
    <xf numFmtId="2" fontId="7" fillId="0" borderId="72" xfId="0" applyFont="1" applyBorder="1" applyAlignment="1" applyProtection="1">
      <alignment horizontal="left" vertical="center" wrapText="1"/>
    </xf>
    <xf numFmtId="3" fontId="18" fillId="0" borderId="20" xfId="0" applyNumberFormat="1" applyFont="1" applyBorder="1" applyAlignment="1" applyProtection="1">
      <alignment horizontal="center" vertical="center"/>
      <protection locked="0"/>
    </xf>
    <xf numFmtId="3" fontId="18" fillId="0" borderId="10" xfId="0" applyNumberFormat="1" applyFont="1" applyBorder="1" applyAlignment="1" applyProtection="1">
      <alignment horizontal="center" vertical="center"/>
      <protection locked="0"/>
    </xf>
    <xf numFmtId="2" fontId="7" fillId="0" borderId="66" xfId="2" applyBorder="1" applyAlignment="1" applyProtection="1">
      <alignment horizontal="left" vertical="center" wrapText="1"/>
    </xf>
    <xf numFmtId="2" fontId="7" fillId="0" borderId="67" xfId="2" applyBorder="1" applyAlignment="1" applyProtection="1">
      <alignment horizontal="left" vertical="center" wrapText="1"/>
    </xf>
    <xf numFmtId="2" fontId="18" fillId="0" borderId="65" xfId="2" applyFont="1" applyBorder="1" applyAlignment="1" applyProtection="1">
      <alignment horizontal="center" vertical="center"/>
      <protection locked="0"/>
    </xf>
    <xf numFmtId="2" fontId="18" fillId="0" borderId="53" xfId="2" applyFont="1" applyBorder="1" applyAlignment="1" applyProtection="1">
      <alignment horizontal="center" vertical="center"/>
      <protection locked="0"/>
    </xf>
    <xf numFmtId="2" fontId="18" fillId="0" borderId="41" xfId="2" applyFont="1" applyBorder="1" applyAlignment="1" applyProtection="1">
      <alignment horizontal="center" vertical="center"/>
      <protection locked="0"/>
    </xf>
    <xf numFmtId="2" fontId="7" fillId="0" borderId="13" xfId="2" applyBorder="1" applyAlignment="1" applyProtection="1">
      <alignment horizontal="left" vertical="center" wrapText="1"/>
    </xf>
    <xf numFmtId="2" fontId="7" fillId="0" borderId="23" xfId="2" applyBorder="1" applyAlignment="1" applyProtection="1">
      <alignment horizontal="left" vertical="center" wrapText="1"/>
    </xf>
    <xf numFmtId="2" fontId="7" fillId="0" borderId="44" xfId="2" applyBorder="1" applyAlignment="1" applyProtection="1">
      <alignment horizontal="left" vertical="center" wrapText="1"/>
    </xf>
    <xf numFmtId="2" fontId="18" fillId="0" borderId="6" xfId="2" applyFont="1" applyBorder="1" applyAlignment="1" applyProtection="1">
      <alignment horizontal="center" vertical="center"/>
      <protection locked="0"/>
    </xf>
    <xf numFmtId="2" fontId="18" fillId="0" borderId="8" xfId="2" applyFont="1" applyBorder="1" applyAlignment="1" applyProtection="1">
      <alignment horizontal="center" vertical="center"/>
      <protection locked="0"/>
    </xf>
    <xf numFmtId="2" fontId="7" fillId="0" borderId="16" xfId="2" applyBorder="1" applyAlignment="1" applyProtection="1">
      <alignment horizontal="left" vertical="center" wrapText="1"/>
    </xf>
    <xf numFmtId="2" fontId="7" fillId="0" borderId="80" xfId="2" applyBorder="1" applyAlignment="1" applyProtection="1">
      <alignment horizontal="left" vertical="center" wrapText="1"/>
    </xf>
    <xf numFmtId="2" fontId="7" fillId="0" borderId="79" xfId="2" applyBorder="1" applyAlignment="1" applyProtection="1">
      <alignment horizontal="left" vertical="center" wrapText="1"/>
    </xf>
    <xf numFmtId="2" fontId="18" fillId="0" borderId="70" xfId="2" applyFont="1" applyBorder="1" applyAlignment="1" applyProtection="1">
      <alignment horizontal="center" vertical="center"/>
      <protection locked="0"/>
    </xf>
    <xf numFmtId="2" fontId="18" fillId="0" borderId="80" xfId="2" applyFont="1" applyBorder="1" applyAlignment="1" applyProtection="1">
      <alignment horizontal="center" vertical="center"/>
      <protection locked="0"/>
    </xf>
    <xf numFmtId="2" fontId="18" fillId="0" borderId="25" xfId="2" applyFont="1" applyBorder="1" applyAlignment="1" applyProtection="1">
      <alignment horizontal="center" vertical="center"/>
      <protection locked="0"/>
    </xf>
    <xf numFmtId="2" fontId="6" fillId="5" borderId="11" xfId="0" applyFont="1" applyFill="1" applyBorder="1" applyAlignment="1" applyProtection="1">
      <alignment horizontal="center"/>
    </xf>
    <xf numFmtId="2" fontId="6" fillId="5" borderId="20" xfId="0" applyFont="1" applyFill="1" applyBorder="1" applyAlignment="1" applyProtection="1">
      <alignment horizontal="center"/>
    </xf>
    <xf numFmtId="2" fontId="6" fillId="5" borderId="10" xfId="0" applyFont="1" applyFill="1" applyBorder="1" applyAlignment="1" applyProtection="1">
      <alignment horizontal="center"/>
    </xf>
    <xf numFmtId="2" fontId="6" fillId="0" borderId="13" xfId="0" applyFont="1" applyBorder="1" applyAlignment="1" applyProtection="1">
      <alignment horizontal="center" vertical="center"/>
    </xf>
    <xf numFmtId="2" fontId="6" fillId="0" borderId="23" xfId="0" applyFont="1" applyBorder="1" applyAlignment="1" applyProtection="1">
      <alignment horizontal="center" vertical="center"/>
    </xf>
    <xf numFmtId="2" fontId="6" fillId="0" borderId="24" xfId="0" applyFont="1" applyBorder="1" applyAlignment="1" applyProtection="1">
      <alignment horizontal="center" vertical="center"/>
    </xf>
    <xf numFmtId="2" fontId="31" fillId="8" borderId="11" xfId="2" applyFont="1" applyFill="1" applyBorder="1" applyAlignment="1" applyProtection="1">
      <alignment horizontal="center" vertical="center"/>
    </xf>
    <xf numFmtId="2" fontId="31" fillId="8" borderId="20" xfId="2" applyFont="1" applyFill="1" applyBorder="1" applyAlignment="1" applyProtection="1">
      <alignment horizontal="center" vertical="center"/>
    </xf>
    <xf numFmtId="2" fontId="31" fillId="8" borderId="10" xfId="2" applyFont="1" applyFill="1" applyBorder="1" applyAlignment="1" applyProtection="1">
      <alignment horizontal="center" vertical="center"/>
    </xf>
    <xf numFmtId="2" fontId="31" fillId="0" borderId="2" xfId="2" applyFont="1" applyBorder="1" applyAlignment="1" applyProtection="1">
      <alignment horizontal="justify" vertical="top" wrapText="1"/>
    </xf>
    <xf numFmtId="2" fontId="31" fillId="0" borderId="1" xfId="2" applyFont="1" applyBorder="1" applyAlignment="1" applyProtection="1">
      <alignment horizontal="justify" vertical="top" wrapText="1"/>
    </xf>
    <xf numFmtId="2" fontId="31" fillId="0" borderId="27" xfId="2" applyFont="1" applyBorder="1" applyAlignment="1" applyProtection="1">
      <alignment horizontal="justify" vertical="top" wrapText="1"/>
    </xf>
    <xf numFmtId="2" fontId="32" fillId="7" borderId="11" xfId="2" applyFont="1" applyFill="1" applyBorder="1" applyAlignment="1" applyProtection="1">
      <alignment horizontal="center" vertical="top" wrapText="1"/>
    </xf>
    <xf numFmtId="2" fontId="32" fillId="7" borderId="20" xfId="2" applyFont="1" applyFill="1" applyBorder="1" applyAlignment="1" applyProtection="1">
      <alignment horizontal="center" vertical="top" wrapText="1"/>
    </xf>
    <xf numFmtId="2" fontId="32" fillId="7" borderId="10" xfId="2" applyFont="1" applyFill="1" applyBorder="1" applyAlignment="1" applyProtection="1">
      <alignment horizontal="center" vertical="top" wrapText="1"/>
    </xf>
    <xf numFmtId="2" fontId="11" fillId="2" borderId="2" xfId="0" applyFont="1" applyFill="1" applyBorder="1" applyAlignment="1" applyProtection="1">
      <alignment horizontal="center" vertical="center"/>
    </xf>
    <xf numFmtId="2" fontId="11" fillId="2" borderId="1" xfId="0" applyFont="1" applyFill="1" applyBorder="1" applyAlignment="1" applyProtection="1">
      <alignment horizontal="center" vertical="center"/>
    </xf>
    <xf numFmtId="2" fontId="11" fillId="2" borderId="27" xfId="0" applyFont="1" applyFill="1" applyBorder="1" applyAlignment="1" applyProtection="1">
      <alignment horizontal="center" vertical="center"/>
    </xf>
    <xf numFmtId="2" fontId="6" fillId="0" borderId="74" xfId="0" applyFont="1" applyBorder="1" applyAlignment="1" applyProtection="1">
      <alignment horizontal="center" vertical="center"/>
    </xf>
    <xf numFmtId="2" fontId="6" fillId="0" borderId="75" xfId="0" applyFont="1" applyBorder="1" applyAlignment="1" applyProtection="1">
      <alignment horizontal="center" vertical="center"/>
    </xf>
    <xf numFmtId="2" fontId="6" fillId="0" borderId="76" xfId="0" applyFont="1" applyBorder="1" applyAlignment="1" applyProtection="1">
      <alignment horizontal="center" vertical="center"/>
    </xf>
    <xf numFmtId="2" fontId="6" fillId="0" borderId="30" xfId="0" applyFont="1" applyBorder="1" applyAlignment="1" applyProtection="1">
      <alignment horizontal="center" wrapText="1"/>
    </xf>
    <xf numFmtId="2" fontId="6" fillId="0" borderId="4" xfId="0" applyFont="1" applyBorder="1" applyAlignment="1" applyProtection="1">
      <alignment horizontal="center" wrapText="1"/>
    </xf>
    <xf numFmtId="2" fontId="6" fillId="0" borderId="0" xfId="0" applyFont="1" applyAlignment="1" applyProtection="1">
      <alignment horizontal="center" vertical="center" wrapText="1"/>
    </xf>
    <xf numFmtId="2" fontId="6" fillId="0" borderId="0" xfId="0" applyFont="1" applyAlignment="1" applyProtection="1">
      <alignment horizontal="center" wrapText="1"/>
    </xf>
    <xf numFmtId="2" fontId="6" fillId="0" borderId="30" xfId="0" applyFont="1" applyBorder="1" applyAlignment="1" applyProtection="1">
      <alignment horizontal="center"/>
    </xf>
    <xf numFmtId="2" fontId="6" fillId="0" borderId="4" xfId="0" applyFont="1" applyBorder="1" applyAlignment="1" applyProtection="1">
      <alignment horizontal="center"/>
    </xf>
    <xf numFmtId="2" fontId="7" fillId="0" borderId="37" xfId="0" applyFont="1" applyBorder="1" applyAlignment="1" applyProtection="1">
      <alignment horizontal="center"/>
    </xf>
    <xf numFmtId="2" fontId="7" fillId="0" borderId="5" xfId="0" applyFont="1" applyBorder="1" applyAlignment="1" applyProtection="1">
      <alignment horizontal="center"/>
    </xf>
    <xf numFmtId="2" fontId="0" fillId="0" borderId="37" xfId="0" applyBorder="1" applyAlignment="1" applyProtection="1">
      <alignment horizontal="center"/>
    </xf>
    <xf numFmtId="2" fontId="0" fillId="0" borderId="5" xfId="0" applyBorder="1" applyAlignment="1" applyProtection="1">
      <alignment horizontal="center"/>
    </xf>
    <xf numFmtId="2" fontId="17" fillId="0" borderId="0" xfId="0" applyFont="1" applyAlignment="1">
      <alignment horizontal="left" vertical="top"/>
    </xf>
    <xf numFmtId="2" fontId="16" fillId="0" borderId="0" xfId="0" applyFont="1" applyAlignment="1">
      <alignment horizontal="left"/>
    </xf>
    <xf numFmtId="1" fontId="0" fillId="0" borderId="1" xfId="0" applyNumberFormat="1" applyBorder="1" applyAlignment="1">
      <alignment horizontal="left" vertical="center"/>
    </xf>
    <xf numFmtId="1" fontId="6" fillId="4" borderId="6" xfId="0" applyNumberFormat="1" applyFont="1" applyFill="1" applyBorder="1" applyAlignment="1">
      <alignment horizontal="left" vertical="center"/>
    </xf>
    <xf numFmtId="1" fontId="6" fillId="4" borderId="17" xfId="0" applyNumberFormat="1" applyFont="1" applyFill="1" applyBorder="1" applyAlignment="1">
      <alignment horizontal="left" vertical="center"/>
    </xf>
    <xf numFmtId="1" fontId="6" fillId="4" borderId="43" xfId="0" applyNumberFormat="1" applyFont="1" applyFill="1" applyBorder="1" applyAlignment="1">
      <alignment horizontal="left" vertical="center"/>
    </xf>
    <xf numFmtId="1" fontId="6" fillId="4" borderId="23" xfId="0" applyNumberFormat="1" applyFont="1" applyFill="1" applyBorder="1" applyAlignment="1">
      <alignment horizontal="left" vertical="center"/>
    </xf>
    <xf numFmtId="1" fontId="6" fillId="4" borderId="44" xfId="0" applyNumberFormat="1" applyFont="1" applyFill="1" applyBorder="1" applyAlignment="1">
      <alignment horizontal="left" vertical="center"/>
    </xf>
    <xf numFmtId="2" fontId="6" fillId="5" borderId="40" xfId="2" applyFont="1" applyFill="1" applyBorder="1" applyAlignment="1">
      <alignment horizontal="left"/>
    </xf>
    <xf numFmtId="2" fontId="6" fillId="5" borderId="53" xfId="2" applyFont="1" applyFill="1" applyBorder="1" applyAlignment="1">
      <alignment horizontal="left"/>
    </xf>
    <xf numFmtId="2" fontId="6" fillId="5" borderId="41" xfId="2" applyFont="1" applyFill="1" applyBorder="1" applyAlignment="1">
      <alignment horizontal="left"/>
    </xf>
    <xf numFmtId="0" fontId="25" fillId="4" borderId="6" xfId="4" applyFont="1" applyFill="1" applyBorder="1" applyAlignment="1">
      <alignment horizontal="center"/>
    </xf>
  </cellXfs>
  <cellStyles count="10">
    <cellStyle name="Hyperlink" xfId="1" builtinId="8"/>
    <cellStyle name="Hyperlink 2" xfId="5"/>
    <cellStyle name="Normal" xfId="0" builtinId="0"/>
    <cellStyle name="Normal 2" xfId="2"/>
    <cellStyle name="Normal 2 2" xfId="6"/>
    <cellStyle name="Normal 2 3" xfId="7"/>
    <cellStyle name="Normal 3" xfId="4"/>
    <cellStyle name="Normal 3 2" xfId="9"/>
    <cellStyle name="Normal 4" xfId="8"/>
    <cellStyle name="Percent 2" xfId="3"/>
  </cellStyles>
  <dxfs count="11">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6600"/>
      <color rgb="FFFF0000"/>
      <color rgb="FFFFFF99"/>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directed$/dornj/Desktop/Calculators%20to%20deliver%202-1-13/Ready%20to%20Deliver/Sawmill_Registration_Calculator_v1.1_(last_updated_2013.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ation FAQs"/>
      <sheetName val="Instructions"/>
      <sheetName val="Inputs"/>
      <sheetName val="Controls and Restrictions"/>
      <sheetName val="Total Emissions"/>
      <sheetName val="Output-Summary Printout"/>
      <sheetName val="Change Log"/>
      <sheetName val="Emission Factors"/>
      <sheetName val="Fuel Energy Content"/>
      <sheetName val="Additional References"/>
      <sheetName val="EPA Regional Contact Info"/>
    </sheetNames>
    <sheetDataSet>
      <sheetData sheetId="0"/>
      <sheetData sheetId="1"/>
      <sheetData sheetId="2"/>
      <sheetData sheetId="3">
        <row r="4">
          <cell r="L4" t="str">
            <v>Bagfilter</v>
          </cell>
        </row>
        <row r="5">
          <cell r="L5" t="str">
            <v>Cyclone</v>
          </cell>
        </row>
        <row r="6">
          <cell r="L6" t="str">
            <v>None</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oquendo.ana@epa.gov" TargetMode="External"/><Relationship Id="rId21" Type="http://schemas.openxmlformats.org/officeDocument/2006/relationships/hyperlink" Target="mailto:smith.claudia@epa.gov" TargetMode="External"/><Relationship Id="rId34" Type="http://schemas.openxmlformats.org/officeDocument/2006/relationships/hyperlink" Target="mailto:gupta.kaushal@epa.gov" TargetMode="External"/><Relationship Id="rId42" Type="http://schemas.openxmlformats.org/officeDocument/2006/relationships/hyperlink" Target="mailto:shepherd.lorinda@epa.gov" TargetMode="External"/><Relationship Id="rId47" Type="http://schemas.openxmlformats.org/officeDocument/2006/relationships/hyperlink" Target="mailto:shepherd.lorinda@epa.gov" TargetMode="External"/><Relationship Id="rId50" Type="http://schemas.openxmlformats.org/officeDocument/2006/relationships/hyperlink" Target="mailto:Gutierrez.roberto@epa.gov" TargetMode="External"/><Relationship Id="rId55" Type="http://schemas.openxmlformats.org/officeDocument/2006/relationships/hyperlink" Target="mailto:Gutierrez.roberto@epa.gov" TargetMode="External"/><Relationship Id="rId63" Type="http://schemas.openxmlformats.org/officeDocument/2006/relationships/hyperlink" Target="mailto:braganza.bonnie@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webber.robert@epa.gov" TargetMode="External"/><Relationship Id="rId41" Type="http://schemas.openxmlformats.org/officeDocument/2006/relationships/hyperlink" Target="mailto:oquendo.ana@epa.gov" TargetMode="External"/><Relationship Id="rId54" Type="http://schemas.openxmlformats.org/officeDocument/2006/relationships/hyperlink" Target="mailto:Gutierrez.roberto@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gupta.kaushal@epa.gov" TargetMode="External"/><Relationship Id="rId37" Type="http://schemas.openxmlformats.org/officeDocument/2006/relationships/hyperlink" Target="mailto:oquendo.ana@epa.gov" TargetMode="External"/><Relationship Id="rId40" Type="http://schemas.openxmlformats.org/officeDocument/2006/relationships/hyperlink" Target="mailto:oquendo.ana@epa.gov" TargetMode="External"/><Relationship Id="rId45" Type="http://schemas.openxmlformats.org/officeDocument/2006/relationships/hyperlink" Target="mailto:shepherd.lorinda@epa.gov" TargetMode="External"/><Relationship Id="rId53" Type="http://schemas.openxmlformats.org/officeDocument/2006/relationships/hyperlink" Target="mailto:glass.geoffrey@epa.gov" TargetMode="External"/><Relationship Id="rId58" Type="http://schemas.openxmlformats.org/officeDocument/2006/relationships/hyperlink" Target="mailto:todd.bill@epa.gov" TargetMode="External"/><Relationship Id="rId66" Type="http://schemas.openxmlformats.org/officeDocument/2006/relationships/printerSettings" Target="../printerSettings/printerSettings12.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webber.robert@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lass.geoffrey@epa.gov" TargetMode="External"/><Relationship Id="rId60" Type="http://schemas.openxmlformats.org/officeDocument/2006/relationships/hyperlink" Target="mailto:todd.bill@epa.gov" TargetMode="External"/><Relationship Id="rId65" Type="http://schemas.openxmlformats.org/officeDocument/2006/relationships/hyperlink" Target="mailto:braganza.bonnie@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webber.robert@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shepherd.lorinda@epa.gov" TargetMode="External"/><Relationship Id="rId56" Type="http://schemas.openxmlformats.org/officeDocument/2006/relationships/hyperlink" Target="mailto:Gutierrez.roberto@epa.gov" TargetMode="External"/><Relationship Id="rId64" Type="http://schemas.openxmlformats.org/officeDocument/2006/relationships/hyperlink" Target="mailto:braganza.bonnie@epa.gov" TargetMode="External"/><Relationship Id="rId8" Type="http://schemas.openxmlformats.org/officeDocument/2006/relationships/hyperlink" Target="mailto:Dholakia.umesh@epa.gov" TargetMode="External"/><Relationship Id="rId51" Type="http://schemas.openxmlformats.org/officeDocument/2006/relationships/hyperlink" Target="mailto:glass.geoffrey@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gupta.kaushal@epa.gov" TargetMode="External"/><Relationship Id="rId38" Type="http://schemas.openxmlformats.org/officeDocument/2006/relationships/hyperlink" Target="mailto:oquendo.ana@epa.gov" TargetMode="External"/><Relationship Id="rId46" Type="http://schemas.openxmlformats.org/officeDocument/2006/relationships/hyperlink" Target="mailto:shepherd.lorinda@epa.gov" TargetMode="External"/><Relationship Id="rId59" Type="http://schemas.openxmlformats.org/officeDocument/2006/relationships/hyperlink" Target="mailto:todd.bill@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5" Type="http://schemas.openxmlformats.org/officeDocument/2006/relationships/printerSettings" Target="../printerSettings/printerSettings8.bin"/><Relationship Id="rId4" Type="http://schemas.openxmlformats.org/officeDocument/2006/relationships/hyperlink" Target="mailto:jonathan_dorn@abtassoc.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sqref="A1:XFD1"/>
    </sheetView>
  </sheetViews>
  <sheetFormatPr defaultColWidth="9.109375" defaultRowHeight="13.2" x14ac:dyDescent="0.25"/>
  <cols>
    <col min="1" max="1" width="2.109375" style="45" customWidth="1"/>
    <col min="2" max="2" width="5.88671875" style="233" customWidth="1"/>
    <col min="3" max="3" width="120.88671875" style="14" customWidth="1"/>
    <col min="4" max="16384" width="9.109375" style="45"/>
  </cols>
  <sheetData>
    <row r="1" spans="2:6" ht="17.399999999999999" x14ac:dyDescent="0.25">
      <c r="B1" s="319" t="s">
        <v>361</v>
      </c>
      <c r="C1" s="319"/>
    </row>
    <row r="2" spans="2:6" ht="15.6" x14ac:dyDescent="0.25">
      <c r="B2" s="320" t="s">
        <v>362</v>
      </c>
      <c r="C2" s="320"/>
    </row>
    <row r="3" spans="2:6" x14ac:dyDescent="0.25">
      <c r="B3" s="225"/>
      <c r="C3" s="45"/>
    </row>
    <row r="4" spans="2:6" x14ac:dyDescent="0.25">
      <c r="B4" s="315" t="s">
        <v>363</v>
      </c>
      <c r="C4" s="315"/>
    </row>
    <row r="5" spans="2:6" ht="75" customHeight="1" x14ac:dyDescent="0.25">
      <c r="B5" s="316" t="s">
        <v>364</v>
      </c>
      <c r="C5" s="316"/>
      <c r="F5" s="226"/>
    </row>
    <row r="6" spans="2:6" ht="18" customHeight="1" x14ac:dyDescent="0.25">
      <c r="B6" s="318" t="s">
        <v>365</v>
      </c>
      <c r="C6" s="318"/>
      <c r="F6" s="226"/>
    </row>
    <row r="7" spans="2:6" ht="15" customHeight="1" x14ac:dyDescent="0.25">
      <c r="B7" s="227"/>
      <c r="C7" s="45"/>
    </row>
    <row r="8" spans="2:6" x14ac:dyDescent="0.25">
      <c r="B8" s="315" t="s">
        <v>366</v>
      </c>
      <c r="C8" s="315"/>
    </row>
    <row r="9" spans="2:6" ht="97.5" customHeight="1" x14ac:dyDescent="0.25">
      <c r="B9" s="316" t="s">
        <v>367</v>
      </c>
      <c r="C9" s="316"/>
    </row>
    <row r="10" spans="2:6" ht="15" customHeight="1" x14ac:dyDescent="0.25">
      <c r="B10" s="227"/>
      <c r="C10" s="45"/>
    </row>
    <row r="11" spans="2:6" x14ac:dyDescent="0.25">
      <c r="B11" s="315" t="s">
        <v>368</v>
      </c>
      <c r="C11" s="315"/>
    </row>
    <row r="12" spans="2:6" ht="84" customHeight="1" x14ac:dyDescent="0.25">
      <c r="B12" s="316" t="s">
        <v>369</v>
      </c>
      <c r="C12" s="316"/>
    </row>
    <row r="13" spans="2:6" ht="15" customHeight="1" x14ac:dyDescent="0.25">
      <c r="B13" s="227"/>
      <c r="C13" s="45"/>
    </row>
    <row r="14" spans="2:6" x14ac:dyDescent="0.25">
      <c r="B14" s="315" t="s">
        <v>370</v>
      </c>
      <c r="C14" s="315"/>
    </row>
    <row r="15" spans="2:6" ht="18.75" customHeight="1" x14ac:dyDescent="0.25">
      <c r="B15" s="316" t="s">
        <v>371</v>
      </c>
      <c r="C15" s="316"/>
    </row>
    <row r="16" spans="2:6" ht="15.75" customHeight="1" x14ac:dyDescent="0.25">
      <c r="B16" s="228" t="s">
        <v>372</v>
      </c>
      <c r="C16" s="229" t="s">
        <v>373</v>
      </c>
    </row>
    <row r="17" spans="2:3" ht="27.75" customHeight="1" x14ac:dyDescent="0.25">
      <c r="B17" s="228" t="s">
        <v>374</v>
      </c>
      <c r="C17" s="229" t="s">
        <v>479</v>
      </c>
    </row>
    <row r="18" spans="2:3" ht="9" customHeight="1" x14ac:dyDescent="0.25">
      <c r="B18" s="230"/>
      <c r="C18" s="45"/>
    </row>
    <row r="19" spans="2:3" x14ac:dyDescent="0.25">
      <c r="B19" s="315" t="s">
        <v>375</v>
      </c>
      <c r="C19" s="315"/>
    </row>
    <row r="20" spans="2:3" ht="18" customHeight="1" x14ac:dyDescent="0.25">
      <c r="B20" s="316" t="s">
        <v>376</v>
      </c>
      <c r="C20" s="316"/>
    </row>
    <row r="21" spans="2:3" x14ac:dyDescent="0.25">
      <c r="B21" s="228" t="s">
        <v>372</v>
      </c>
      <c r="C21" s="231" t="s">
        <v>377</v>
      </c>
    </row>
    <row r="22" spans="2:3" x14ac:dyDescent="0.25">
      <c r="B22" s="228" t="s">
        <v>374</v>
      </c>
      <c r="C22" s="231" t="s">
        <v>378</v>
      </c>
    </row>
    <row r="23" spans="2:3" x14ac:dyDescent="0.25">
      <c r="B23" s="228" t="s">
        <v>379</v>
      </c>
      <c r="C23" s="231" t="s">
        <v>380</v>
      </c>
    </row>
    <row r="24" spans="2:3" x14ac:dyDescent="0.25">
      <c r="B24" s="45"/>
      <c r="C24" s="230"/>
    </row>
    <row r="25" spans="2:3" x14ac:dyDescent="0.25">
      <c r="B25" s="315" t="s">
        <v>381</v>
      </c>
      <c r="C25" s="315"/>
    </row>
    <row r="26" spans="2:3" ht="51" customHeight="1" x14ac:dyDescent="0.25">
      <c r="B26" s="317" t="s">
        <v>382</v>
      </c>
      <c r="C26" s="317"/>
    </row>
    <row r="27" spans="2:3" ht="24" customHeight="1" x14ac:dyDescent="0.25">
      <c r="B27" s="318" t="s">
        <v>383</v>
      </c>
      <c r="C27" s="316"/>
    </row>
    <row r="28" spans="2:3" x14ac:dyDescent="0.25">
      <c r="B28" s="232"/>
      <c r="C28" s="45"/>
    </row>
    <row r="29" spans="2:3" x14ac:dyDescent="0.25">
      <c r="B29" s="315" t="s">
        <v>384</v>
      </c>
      <c r="C29" s="315"/>
    </row>
    <row r="30" spans="2:3" ht="53.25" customHeight="1" x14ac:dyDescent="0.25">
      <c r="B30" s="316" t="s">
        <v>385</v>
      </c>
      <c r="C30" s="316"/>
    </row>
    <row r="31" spans="2:3" x14ac:dyDescent="0.25">
      <c r="B31" s="227"/>
      <c r="C31" s="45"/>
    </row>
    <row r="32" spans="2:3" x14ac:dyDescent="0.25">
      <c r="B32" s="315" t="s">
        <v>386</v>
      </c>
      <c r="C32" s="315"/>
    </row>
    <row r="33" spans="2:3" x14ac:dyDescent="0.25">
      <c r="B33" s="228" t="s">
        <v>372</v>
      </c>
      <c r="C33" s="229" t="s">
        <v>387</v>
      </c>
    </row>
    <row r="34" spans="2:3" x14ac:dyDescent="0.25">
      <c r="B34" s="228" t="s">
        <v>374</v>
      </c>
      <c r="C34" s="229" t="s">
        <v>388</v>
      </c>
    </row>
    <row r="35" spans="2:3" ht="26.4" x14ac:dyDescent="0.25">
      <c r="B35" s="228" t="s">
        <v>379</v>
      </c>
      <c r="C35" s="229" t="s">
        <v>480</v>
      </c>
    </row>
    <row r="36" spans="2:3" ht="26.4" x14ac:dyDescent="0.25">
      <c r="B36" s="228" t="s">
        <v>389</v>
      </c>
      <c r="C36" s="229" t="s">
        <v>478</v>
      </c>
    </row>
    <row r="37" spans="2:3" x14ac:dyDescent="0.25">
      <c r="B37" s="228" t="s">
        <v>390</v>
      </c>
      <c r="C37" s="229" t="s">
        <v>391</v>
      </c>
    </row>
  </sheetData>
  <sheetProtection password="C969" sheet="1" objects="1" scenarios="1"/>
  <mergeCells count="19">
    <mergeCell ref="B19:C19"/>
    <mergeCell ref="B1:C1"/>
    <mergeCell ref="B2:C2"/>
    <mergeCell ref="B4:C4"/>
    <mergeCell ref="B5:C5"/>
    <mergeCell ref="B6:C6"/>
    <mergeCell ref="B8:C8"/>
    <mergeCell ref="B9:C9"/>
    <mergeCell ref="B11:C11"/>
    <mergeCell ref="B12:C12"/>
    <mergeCell ref="B14:C14"/>
    <mergeCell ref="B15:C15"/>
    <mergeCell ref="B32:C32"/>
    <mergeCell ref="B20:C20"/>
    <mergeCell ref="B25:C25"/>
    <mergeCell ref="B26:C26"/>
    <mergeCell ref="B27:C27"/>
    <mergeCell ref="B29:C29"/>
    <mergeCell ref="B30:C30"/>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
  <sheetViews>
    <sheetView workbookViewId="0"/>
  </sheetViews>
  <sheetFormatPr defaultRowHeight="13.2" x14ac:dyDescent="0.25"/>
  <cols>
    <col min="1" max="1" width="34.88671875" bestFit="1" customWidth="1"/>
    <col min="2" max="3" width="20.6640625" style="6" customWidth="1"/>
    <col min="4" max="4" width="85.88671875" customWidth="1"/>
  </cols>
  <sheetData>
    <row r="1" spans="1:4" ht="17.399999999999999" x14ac:dyDescent="0.3">
      <c r="A1" s="1" t="s">
        <v>51</v>
      </c>
      <c r="B1" s="53"/>
      <c r="C1" s="53"/>
    </row>
    <row r="2" spans="1:4" ht="12" customHeight="1" thickBot="1" x14ac:dyDescent="0.3">
      <c r="A2" s="2"/>
      <c r="B2" s="51"/>
      <c r="C2" s="51"/>
    </row>
    <row r="3" spans="1:4" ht="12" customHeight="1" x14ac:dyDescent="0.25">
      <c r="A3" s="54" t="s">
        <v>52</v>
      </c>
      <c r="B3" s="55" t="s">
        <v>57</v>
      </c>
      <c r="C3" s="55" t="s">
        <v>81</v>
      </c>
      <c r="D3" s="56" t="s">
        <v>38</v>
      </c>
    </row>
    <row r="4" spans="1:4" ht="12" customHeight="1" x14ac:dyDescent="0.25">
      <c r="A4" s="75" t="s">
        <v>433</v>
      </c>
      <c r="B4" s="124">
        <v>0.65</v>
      </c>
      <c r="C4" s="124" t="s">
        <v>111</v>
      </c>
      <c r="D4" s="75" t="s">
        <v>112</v>
      </c>
    </row>
    <row r="5" spans="1:4" ht="12" customHeight="1" x14ac:dyDescent="0.25">
      <c r="A5" s="75" t="s">
        <v>423</v>
      </c>
      <c r="B5" s="124">
        <v>1.2</v>
      </c>
      <c r="C5" s="124" t="s">
        <v>111</v>
      </c>
      <c r="D5" s="75" t="s">
        <v>112</v>
      </c>
    </row>
    <row r="6" spans="1:4" ht="12" customHeight="1" x14ac:dyDescent="0.25">
      <c r="A6" s="75" t="s">
        <v>434</v>
      </c>
      <c r="B6" s="124">
        <v>0.5</v>
      </c>
      <c r="C6" s="124" t="s">
        <v>111</v>
      </c>
      <c r="D6" s="75" t="s">
        <v>112</v>
      </c>
    </row>
    <row r="7" spans="1:4" ht="12" customHeight="1" x14ac:dyDescent="0.25">
      <c r="A7" s="75" t="s">
        <v>424</v>
      </c>
      <c r="B7" s="124">
        <v>2</v>
      </c>
      <c r="C7" s="124" t="s">
        <v>111</v>
      </c>
      <c r="D7" s="278" t="s">
        <v>452</v>
      </c>
    </row>
    <row r="8" spans="1:4" ht="12" customHeight="1" x14ac:dyDescent="0.25">
      <c r="A8" s="75" t="s">
        <v>435</v>
      </c>
      <c r="B8" s="124">
        <v>0.2</v>
      </c>
      <c r="C8" s="124" t="s">
        <v>357</v>
      </c>
      <c r="D8" s="156" t="s">
        <v>356</v>
      </c>
    </row>
    <row r="9" spans="1:4" ht="12" customHeight="1" x14ac:dyDescent="0.25">
      <c r="A9" s="75" t="s">
        <v>425</v>
      </c>
      <c r="B9" s="124">
        <v>48</v>
      </c>
      <c r="C9" s="124" t="s">
        <v>357</v>
      </c>
      <c r="D9" s="275" t="s">
        <v>450</v>
      </c>
    </row>
    <row r="10" spans="1:4" ht="12" customHeight="1" x14ac:dyDescent="0.25">
      <c r="A10" s="75" t="s">
        <v>436</v>
      </c>
      <c r="B10" s="124">
        <v>0.24</v>
      </c>
      <c r="C10" s="124" t="s">
        <v>111</v>
      </c>
      <c r="D10" s="75" t="s">
        <v>112</v>
      </c>
    </row>
    <row r="11" spans="1:4" ht="12" customHeight="1" x14ac:dyDescent="0.25">
      <c r="A11" s="75" t="s">
        <v>426</v>
      </c>
      <c r="B11" s="124">
        <v>0.5</v>
      </c>
      <c r="C11" s="124" t="s">
        <v>111</v>
      </c>
      <c r="D11" s="75" t="s">
        <v>422</v>
      </c>
    </row>
    <row r="12" spans="1:4" ht="12" customHeight="1" x14ac:dyDescent="0.25">
      <c r="A12" s="75" t="s">
        <v>437</v>
      </c>
      <c r="B12" s="124">
        <v>1</v>
      </c>
      <c r="C12" s="124" t="s">
        <v>111</v>
      </c>
      <c r="D12" s="75" t="s">
        <v>112</v>
      </c>
    </row>
    <row r="13" spans="1:4" ht="12" customHeight="1" x14ac:dyDescent="0.25">
      <c r="A13" s="75" t="s">
        <v>427</v>
      </c>
      <c r="B13" s="124">
        <v>1.75</v>
      </c>
      <c r="C13" s="124" t="s">
        <v>111</v>
      </c>
      <c r="D13" s="282" t="s">
        <v>451</v>
      </c>
    </row>
    <row r="14" spans="1:4" x14ac:dyDescent="0.25">
      <c r="A14" s="57" t="s">
        <v>12</v>
      </c>
      <c r="B14" s="9" t="s">
        <v>58</v>
      </c>
      <c r="C14" s="9"/>
      <c r="D14" s="57" t="s">
        <v>124</v>
      </c>
    </row>
    <row r="15" spans="1:4" x14ac:dyDescent="0.25">
      <c r="A15" s="90"/>
      <c r="B15" s="91"/>
      <c r="C15" s="91"/>
      <c r="D15" s="90"/>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161" bestFit="1" customWidth="1"/>
    <col min="2" max="2" width="17.88671875" style="160" bestFit="1" customWidth="1"/>
    <col min="3" max="3" width="11" style="160" bestFit="1" customWidth="1"/>
    <col min="4" max="4" width="19.44140625" style="161" bestFit="1" customWidth="1"/>
    <col min="5" max="5" width="14.33203125" style="161" bestFit="1" customWidth="1"/>
    <col min="6" max="6" width="26" style="161" bestFit="1" customWidth="1"/>
    <col min="7" max="7" width="18.6640625" style="161" bestFit="1" customWidth="1"/>
    <col min="8" max="8" width="14.33203125" style="161" bestFit="1" customWidth="1"/>
    <col min="9" max="10" width="26" style="161" bestFit="1" customWidth="1"/>
    <col min="11" max="11" width="18.6640625" style="161" bestFit="1" customWidth="1"/>
    <col min="12" max="12" width="13.44140625" style="161" bestFit="1" customWidth="1"/>
    <col min="13" max="13" width="5.5546875" style="160" bestFit="1" customWidth="1"/>
    <col min="14" max="14" width="12.109375" style="160" bestFit="1" customWidth="1"/>
    <col min="15" max="16384" width="9.109375" style="161"/>
  </cols>
  <sheetData>
    <row r="1" spans="1:14" ht="17.399999999999999" x14ac:dyDescent="0.3">
      <c r="A1" s="159" t="s">
        <v>156</v>
      </c>
    </row>
    <row r="3" spans="1:14" x14ac:dyDescent="0.3">
      <c r="D3" s="453" t="s">
        <v>157</v>
      </c>
      <c r="E3" s="453"/>
      <c r="F3" s="453"/>
      <c r="G3" s="453"/>
      <c r="H3" s="453"/>
      <c r="I3" s="453"/>
      <c r="J3" s="453"/>
      <c r="K3" s="453"/>
      <c r="L3" s="453"/>
      <c r="M3" s="453"/>
      <c r="N3" s="453"/>
    </row>
    <row r="4" spans="1:14" x14ac:dyDescent="0.3">
      <c r="A4" s="162" t="s">
        <v>152</v>
      </c>
      <c r="B4" s="189" t="s">
        <v>158</v>
      </c>
      <c r="C4" s="189" t="s">
        <v>159</v>
      </c>
      <c r="D4" s="162" t="s">
        <v>6</v>
      </c>
      <c r="E4" s="162" t="s">
        <v>8</v>
      </c>
      <c r="F4" s="162" t="s">
        <v>9</v>
      </c>
      <c r="G4" s="162" t="s">
        <v>160</v>
      </c>
      <c r="H4" s="162" t="s">
        <v>161</v>
      </c>
      <c r="I4" s="162" t="s">
        <v>162</v>
      </c>
      <c r="J4" s="162" t="s">
        <v>163</v>
      </c>
      <c r="K4" s="162" t="s">
        <v>164</v>
      </c>
      <c r="L4" s="162" t="s">
        <v>154</v>
      </c>
      <c r="M4" s="189" t="s">
        <v>152</v>
      </c>
      <c r="N4" s="189" t="s">
        <v>165</v>
      </c>
    </row>
    <row r="5" spans="1:14" x14ac:dyDescent="0.3">
      <c r="A5" s="161" t="s">
        <v>166</v>
      </c>
      <c r="B5" s="160" t="s">
        <v>167</v>
      </c>
      <c r="C5" s="160">
        <v>4</v>
      </c>
      <c r="D5" s="190" t="s">
        <v>168</v>
      </c>
      <c r="E5" s="191" t="s">
        <v>169</v>
      </c>
      <c r="F5" s="163" t="s">
        <v>170</v>
      </c>
      <c r="G5" s="191" t="s">
        <v>171</v>
      </c>
      <c r="H5" s="191" t="s">
        <v>172</v>
      </c>
      <c r="I5" s="164" t="s">
        <v>173</v>
      </c>
      <c r="J5" s="191" t="s">
        <v>174</v>
      </c>
      <c r="K5" s="190" t="s">
        <v>175</v>
      </c>
      <c r="L5" s="191" t="s">
        <v>176</v>
      </c>
      <c r="M5" s="192" t="s">
        <v>177</v>
      </c>
      <c r="N5" s="192" t="s">
        <v>178</v>
      </c>
    </row>
    <row r="6" spans="1:14" x14ac:dyDescent="0.3">
      <c r="A6" s="161" t="s">
        <v>179</v>
      </c>
      <c r="B6" s="160" t="s">
        <v>180</v>
      </c>
      <c r="C6" s="160">
        <v>10</v>
      </c>
      <c r="D6" s="190" t="s">
        <v>181</v>
      </c>
      <c r="E6" s="190" t="s">
        <v>182</v>
      </c>
      <c r="F6" s="164" t="s">
        <v>183</v>
      </c>
      <c r="G6" s="190" t="s">
        <v>184</v>
      </c>
      <c r="H6" s="191"/>
      <c r="I6" s="191"/>
      <c r="J6" s="191" t="s">
        <v>185</v>
      </c>
      <c r="K6" s="191" t="s">
        <v>186</v>
      </c>
      <c r="L6" s="191" t="s">
        <v>187</v>
      </c>
      <c r="M6" s="192" t="s">
        <v>188</v>
      </c>
      <c r="N6" s="192">
        <v>98101</v>
      </c>
    </row>
    <row r="7" spans="1:14" x14ac:dyDescent="0.3">
      <c r="A7" s="161" t="s">
        <v>189</v>
      </c>
      <c r="B7" s="160" t="s">
        <v>190</v>
      </c>
      <c r="C7" s="160">
        <v>9</v>
      </c>
      <c r="D7" s="190" t="s">
        <v>191</v>
      </c>
      <c r="E7" s="191" t="s">
        <v>192</v>
      </c>
      <c r="F7" s="163" t="s">
        <v>193</v>
      </c>
      <c r="G7" s="190" t="s">
        <v>194</v>
      </c>
      <c r="H7" s="191" t="s">
        <v>195</v>
      </c>
      <c r="I7" s="163" t="s">
        <v>196</v>
      </c>
      <c r="J7" s="191" t="s">
        <v>197</v>
      </c>
      <c r="K7" s="191" t="s">
        <v>198</v>
      </c>
      <c r="L7" s="191" t="s">
        <v>199</v>
      </c>
      <c r="M7" s="192" t="s">
        <v>200</v>
      </c>
      <c r="N7" s="192">
        <v>94105</v>
      </c>
    </row>
    <row r="8" spans="1:14" x14ac:dyDescent="0.3">
      <c r="A8" s="161" t="s">
        <v>201</v>
      </c>
      <c r="B8" s="160" t="s">
        <v>202</v>
      </c>
      <c r="C8" s="160">
        <v>6</v>
      </c>
      <c r="D8" s="190" t="s">
        <v>348</v>
      </c>
      <c r="E8" s="191" t="s">
        <v>349</v>
      </c>
      <c r="F8" s="193" t="s">
        <v>350</v>
      </c>
      <c r="G8" s="191" t="s">
        <v>184</v>
      </c>
      <c r="H8" s="191"/>
      <c r="I8" s="191"/>
      <c r="J8" s="190" t="s">
        <v>351</v>
      </c>
      <c r="K8" s="190" t="s">
        <v>352</v>
      </c>
      <c r="L8" s="191" t="s">
        <v>353</v>
      </c>
      <c r="M8" s="192" t="s">
        <v>306</v>
      </c>
      <c r="N8" s="192" t="s">
        <v>354</v>
      </c>
    </row>
    <row r="9" spans="1:14" x14ac:dyDescent="0.3">
      <c r="A9" s="161" t="s">
        <v>211</v>
      </c>
      <c r="B9" s="160" t="s">
        <v>200</v>
      </c>
      <c r="C9" s="160">
        <v>9</v>
      </c>
      <c r="D9" s="190" t="s">
        <v>191</v>
      </c>
      <c r="E9" s="191" t="s">
        <v>192</v>
      </c>
      <c r="F9" s="163" t="s">
        <v>193</v>
      </c>
      <c r="G9" s="190" t="s">
        <v>194</v>
      </c>
      <c r="H9" s="191" t="s">
        <v>195</v>
      </c>
      <c r="I9" s="163" t="s">
        <v>196</v>
      </c>
      <c r="J9" s="191" t="s">
        <v>197</v>
      </c>
      <c r="K9" s="191" t="s">
        <v>198</v>
      </c>
      <c r="L9" s="191" t="s">
        <v>199</v>
      </c>
      <c r="M9" s="192" t="s">
        <v>200</v>
      </c>
      <c r="N9" s="192">
        <v>94105</v>
      </c>
    </row>
    <row r="10" spans="1:14" x14ac:dyDescent="0.3">
      <c r="A10" s="161" t="s">
        <v>212</v>
      </c>
      <c r="B10" s="160" t="s">
        <v>62</v>
      </c>
      <c r="C10" s="160">
        <v>8</v>
      </c>
      <c r="D10" s="190" t="s">
        <v>213</v>
      </c>
      <c r="E10" s="191" t="s">
        <v>214</v>
      </c>
      <c r="F10" s="163" t="s">
        <v>215</v>
      </c>
      <c r="G10" s="190" t="s">
        <v>216</v>
      </c>
      <c r="H10" s="191" t="s">
        <v>217</v>
      </c>
      <c r="I10" s="164" t="s">
        <v>218</v>
      </c>
      <c r="J10" s="190" t="s">
        <v>219</v>
      </c>
      <c r="K10" s="190" t="s">
        <v>220</v>
      </c>
      <c r="L10" s="191" t="s">
        <v>221</v>
      </c>
      <c r="M10" s="192" t="s">
        <v>62</v>
      </c>
      <c r="N10" s="192" t="s">
        <v>222</v>
      </c>
    </row>
    <row r="11" spans="1:14" x14ac:dyDescent="0.3">
      <c r="A11" s="161" t="s">
        <v>223</v>
      </c>
      <c r="B11" s="160" t="s">
        <v>224</v>
      </c>
      <c r="C11" s="160">
        <v>1</v>
      </c>
      <c r="D11" s="191" t="s">
        <v>225</v>
      </c>
      <c r="E11" s="191" t="s">
        <v>226</v>
      </c>
      <c r="F11" s="164" t="s">
        <v>227</v>
      </c>
      <c r="G11" s="191" t="s">
        <v>184</v>
      </c>
      <c r="H11" s="191"/>
      <c r="I11" s="191"/>
      <c r="J11" s="190" t="s">
        <v>228</v>
      </c>
      <c r="K11" s="190" t="s">
        <v>229</v>
      </c>
      <c r="L11" s="191" t="s">
        <v>230</v>
      </c>
      <c r="M11" s="192" t="s">
        <v>231</v>
      </c>
      <c r="N11" s="192" t="s">
        <v>232</v>
      </c>
    </row>
    <row r="12" spans="1:14" x14ac:dyDescent="0.3">
      <c r="A12" s="161" t="s">
        <v>233</v>
      </c>
      <c r="B12" s="160" t="s">
        <v>234</v>
      </c>
      <c r="C12" s="160">
        <v>4</v>
      </c>
      <c r="D12" s="190" t="s">
        <v>168</v>
      </c>
      <c r="E12" s="191" t="s">
        <v>169</v>
      </c>
      <c r="F12" s="163" t="s">
        <v>170</v>
      </c>
      <c r="G12" s="191" t="s">
        <v>171</v>
      </c>
      <c r="H12" s="191" t="s">
        <v>172</v>
      </c>
      <c r="I12" s="164" t="s">
        <v>173</v>
      </c>
      <c r="J12" s="191" t="s">
        <v>174</v>
      </c>
      <c r="K12" s="190" t="s">
        <v>175</v>
      </c>
      <c r="L12" s="191" t="s">
        <v>176</v>
      </c>
      <c r="M12" s="192" t="s">
        <v>177</v>
      </c>
      <c r="N12" s="192" t="s">
        <v>178</v>
      </c>
    </row>
    <row r="13" spans="1:14" x14ac:dyDescent="0.3">
      <c r="A13" s="240" t="s">
        <v>394</v>
      </c>
      <c r="B13" s="160" t="s">
        <v>177</v>
      </c>
      <c r="C13" s="160">
        <v>4</v>
      </c>
      <c r="D13" s="190" t="s">
        <v>168</v>
      </c>
      <c r="E13" s="191" t="s">
        <v>169</v>
      </c>
      <c r="F13" s="163" t="s">
        <v>170</v>
      </c>
      <c r="G13" s="191" t="s">
        <v>171</v>
      </c>
      <c r="H13" s="191" t="s">
        <v>172</v>
      </c>
      <c r="I13" s="164" t="s">
        <v>173</v>
      </c>
      <c r="J13" s="191" t="s">
        <v>174</v>
      </c>
      <c r="K13" s="190" t="s">
        <v>175</v>
      </c>
      <c r="L13" s="191" t="s">
        <v>176</v>
      </c>
      <c r="M13" s="192" t="s">
        <v>177</v>
      </c>
      <c r="N13" s="192" t="s">
        <v>178</v>
      </c>
    </row>
    <row r="14" spans="1:14" x14ac:dyDescent="0.3">
      <c r="A14" s="161" t="s">
        <v>235</v>
      </c>
      <c r="B14" s="160" t="s">
        <v>236</v>
      </c>
      <c r="C14" s="160">
        <v>9</v>
      </c>
      <c r="D14" s="190" t="s">
        <v>191</v>
      </c>
      <c r="E14" s="191" t="s">
        <v>192</v>
      </c>
      <c r="F14" s="163" t="s">
        <v>193</v>
      </c>
      <c r="G14" s="190" t="s">
        <v>194</v>
      </c>
      <c r="H14" s="191" t="s">
        <v>195</v>
      </c>
      <c r="I14" s="163" t="s">
        <v>196</v>
      </c>
      <c r="J14" s="191" t="s">
        <v>197</v>
      </c>
      <c r="K14" s="191" t="s">
        <v>198</v>
      </c>
      <c r="L14" s="191" t="s">
        <v>199</v>
      </c>
      <c r="M14" s="192" t="s">
        <v>200</v>
      </c>
      <c r="N14" s="192">
        <v>94105</v>
      </c>
    </row>
    <row r="15" spans="1:14" x14ac:dyDescent="0.3">
      <c r="A15" s="161" t="s">
        <v>237</v>
      </c>
      <c r="B15" s="160" t="s">
        <v>238</v>
      </c>
      <c r="C15" s="160">
        <v>10</v>
      </c>
      <c r="D15" s="190" t="s">
        <v>181</v>
      </c>
      <c r="E15" s="190" t="s">
        <v>182</v>
      </c>
      <c r="F15" s="164" t="s">
        <v>183</v>
      </c>
      <c r="G15" s="190" t="s">
        <v>184</v>
      </c>
      <c r="H15" s="191"/>
      <c r="I15" s="191"/>
      <c r="J15" s="191" t="s">
        <v>185</v>
      </c>
      <c r="K15" s="191" t="s">
        <v>186</v>
      </c>
      <c r="L15" s="191" t="s">
        <v>187</v>
      </c>
      <c r="M15" s="192" t="s">
        <v>188</v>
      </c>
      <c r="N15" s="192">
        <v>98101</v>
      </c>
    </row>
    <row r="16" spans="1:14" x14ac:dyDescent="0.3">
      <c r="A16" s="161" t="s">
        <v>239</v>
      </c>
      <c r="B16" s="160" t="s">
        <v>209</v>
      </c>
      <c r="C16" s="160">
        <v>5</v>
      </c>
      <c r="D16" s="190" t="s">
        <v>203</v>
      </c>
      <c r="E16" s="191" t="s">
        <v>204</v>
      </c>
      <c r="F16" s="163" t="s">
        <v>205</v>
      </c>
      <c r="G16" s="191" t="s">
        <v>184</v>
      </c>
      <c r="H16" s="191"/>
      <c r="I16" s="191"/>
      <c r="J16" s="190" t="s">
        <v>206</v>
      </c>
      <c r="K16" s="190" t="s">
        <v>207</v>
      </c>
      <c r="L16" s="191" t="s">
        <v>208</v>
      </c>
      <c r="M16" s="192" t="s">
        <v>209</v>
      </c>
      <c r="N16" s="192" t="s">
        <v>210</v>
      </c>
    </row>
    <row r="17" spans="1:14" x14ac:dyDescent="0.3">
      <c r="A17" s="161" t="s">
        <v>240</v>
      </c>
      <c r="B17" s="160" t="s">
        <v>241</v>
      </c>
      <c r="C17" s="160">
        <v>5</v>
      </c>
      <c r="D17" s="190" t="s">
        <v>203</v>
      </c>
      <c r="E17" s="191" t="s">
        <v>204</v>
      </c>
      <c r="F17" s="163" t="s">
        <v>205</v>
      </c>
      <c r="G17" s="191" t="s">
        <v>184</v>
      </c>
      <c r="H17" s="191"/>
      <c r="I17" s="191"/>
      <c r="J17" s="190" t="s">
        <v>206</v>
      </c>
      <c r="K17" s="190" t="s">
        <v>207</v>
      </c>
      <c r="L17" s="191" t="s">
        <v>208</v>
      </c>
      <c r="M17" s="192" t="s">
        <v>209</v>
      </c>
      <c r="N17" s="192" t="s">
        <v>210</v>
      </c>
    </row>
    <row r="18" spans="1:14" x14ac:dyDescent="0.3">
      <c r="A18" s="161" t="s">
        <v>242</v>
      </c>
      <c r="B18" s="160" t="s">
        <v>243</v>
      </c>
      <c r="C18" s="160">
        <v>7</v>
      </c>
      <c r="D18" s="190" t="s">
        <v>244</v>
      </c>
      <c r="E18" s="191" t="s">
        <v>245</v>
      </c>
      <c r="F18" s="163" t="s">
        <v>246</v>
      </c>
      <c r="G18" s="191" t="s">
        <v>184</v>
      </c>
      <c r="H18" s="191"/>
      <c r="I18" s="191"/>
      <c r="J18" s="190" t="s">
        <v>430</v>
      </c>
      <c r="K18" s="190" t="s">
        <v>431</v>
      </c>
      <c r="L18" s="191" t="s">
        <v>432</v>
      </c>
      <c r="M18" s="192" t="s">
        <v>247</v>
      </c>
      <c r="N18" s="192">
        <v>66219</v>
      </c>
    </row>
    <row r="19" spans="1:14" x14ac:dyDescent="0.3">
      <c r="A19" s="161" t="s">
        <v>248</v>
      </c>
      <c r="B19" s="160" t="s">
        <v>249</v>
      </c>
      <c r="C19" s="160">
        <v>7</v>
      </c>
      <c r="D19" s="190" t="s">
        <v>244</v>
      </c>
      <c r="E19" s="191" t="s">
        <v>245</v>
      </c>
      <c r="F19" s="163" t="s">
        <v>246</v>
      </c>
      <c r="G19" s="191" t="s">
        <v>184</v>
      </c>
      <c r="H19" s="191"/>
      <c r="I19" s="191"/>
      <c r="J19" s="190" t="s">
        <v>430</v>
      </c>
      <c r="K19" s="190" t="s">
        <v>431</v>
      </c>
      <c r="L19" s="191" t="s">
        <v>432</v>
      </c>
      <c r="M19" s="192" t="s">
        <v>247</v>
      </c>
      <c r="N19" s="192">
        <v>66219</v>
      </c>
    </row>
    <row r="20" spans="1:14" x14ac:dyDescent="0.3">
      <c r="A20" s="161" t="s">
        <v>250</v>
      </c>
      <c r="B20" s="160" t="s">
        <v>251</v>
      </c>
      <c r="C20" s="160">
        <v>4</v>
      </c>
      <c r="D20" s="190" t="s">
        <v>168</v>
      </c>
      <c r="E20" s="191" t="s">
        <v>169</v>
      </c>
      <c r="F20" s="163" t="s">
        <v>170</v>
      </c>
      <c r="G20" s="191" t="s">
        <v>171</v>
      </c>
      <c r="H20" s="191" t="s">
        <v>172</v>
      </c>
      <c r="I20" s="164" t="s">
        <v>173</v>
      </c>
      <c r="J20" s="191" t="s">
        <v>174</v>
      </c>
      <c r="K20" s="190" t="s">
        <v>175</v>
      </c>
      <c r="L20" s="191" t="s">
        <v>176</v>
      </c>
      <c r="M20" s="192" t="s">
        <v>177</v>
      </c>
      <c r="N20" s="192" t="s">
        <v>178</v>
      </c>
    </row>
    <row r="21" spans="1:14" x14ac:dyDescent="0.3">
      <c r="A21" s="240" t="s">
        <v>395</v>
      </c>
      <c r="B21" s="160" t="s">
        <v>252</v>
      </c>
      <c r="C21" s="160">
        <v>6</v>
      </c>
      <c r="D21" s="190" t="s">
        <v>348</v>
      </c>
      <c r="E21" s="311" t="s">
        <v>349</v>
      </c>
      <c r="F21" s="193" t="s">
        <v>350</v>
      </c>
      <c r="G21" s="191" t="s">
        <v>184</v>
      </c>
      <c r="H21" s="191"/>
      <c r="I21" s="191"/>
      <c r="J21" s="190" t="s">
        <v>351</v>
      </c>
      <c r="K21" s="190" t="s">
        <v>352</v>
      </c>
      <c r="L21" s="191" t="s">
        <v>353</v>
      </c>
      <c r="M21" s="192" t="s">
        <v>306</v>
      </c>
      <c r="N21" s="192" t="s">
        <v>354</v>
      </c>
    </row>
    <row r="22" spans="1:14" x14ac:dyDescent="0.3">
      <c r="A22" s="161" t="s">
        <v>253</v>
      </c>
      <c r="B22" s="160" t="s">
        <v>254</v>
      </c>
      <c r="C22" s="160">
        <v>1</v>
      </c>
      <c r="D22" s="191" t="s">
        <v>225</v>
      </c>
      <c r="E22" s="191" t="s">
        <v>226</v>
      </c>
      <c r="F22" s="164" t="s">
        <v>227</v>
      </c>
      <c r="G22" s="191" t="s">
        <v>184</v>
      </c>
      <c r="H22" s="191"/>
      <c r="I22" s="191"/>
      <c r="J22" s="190" t="s">
        <v>228</v>
      </c>
      <c r="K22" s="190" t="s">
        <v>229</v>
      </c>
      <c r="L22" s="191" t="s">
        <v>230</v>
      </c>
      <c r="M22" s="192" t="s">
        <v>231</v>
      </c>
      <c r="N22" s="192" t="s">
        <v>232</v>
      </c>
    </row>
    <row r="23" spans="1:14" x14ac:dyDescent="0.3">
      <c r="A23" s="161" t="s">
        <v>255</v>
      </c>
      <c r="B23" s="160" t="s">
        <v>231</v>
      </c>
      <c r="C23" s="160">
        <v>1</v>
      </c>
      <c r="D23" s="191" t="s">
        <v>225</v>
      </c>
      <c r="E23" s="191" t="s">
        <v>226</v>
      </c>
      <c r="F23" s="164" t="s">
        <v>227</v>
      </c>
      <c r="G23" s="191" t="s">
        <v>184</v>
      </c>
      <c r="H23" s="191"/>
      <c r="I23" s="191"/>
      <c r="J23" s="190" t="s">
        <v>228</v>
      </c>
      <c r="K23" s="190" t="s">
        <v>229</v>
      </c>
      <c r="L23" s="191" t="s">
        <v>230</v>
      </c>
      <c r="M23" s="192" t="s">
        <v>231</v>
      </c>
      <c r="N23" s="192" t="s">
        <v>232</v>
      </c>
    </row>
    <row r="24" spans="1:14" x14ac:dyDescent="0.3">
      <c r="A24" s="161" t="s">
        <v>256</v>
      </c>
      <c r="B24" s="160" t="s">
        <v>257</v>
      </c>
      <c r="C24" s="160">
        <v>5</v>
      </c>
      <c r="D24" s="190" t="s">
        <v>203</v>
      </c>
      <c r="E24" s="191" t="s">
        <v>204</v>
      </c>
      <c r="F24" s="163" t="s">
        <v>205</v>
      </c>
      <c r="G24" s="191" t="s">
        <v>184</v>
      </c>
      <c r="H24" s="191"/>
      <c r="I24" s="191"/>
      <c r="J24" s="190" t="s">
        <v>206</v>
      </c>
      <c r="K24" s="190" t="s">
        <v>207</v>
      </c>
      <c r="L24" s="191" t="s">
        <v>208</v>
      </c>
      <c r="M24" s="192" t="s">
        <v>209</v>
      </c>
      <c r="N24" s="192" t="s">
        <v>210</v>
      </c>
    </row>
    <row r="25" spans="1:14" x14ac:dyDescent="0.3">
      <c r="A25" s="161" t="s">
        <v>258</v>
      </c>
      <c r="B25" s="160" t="s">
        <v>259</v>
      </c>
      <c r="C25" s="160">
        <v>5</v>
      </c>
      <c r="D25" s="190" t="s">
        <v>203</v>
      </c>
      <c r="E25" s="191" t="s">
        <v>204</v>
      </c>
      <c r="F25" s="163" t="s">
        <v>205</v>
      </c>
      <c r="G25" s="191" t="s">
        <v>184</v>
      </c>
      <c r="H25" s="191"/>
      <c r="I25" s="191"/>
      <c r="J25" s="190" t="s">
        <v>206</v>
      </c>
      <c r="K25" s="190" t="s">
        <v>207</v>
      </c>
      <c r="L25" s="191" t="s">
        <v>208</v>
      </c>
      <c r="M25" s="192" t="s">
        <v>209</v>
      </c>
      <c r="N25" s="192" t="s">
        <v>210</v>
      </c>
    </row>
    <row r="26" spans="1:14" x14ac:dyDescent="0.3">
      <c r="A26" s="161" t="s">
        <v>260</v>
      </c>
      <c r="B26" s="160" t="s">
        <v>261</v>
      </c>
      <c r="C26" s="160">
        <v>4</v>
      </c>
      <c r="D26" s="190" t="s">
        <v>168</v>
      </c>
      <c r="E26" s="191" t="s">
        <v>169</v>
      </c>
      <c r="F26" s="163" t="s">
        <v>170</v>
      </c>
      <c r="G26" s="191" t="s">
        <v>171</v>
      </c>
      <c r="H26" s="191" t="s">
        <v>172</v>
      </c>
      <c r="I26" s="164" t="s">
        <v>173</v>
      </c>
      <c r="J26" s="191" t="s">
        <v>174</v>
      </c>
      <c r="K26" s="190" t="s">
        <v>175</v>
      </c>
      <c r="L26" s="191" t="s">
        <v>176</v>
      </c>
      <c r="M26" s="192" t="s">
        <v>177</v>
      </c>
      <c r="N26" s="192" t="s">
        <v>178</v>
      </c>
    </row>
    <row r="27" spans="1:14" x14ac:dyDescent="0.3">
      <c r="A27" s="161" t="s">
        <v>262</v>
      </c>
      <c r="B27" s="160" t="s">
        <v>263</v>
      </c>
      <c r="C27" s="160">
        <v>7</v>
      </c>
      <c r="D27" s="190" t="s">
        <v>244</v>
      </c>
      <c r="E27" s="191" t="s">
        <v>245</v>
      </c>
      <c r="F27" s="163" t="s">
        <v>246</v>
      </c>
      <c r="G27" s="191" t="s">
        <v>184</v>
      </c>
      <c r="H27" s="191"/>
      <c r="I27" s="191"/>
      <c r="J27" s="190" t="s">
        <v>430</v>
      </c>
      <c r="K27" s="190" t="s">
        <v>431</v>
      </c>
      <c r="L27" s="191" t="s">
        <v>432</v>
      </c>
      <c r="M27" s="192" t="s">
        <v>247</v>
      </c>
      <c r="N27" s="192">
        <v>66219</v>
      </c>
    </row>
    <row r="28" spans="1:14" x14ac:dyDescent="0.3">
      <c r="A28" s="161" t="s">
        <v>264</v>
      </c>
      <c r="B28" s="160" t="s">
        <v>265</v>
      </c>
      <c r="C28" s="160">
        <v>8</v>
      </c>
      <c r="D28" s="190" t="s">
        <v>213</v>
      </c>
      <c r="E28" s="191" t="s">
        <v>214</v>
      </c>
      <c r="F28" s="163" t="s">
        <v>215</v>
      </c>
      <c r="G28" s="190" t="s">
        <v>216</v>
      </c>
      <c r="H28" s="191" t="s">
        <v>217</v>
      </c>
      <c r="I28" s="164" t="s">
        <v>218</v>
      </c>
      <c r="J28" s="190" t="s">
        <v>219</v>
      </c>
      <c r="K28" s="190" t="s">
        <v>220</v>
      </c>
      <c r="L28" s="191" t="s">
        <v>221</v>
      </c>
      <c r="M28" s="192" t="s">
        <v>62</v>
      </c>
      <c r="N28" s="192" t="s">
        <v>222</v>
      </c>
    </row>
    <row r="29" spans="1:14" x14ac:dyDescent="0.3">
      <c r="A29" s="161" t="s">
        <v>266</v>
      </c>
      <c r="B29" s="160" t="s">
        <v>267</v>
      </c>
      <c r="C29" s="160">
        <v>7</v>
      </c>
      <c r="D29" s="190" t="s">
        <v>244</v>
      </c>
      <c r="E29" s="191" t="s">
        <v>245</v>
      </c>
      <c r="F29" s="163" t="s">
        <v>246</v>
      </c>
      <c r="G29" s="191" t="s">
        <v>184</v>
      </c>
      <c r="H29" s="191"/>
      <c r="I29" s="191"/>
      <c r="J29" s="190" t="s">
        <v>430</v>
      </c>
      <c r="K29" s="190" t="s">
        <v>431</v>
      </c>
      <c r="L29" s="191" t="s">
        <v>432</v>
      </c>
      <c r="M29" s="192" t="s">
        <v>247</v>
      </c>
      <c r="N29" s="192">
        <v>66219</v>
      </c>
    </row>
    <row r="30" spans="1:14" x14ac:dyDescent="0.3">
      <c r="A30" s="161" t="s">
        <v>268</v>
      </c>
      <c r="B30" s="160" t="s">
        <v>269</v>
      </c>
      <c r="C30" s="160">
        <v>9</v>
      </c>
      <c r="D30" s="190" t="s">
        <v>191</v>
      </c>
      <c r="E30" s="191" t="s">
        <v>192</v>
      </c>
      <c r="F30" s="163" t="s">
        <v>193</v>
      </c>
      <c r="G30" s="190" t="s">
        <v>194</v>
      </c>
      <c r="H30" s="191" t="s">
        <v>195</v>
      </c>
      <c r="I30" s="163" t="s">
        <v>196</v>
      </c>
      <c r="J30" s="191" t="s">
        <v>197</v>
      </c>
      <c r="K30" s="191" t="s">
        <v>198</v>
      </c>
      <c r="L30" s="191" t="s">
        <v>199</v>
      </c>
      <c r="M30" s="192" t="s">
        <v>200</v>
      </c>
      <c r="N30" s="192">
        <v>94105</v>
      </c>
    </row>
    <row r="31" spans="1:14" x14ac:dyDescent="0.3">
      <c r="A31" s="161" t="s">
        <v>270</v>
      </c>
      <c r="B31" s="160" t="s">
        <v>271</v>
      </c>
      <c r="C31" s="160">
        <v>1</v>
      </c>
      <c r="D31" s="191" t="s">
        <v>225</v>
      </c>
      <c r="E31" s="191" t="s">
        <v>226</v>
      </c>
      <c r="F31" s="164" t="s">
        <v>227</v>
      </c>
      <c r="G31" s="191" t="s">
        <v>184</v>
      </c>
      <c r="H31" s="191"/>
      <c r="I31" s="191"/>
      <c r="J31" s="190" t="s">
        <v>228</v>
      </c>
      <c r="K31" s="190" t="s">
        <v>229</v>
      </c>
      <c r="L31" s="191" t="s">
        <v>230</v>
      </c>
      <c r="M31" s="192" t="s">
        <v>231</v>
      </c>
      <c r="N31" s="192" t="s">
        <v>232</v>
      </c>
    </row>
    <row r="32" spans="1:14" x14ac:dyDescent="0.3">
      <c r="A32" s="161" t="s">
        <v>272</v>
      </c>
      <c r="B32" s="160" t="s">
        <v>273</v>
      </c>
      <c r="C32" s="160">
        <v>2</v>
      </c>
      <c r="D32" s="191" t="s">
        <v>274</v>
      </c>
      <c r="E32" s="191" t="s">
        <v>275</v>
      </c>
      <c r="F32" s="164" t="s">
        <v>276</v>
      </c>
      <c r="G32" s="190" t="s">
        <v>277</v>
      </c>
      <c r="H32" s="191" t="s">
        <v>278</v>
      </c>
      <c r="I32" s="164" t="s">
        <v>279</v>
      </c>
      <c r="J32" s="190" t="s">
        <v>280</v>
      </c>
      <c r="K32" s="190" t="s">
        <v>281</v>
      </c>
      <c r="L32" s="191" t="s">
        <v>282</v>
      </c>
      <c r="M32" s="192" t="s">
        <v>283</v>
      </c>
      <c r="N32" s="192" t="s">
        <v>284</v>
      </c>
    </row>
    <row r="33" spans="1:14" x14ac:dyDescent="0.3">
      <c r="A33" s="161" t="s">
        <v>285</v>
      </c>
      <c r="B33" s="160" t="s">
        <v>286</v>
      </c>
      <c r="C33" s="160">
        <v>6</v>
      </c>
      <c r="D33" s="190" t="s">
        <v>348</v>
      </c>
      <c r="E33" s="311" t="s">
        <v>349</v>
      </c>
      <c r="F33" s="193" t="s">
        <v>350</v>
      </c>
      <c r="G33" s="191" t="s">
        <v>184</v>
      </c>
      <c r="H33" s="191"/>
      <c r="I33" s="191"/>
      <c r="J33" s="190" t="s">
        <v>351</v>
      </c>
      <c r="K33" s="190" t="s">
        <v>352</v>
      </c>
      <c r="L33" s="191" t="s">
        <v>353</v>
      </c>
      <c r="M33" s="192" t="s">
        <v>306</v>
      </c>
      <c r="N33" s="192" t="s">
        <v>354</v>
      </c>
    </row>
    <row r="34" spans="1:14" x14ac:dyDescent="0.3">
      <c r="A34" s="161" t="s">
        <v>282</v>
      </c>
      <c r="B34" s="160" t="s">
        <v>283</v>
      </c>
      <c r="C34" s="160">
        <v>2</v>
      </c>
      <c r="D34" s="191" t="s">
        <v>274</v>
      </c>
      <c r="E34" s="191" t="s">
        <v>275</v>
      </c>
      <c r="F34" s="164" t="s">
        <v>276</v>
      </c>
      <c r="G34" s="190" t="s">
        <v>277</v>
      </c>
      <c r="H34" s="191" t="s">
        <v>278</v>
      </c>
      <c r="I34" s="164" t="s">
        <v>279</v>
      </c>
      <c r="J34" s="190" t="s">
        <v>280</v>
      </c>
      <c r="K34" s="190" t="s">
        <v>281</v>
      </c>
      <c r="L34" s="191" t="s">
        <v>282</v>
      </c>
      <c r="M34" s="192" t="s">
        <v>283</v>
      </c>
      <c r="N34" s="192" t="s">
        <v>284</v>
      </c>
    </row>
    <row r="35" spans="1:14" x14ac:dyDescent="0.3">
      <c r="A35" s="161" t="s">
        <v>287</v>
      </c>
      <c r="B35" s="160" t="s">
        <v>288</v>
      </c>
      <c r="C35" s="160">
        <v>4</v>
      </c>
      <c r="D35" s="190" t="s">
        <v>168</v>
      </c>
      <c r="E35" s="191" t="s">
        <v>169</v>
      </c>
      <c r="F35" s="163" t="s">
        <v>170</v>
      </c>
      <c r="G35" s="191" t="s">
        <v>171</v>
      </c>
      <c r="H35" s="191" t="s">
        <v>172</v>
      </c>
      <c r="I35" s="164" t="s">
        <v>173</v>
      </c>
      <c r="J35" s="191" t="s">
        <v>174</v>
      </c>
      <c r="K35" s="190" t="s">
        <v>175</v>
      </c>
      <c r="L35" s="191" t="s">
        <v>176</v>
      </c>
      <c r="M35" s="192" t="s">
        <v>177</v>
      </c>
      <c r="N35" s="192" t="s">
        <v>178</v>
      </c>
    </row>
    <row r="36" spans="1:14" x14ac:dyDescent="0.3">
      <c r="A36" s="161" t="s">
        <v>289</v>
      </c>
      <c r="B36" s="160" t="s">
        <v>290</v>
      </c>
      <c r="C36" s="160">
        <v>8</v>
      </c>
      <c r="D36" s="190" t="s">
        <v>213</v>
      </c>
      <c r="E36" s="191" t="s">
        <v>214</v>
      </c>
      <c r="F36" s="163" t="s">
        <v>215</v>
      </c>
      <c r="G36" s="190" t="s">
        <v>216</v>
      </c>
      <c r="H36" s="191" t="s">
        <v>217</v>
      </c>
      <c r="I36" s="164" t="s">
        <v>218</v>
      </c>
      <c r="J36" s="190" t="s">
        <v>219</v>
      </c>
      <c r="K36" s="190" t="s">
        <v>220</v>
      </c>
      <c r="L36" s="191" t="s">
        <v>221</v>
      </c>
      <c r="M36" s="192" t="s">
        <v>62</v>
      </c>
      <c r="N36" s="192" t="s">
        <v>222</v>
      </c>
    </row>
    <row r="37" spans="1:14" x14ac:dyDescent="0.3">
      <c r="A37" s="161" t="s">
        <v>291</v>
      </c>
      <c r="B37" s="160" t="s">
        <v>292</v>
      </c>
      <c r="C37" s="160">
        <v>5</v>
      </c>
      <c r="D37" s="190" t="s">
        <v>203</v>
      </c>
      <c r="E37" s="191" t="s">
        <v>204</v>
      </c>
      <c r="F37" s="163" t="s">
        <v>205</v>
      </c>
      <c r="G37" s="191" t="s">
        <v>184</v>
      </c>
      <c r="H37" s="191"/>
      <c r="I37" s="191"/>
      <c r="J37" s="190" t="s">
        <v>206</v>
      </c>
      <c r="K37" s="190" t="s">
        <v>207</v>
      </c>
      <c r="L37" s="191" t="s">
        <v>208</v>
      </c>
      <c r="M37" s="192" t="s">
        <v>209</v>
      </c>
      <c r="N37" s="192" t="s">
        <v>210</v>
      </c>
    </row>
    <row r="38" spans="1:14" x14ac:dyDescent="0.3">
      <c r="A38" s="161" t="s">
        <v>293</v>
      </c>
      <c r="B38" s="160" t="s">
        <v>294</v>
      </c>
      <c r="C38" s="160">
        <v>6</v>
      </c>
      <c r="D38" s="190" t="s">
        <v>348</v>
      </c>
      <c r="E38" s="311" t="s">
        <v>349</v>
      </c>
      <c r="F38" s="193" t="s">
        <v>350</v>
      </c>
      <c r="G38" s="191" t="s">
        <v>184</v>
      </c>
      <c r="H38" s="191"/>
      <c r="I38" s="191"/>
      <c r="J38" s="190" t="s">
        <v>351</v>
      </c>
      <c r="K38" s="190" t="s">
        <v>352</v>
      </c>
      <c r="L38" s="191" t="s">
        <v>353</v>
      </c>
      <c r="M38" s="192" t="s">
        <v>306</v>
      </c>
      <c r="N38" s="192" t="s">
        <v>354</v>
      </c>
    </row>
    <row r="39" spans="1:14" x14ac:dyDescent="0.3">
      <c r="A39" s="161" t="s">
        <v>295</v>
      </c>
      <c r="B39" s="160" t="s">
        <v>296</v>
      </c>
      <c r="C39" s="160">
        <v>10</v>
      </c>
      <c r="D39" s="190" t="s">
        <v>181</v>
      </c>
      <c r="E39" s="190" t="s">
        <v>182</v>
      </c>
      <c r="F39" s="164" t="s">
        <v>183</v>
      </c>
      <c r="G39" s="190" t="s">
        <v>184</v>
      </c>
      <c r="H39" s="191"/>
      <c r="I39" s="191"/>
      <c r="J39" s="191" t="s">
        <v>185</v>
      </c>
      <c r="K39" s="191" t="s">
        <v>186</v>
      </c>
      <c r="L39" s="191" t="s">
        <v>187</v>
      </c>
      <c r="M39" s="192" t="s">
        <v>188</v>
      </c>
      <c r="N39" s="192">
        <v>98101</v>
      </c>
    </row>
    <row r="40" spans="1:14" x14ac:dyDescent="0.3">
      <c r="A40" s="161" t="s">
        <v>297</v>
      </c>
      <c r="B40" s="160" t="s">
        <v>298</v>
      </c>
      <c r="C40" s="160">
        <v>1</v>
      </c>
      <c r="D40" s="191" t="s">
        <v>225</v>
      </c>
      <c r="E40" s="191" t="s">
        <v>226</v>
      </c>
      <c r="F40" s="164" t="s">
        <v>227</v>
      </c>
      <c r="G40" s="191" t="s">
        <v>184</v>
      </c>
      <c r="H40" s="191"/>
      <c r="I40" s="191"/>
      <c r="J40" s="190" t="s">
        <v>228</v>
      </c>
      <c r="K40" s="190" t="s">
        <v>229</v>
      </c>
      <c r="L40" s="191" t="s">
        <v>230</v>
      </c>
      <c r="M40" s="192" t="s">
        <v>231</v>
      </c>
      <c r="N40" s="192" t="s">
        <v>232</v>
      </c>
    </row>
    <row r="41" spans="1:14" x14ac:dyDescent="0.3">
      <c r="A41" s="161" t="s">
        <v>299</v>
      </c>
      <c r="B41" s="160" t="s">
        <v>300</v>
      </c>
      <c r="C41" s="160">
        <v>4</v>
      </c>
      <c r="D41" s="190" t="s">
        <v>168</v>
      </c>
      <c r="E41" s="191" t="s">
        <v>169</v>
      </c>
      <c r="F41" s="163" t="s">
        <v>170</v>
      </c>
      <c r="G41" s="191" t="s">
        <v>171</v>
      </c>
      <c r="H41" s="191" t="s">
        <v>172</v>
      </c>
      <c r="I41" s="164" t="s">
        <v>173</v>
      </c>
      <c r="J41" s="191" t="s">
        <v>174</v>
      </c>
      <c r="K41" s="190" t="s">
        <v>175</v>
      </c>
      <c r="L41" s="191" t="s">
        <v>176</v>
      </c>
      <c r="M41" s="192" t="s">
        <v>177</v>
      </c>
      <c r="N41" s="192" t="s">
        <v>178</v>
      </c>
    </row>
    <row r="42" spans="1:14" x14ac:dyDescent="0.3">
      <c r="A42" s="161" t="s">
        <v>301</v>
      </c>
      <c r="B42" s="160" t="s">
        <v>302</v>
      </c>
      <c r="C42" s="160">
        <v>8</v>
      </c>
      <c r="D42" s="190" t="s">
        <v>213</v>
      </c>
      <c r="E42" s="191" t="s">
        <v>214</v>
      </c>
      <c r="F42" s="163" t="s">
        <v>215</v>
      </c>
      <c r="G42" s="190" t="s">
        <v>216</v>
      </c>
      <c r="H42" s="191" t="s">
        <v>217</v>
      </c>
      <c r="I42" s="164" t="s">
        <v>218</v>
      </c>
      <c r="J42" s="190" t="s">
        <v>219</v>
      </c>
      <c r="K42" s="190" t="s">
        <v>220</v>
      </c>
      <c r="L42" s="191" t="s">
        <v>221</v>
      </c>
      <c r="M42" s="192" t="s">
        <v>62</v>
      </c>
      <c r="N42" s="192" t="s">
        <v>222</v>
      </c>
    </row>
    <row r="43" spans="1:14" x14ac:dyDescent="0.3">
      <c r="A43" s="161" t="s">
        <v>303</v>
      </c>
      <c r="B43" s="160" t="s">
        <v>304</v>
      </c>
      <c r="C43" s="160">
        <v>4</v>
      </c>
      <c r="D43" s="190" t="s">
        <v>168</v>
      </c>
      <c r="E43" s="191" t="s">
        <v>169</v>
      </c>
      <c r="F43" s="163" t="s">
        <v>170</v>
      </c>
      <c r="G43" s="191" t="s">
        <v>171</v>
      </c>
      <c r="H43" s="191" t="s">
        <v>172</v>
      </c>
      <c r="I43" s="164" t="s">
        <v>173</v>
      </c>
      <c r="J43" s="191" t="s">
        <v>174</v>
      </c>
      <c r="K43" s="190" t="s">
        <v>175</v>
      </c>
      <c r="L43" s="191" t="s">
        <v>176</v>
      </c>
      <c r="M43" s="192" t="s">
        <v>177</v>
      </c>
      <c r="N43" s="192" t="s">
        <v>178</v>
      </c>
    </row>
    <row r="44" spans="1:14" x14ac:dyDescent="0.3">
      <c r="A44" s="161" t="s">
        <v>305</v>
      </c>
      <c r="B44" s="160" t="s">
        <v>306</v>
      </c>
      <c r="C44" s="160">
        <v>6</v>
      </c>
      <c r="D44" s="190" t="s">
        <v>348</v>
      </c>
      <c r="E44" s="311" t="s">
        <v>349</v>
      </c>
      <c r="F44" s="193" t="s">
        <v>350</v>
      </c>
      <c r="G44" s="191" t="s">
        <v>184</v>
      </c>
      <c r="H44" s="191"/>
      <c r="I44" s="191"/>
      <c r="J44" s="190" t="s">
        <v>351</v>
      </c>
      <c r="K44" s="190" t="s">
        <v>352</v>
      </c>
      <c r="L44" s="191" t="s">
        <v>353</v>
      </c>
      <c r="M44" s="192" t="s">
        <v>306</v>
      </c>
      <c r="N44" s="192" t="s">
        <v>354</v>
      </c>
    </row>
    <row r="45" spans="1:14" x14ac:dyDescent="0.3">
      <c r="A45" s="161" t="s">
        <v>307</v>
      </c>
      <c r="B45" s="160" t="s">
        <v>308</v>
      </c>
      <c r="C45" s="160">
        <v>8</v>
      </c>
      <c r="D45" s="190" t="s">
        <v>213</v>
      </c>
      <c r="E45" s="191" t="s">
        <v>214</v>
      </c>
      <c r="F45" s="163" t="s">
        <v>215</v>
      </c>
      <c r="G45" s="190" t="s">
        <v>216</v>
      </c>
      <c r="H45" s="191" t="s">
        <v>217</v>
      </c>
      <c r="I45" s="164" t="s">
        <v>218</v>
      </c>
      <c r="J45" s="190" t="s">
        <v>219</v>
      </c>
      <c r="K45" s="190" t="s">
        <v>220</v>
      </c>
      <c r="L45" s="191" t="s">
        <v>221</v>
      </c>
      <c r="M45" s="192" t="s">
        <v>62</v>
      </c>
      <c r="N45" s="192" t="s">
        <v>222</v>
      </c>
    </row>
    <row r="46" spans="1:14" x14ac:dyDescent="0.3">
      <c r="A46" s="161" t="s">
        <v>309</v>
      </c>
      <c r="B46" s="160" t="s">
        <v>310</v>
      </c>
      <c r="C46" s="160">
        <v>1</v>
      </c>
      <c r="D46" s="191" t="s">
        <v>225</v>
      </c>
      <c r="E46" s="191" t="s">
        <v>226</v>
      </c>
      <c r="F46" s="164" t="s">
        <v>227</v>
      </c>
      <c r="G46" s="191" t="s">
        <v>184</v>
      </c>
      <c r="H46" s="191"/>
      <c r="I46" s="191"/>
      <c r="J46" s="190" t="s">
        <v>228</v>
      </c>
      <c r="K46" s="190" t="s">
        <v>229</v>
      </c>
      <c r="L46" s="191" t="s">
        <v>230</v>
      </c>
      <c r="M46" s="192" t="s">
        <v>231</v>
      </c>
      <c r="N46" s="192" t="s">
        <v>232</v>
      </c>
    </row>
    <row r="47" spans="1:14" x14ac:dyDescent="0.3">
      <c r="A47" s="161" t="s">
        <v>311</v>
      </c>
      <c r="B47" s="160" t="s">
        <v>188</v>
      </c>
      <c r="C47" s="160">
        <v>10</v>
      </c>
      <c r="D47" s="190" t="s">
        <v>181</v>
      </c>
      <c r="E47" s="190" t="s">
        <v>182</v>
      </c>
      <c r="F47" s="164" t="s">
        <v>183</v>
      </c>
      <c r="G47" s="190" t="s">
        <v>184</v>
      </c>
      <c r="H47" s="191"/>
      <c r="I47" s="191"/>
      <c r="J47" s="191" t="s">
        <v>185</v>
      </c>
      <c r="K47" s="191" t="s">
        <v>186</v>
      </c>
      <c r="L47" s="191" t="s">
        <v>187</v>
      </c>
      <c r="M47" s="192" t="s">
        <v>188</v>
      </c>
      <c r="N47" s="192">
        <v>98101</v>
      </c>
    </row>
    <row r="48" spans="1:14" x14ac:dyDescent="0.3">
      <c r="A48" s="161" t="s">
        <v>312</v>
      </c>
      <c r="B48" s="160" t="s">
        <v>313</v>
      </c>
      <c r="C48" s="160">
        <v>5</v>
      </c>
      <c r="D48" s="190" t="s">
        <v>203</v>
      </c>
      <c r="E48" s="191" t="s">
        <v>204</v>
      </c>
      <c r="F48" s="163" t="s">
        <v>205</v>
      </c>
      <c r="G48" s="191" t="s">
        <v>184</v>
      </c>
      <c r="H48" s="191"/>
      <c r="I48" s="191"/>
      <c r="J48" s="190" t="s">
        <v>206</v>
      </c>
      <c r="K48" s="190" t="s">
        <v>207</v>
      </c>
      <c r="L48" s="191" t="s">
        <v>208</v>
      </c>
      <c r="M48" s="192" t="s">
        <v>209</v>
      </c>
      <c r="N48" s="192" t="s">
        <v>210</v>
      </c>
    </row>
    <row r="49" spans="1:14" x14ac:dyDescent="0.3">
      <c r="A49" s="161" t="s">
        <v>314</v>
      </c>
      <c r="B49" s="160" t="s">
        <v>315</v>
      </c>
      <c r="C49" s="160">
        <v>8</v>
      </c>
      <c r="D49" s="190" t="s">
        <v>213</v>
      </c>
      <c r="E49" s="191" t="s">
        <v>214</v>
      </c>
      <c r="F49" s="163" t="s">
        <v>215</v>
      </c>
      <c r="G49" s="190" t="s">
        <v>216</v>
      </c>
      <c r="H49" s="191" t="s">
        <v>217</v>
      </c>
      <c r="I49" s="164" t="s">
        <v>218</v>
      </c>
      <c r="J49" s="190" t="s">
        <v>219</v>
      </c>
      <c r="K49" s="190" t="s">
        <v>220</v>
      </c>
      <c r="L49" s="191" t="s">
        <v>221</v>
      </c>
      <c r="M49" s="192" t="s">
        <v>62</v>
      </c>
      <c r="N49" s="192" t="s">
        <v>222</v>
      </c>
    </row>
    <row r="50" spans="1:14" x14ac:dyDescent="0.3">
      <c r="A50" s="161" t="s">
        <v>316</v>
      </c>
      <c r="B50" s="160" t="s">
        <v>317</v>
      </c>
      <c r="C50" s="160">
        <v>3</v>
      </c>
      <c r="D50" s="190" t="s">
        <v>184</v>
      </c>
      <c r="E50" s="191"/>
      <c r="F50" s="191"/>
      <c r="G50" s="191"/>
      <c r="H50" s="191"/>
      <c r="I50" s="191"/>
      <c r="J50" s="191"/>
      <c r="K50" s="191"/>
      <c r="L50" s="191"/>
      <c r="M50" s="192"/>
      <c r="N50" s="192"/>
    </row>
    <row r="51" spans="1:14" x14ac:dyDescent="0.3">
      <c r="A51" s="161" t="s">
        <v>318</v>
      </c>
      <c r="B51" s="160" t="s">
        <v>319</v>
      </c>
      <c r="C51" s="160">
        <v>3</v>
      </c>
      <c r="D51" s="190" t="s">
        <v>184</v>
      </c>
      <c r="E51" s="191"/>
      <c r="F51" s="191"/>
      <c r="G51" s="191"/>
      <c r="H51" s="191"/>
      <c r="I51" s="191"/>
      <c r="J51" s="191"/>
      <c r="K51" s="191"/>
      <c r="L51" s="191"/>
      <c r="M51" s="192"/>
      <c r="N51" s="192"/>
    </row>
    <row r="52" spans="1:14" x14ac:dyDescent="0.3">
      <c r="A52" s="161" t="s">
        <v>320</v>
      </c>
      <c r="B52" s="160" t="s">
        <v>321</v>
      </c>
      <c r="C52" s="160">
        <v>3</v>
      </c>
      <c r="D52" s="190" t="s">
        <v>184</v>
      </c>
      <c r="E52" s="191"/>
      <c r="F52" s="191"/>
      <c r="G52" s="191"/>
      <c r="H52" s="191"/>
      <c r="I52" s="191"/>
      <c r="J52" s="191"/>
      <c r="K52" s="191"/>
      <c r="L52" s="191"/>
      <c r="M52" s="192"/>
      <c r="N52" s="192"/>
    </row>
    <row r="53" spans="1:14" x14ac:dyDescent="0.3">
      <c r="A53" s="161" t="s">
        <v>322</v>
      </c>
      <c r="B53" s="160" t="s">
        <v>323</v>
      </c>
      <c r="C53" s="160">
        <v>3</v>
      </c>
      <c r="D53" s="190" t="s">
        <v>184</v>
      </c>
      <c r="E53" s="191"/>
      <c r="F53" s="191"/>
      <c r="G53" s="191"/>
      <c r="H53" s="191"/>
      <c r="I53" s="191"/>
      <c r="J53" s="191"/>
      <c r="K53" s="191"/>
      <c r="L53" s="191"/>
      <c r="M53" s="192"/>
      <c r="N53" s="192"/>
    </row>
    <row r="54" spans="1:14" x14ac:dyDescent="0.3">
      <c r="A54" s="161" t="s">
        <v>324</v>
      </c>
      <c r="B54" s="160" t="s">
        <v>325</v>
      </c>
      <c r="C54" s="160">
        <v>3</v>
      </c>
      <c r="D54" s="190" t="s">
        <v>184</v>
      </c>
      <c r="E54" s="191"/>
      <c r="F54" s="191"/>
      <c r="G54" s="191"/>
      <c r="H54" s="191"/>
      <c r="I54" s="191"/>
      <c r="J54" s="191"/>
      <c r="K54" s="191"/>
      <c r="L54" s="191"/>
      <c r="M54" s="192"/>
      <c r="N54" s="192"/>
    </row>
    <row r="55" spans="1:14" x14ac:dyDescent="0.3">
      <c r="A55" s="161" t="s">
        <v>326</v>
      </c>
      <c r="B55" s="160" t="s">
        <v>327</v>
      </c>
      <c r="C55" s="160">
        <v>3</v>
      </c>
      <c r="D55" s="190" t="s">
        <v>184</v>
      </c>
      <c r="E55" s="191"/>
      <c r="F55" s="191"/>
      <c r="G55" s="191"/>
      <c r="H55" s="191"/>
      <c r="I55" s="191"/>
      <c r="J55" s="191"/>
      <c r="K55" s="191"/>
      <c r="L55" s="191"/>
      <c r="M55" s="192"/>
      <c r="N55" s="192"/>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9" r:id="rId27" display="mailto:webber.robert@epa.gov"/>
    <hyperlink ref="F27" r:id="rId28" display="mailto:webber.robert@epa.gov"/>
    <hyperlink ref="F29" r:id="rId29" display="mailto:webber.robert@epa.gov"/>
    <hyperlink ref="F17" r:id="rId30" display="mailto:gupta.kaushal@epa.gov"/>
    <hyperlink ref="F24" r:id="rId31" display="mailto:gupta.kaushal@epa.gov"/>
    <hyperlink ref="F25" r:id="rId32" display="mailto:gupta.kaushal@epa.gov"/>
    <hyperlink ref="F37" r:id="rId33" display="mailto:gupta.kaushal@epa.gov"/>
    <hyperlink ref="F48" r:id="rId34" display="mailto:gupta.kaushal@epa.gov"/>
    <hyperlink ref="F12" r:id="rId35" display="mailto:oquendo.ana@epa.gov"/>
    <hyperlink ref="F13" r:id="rId36" display="mailto:oquendo.ana@epa.gov"/>
    <hyperlink ref="F20" r:id="rId37" display="mailto:oquendo.ana@epa.gov"/>
    <hyperlink ref="F26" r:id="rId38" display="mailto:oquendo.ana@epa.gov"/>
    <hyperlink ref="F35" r:id="rId39" display="mailto:oquendo.ana@epa.gov"/>
    <hyperlink ref="F41" r:id="rId40" display="mailto:oquendo.ana@epa.gov"/>
    <hyperlink ref="F43" r:id="rId41" display="mailto:oquendo.ana@epa.gov"/>
    <hyperlink ref="I12" r:id="rId42" display="mailto:shepherd.lorinda@epa.gov"/>
    <hyperlink ref="I13" r:id="rId43" display="mailto:shepherd.lorinda@epa.gov"/>
    <hyperlink ref="I20" r:id="rId44" display="mailto:shepherd.lorinda@epa.gov"/>
    <hyperlink ref="I26" r:id="rId45" display="mailto:shepherd.lorinda@epa.gov"/>
    <hyperlink ref="I35" r:id="rId46" display="mailto:shepherd.lorinda@epa.gov"/>
    <hyperlink ref="I41" r:id="rId47" display="mailto:shepherd.lorinda@epa.gov"/>
    <hyperlink ref="I43" r:id="rId48" display="mailto:shepherd.lorinda@epa.gov"/>
    <hyperlink ref="F7" r:id="rId49" display="mailto:glass.geoffrey@epa.gov"/>
    <hyperlink ref="I7" r:id="rId50" display="mailto:Gutierrez.roberto@epa.gov"/>
    <hyperlink ref="F9" r:id="rId51" display="mailto:glass.geoffrey@epa.gov"/>
    <hyperlink ref="F14" r:id="rId52" display="mailto:glass.geoffrey@epa.gov"/>
    <hyperlink ref="F30" r:id="rId53" display="mailto:glass.geoffrey@epa.gov"/>
    <hyperlink ref="I9" r:id="rId54" display="mailto:Gutierrez.roberto@epa.gov"/>
    <hyperlink ref="I14" r:id="rId55" display="mailto:Gutierrez.roberto@epa.gov"/>
    <hyperlink ref="I30" r:id="rId56" display="mailto:Gutierrez.roberto@epa.gov"/>
    <hyperlink ref="F6" r:id="rId57"/>
    <hyperlink ref="F15" r:id="rId58"/>
    <hyperlink ref="F39" r:id="rId59"/>
    <hyperlink ref="F47" r:id="rId60"/>
    <hyperlink ref="F8" r:id="rId61"/>
    <hyperlink ref="F21" r:id="rId62"/>
    <hyperlink ref="F33" r:id="rId63"/>
    <hyperlink ref="F38" r:id="rId64"/>
    <hyperlink ref="F44"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5"/>
  <sheetViews>
    <sheetView showGridLines="0" zoomScaleNormal="100" workbookViewId="0"/>
  </sheetViews>
  <sheetFormatPr defaultColWidth="3.33203125" defaultRowHeight="13.2" x14ac:dyDescent="0.25"/>
  <cols>
    <col min="1" max="1" width="2.109375" style="14" customWidth="1"/>
    <col min="2" max="2" width="11.6640625" style="14" customWidth="1"/>
    <col min="3" max="3" width="19.109375" style="14" customWidth="1"/>
    <col min="4" max="4" width="57.44140625" style="14" customWidth="1"/>
    <col min="5" max="5" width="85" style="14" customWidth="1"/>
    <col min="6" max="27" width="1.6640625" style="14" customWidth="1"/>
    <col min="28" max="16384" width="3.33203125" style="14"/>
  </cols>
  <sheetData>
    <row r="1" spans="2:5" ht="17.399999999999999" x14ac:dyDescent="0.3">
      <c r="B1" s="12" t="str">
        <f>'Change Log'!A1</f>
        <v>Hot Mix Asphalt Plant Registration Calculator</v>
      </c>
    </row>
    <row r="2" spans="2:5" ht="15.75" customHeight="1" x14ac:dyDescent="0.25">
      <c r="B2" s="348" t="str">
        <f>'Change Log'!A2</f>
        <v>v1.3 (last updated 2013.02.26)</v>
      </c>
      <c r="C2" s="348"/>
      <c r="D2" s="348"/>
    </row>
    <row r="3" spans="2:5" ht="114" customHeight="1" x14ac:dyDescent="0.25">
      <c r="B3" s="354" t="s">
        <v>402</v>
      </c>
      <c r="C3" s="354"/>
      <c r="D3" s="354"/>
      <c r="E3" s="354"/>
    </row>
    <row r="4" spans="2:5" ht="6.75" customHeight="1" x14ac:dyDescent="0.25">
      <c r="B4" s="303"/>
      <c r="C4" s="303"/>
      <c r="D4" s="303"/>
    </row>
    <row r="5" spans="2:5" x14ac:dyDescent="0.25">
      <c r="B5" s="76" t="s">
        <v>4</v>
      </c>
    </row>
    <row r="6" spans="2:5" ht="31.5" customHeight="1" x14ac:dyDescent="0.25">
      <c r="B6" s="351" t="s">
        <v>403</v>
      </c>
      <c r="C6" s="351"/>
      <c r="D6" s="351"/>
      <c r="E6" s="351"/>
    </row>
    <row r="7" spans="2:5" ht="4.5" customHeight="1" x14ac:dyDescent="0.25">
      <c r="B7" s="77"/>
    </row>
    <row r="8" spans="2:5" x14ac:dyDescent="0.25">
      <c r="B8" s="76" t="s">
        <v>12</v>
      </c>
    </row>
    <row r="9" spans="2:5" ht="66.75" customHeight="1" x14ac:dyDescent="0.25">
      <c r="B9" s="349" t="s">
        <v>138</v>
      </c>
      <c r="C9" s="350"/>
      <c r="D9" s="350"/>
      <c r="E9" s="350"/>
    </row>
    <row r="10" spans="2:5" ht="5.25" customHeight="1" x14ac:dyDescent="0.25">
      <c r="B10" s="77"/>
    </row>
    <row r="11" spans="2:5" x14ac:dyDescent="0.25">
      <c r="B11" s="76" t="s">
        <v>27</v>
      </c>
    </row>
    <row r="12" spans="2:5" ht="53.25" customHeight="1" x14ac:dyDescent="0.25">
      <c r="B12" s="349" t="s">
        <v>139</v>
      </c>
      <c r="C12" s="350"/>
      <c r="D12" s="350"/>
      <c r="E12" s="350"/>
    </row>
    <row r="13" spans="2:5" ht="9" customHeight="1" thickBot="1" x14ac:dyDescent="0.3">
      <c r="B13" s="76"/>
    </row>
    <row r="14" spans="2:5" ht="13.8" thickBot="1" x14ac:dyDescent="0.3">
      <c r="B14" s="345" t="s">
        <v>404</v>
      </c>
      <c r="C14" s="352"/>
      <c r="D14" s="353"/>
    </row>
    <row r="15" spans="2:5" x14ac:dyDescent="0.25">
      <c r="B15" s="336" t="s">
        <v>405</v>
      </c>
      <c r="C15" s="337"/>
      <c r="D15" s="338"/>
    </row>
    <row r="16" spans="2:5" x14ac:dyDescent="0.25">
      <c r="B16" s="339" t="s">
        <v>406</v>
      </c>
      <c r="C16" s="340"/>
      <c r="D16" s="341"/>
    </row>
    <row r="17" spans="2:5" x14ac:dyDescent="0.25">
      <c r="B17" s="329" t="s">
        <v>407</v>
      </c>
      <c r="C17" s="330"/>
      <c r="D17" s="331"/>
    </row>
    <row r="18" spans="2:5" ht="13.8" thickBot="1" x14ac:dyDescent="0.3">
      <c r="B18" s="342" t="s">
        <v>134</v>
      </c>
      <c r="C18" s="343"/>
      <c r="D18" s="344"/>
    </row>
    <row r="19" spans="2:5" ht="10.5" customHeight="1" thickBot="1" x14ac:dyDescent="0.3">
      <c r="B19" s="78"/>
      <c r="C19" s="79"/>
      <c r="D19" s="78"/>
      <c r="E19" s="15"/>
    </row>
    <row r="20" spans="2:5" ht="13.8" thickBot="1" x14ac:dyDescent="0.3">
      <c r="B20" s="345" t="s">
        <v>142</v>
      </c>
      <c r="C20" s="346"/>
      <c r="D20" s="347"/>
    </row>
    <row r="21" spans="2:5" s="279" customFormat="1" ht="54" customHeight="1" x14ac:dyDescent="0.25">
      <c r="B21" s="150" t="s">
        <v>408</v>
      </c>
      <c r="C21" s="332" t="s">
        <v>409</v>
      </c>
      <c r="D21" s="333"/>
    </row>
    <row r="22" spans="2:5" s="279" customFormat="1" ht="12.75" customHeight="1" x14ac:dyDescent="0.25">
      <c r="B22" s="268" t="s">
        <v>410</v>
      </c>
      <c r="C22" s="269" t="s">
        <v>411</v>
      </c>
      <c r="D22" s="270"/>
    </row>
    <row r="23" spans="2:5" ht="12.75" customHeight="1" x14ac:dyDescent="0.25">
      <c r="B23" s="306" t="s">
        <v>62</v>
      </c>
      <c r="C23" s="153" t="s">
        <v>76</v>
      </c>
      <c r="D23" s="81"/>
    </row>
    <row r="24" spans="2:5" ht="12.75" customHeight="1" x14ac:dyDescent="0.25">
      <c r="B24" s="306" t="s">
        <v>140</v>
      </c>
      <c r="C24" s="153" t="s">
        <v>141</v>
      </c>
      <c r="D24" s="81"/>
    </row>
    <row r="25" spans="2:5" ht="12.75" customHeight="1" x14ac:dyDescent="0.25">
      <c r="B25" s="80" t="s">
        <v>147</v>
      </c>
      <c r="C25" s="152" t="s">
        <v>148</v>
      </c>
      <c r="D25" s="147"/>
    </row>
    <row r="26" spans="2:5" ht="57" customHeight="1" x14ac:dyDescent="0.25">
      <c r="B26" s="307" t="s">
        <v>412</v>
      </c>
      <c r="C26" s="334" t="s">
        <v>413</v>
      </c>
      <c r="D26" s="335"/>
      <c r="E26" s="279"/>
    </row>
    <row r="27" spans="2:5" ht="12.75" customHeight="1" x14ac:dyDescent="0.25">
      <c r="B27" s="306" t="s">
        <v>103</v>
      </c>
      <c r="C27" s="153" t="s">
        <v>80</v>
      </c>
      <c r="D27" s="81"/>
    </row>
    <row r="28" spans="2:5" ht="12.75" customHeight="1" x14ac:dyDescent="0.25">
      <c r="B28" s="306" t="s">
        <v>448</v>
      </c>
      <c r="C28" s="154" t="s">
        <v>449</v>
      </c>
      <c r="D28" s="305"/>
    </row>
    <row r="29" spans="2:5" ht="14.25" customHeight="1" x14ac:dyDescent="0.35">
      <c r="B29" s="306" t="s">
        <v>72</v>
      </c>
      <c r="C29" s="154" t="s">
        <v>77</v>
      </c>
      <c r="D29" s="305"/>
    </row>
    <row r="30" spans="2:5" ht="12.75" customHeight="1" x14ac:dyDescent="0.25">
      <c r="B30" s="306" t="s">
        <v>143</v>
      </c>
      <c r="C30" s="154" t="s">
        <v>53</v>
      </c>
      <c r="D30" s="305"/>
      <c r="E30" s="15"/>
    </row>
    <row r="31" spans="2:5" ht="15.75" customHeight="1" x14ac:dyDescent="0.35">
      <c r="B31" s="306" t="s">
        <v>144</v>
      </c>
      <c r="C31" s="327" t="s">
        <v>346</v>
      </c>
      <c r="D31" s="328"/>
    </row>
    <row r="32" spans="2:5" ht="14.25" customHeight="1" x14ac:dyDescent="0.35">
      <c r="B32" s="306" t="s">
        <v>145</v>
      </c>
      <c r="C32" s="304" t="s">
        <v>347</v>
      </c>
      <c r="D32" s="305"/>
    </row>
    <row r="33" spans="2:13" s="279" customFormat="1" ht="12.75" customHeight="1" x14ac:dyDescent="0.25">
      <c r="B33" s="222" t="s">
        <v>359</v>
      </c>
      <c r="C33" s="223" t="s">
        <v>360</v>
      </c>
      <c r="D33" s="224"/>
    </row>
    <row r="34" spans="2:13" s="279" customFormat="1" ht="15.75" customHeight="1" x14ac:dyDescent="0.25">
      <c r="B34" s="82" t="s">
        <v>73</v>
      </c>
      <c r="C34" s="155" t="s">
        <v>78</v>
      </c>
      <c r="D34" s="83"/>
      <c r="E34" s="14"/>
    </row>
    <row r="35" spans="2:13" ht="12.75" customHeight="1" thickBot="1" x14ac:dyDescent="0.3">
      <c r="B35" s="151" t="s">
        <v>146</v>
      </c>
      <c r="C35" s="321" t="s">
        <v>2</v>
      </c>
      <c r="D35" s="322"/>
    </row>
    <row r="36" spans="2:13" ht="12.75" customHeight="1" thickBot="1" x14ac:dyDescent="0.3">
      <c r="B36" s="78"/>
      <c r="C36" s="78"/>
      <c r="D36" s="78"/>
    </row>
    <row r="37" spans="2:13" ht="13.5" customHeight="1" thickBot="1" x14ac:dyDescent="0.3">
      <c r="B37" s="84" t="s">
        <v>48</v>
      </c>
      <c r="C37" s="85"/>
      <c r="D37" s="85"/>
      <c r="E37" s="86"/>
      <c r="F37" s="15"/>
    </row>
    <row r="38" spans="2:13" ht="21" customHeight="1" thickBot="1" x14ac:dyDescent="0.3">
      <c r="B38" s="87" t="s">
        <v>438</v>
      </c>
      <c r="C38" s="88"/>
      <c r="D38" s="88"/>
      <c r="E38" s="89"/>
      <c r="F38" s="15"/>
    </row>
    <row r="39" spans="2:13" ht="32.25" customHeight="1" x14ac:dyDescent="0.25">
      <c r="B39" s="363" t="s">
        <v>45</v>
      </c>
      <c r="C39" s="364"/>
      <c r="D39" s="369" t="s">
        <v>414</v>
      </c>
      <c r="E39" s="370"/>
      <c r="F39" s="15"/>
    </row>
    <row r="40" spans="2:13" ht="24.75" customHeight="1" x14ac:dyDescent="0.25">
      <c r="B40" s="365" t="s">
        <v>46</v>
      </c>
      <c r="C40" s="366"/>
      <c r="D40" s="371" t="s">
        <v>49</v>
      </c>
      <c r="E40" s="372"/>
      <c r="M40" s="15"/>
    </row>
    <row r="41" spans="2:13" ht="62.25" customHeight="1" x14ac:dyDescent="0.25">
      <c r="B41" s="357" t="s">
        <v>47</v>
      </c>
      <c r="C41" s="358"/>
      <c r="D41" s="323" t="s">
        <v>415</v>
      </c>
      <c r="E41" s="324"/>
    </row>
    <row r="42" spans="2:13" ht="25.5" customHeight="1" x14ac:dyDescent="0.25">
      <c r="B42" s="359"/>
      <c r="C42" s="360"/>
      <c r="D42" s="361" t="s">
        <v>149</v>
      </c>
      <c r="E42" s="362"/>
    </row>
    <row r="43" spans="2:13" ht="56.25" customHeight="1" x14ac:dyDescent="0.25">
      <c r="B43" s="365" t="s">
        <v>125</v>
      </c>
      <c r="C43" s="366"/>
      <c r="D43" s="325" t="s">
        <v>467</v>
      </c>
      <c r="E43" s="326"/>
    </row>
    <row r="44" spans="2:13" ht="72.75" customHeight="1" x14ac:dyDescent="0.25">
      <c r="B44" s="373" t="s">
        <v>439</v>
      </c>
      <c r="C44" s="374"/>
      <c r="D44" s="325" t="s">
        <v>470</v>
      </c>
      <c r="E44" s="375"/>
    </row>
    <row r="45" spans="2:13" ht="47.25" customHeight="1" thickBot="1" x14ac:dyDescent="0.3">
      <c r="B45" s="367" t="s">
        <v>440</v>
      </c>
      <c r="C45" s="368"/>
      <c r="D45" s="355" t="s">
        <v>416</v>
      </c>
      <c r="E45" s="356"/>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28">
    <mergeCell ref="D45:E45"/>
    <mergeCell ref="B41:C42"/>
    <mergeCell ref="D42:E42"/>
    <mergeCell ref="B39:C39"/>
    <mergeCell ref="B40:C40"/>
    <mergeCell ref="B43:C43"/>
    <mergeCell ref="B45:C45"/>
    <mergeCell ref="D39:E39"/>
    <mergeCell ref="D40:E40"/>
    <mergeCell ref="B44:C44"/>
    <mergeCell ref="D44:E44"/>
    <mergeCell ref="B15:D15"/>
    <mergeCell ref="B16:D16"/>
    <mergeCell ref="B18:D18"/>
    <mergeCell ref="B20:D20"/>
    <mergeCell ref="B2:D2"/>
    <mergeCell ref="B9:E9"/>
    <mergeCell ref="B6:E6"/>
    <mergeCell ref="B14:D14"/>
    <mergeCell ref="B12:E12"/>
    <mergeCell ref="B3:E3"/>
    <mergeCell ref="C35:D35"/>
    <mergeCell ref="D41:E41"/>
    <mergeCell ref="D43:E43"/>
    <mergeCell ref="C31:D31"/>
    <mergeCell ref="B17:D17"/>
    <mergeCell ref="C21:D21"/>
    <mergeCell ref="C26:D26"/>
  </mergeCells>
  <phoneticPr fontId="0" type="noConversion"/>
  <hyperlinks>
    <hyperlink ref="D42" r:id="rId2"/>
  </hyperlinks>
  <pageMargins left="0.2" right="0.2" top="0.5" bottom="0.5" header="0.5" footer="0.5"/>
  <pageSetup scale="68" orientation="landscape" r:id="rId3"/>
  <headerFooter alignWithMargins="0">
    <oddFooter>&amp;LPage &amp;P of &amp;N&amp;C&amp;F&amp;RPrinted &amp;D</oddFoot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83"/>
  <sheetViews>
    <sheetView showGridLines="0" zoomScaleNormal="100" workbookViewId="0"/>
  </sheetViews>
  <sheetFormatPr defaultColWidth="9.109375" defaultRowHeight="13.2" x14ac:dyDescent="0.25"/>
  <cols>
    <col min="1" max="1" width="2.88671875" style="14" customWidth="1"/>
    <col min="2" max="2" width="55.5546875" style="14" customWidth="1"/>
    <col min="3" max="3" width="96" style="14" customWidth="1"/>
    <col min="4" max="4" width="17.33203125" style="14" customWidth="1"/>
    <col min="5" max="5" width="97.44140625" style="14" hidden="1" customWidth="1"/>
    <col min="6" max="16384" width="9.109375" style="14"/>
  </cols>
  <sheetData>
    <row r="1" spans="2:5" ht="17.399999999999999" x14ac:dyDescent="0.3">
      <c r="B1" s="12" t="s">
        <v>132</v>
      </c>
    </row>
    <row r="2" spans="2:5" ht="16.2" thickBot="1" x14ac:dyDescent="0.4">
      <c r="E2" s="169" t="s">
        <v>334</v>
      </c>
    </row>
    <row r="3" spans="2:5" ht="13.8" thickBot="1" x14ac:dyDescent="0.3">
      <c r="B3" s="382" t="s">
        <v>5</v>
      </c>
      <c r="C3" s="353"/>
      <c r="E3" s="170" t="s">
        <v>11</v>
      </c>
    </row>
    <row r="4" spans="2:5" x14ac:dyDescent="0.25">
      <c r="B4" s="234" t="s">
        <v>6</v>
      </c>
      <c r="C4" s="235" t="s">
        <v>355</v>
      </c>
      <c r="E4" s="170" t="s">
        <v>335</v>
      </c>
    </row>
    <row r="5" spans="2:5" x14ac:dyDescent="0.25">
      <c r="B5" s="61" t="s">
        <v>7</v>
      </c>
      <c r="C5" s="31" t="s">
        <v>21</v>
      </c>
      <c r="E5" s="170" t="s">
        <v>17</v>
      </c>
    </row>
    <row r="6" spans="2:5" x14ac:dyDescent="0.25">
      <c r="B6" s="62" t="s">
        <v>154</v>
      </c>
      <c r="C6" s="31" t="s">
        <v>155</v>
      </c>
      <c r="E6" s="279"/>
    </row>
    <row r="7" spans="2:5" x14ac:dyDescent="0.25">
      <c r="B7" s="157" t="s">
        <v>152</v>
      </c>
      <c r="C7" s="158" t="s">
        <v>285</v>
      </c>
      <c r="E7" s="169" t="s">
        <v>336</v>
      </c>
    </row>
    <row r="8" spans="2:5" ht="13.8" thickBot="1" x14ac:dyDescent="0.3">
      <c r="B8" s="63" t="s">
        <v>153</v>
      </c>
      <c r="C8" s="236">
        <v>87101</v>
      </c>
      <c r="E8" s="170" t="s">
        <v>11</v>
      </c>
    </row>
    <row r="9" spans="2:5" ht="13.8" thickBot="1" x14ac:dyDescent="0.3">
      <c r="E9" s="170" t="s">
        <v>337</v>
      </c>
    </row>
    <row r="10" spans="2:5" ht="13.8" thickBot="1" x14ac:dyDescent="0.3">
      <c r="B10" s="382" t="s">
        <v>10</v>
      </c>
      <c r="C10" s="353"/>
      <c r="E10" s="170" t="s">
        <v>335</v>
      </c>
    </row>
    <row r="11" spans="2:5" x14ac:dyDescent="0.25">
      <c r="B11" s="60" t="s">
        <v>6</v>
      </c>
      <c r="C11" s="34" t="s">
        <v>18</v>
      </c>
      <c r="E11" s="170" t="s">
        <v>17</v>
      </c>
    </row>
    <row r="12" spans="2:5" x14ac:dyDescent="0.25">
      <c r="B12" s="61" t="s">
        <v>8</v>
      </c>
      <c r="C12" s="31" t="s">
        <v>19</v>
      </c>
      <c r="E12" s="170" t="s">
        <v>16</v>
      </c>
    </row>
    <row r="13" spans="2:5" ht="13.8" thickBot="1" x14ac:dyDescent="0.3">
      <c r="B13" s="64" t="s">
        <v>9</v>
      </c>
      <c r="C13" s="32" t="s">
        <v>20</v>
      </c>
      <c r="E13" s="170" t="s">
        <v>15</v>
      </c>
    </row>
    <row r="14" spans="2:5" ht="13.8" thickBot="1" x14ac:dyDescent="0.3"/>
    <row r="15" spans="2:5" ht="16.2" thickBot="1" x14ac:dyDescent="0.4">
      <c r="B15" s="380" t="str">
        <f>"U.S. Environmental Protection Agency Region "&amp;VLOOKUP(C7,'EPA Regional Contact Info'!$A$5:$C$49,3,FALSE)&amp;" Contact"</f>
        <v>U.S. Environmental Protection Agency Region 6 Contact</v>
      </c>
      <c r="C15" s="381"/>
      <c r="E15" s="169" t="s">
        <v>338</v>
      </c>
    </row>
    <row r="16" spans="2:5" x14ac:dyDescent="0.25">
      <c r="B16" s="194" t="s">
        <v>328</v>
      </c>
      <c r="C16" s="195" t="str">
        <f>VLOOKUP($C$7,'EPA Regional Contact Info'!$A$5:$N$49,4,FALSE)</f>
        <v>Bonnie Braganza</v>
      </c>
      <c r="E16" s="170" t="s">
        <v>11</v>
      </c>
    </row>
    <row r="17" spans="2:5" x14ac:dyDescent="0.25">
      <c r="B17" s="196" t="s">
        <v>329</v>
      </c>
      <c r="C17" s="197" t="str">
        <f>VLOOKUP($C$7,'EPA Regional Contact Info'!$A$5:$N$49,5,FALSE)</f>
        <v>214-665-7340</v>
      </c>
      <c r="E17" s="170" t="s">
        <v>339</v>
      </c>
    </row>
    <row r="18" spans="2:5" x14ac:dyDescent="0.25">
      <c r="B18" s="196" t="s">
        <v>330</v>
      </c>
      <c r="C18" s="197" t="str">
        <f>VLOOKUP($C$7,'EPA Regional Contact Info'!$A$5:$N$49,6,FALSE)</f>
        <v>braganza.bonnie@epa.gov</v>
      </c>
      <c r="E18" s="279"/>
    </row>
    <row r="19" spans="2:5" x14ac:dyDescent="0.25">
      <c r="B19" s="196" t="s">
        <v>331</v>
      </c>
      <c r="C19" s="197" t="str">
        <f>VLOOKUP($C$7,'EPA Regional Contact Info'!$A$5:$N$49,7,FALSE)</f>
        <v>None</v>
      </c>
    </row>
    <row r="20" spans="2:5" ht="14.25" customHeight="1" x14ac:dyDescent="0.25">
      <c r="B20" s="196" t="s">
        <v>332</v>
      </c>
      <c r="C20" s="197" t="str">
        <f>IF(VLOOKUP($C$7,'EPA Regional Contact Info'!$A$5:$N$49,8,FALSE)=0,"",VLOOKUP($C$7,'EPA Regional Contact Info'!$A$5:$N$49,8,FALSE))</f>
        <v/>
      </c>
      <c r="E20" s="93" t="s">
        <v>83</v>
      </c>
    </row>
    <row r="21" spans="2:5" ht="14.25" customHeight="1" x14ac:dyDescent="0.25">
      <c r="B21" s="196" t="s">
        <v>333</v>
      </c>
      <c r="C21" s="197" t="str">
        <f>IF(VLOOKUP($C$7,'EPA Regional Contact Info'!$A$5:$N$49,9,FALSE)=0,"",VLOOKUP($C$7,'EPA Regional Contact Info'!$A$5:$N$49,9,FALSE))</f>
        <v/>
      </c>
      <c r="E21" s="92" t="s">
        <v>85</v>
      </c>
    </row>
    <row r="22" spans="2:5" x14ac:dyDescent="0.25">
      <c r="B22" s="237" t="s">
        <v>7</v>
      </c>
      <c r="C22" s="238" t="str">
        <f>"U.S. Environmental Protection Agency Region "&amp;VLOOKUP($C$7,'EPA Regional Contact Info'!$A$5:$C$49,3,FALSE)</f>
        <v>U.S. Environmental Protection Agency Region 6</v>
      </c>
      <c r="E22" s="92" t="s">
        <v>84</v>
      </c>
    </row>
    <row r="23" spans="2:5" ht="15" customHeight="1" x14ac:dyDescent="0.25">
      <c r="B23" s="165"/>
      <c r="C23" s="238" t="str">
        <f>VLOOKUP($C$7,'EPA Regional Contact Info'!$A$5:$N$49,10,FALSE)</f>
        <v>1445 Ross Avenue, Suite 1200</v>
      </c>
      <c r="E23" s="96"/>
    </row>
    <row r="24" spans="2:5" x14ac:dyDescent="0.25">
      <c r="B24" s="165"/>
      <c r="C24" s="238" t="str">
        <f>VLOOKUP($C$7,'EPA Regional Contact Info'!$A$5:$N$49,11,FALSE)</f>
        <v>MC: 6PD</v>
      </c>
      <c r="E24" s="93" t="s">
        <v>93</v>
      </c>
    </row>
    <row r="25" spans="2:5" ht="13.8" thickBot="1" x14ac:dyDescent="0.3">
      <c r="B25" s="166"/>
      <c r="C25" s="239" t="str">
        <f>VLOOKUP($C$7,'EPA Regional Contact Info'!$A$5:$N$49,12,FALSE)&amp;", "&amp;VLOOKUP($C$7,'EPA Regional Contact Info'!$A$5:$N$49,13,FALSE)&amp;" "&amp;VLOOKUP($C$7,'EPA Regional Contact Info'!$A$5:$N$49,14,FALSE)</f>
        <v>Dallas, TX 75202-2733</v>
      </c>
      <c r="E25" s="33" t="s">
        <v>67</v>
      </c>
    </row>
    <row r="26" spans="2:5" ht="13.8" thickBot="1" x14ac:dyDescent="0.3">
      <c r="B26" s="167"/>
      <c r="C26" s="168"/>
      <c r="E26" s="33" t="s">
        <v>88</v>
      </c>
    </row>
    <row r="27" spans="2:5" ht="13.8" thickBot="1" x14ac:dyDescent="0.3">
      <c r="B27" s="383" t="s">
        <v>44</v>
      </c>
      <c r="C27" s="384"/>
      <c r="E27" s="33" t="s">
        <v>68</v>
      </c>
    </row>
    <row r="28" spans="2:5" x14ac:dyDescent="0.25">
      <c r="B28" s="198" t="s">
        <v>59</v>
      </c>
      <c r="C28" s="199" t="s">
        <v>11</v>
      </c>
      <c r="E28" s="33" t="s">
        <v>87</v>
      </c>
    </row>
    <row r="29" spans="2:5" ht="12.75" customHeight="1" x14ac:dyDescent="0.25">
      <c r="B29" s="182"/>
      <c r="C29" s="200"/>
      <c r="E29" s="33" t="s">
        <v>79</v>
      </c>
    </row>
    <row r="30" spans="2:5" ht="14.25" customHeight="1" x14ac:dyDescent="0.25">
      <c r="B30" s="182" t="s">
        <v>343</v>
      </c>
      <c r="C30" s="201" t="s">
        <v>11</v>
      </c>
    </row>
    <row r="31" spans="2:5" x14ac:dyDescent="0.25">
      <c r="B31" s="202"/>
      <c r="C31" s="203"/>
    </row>
    <row r="32" spans="2:5" ht="15.6" x14ac:dyDescent="0.25">
      <c r="B32" s="182" t="s">
        <v>60</v>
      </c>
      <c r="C32" s="201" t="s">
        <v>11</v>
      </c>
      <c r="E32" s="93" t="s">
        <v>94</v>
      </c>
    </row>
    <row r="33" spans="2:5" x14ac:dyDescent="0.25">
      <c r="B33" s="202"/>
      <c r="C33" s="203"/>
      <c r="E33" s="33" t="s">
        <v>67</v>
      </c>
    </row>
    <row r="34" spans="2:5" ht="15.6" x14ac:dyDescent="0.25">
      <c r="B34" s="182" t="s">
        <v>61</v>
      </c>
      <c r="C34" s="201" t="s">
        <v>11</v>
      </c>
      <c r="E34" s="33" t="s">
        <v>88</v>
      </c>
    </row>
    <row r="35" spans="2:5" ht="15" customHeight="1" x14ac:dyDescent="0.25">
      <c r="B35" s="202"/>
      <c r="C35" s="203"/>
      <c r="E35" s="33" t="s">
        <v>68</v>
      </c>
    </row>
    <row r="36" spans="2:5" ht="15.6" x14ac:dyDescent="0.25">
      <c r="B36" s="182" t="s">
        <v>393</v>
      </c>
      <c r="C36" s="201" t="s">
        <v>11</v>
      </c>
      <c r="D36" s="45"/>
      <c r="E36" s="33" t="s">
        <v>87</v>
      </c>
    </row>
    <row r="37" spans="2:5" ht="13.8" thickBot="1" x14ac:dyDescent="0.3">
      <c r="B37" s="204"/>
      <c r="C37" s="205"/>
      <c r="D37" s="45"/>
      <c r="E37" s="94"/>
    </row>
    <row r="38" spans="2:5" ht="16.5" customHeight="1" thickBot="1" x14ac:dyDescent="0.3">
      <c r="B38" s="15"/>
      <c r="C38" s="15"/>
      <c r="E38" s="93" t="str">
        <f>'EPA Regional Contact Info'!A4</f>
        <v>State</v>
      </c>
    </row>
    <row r="39" spans="2:5" ht="12.75" customHeight="1" x14ac:dyDescent="0.25">
      <c r="B39" s="385" t="s">
        <v>128</v>
      </c>
      <c r="C39" s="386"/>
      <c r="E39" s="127" t="str">
        <f>'EPA Regional Contact Info'!A5</f>
        <v>Alabama</v>
      </c>
    </row>
    <row r="40" spans="2:5" ht="27" customHeight="1" x14ac:dyDescent="0.25">
      <c r="B40" s="183" t="s">
        <v>419</v>
      </c>
      <c r="C40" s="280" t="s">
        <v>85</v>
      </c>
      <c r="E40" s="127" t="str">
        <f>'EPA Regional Contact Info'!A6</f>
        <v>Alaska</v>
      </c>
    </row>
    <row r="41" spans="2:5" ht="27" customHeight="1" x14ac:dyDescent="0.25">
      <c r="B41" s="183" t="s">
        <v>453</v>
      </c>
      <c r="C41" s="310">
        <v>0</v>
      </c>
      <c r="E41" s="127" t="str">
        <f>'EPA Regional Contact Info'!A7</f>
        <v>Arizona</v>
      </c>
    </row>
    <row r="42" spans="2:5" ht="33.75" customHeight="1" x14ac:dyDescent="0.25">
      <c r="B42" s="183" t="s">
        <v>454</v>
      </c>
      <c r="C42" s="310">
        <v>0</v>
      </c>
      <c r="E42" s="127" t="str">
        <f>'EPA Regional Contact Info'!A8</f>
        <v>Arkansas</v>
      </c>
    </row>
    <row r="43" spans="2:5" ht="27.75" customHeight="1" thickBot="1" x14ac:dyDescent="0.3">
      <c r="B43" s="184" t="s">
        <v>417</v>
      </c>
      <c r="C43" s="188">
        <v>0</v>
      </c>
      <c r="E43" s="127" t="str">
        <f>'EPA Regional Contact Info'!A9</f>
        <v>California</v>
      </c>
    </row>
    <row r="44" spans="2:5" ht="25.5" customHeight="1" thickBot="1" x14ac:dyDescent="0.3">
      <c r="B44" s="146"/>
      <c r="C44" s="108"/>
      <c r="E44" s="127" t="str">
        <f>'EPA Regional Contact Info'!A10</f>
        <v>Colorado</v>
      </c>
    </row>
    <row r="45" spans="2:5" ht="18.75" customHeight="1" x14ac:dyDescent="0.25">
      <c r="B45" s="378" t="s">
        <v>127</v>
      </c>
      <c r="C45" s="379"/>
      <c r="E45" s="127" t="str">
        <f>'EPA Regional Contact Info'!A11</f>
        <v>Connecticut</v>
      </c>
    </row>
    <row r="46" spans="2:5" ht="15.75" customHeight="1" thickBot="1" x14ac:dyDescent="0.3">
      <c r="B46" s="181" t="s">
        <v>420</v>
      </c>
      <c r="C46" s="188" t="s">
        <v>67</v>
      </c>
      <c r="E46" s="127" t="str">
        <f>'EPA Regional Contact Info'!A12</f>
        <v>Florida</v>
      </c>
    </row>
    <row r="47" spans="2:5" ht="15.75" customHeight="1" thickBot="1" x14ac:dyDescent="0.3">
      <c r="C47" s="95"/>
      <c r="E47" s="127" t="str">
        <f>'EPA Regional Contact Info'!A13</f>
        <v>Georgia</v>
      </c>
    </row>
    <row r="48" spans="2:5" ht="15.75" customHeight="1" x14ac:dyDescent="0.25">
      <c r="B48" s="378" t="s">
        <v>86</v>
      </c>
      <c r="C48" s="379"/>
      <c r="E48" s="127" t="str">
        <f>'EPA Regional Contact Info'!A14</f>
        <v>Hawaii</v>
      </c>
    </row>
    <row r="49" spans="2:5" ht="33.75" customHeight="1" x14ac:dyDescent="0.25">
      <c r="B49" s="376" t="s">
        <v>472</v>
      </c>
      <c r="C49" s="377"/>
      <c r="E49" s="127" t="str">
        <f>'EPA Regional Contact Info'!A15</f>
        <v>Idaho</v>
      </c>
    </row>
    <row r="50" spans="2:5" ht="31.5" customHeight="1" x14ac:dyDescent="0.25">
      <c r="B50" s="179" t="s">
        <v>421</v>
      </c>
      <c r="C50" s="280">
        <v>0</v>
      </c>
      <c r="E50" s="127" t="str">
        <f>'EPA Regional Contact Info'!A16</f>
        <v>Illinois</v>
      </c>
    </row>
    <row r="51" spans="2:5" ht="27" customHeight="1" x14ac:dyDescent="0.25">
      <c r="B51" s="180" t="s">
        <v>418</v>
      </c>
      <c r="C51" s="281" t="s">
        <v>67</v>
      </c>
      <c r="E51" s="127" t="str">
        <f>'EPA Regional Contact Info'!A17</f>
        <v>Indiana</v>
      </c>
    </row>
    <row r="52" spans="2:5" ht="32.25" customHeight="1" x14ac:dyDescent="0.25">
      <c r="B52" s="273" t="str">
        <f>IF(Heater_Fuel&lt;&gt;"Natural Gas","Enter the volume of oil combusted in your heater in calendar year 2012. (in 1000 gal; for example if you combusted 1,000 gallons of oil in your heater, you should enter 1)","Enter the volume of natural gas combusted in your heater in calendar year 2012. (in MMscf)")</f>
        <v>Enter the volume of natural gas combusted in your heater in calendar year 2012. (in MMscf)</v>
      </c>
      <c r="C52" s="281">
        <v>0</v>
      </c>
      <c r="E52" s="127" t="str">
        <f>'EPA Regional Contact Info'!A18</f>
        <v>Iowa</v>
      </c>
    </row>
    <row r="53" spans="2:5" ht="31.5" customHeight="1" x14ac:dyDescent="0.25">
      <c r="B53" s="179" t="str">
        <f>IF(Heater_Fuel&lt;&gt;"Natural Gas","What is the sulfur content (in %) of this fuel? (Enter 0 if unknown)","What is the sulfur content (grains/100 scf) of the natural gas? (Enter 0 if unknown)")</f>
        <v>What is the sulfur content (grains/100 scf) of the natural gas? (Enter 0 if unknown)</v>
      </c>
      <c r="C53" s="280">
        <v>0</v>
      </c>
      <c r="E53" s="127" t="str">
        <f>'EPA Regional Contact Info'!A19</f>
        <v>Kansas</v>
      </c>
    </row>
    <row r="54" spans="2:5" ht="23.25" customHeight="1" thickBot="1" x14ac:dyDescent="0.3">
      <c r="B54" s="274" t="str">
        <f>IF(Heater_Fuel&lt;&gt;"Natural Gas","Actual oil sulfur content (%wt):","Actual natural gas sulfur content (grains/100 scf):")</f>
        <v>Actual natural gas sulfur content (grains/100 scf):</v>
      </c>
      <c r="C54" s="309">
        <f>IF(Heater_Fuel_Sulfur_Content=0,IF(Heater_Fuel="Natural Gas",Natural_Gas_Unc_Sulfur_Content,IF(Heater_Fuel="Oil - Residual",Oil_Residual_Uncontrolled_Sulfur_Content,IF(Heater_Fuel="Oil - Distillate",Oil_Distillate_Registration_Sulfur_Content,IF(Heater_Fuel="Waste Oil",Waste_Oil_Unc_Sulfur_Content,Heater_Fuel_Sulfur_Content)))))</f>
        <v>0.2</v>
      </c>
      <c r="E54" s="127" t="str">
        <f>'EPA Regional Contact Info'!A20</f>
        <v>Kentucky</v>
      </c>
    </row>
    <row r="55" spans="2:5" ht="27" customHeight="1" x14ac:dyDescent="0.25">
      <c r="D55" s="45"/>
      <c r="E55" s="127" t="str">
        <f>'EPA Regional Contact Info'!A21</f>
        <v>Louisiana</v>
      </c>
    </row>
    <row r="56" spans="2:5" ht="20.25" customHeight="1" x14ac:dyDescent="0.25">
      <c r="D56" s="45"/>
      <c r="E56" s="127" t="str">
        <f>'EPA Regional Contact Info'!A22</f>
        <v>Maine</v>
      </c>
    </row>
    <row r="57" spans="2:5" ht="15.75" customHeight="1" x14ac:dyDescent="0.25">
      <c r="B57" s="185"/>
      <c r="C57" s="186"/>
      <c r="E57" s="127" t="str">
        <f>'EPA Regional Contact Info'!A23</f>
        <v>Massachusetts</v>
      </c>
    </row>
    <row r="58" spans="2:5" ht="16.5" customHeight="1" x14ac:dyDescent="0.25">
      <c r="B58" s="185"/>
      <c r="C58" s="186"/>
      <c r="E58" s="127" t="str">
        <f>'EPA Regional Contact Info'!A24</f>
        <v>Michigan</v>
      </c>
    </row>
    <row r="59" spans="2:5" ht="16.5" customHeight="1" x14ac:dyDescent="0.25">
      <c r="B59" s="187"/>
      <c r="C59" s="186"/>
      <c r="E59" s="127" t="str">
        <f>'EPA Regional Contact Info'!A25</f>
        <v>Minnesota</v>
      </c>
    </row>
    <row r="60" spans="2:5" ht="20.25" customHeight="1" x14ac:dyDescent="0.25">
      <c r="B60" s="187"/>
      <c r="C60" s="186"/>
      <c r="E60" s="127" t="str">
        <f>'EPA Regional Contact Info'!A26</f>
        <v>Mississippi</v>
      </c>
    </row>
    <row r="61" spans="2:5" x14ac:dyDescent="0.25">
      <c r="E61" s="127" t="str">
        <f>'EPA Regional Contact Info'!A27</f>
        <v>Missouri</v>
      </c>
    </row>
    <row r="62" spans="2:5" ht="25.5" customHeight="1" x14ac:dyDescent="0.25">
      <c r="E62" s="127" t="str">
        <f>'EPA Regional Contact Info'!A28</f>
        <v>Montana</v>
      </c>
    </row>
    <row r="63" spans="2:5" ht="20.25" customHeight="1" x14ac:dyDescent="0.25">
      <c r="E63" s="127" t="str">
        <f>'EPA Regional Contact Info'!A29</f>
        <v>Nebraska</v>
      </c>
    </row>
    <row r="64" spans="2:5" ht="25.5" customHeight="1" x14ac:dyDescent="0.25">
      <c r="E64" s="127" t="str">
        <f>'EPA Regional Contact Info'!A30</f>
        <v>Nevada</v>
      </c>
    </row>
    <row r="65" spans="4:5" ht="26.25" customHeight="1" x14ac:dyDescent="0.25">
      <c r="E65" s="127" t="str">
        <f>'EPA Regional Contact Info'!A31</f>
        <v>New Hampshire</v>
      </c>
    </row>
    <row r="66" spans="4:5" ht="24.75" customHeight="1" x14ac:dyDescent="0.25">
      <c r="E66" s="127" t="str">
        <f>'EPA Regional Contact Info'!A32</f>
        <v>New Jersey</v>
      </c>
    </row>
    <row r="67" spans="4:5" ht="27" customHeight="1" x14ac:dyDescent="0.25">
      <c r="E67" s="127" t="str">
        <f>'EPA Regional Contact Info'!A33</f>
        <v>New Mexico</v>
      </c>
    </row>
    <row r="68" spans="4:5" ht="28.5" customHeight="1" x14ac:dyDescent="0.25">
      <c r="E68" s="127" t="str">
        <f>'EPA Regional Contact Info'!A34</f>
        <v>New York</v>
      </c>
    </row>
    <row r="69" spans="4:5" ht="24.75" customHeight="1" x14ac:dyDescent="0.25">
      <c r="E69" s="127" t="str">
        <f>'EPA Regional Contact Info'!A35</f>
        <v>North Carolina</v>
      </c>
    </row>
    <row r="70" spans="4:5" ht="29.25" customHeight="1" x14ac:dyDescent="0.25">
      <c r="E70" s="127" t="str">
        <f>'EPA Regional Contact Info'!A36</f>
        <v>North Dakota</v>
      </c>
    </row>
    <row r="71" spans="4:5" ht="33" customHeight="1" x14ac:dyDescent="0.25">
      <c r="E71" s="127" t="str">
        <f>'EPA Regional Contact Info'!A37</f>
        <v>Ohio</v>
      </c>
    </row>
    <row r="72" spans="4:5" ht="37.5" customHeight="1" x14ac:dyDescent="0.25">
      <c r="E72" s="127" t="str">
        <f>'EPA Regional Contact Info'!A38</f>
        <v>Oklahoma</v>
      </c>
    </row>
    <row r="73" spans="4:5" ht="31.5" customHeight="1" x14ac:dyDescent="0.25">
      <c r="E73" s="127" t="str">
        <f>'EPA Regional Contact Info'!A39</f>
        <v>Oregon</v>
      </c>
    </row>
    <row r="74" spans="4:5" ht="34.5" customHeight="1" x14ac:dyDescent="0.25">
      <c r="E74" s="127" t="str">
        <f>'EPA Regional Contact Info'!A40</f>
        <v>Rhode Island</v>
      </c>
    </row>
    <row r="75" spans="4:5" ht="45.75" customHeight="1" x14ac:dyDescent="0.25">
      <c r="E75" s="127" t="str">
        <f>'EPA Regional Contact Info'!A41</f>
        <v>South Carolina</v>
      </c>
    </row>
    <row r="76" spans="4:5" ht="29.25" customHeight="1" x14ac:dyDescent="0.25">
      <c r="E76" s="127" t="str">
        <f>'EPA Regional Contact Info'!A42</f>
        <v>South Dakota</v>
      </c>
    </row>
    <row r="77" spans="4:5" ht="12.75" customHeight="1" x14ac:dyDescent="0.25">
      <c r="D77" s="96"/>
      <c r="E77" s="127" t="str">
        <f>'EPA Regional Contact Info'!A43</f>
        <v>Tennessee</v>
      </c>
    </row>
    <row r="78" spans="4:5" ht="30" customHeight="1" x14ac:dyDescent="0.25">
      <c r="D78" s="96"/>
      <c r="E78" s="127" t="str">
        <f>'EPA Regional Contact Info'!A44</f>
        <v>Texas</v>
      </c>
    </row>
    <row r="79" spans="4:5" ht="27" customHeight="1" x14ac:dyDescent="0.25">
      <c r="D79" s="96"/>
      <c r="E79" s="127" t="str">
        <f>'EPA Regional Contact Info'!A45</f>
        <v>Utah</v>
      </c>
    </row>
    <row r="80" spans="4:5" x14ac:dyDescent="0.25">
      <c r="D80" s="96"/>
      <c r="E80" s="127" t="str">
        <f>'EPA Regional Contact Info'!A46</f>
        <v>Vermont</v>
      </c>
    </row>
    <row r="81" spans="4:5" x14ac:dyDescent="0.25">
      <c r="D81" s="96"/>
      <c r="E81" s="127" t="str">
        <f>'EPA Regional Contact Info'!A47</f>
        <v>Washington</v>
      </c>
    </row>
    <row r="82" spans="4:5" x14ac:dyDescent="0.25">
      <c r="D82" s="96"/>
      <c r="E82" s="127" t="str">
        <f>'EPA Regional Contact Info'!A48</f>
        <v>Wisconsin</v>
      </c>
    </row>
    <row r="83" spans="4:5" ht="12.75" customHeight="1" x14ac:dyDescent="0.25">
      <c r="E83" s="127" t="str">
        <f>'EPA Regional Contact Info'!A49</f>
        <v>Wyoming</v>
      </c>
    </row>
  </sheetData>
  <sheetProtection password="C969" sheet="1" objects="1" scenarios="1"/>
  <dataConsolidate/>
  <mergeCells count="8">
    <mergeCell ref="B49:C49"/>
    <mergeCell ref="B48:C48"/>
    <mergeCell ref="B15:C15"/>
    <mergeCell ref="B45:C45"/>
    <mergeCell ref="B3:C3"/>
    <mergeCell ref="B10:C10"/>
    <mergeCell ref="B27:C27"/>
    <mergeCell ref="B39:C39"/>
  </mergeCells>
  <conditionalFormatting sqref="B52:C53">
    <cfRule type="expression" dxfId="10" priority="2">
      <formula>$C$51="Electricity"</formula>
    </cfRule>
  </conditionalFormatting>
  <conditionalFormatting sqref="B54:C54">
    <cfRule type="expression" dxfId="9" priority="1">
      <formula>$C$51="Electricity"</formula>
    </cfRule>
  </conditionalFormatting>
  <dataValidations xWindow="733" yWindow="480" count="17">
    <dataValidation type="list" allowBlank="1" showInputMessage="1" showErrorMessage="1" promptTitle="Mix Operation" prompt="If your facility used a continuously operating mix in 2012, select Drum Mix. If your facility measured out a specified amount  of material and then mixed it in 2012, select Batch Mix." sqref="C40">
      <formula1>Facility_Type_List</formula1>
    </dataValidation>
    <dataValidation type="decimal" allowBlank="1" showInputMessage="1" showErrorMessage="1" error="Sulfur content must be a percentage between 0 and 100." promptTitle="Fuel Sulfur Content" prompt="Sulfur content of the fuel. If 0 is entered in the field above, a default value will be used to estimate actual emissions." sqref="C54">
      <formula1>0</formula1>
      <formula2>100</formula2>
    </dataValidation>
    <dataValidation type="decimal" allowBlank="1" showInputMessage="1" showErrorMessage="1" error="Hours of operation per week must be a number between 0 and 168." prompt="Enter an estimate of the average number of hours per week that your facility mixes asphalt." sqref="C44">
      <formula1>0</formula1>
      <formula2>168</formula2>
    </dataValidation>
    <dataValidation type="list" allowBlank="1" showInputMessage="1" showErrorMessage="1" promptTitle="Heater Fuel" prompt="Use the drop-down list to select the fuel used for your facility's heater in 2012." sqref="C51">
      <formula1>Heater_Fuel_List</formula1>
    </dataValidation>
    <dataValidation allowBlank="1" showInputMessage="1" showErrorMessage="1" promptTitle="Average Asphalt Production Rate" prompt="Enter an estimate of the average tons of hot mix asphalt that your facility produced per hour in 2012." sqref="C41"/>
    <dataValidation type="decimal" allowBlank="1" showInputMessage="1" showErrorMessage="1" errorTitle="Value Out of Range" error="Sulfur content must be a percentage between 0 and 100." promptTitle="Fuel Sulfur Content" prompt="Enter the sulfur content of the fuel, if you have this information. If you do not, enter 0. " sqref="C53">
      <formula1>0</formula1>
      <formula2>100</formula2>
    </dataValidation>
    <dataValidation type="list" allowBlank="1" showInputMessage="1" showErrorMessage="1" promptTitle="Dryer Fuel" prompt="Use the drop-down list to select the fuel used for your facility's dryer in 2012." sqref="C46">
      <formula1>Dryer_Fuel_List</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sqref="C36">
      <formula1>SO2_PM25_Attainment_List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SO2 Attainment Status" prompt="Select the SO2 attainment status of the air basin in which your facility is located." sqref="C32">
      <formula1>SO2_PM25_Attainment_List</formula1>
    </dataValidation>
    <dataValidation allowBlank="1" showInputMessage="1" showErrorMessage="1" promptTitle="Heater Capacity" prompt="Enter the capacity of your heater in million British thermal units per hour (MMBtu/hr)." sqref="C50"/>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type="decimal" allowBlank="1" showInputMessage="1" showErrorMessage="1" error="Hours of operation per week must be a number between 0 and 168." promptTitle="Operational Hours in 2012" prompt="Enter an estimate of the average number of hours per week that your facility mixed asphalt in 2012." sqref="C43">
      <formula1>0</formula1>
      <formula2>168</formula2>
    </dataValidation>
    <dataValidation allowBlank="1" showInputMessage="1" showErrorMessage="1" promptTitle="Heater Fuel Consumption in 2012" prompt="Enter the quantity of fuel combusted in your heater in calendar year 2012. The units should match the units listed in cell B51._x000a__x000a_MMscf = million standard cubic feet_x000a_1000 gal = thousand gallons" sqref="C52"/>
    <dataValidation type="decimal" operator="greaterThanOrEqual" allowBlank="1" showInputMessage="1" showErrorMessage="1" errorTitle="Value Out of Range" error="Maximum hourly asphalt production capacity must be greater than or equal to the average hourly asphalt production rate entered above." promptTitle="Max Asphalt Production Capacity" prompt="Enter an estimate of the maximum tons of hot mix asphalt that your facility could have produced per hour in 2012." sqref="C42">
      <formula1>Hourly_Production_Average</formula1>
    </dataValidation>
  </dataValidations>
  <pageMargins left="0.7" right="0.7" top="0.75" bottom="0.75" header="0.3" footer="0.3"/>
  <pageSetup scale="67" orientation="landscape" r:id="rId1"/>
  <headerFooter>
    <oddFooter>&amp;LPage &amp;P of &amp;N&amp;C&amp;F&amp;RPrinted &amp;D</oddFooter>
  </headerFooter>
  <rowBreaks count="1" manualBreakCount="1">
    <brk id="47" max="2" man="1"/>
  </rowBreaks>
  <ignoredErrors>
    <ignoredError sqref="C5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
  <sheetViews>
    <sheetView showGridLines="0" zoomScaleNormal="100" workbookViewId="0"/>
  </sheetViews>
  <sheetFormatPr defaultColWidth="9.109375" defaultRowHeight="13.2" x14ac:dyDescent="0.25"/>
  <cols>
    <col min="1" max="1" width="2.5546875" style="14" customWidth="1"/>
    <col min="2" max="2" width="48" style="14" customWidth="1"/>
    <col min="3" max="11" width="9.109375" style="14"/>
    <col min="12" max="12" width="26.109375" style="14" hidden="1" customWidth="1"/>
    <col min="13" max="16384" width="9.109375" style="14"/>
  </cols>
  <sheetData>
    <row r="1" spans="2:12" ht="17.399999999999999" x14ac:dyDescent="0.3">
      <c r="B1" s="178" t="s">
        <v>392</v>
      </c>
    </row>
    <row r="2" spans="2:12" ht="13.8" thickBot="1" x14ac:dyDescent="0.3"/>
    <row r="3" spans="2:12" s="279" customFormat="1" ht="13.8" thickBot="1" x14ac:dyDescent="0.3">
      <c r="B3" s="345" t="s">
        <v>455</v>
      </c>
      <c r="C3" s="346"/>
      <c r="D3" s="346"/>
      <c r="E3" s="346"/>
      <c r="F3" s="346"/>
      <c r="G3" s="346"/>
      <c r="H3" s="346"/>
      <c r="I3" s="347"/>
      <c r="L3" s="288" t="s">
        <v>457</v>
      </c>
    </row>
    <row r="4" spans="2:12" s="279" customFormat="1" ht="41.25" customHeight="1" x14ac:dyDescent="0.25">
      <c r="B4" s="395" t="s">
        <v>458</v>
      </c>
      <c r="C4" s="396"/>
      <c r="D4" s="396"/>
      <c r="E4" s="396"/>
      <c r="F4" s="397" t="s">
        <v>55</v>
      </c>
      <c r="G4" s="398"/>
      <c r="H4" s="398"/>
      <c r="I4" s="399"/>
      <c r="L4" s="283" t="s">
        <v>54</v>
      </c>
    </row>
    <row r="5" spans="2:12" s="279" customFormat="1" ht="42" customHeight="1" x14ac:dyDescent="0.25">
      <c r="B5" s="400" t="s">
        <v>466</v>
      </c>
      <c r="C5" s="401"/>
      <c r="D5" s="401"/>
      <c r="E5" s="402"/>
      <c r="F5" s="403">
        <v>0</v>
      </c>
      <c r="G5" s="403"/>
      <c r="H5" s="403"/>
      <c r="I5" s="404"/>
      <c r="L5" s="284" t="s">
        <v>55</v>
      </c>
    </row>
    <row r="6" spans="2:12" s="279" customFormat="1" ht="45.75" customHeight="1" thickBot="1" x14ac:dyDescent="0.3">
      <c r="B6" s="405" t="s">
        <v>465</v>
      </c>
      <c r="C6" s="406"/>
      <c r="D6" s="406"/>
      <c r="E6" s="407"/>
      <c r="F6" s="408">
        <v>0</v>
      </c>
      <c r="G6" s="409"/>
      <c r="H6" s="409"/>
      <c r="I6" s="410"/>
    </row>
    <row r="7" spans="2:12" s="279" customFormat="1" ht="15.6" x14ac:dyDescent="0.35">
      <c r="L7" s="288" t="s">
        <v>462</v>
      </c>
    </row>
    <row r="8" spans="2:12" s="279" customFormat="1" ht="13.8" thickBot="1" x14ac:dyDescent="0.3">
      <c r="L8" s="286">
        <f>1-(F6/100)</f>
        <v>1</v>
      </c>
    </row>
    <row r="9" spans="2:12" s="279" customFormat="1" ht="13.8" thickBot="1" x14ac:dyDescent="0.3">
      <c r="B9" s="285" t="s">
        <v>456</v>
      </c>
      <c r="C9" s="300"/>
      <c r="D9" s="301"/>
      <c r="E9" s="301"/>
      <c r="F9" s="301"/>
      <c r="G9" s="301"/>
      <c r="H9" s="301"/>
      <c r="I9" s="302"/>
      <c r="L9" s="289"/>
    </row>
    <row r="10" spans="2:12" s="279" customFormat="1" ht="55.5" customHeight="1" thickBot="1" x14ac:dyDescent="0.4">
      <c r="B10" s="387" t="s">
        <v>471</v>
      </c>
      <c r="C10" s="388"/>
      <c r="D10" s="388"/>
      <c r="E10" s="388"/>
      <c r="F10" s="388"/>
      <c r="G10" s="388"/>
      <c r="H10" s="388"/>
      <c r="I10" s="389"/>
      <c r="L10" s="288" t="s">
        <v>463</v>
      </c>
    </row>
    <row r="11" spans="2:12" ht="38.25" customHeight="1" thickBot="1" x14ac:dyDescent="0.3">
      <c r="B11" s="390" t="s">
        <v>459</v>
      </c>
      <c r="C11" s="391"/>
      <c r="D11" s="391"/>
      <c r="E11" s="392"/>
      <c r="F11" s="393">
        <v>0</v>
      </c>
      <c r="G11" s="393"/>
      <c r="H11" s="393"/>
      <c r="I11" s="394"/>
      <c r="L11" s="286">
        <f>1-F5/100</f>
        <v>1</v>
      </c>
    </row>
    <row r="12" spans="2:12" x14ac:dyDescent="0.25">
      <c r="L12" s="279"/>
    </row>
    <row r="13" spans="2:12" ht="39.6" x14ac:dyDescent="0.25">
      <c r="L13" s="287" t="s">
        <v>460</v>
      </c>
    </row>
    <row r="14" spans="2:12" x14ac:dyDescent="0.25">
      <c r="L14" s="286" t="str">
        <f>IF(F11=0,"not applicable",IF(Facility_Type="Drum Mix",90*F11*0.00000000110231*Production_Hours*52*'Emission Factors'!D10/'Emission Factors'!D9,90*F11*0.00000000110231*Production_Hours*52*'Emission Factors'!D39/'Emission Factors'!D38))</f>
        <v>not applicable</v>
      </c>
    </row>
    <row r="16" spans="2:12" ht="39.6" x14ac:dyDescent="0.25">
      <c r="L16" s="287" t="s">
        <v>461</v>
      </c>
    </row>
    <row r="17" spans="12:12" x14ac:dyDescent="0.25">
      <c r="L17" s="286" t="str">
        <f>IF(F11=0,"not applicable",IF(Facility_Type="Drum Mix",90*F11*0.00000000110231*8760*'Emission Factors'!D10/'Emission Factors'!D9,90*F11*0.00000000110231*8760*'Emission Factors'!D39/'Emission Factors'!D38))</f>
        <v>not applicable</v>
      </c>
    </row>
  </sheetData>
  <sheetProtection password="C969" sheet="1" objects="1" scenarios="1"/>
  <mergeCells count="10">
    <mergeCell ref="B10:I10"/>
    <mergeCell ref="B11:E11"/>
    <mergeCell ref="F11:I11"/>
    <mergeCell ref="B3:I3"/>
    <mergeCell ref="B4:E4"/>
    <mergeCell ref="F4:I4"/>
    <mergeCell ref="B5:E5"/>
    <mergeCell ref="F5:I5"/>
    <mergeCell ref="B6:E6"/>
    <mergeCell ref="F6:I6"/>
  </mergeCells>
  <conditionalFormatting sqref="B5:I6">
    <cfRule type="expression" dxfId="8" priority="17">
      <formula>#REF!="None"</formula>
    </cfRule>
  </conditionalFormatting>
  <dataValidations count="4">
    <dataValidation type="decimal" allowBlank="1" showInputMessage="1" showErrorMessage="1" errorTitle="Value Out of Range" error="Control efficiency must be between 0 and 100." promptTitle="SO2 Control Efficiency" prompt="If your heater was equipped with a SO2 control device in calendar year 2012, enter the control efficiency (% reduction) of the device. If your heater did not have a SO2 control device, enter 0." sqref="F6:I6">
      <formula1>0</formula1>
      <formula2>100</formula2>
    </dataValidation>
    <dataValidation type="decimal" allowBlank="1" showInputMessage="1" showErrorMessage="1" errorTitle="Value Out of Range" error="Control efficiency must be between 0 and 100." promptTitle="NOx Control Efficiency" prompt="If your heater was equipped with a NOx control device in calendar year 2012, enter the control efficiency (% reduction) of the device. If your heater did not have a NOx control device, enter 0." sqref="F5:I5">
      <formula1>0</formula1>
      <formula2>100</formula2>
    </dataValidation>
    <dataValidation type="list" allowBlank="1" showInputMessage="1" showErrorMessage="1" promptTitle="PM Controls" prompt="Select whether your facility used particulate matter control devices on exhaust vents at your facility in calendar year 2012. " sqref="F4:I4">
      <formula1>PM_Control_Yes_No_List</formula1>
    </dataValidation>
    <dataValidation allowBlank="1" showInputMessage="1" showErrorMessage="1" promptTitle="Exhaust Gas Flow Rate" prompt="Enter the flow rate of gas per hour in dry standard cubic meters from your drum or batch mix operations. Enter 0 if unknown or not applicable." sqref="F11:I11"/>
  </dataValidations>
  <pageMargins left="0.7" right="0.7" top="0.75" bottom="0.75" header="0.3" footer="0.3"/>
  <pageSetup scale="85" orientation="landscape"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showGridLines="0" zoomScaleNormal="100" workbookViewId="0"/>
  </sheetViews>
  <sheetFormatPr defaultColWidth="9.109375" defaultRowHeight="13.2" x14ac:dyDescent="0.25"/>
  <cols>
    <col min="1" max="1" width="3.33203125" style="14" customWidth="1"/>
    <col min="2" max="2" width="33.44140625" style="14" bestFit="1" customWidth="1"/>
    <col min="3" max="3" width="16.33203125" style="14" customWidth="1"/>
    <col min="4" max="4" width="15.33203125" style="14" customWidth="1"/>
    <col min="5" max="5" width="15.6640625" style="14" customWidth="1"/>
    <col min="6" max="6" width="15.5546875" style="14" customWidth="1"/>
    <col min="7" max="7" width="15.44140625" style="14" customWidth="1"/>
    <col min="8" max="8" width="16.88671875" style="14" customWidth="1"/>
    <col min="9" max="16384" width="9.109375" style="14"/>
  </cols>
  <sheetData>
    <row r="1" spans="2:11" ht="17.399999999999999" x14ac:dyDescent="0.3">
      <c r="B1" s="178" t="s">
        <v>150</v>
      </c>
    </row>
    <row r="2" spans="2:11" ht="13.8" thickBot="1" x14ac:dyDescent="0.3"/>
    <row r="3" spans="2:11" ht="13.8" thickBot="1" x14ac:dyDescent="0.3">
      <c r="B3" s="411" t="s">
        <v>400</v>
      </c>
      <c r="C3" s="412"/>
      <c r="D3" s="412"/>
      <c r="E3" s="412"/>
      <c r="F3" s="412"/>
      <c r="G3" s="412"/>
      <c r="H3" s="413"/>
    </row>
    <row r="4" spans="2:11" ht="16.2" thickBot="1" x14ac:dyDescent="0.4">
      <c r="B4" s="210" t="s">
        <v>345</v>
      </c>
      <c r="C4" s="211" t="s">
        <v>62</v>
      </c>
      <c r="D4" s="212" t="s">
        <v>63</v>
      </c>
      <c r="E4" s="212" t="s">
        <v>64</v>
      </c>
      <c r="F4" s="212" t="s">
        <v>3</v>
      </c>
      <c r="G4" s="212" t="s">
        <v>65</v>
      </c>
      <c r="H4" s="213" t="s">
        <v>66</v>
      </c>
    </row>
    <row r="5" spans="2:11" x14ac:dyDescent="0.25">
      <c r="B5" s="208" t="s">
        <v>96</v>
      </c>
      <c r="C5" s="214">
        <f>IF(Heater_Fuel = "Electricity",0,Heater_Fuel_Combusted*VLOOKUP(Heater_Fuel&amp;"CO",'Emission Factors'!$C$63:$E$97,2,0)*Production_Hours*52*(1/2000))</f>
        <v>0</v>
      </c>
      <c r="D5" s="214">
        <f>IF(Heater_Fuel = "Electricity", 0, Heater_Fuel_Combusted*VLOOKUP(Heater_Fuel&amp;"NOx",'Emission Factors'!$C$63:$E$97,2,0)*Production_Hours*52*(1/2000))*NOx_Control_Multiplier</f>
        <v>0</v>
      </c>
      <c r="E5" s="214">
        <f>IF(Heater_Fuel = "Electricity", 0, Heater_Fuel_Combusted*VLOOKUP(Heater_Fuel&amp;"SO2",'Emission Factors'!$C$63:$E$97,2,0)*Production_Hours*52*(1/2000))*SO2_Control_Multiplier</f>
        <v>0</v>
      </c>
      <c r="F5" s="214">
        <f>IF(Heater_Fuel = "Electricity", 0, Heater_Fuel_Combusted*VLOOKUP(Heater_Fuel&amp;"VOC",'Emission Factors'!$C$63:$E$97,2,0)*Production_Hours*52*(1/2000))</f>
        <v>0</v>
      </c>
      <c r="G5" s="214">
        <f>IF(Heater_Fuel = "Electricity", 0, Heater_Fuel_Combusted*VLOOKUP(Heater_Fuel&amp;"PM10",'Emission Factors'!$C$63:$E$97,2,0)*Production_Hours*52*(1/2000))</f>
        <v>0</v>
      </c>
      <c r="H5" s="215">
        <f>IF(Heater_Fuel = "Electricity", 0, Heater_Fuel_Combusted*VLOOKUP(Heater_Fuel&amp;"PM2.5",'Emission Factors'!$C$63:$E$97,2,0)*Production_Hours*52*(1/2000))</f>
        <v>0</v>
      </c>
    </row>
    <row r="6" spans="2:11" ht="13.8" thickBot="1" x14ac:dyDescent="0.3">
      <c r="B6" s="209" t="s">
        <v>130</v>
      </c>
      <c r="C6" s="216">
        <f>IF(Facility_Type="Drum Mix",VLOOKUP(Dryer_Fuel&amp;"CO",'Emission Factors'!$C$5:$E$32,2,0)*Hourly_Production_Average*Production_Hours*52*(1/2000),VLOOKUP(Dryer_Fuel&amp;"CO",'Emission Factors'!$C$34:$E$61,2,0)*Hourly_Production_Average*Production_Hours*52*(1/2000))</f>
        <v>0</v>
      </c>
      <c r="D6" s="216">
        <f>IF(Facility_Type="Drum Mix",VLOOKUP(Dryer_Fuel&amp;"NOx",'Emission Factors'!$C$5:$E$32,2,0)*Hourly_Production_Average*Production_Hours*52*(1/2000),VLOOKUP(Dryer_Fuel&amp;"NOx",'Emission Factors'!$C$34:$E$61,2,0)*Hourly_Production_Average*Production_Hours*52*(1/2000))</f>
        <v>0</v>
      </c>
      <c r="E6" s="216">
        <f>IF(Facility_Type="Drum Mix",VLOOKUP(Dryer_Fuel&amp;"SO2",'Emission Factors'!$C$5:$E$32,2,0)*Hourly_Production_Average*Production_Hours*52*(1/2000),VLOOKUP(Dryer_Fuel&amp;"SO2",'Emission Factors'!$C$34:$E$61,2,0)*Hourly_Production_Average*Production_Hours*52*(1/2000))</f>
        <v>0</v>
      </c>
      <c r="F6" s="216">
        <f>IF(Facility_Type="Drum Mix",VLOOKUP(Dryer_Fuel&amp;"VOC",'Emission Factors'!$C$5:$E$32,2,0)*Hourly_Production_Average*Production_Hours*52*(1/2000),VLOOKUP(Dryer_Fuel&amp;"VOC",'Emission Factors'!$C$34:$E$61,2,0)*Hourly_Production_Average*Production_Hours*52*(1/2000))</f>
        <v>0</v>
      </c>
      <c r="G6" s="216">
        <f>IF(G13&lt;IF('Controls and Restrictions'!F4="No",IF(Facility_Type="Drum Mix",VLOOKUP(Dryer_Fuel&amp;"PM10",'Emission Factors'!$C$5:$E$32,2,0)*Hourly_Production_Average*Production_Hours*52*(1/2000),VLOOKUP(Dryer_Fuel&amp;"PM10",'Emission Factors'!$C$34:$E$61,2,0)*Hourly_Production_Average*Production_Hours*52*(1/2000)),IF(Facility_Type="Drum Mix",VLOOKUP(Dryer_Fuel&amp;"PM10",'Emission Factors'!$C$5:$F$32,4,0)*Hourly_Production_Average*Production_Hours*52*(1/2000),VLOOKUP(Dryer_Fuel&amp;"PM10",'Emission Factors'!$C$34:$F$61,4,0)*Hourly_Production_Average*Production_Hours*52*(1/2000))),G13,IF('Controls and Restrictions'!F4="No",IF(Facility_Type="Drum Mix",VLOOKUP(Dryer_Fuel&amp;"PM10",'Emission Factors'!$C$5:$E$32,2,0)*Hourly_Production_Average*Production_Hours*52*(1/2000),VLOOKUP(Dryer_Fuel&amp;"PM10",'Emission Factors'!$C$34:$E$61,2,0)*Hourly_Production_Average*Production_Hours*52*(1/2000)),IF(Facility_Type="Drum Mix",VLOOKUP(Dryer_Fuel&amp;"PM10",'Emission Factors'!$C$5:$F$32,4,0)*Hourly_Production_Average*Production_Hours*52*(1/2000),VLOOKUP(Dryer_Fuel&amp;"PM10",'Emission Factors'!$C$34:$F$61,4,0)*Hourly_Production_Average*Production_Hours*52*(1/2000))))</f>
        <v>0</v>
      </c>
      <c r="H6" s="217">
        <f>IF(H13&lt;IF('Controls and Restrictions'!F4="No",IF(Facility_Type="Drum Mix",VLOOKUP(Dryer_Fuel&amp;"PM2.5",'Emission Factors'!$C$5:$E$32,2,0)*Hourly_Production_Average*Production_Hours*52*(1/2000),VLOOKUP(Dryer_Fuel&amp;"PM2.5",'Emission Factors'!$C$34:$E$61,2,0)*Hourly_Production_Average*Production_Hours*52*(1/2000)),IF(Facility_Type="Drum Mix",VLOOKUP(Dryer_Fuel&amp;"PM2.5",'Emission Factors'!$C$5:$F$32,4,0)*Hourly_Production_Average*Production_Hours*52*(1/2000),VLOOKUP(Dryer_Fuel&amp;"PM2.5",'Emission Factors'!$C$34:$F$61,4,0)*Hourly_Production_Average*Production_Hours*52*(1/2000))),H13,IF('Controls and Restrictions'!F4="No",IF(Facility_Type="Drum Mix",VLOOKUP(Dryer_Fuel&amp;"PM2.5",'Emission Factors'!$C$5:$E$32,2,0)*Hourly_Production_Average*Production_Hours*52*(1/2000),VLOOKUP(Dryer_Fuel&amp;"PM2.5",'Emission Factors'!$C$34:$E$61,2,0)*Hourly_Production_Average*Production_Hours*52*(1/2000)),IF(Facility_Type="Drum Mix",VLOOKUP(Dryer_Fuel&amp;"PM2.5",'Emission Factors'!$C$5:$F$32,4,0)*Hourly_Production_Average*Production_Hours*52*(1/2000),VLOOKUP(Dryer_Fuel&amp;"PM2.5",'Emission Factors'!$C$34:$F$61,4,0)*Hourly_Production_Average*Production_Hours*52*(1/2000))))</f>
        <v>0</v>
      </c>
      <c r="K6" s="271"/>
    </row>
    <row r="7" spans="2:11" ht="13.8" thickBot="1" x14ac:dyDescent="0.3">
      <c r="B7" s="207" t="s">
        <v>358</v>
      </c>
      <c r="C7" s="220">
        <f t="shared" ref="C7:H7" si="0">SUM(C5:C6)</f>
        <v>0</v>
      </c>
      <c r="D7" s="220">
        <f t="shared" si="0"/>
        <v>0</v>
      </c>
      <c r="E7" s="220">
        <f t="shared" si="0"/>
        <v>0</v>
      </c>
      <c r="F7" s="220">
        <f t="shared" si="0"/>
        <v>0</v>
      </c>
      <c r="G7" s="220">
        <f t="shared" si="0"/>
        <v>0</v>
      </c>
      <c r="H7" s="221">
        <f t="shared" si="0"/>
        <v>0</v>
      </c>
    </row>
    <row r="9" spans="2:11" ht="13.8" thickBot="1" x14ac:dyDescent="0.3"/>
    <row r="10" spans="2:11" ht="13.8" thickBot="1" x14ac:dyDescent="0.3">
      <c r="B10" s="411" t="s">
        <v>401</v>
      </c>
      <c r="C10" s="412"/>
      <c r="D10" s="412"/>
      <c r="E10" s="412"/>
      <c r="F10" s="412"/>
      <c r="G10" s="412"/>
      <c r="H10" s="413"/>
    </row>
    <row r="11" spans="2:11" ht="16.2" thickBot="1" x14ac:dyDescent="0.4">
      <c r="B11" s="210" t="s">
        <v>345</v>
      </c>
      <c r="C11" s="212" t="s">
        <v>62</v>
      </c>
      <c r="D11" s="212" t="s">
        <v>63</v>
      </c>
      <c r="E11" s="212" t="s">
        <v>64</v>
      </c>
      <c r="F11" s="212" t="s">
        <v>3</v>
      </c>
      <c r="G11" s="212" t="s">
        <v>65</v>
      </c>
      <c r="H11" s="213" t="s">
        <v>66</v>
      </c>
    </row>
    <row r="12" spans="2:11" x14ac:dyDescent="0.25">
      <c r="B12" s="208" t="s">
        <v>96</v>
      </c>
      <c r="C12" s="214">
        <f>IF(Heater_Fuel = "Electricity", 0, Heater_Capacity*VLOOKUP(Heater_Fuel&amp;"CO",'Emission Factors'!$C$63:$E$97,3,0)*(1/VLOOKUP(Heater_Fuel,'Fuel Energy Content'!$A$12:$B$15,2,0))*8760*(1/2000))</f>
        <v>0</v>
      </c>
      <c r="D12" s="214">
        <f>IF(Heater_Fuel = "Electricity", 0, Heater_Capacity*VLOOKUP(Heater_Fuel&amp;"NOx",'Emission Factors'!$C$63:$E$97,3,0)*(1/VLOOKUP(Heater_Fuel,'Fuel Energy Content'!$A$12:$B$15,2,0))*8760*(1/2000))</f>
        <v>0</v>
      </c>
      <c r="E12" s="214">
        <f>IF(Heater_Fuel = "Electricity", 0, Heater_Capacity*VLOOKUP(Heater_Fuel&amp;"SO2",'Emission Factors'!$C$63:$E$97,3,0)*(1/VLOOKUP(Heater_Fuel,'Fuel Energy Content'!$A$12:$B$15,2,0))*8760*(1/2000))</f>
        <v>0</v>
      </c>
      <c r="F12" s="214">
        <f>IF(Heater_Fuel = "Electricity", 0, Heater_Capacity*VLOOKUP(Heater_Fuel&amp;"VOC",'Emission Factors'!$C$63:$E$97,3,0)*(1/VLOOKUP(Heater_Fuel,'Fuel Energy Content'!$A$12:$B$15,2,0))*8760*(1/2000))</f>
        <v>0</v>
      </c>
      <c r="G12" s="214">
        <f>IF(Heater_Fuel = "Electricity", 0, Heater_Capacity*VLOOKUP(Heater_Fuel&amp;"PM10",'Emission Factors'!$C$63:$E$97,3,0)*(1/VLOOKUP(Heater_Fuel,'Fuel Energy Content'!$A$12:$B$15,2,0))*8760*(1/2000))</f>
        <v>0</v>
      </c>
      <c r="H12" s="215">
        <f>IF(Heater_Fuel = "Electricity", 0, Heater_Capacity*VLOOKUP(Heater_Fuel&amp;"PM2.5",'Emission Factors'!$C$63:$E$97,3,0)*(1/VLOOKUP(Heater_Fuel,'Fuel Energy Content'!$A$12:$B$15,2,0))*8760*(1/2000))</f>
        <v>0</v>
      </c>
    </row>
    <row r="13" spans="2:11" ht="13.8" thickBot="1" x14ac:dyDescent="0.3">
      <c r="B13" s="209" t="s">
        <v>131</v>
      </c>
      <c r="C13" s="216">
        <f>IF(Facility_Type="Drum Mix",VLOOKUP(Dryer_Fuel&amp;"CO",'Emission Factors'!$C$5:$E$32,3,0)*Hourly_Production_Max*8760*(1/2000),VLOOKUP(Dryer_Fuel&amp;"CO",'Emission Factors'!$C$34:$E$61,3,0)*Hourly_Production_Max*8760*(1/2000))</f>
        <v>0</v>
      </c>
      <c r="D13" s="216">
        <f>IF(Facility_Type="Drum Mix",VLOOKUP(Dryer_Fuel&amp;"NOx",'Emission Factors'!$C$5:$E$32,3,0)*Hourly_Production_Max*8760*(1/2000),VLOOKUP(Dryer_Fuel&amp;"NOx",'Emission Factors'!$C$34:$E$61,3,0)*Hourly_Production_Max*8760*(1/2000))</f>
        <v>0</v>
      </c>
      <c r="E13" s="216">
        <f>IF(Facility_Type="Drum Mix",VLOOKUP(Dryer_Fuel&amp;"SO2",'Emission Factors'!$C$5:$E$32,3,0)*Hourly_Production_Max*8760*(1/2000),VLOOKUP(Dryer_Fuel&amp;"SO2",'Emission Factors'!$C$34:$E$61,3,0)*Hourly_Production_Max*8760*(1/2000))</f>
        <v>0</v>
      </c>
      <c r="F13" s="216">
        <f>IF(Facility_Type="Drum Mix",VLOOKUP(Dryer_Fuel&amp;"VOC",'Emission Factors'!$C$5:$E$32,3,0)*Hourly_Production_Max*8760*(1/2000),VLOOKUP(Dryer_Fuel&amp;"VOC",'Emission Factors'!$C$34:$E$61,3,0)*Hourly_Production_Max*8760*(1/2000))</f>
        <v>0</v>
      </c>
      <c r="G13" s="216">
        <f>IF(Allowable_Emission_Restriction="not applicable",IF(Facility_Type="Drum Mix",VLOOKUP(Dryer_Fuel&amp;"PM10",'Emission Factors'!$C$5:$E$32,3,0)*Hourly_Production_Max*8760*(1/2000),VLOOKUP(Dryer_Fuel&amp;"PM10",'Emission Factors'!$C$34:$E$61,3,0)*Hourly_Production_Max*8760*(1/2000)),Allowable_Emission_Restriction)</f>
        <v>0</v>
      </c>
      <c r="H13" s="217">
        <f>IF('Controls and Restrictions'!L17="not applicable",IF(Facility_Type="Drum Mix",VLOOKUP(Dryer_Fuel&amp;"PM2.5",'Emission Factors'!$C$5:$E$32,3,0)*Hourly_Production_Max*8760*(1/2000),VLOOKUP(Dryer_Fuel&amp;"PM2.5",'Emission Factors'!$C$34:$E$61,3,0)*Hourly_Production_Max*8760*(1/2000)),Allowable_Emission_Restriction)</f>
        <v>0</v>
      </c>
    </row>
    <row r="14" spans="2:11" ht="13.8" thickBot="1" x14ac:dyDescent="0.3">
      <c r="B14" s="207" t="s">
        <v>358</v>
      </c>
      <c r="C14" s="218">
        <f t="shared" ref="C14:H14" si="1">SUM(C12:C13)</f>
        <v>0</v>
      </c>
      <c r="D14" s="218">
        <f t="shared" si="1"/>
        <v>0</v>
      </c>
      <c r="E14" s="218">
        <f t="shared" si="1"/>
        <v>0</v>
      </c>
      <c r="F14" s="218">
        <f t="shared" si="1"/>
        <v>0</v>
      </c>
      <c r="G14" s="218">
        <f t="shared" si="1"/>
        <v>0</v>
      </c>
      <c r="H14" s="219">
        <f t="shared" si="1"/>
        <v>0</v>
      </c>
    </row>
  </sheetData>
  <sheetProtection password="C969" sheet="1" objects="1" scenarios="1"/>
  <mergeCells count="2">
    <mergeCell ref="B3:H3"/>
    <mergeCell ref="B10:H10"/>
  </mergeCells>
  <dataValidations xWindow="1110" yWindow="745" count="1">
    <dataValidation allowBlank="1" showInputMessage="1" showErrorMessage="1" prompt="This sheet is intended to summarize the components of your facility's emissions. A summary of total emissions and your registration status is located on the Output-Summary Printout sheet." sqref="B10 B3"/>
  </dataValidations>
  <pageMargins left="0.7" right="0.7" top="0.75" bottom="0.75" header="0.3" footer="0.3"/>
  <pageSetup scale="85" orientation="landscape" r:id="rId1"/>
  <headerFooter>
    <oddFooter>&amp;LPage &amp;P of &amp;N&amp;C&amp;F&amp;RPrinted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Normal="100" workbookViewId="0">
      <selection sqref="A1:XFD1"/>
    </sheetView>
  </sheetViews>
  <sheetFormatPr defaultColWidth="3.33203125" defaultRowHeight="13.2" x14ac:dyDescent="0.25"/>
  <cols>
    <col min="1" max="1" width="16.109375" style="14" customWidth="1"/>
    <col min="2" max="2" width="4.6640625" style="14" customWidth="1"/>
    <col min="3" max="3" width="24.6640625" style="14" customWidth="1"/>
    <col min="4" max="4" width="5.5546875" style="14" customWidth="1"/>
    <col min="5" max="5" width="25.44140625" style="14" customWidth="1"/>
    <col min="6" max="6" width="32.44140625" style="14" customWidth="1"/>
    <col min="7" max="9" width="1.88671875" style="14" customWidth="1"/>
    <col min="10" max="10" width="3.109375" style="14" customWidth="1"/>
    <col min="11" max="11" width="16.6640625" style="46" hidden="1" customWidth="1"/>
    <col min="12" max="12" width="16.6640625" style="241" hidden="1" customWidth="1"/>
    <col min="13" max="13" width="18" style="241" hidden="1" customWidth="1"/>
    <col min="14" max="14" width="20.44140625" style="14" customWidth="1"/>
    <col min="15" max="58" width="1.88671875" style="14" customWidth="1"/>
    <col min="59" max="16384" width="3.33203125" style="14"/>
  </cols>
  <sheetData>
    <row r="1" spans="1:13" ht="24.75" customHeight="1" thickBot="1" x14ac:dyDescent="0.3"/>
    <row r="2" spans="1:13" ht="14.25" customHeight="1" x14ac:dyDescent="0.25">
      <c r="A2" s="16"/>
      <c r="B2" s="17"/>
      <c r="C2" s="17"/>
      <c r="D2" s="17"/>
      <c r="E2" s="17"/>
      <c r="F2" s="18"/>
    </row>
    <row r="3" spans="1:13" x14ac:dyDescent="0.25">
      <c r="A3" s="19" t="s">
        <v>31</v>
      </c>
      <c r="B3" s="148" t="str">
        <f>"  "&amp;Inputs!C4</f>
        <v xml:space="preserve">  Acme Hot Mix Asphalt</v>
      </c>
      <c r="C3" s="148"/>
      <c r="E3" s="242" t="str">
        <f>"Facility Contact:"&amp;"  "&amp;Inputs!C11</f>
        <v>Facility Contact:  John Doe</v>
      </c>
      <c r="F3" s="20"/>
    </row>
    <row r="4" spans="1:13" ht="14.25" customHeight="1" x14ac:dyDescent="0.25">
      <c r="A4" s="19" t="s">
        <v>32</v>
      </c>
      <c r="B4" s="148" t="str">
        <f>"  "&amp;Inputs!C5</f>
        <v xml:space="preserve">  101 Acme Way</v>
      </c>
      <c r="C4" s="148"/>
      <c r="E4" s="242" t="str">
        <f>"              Phone:"&amp;"  "&amp;Inputs!C12</f>
        <v xml:space="preserve">              Phone:  555-555-5555</v>
      </c>
      <c r="F4" s="20"/>
    </row>
    <row r="5" spans="1:13" x14ac:dyDescent="0.25">
      <c r="A5" s="21"/>
      <c r="B5" s="148" t="str">
        <f>"  "&amp;Inputs!C6&amp;", "&amp;VLOOKUP(Inputs!C7,'EPA Regional Contact Info'!$A$5:$B$49,2,FALSE)&amp;" "&amp;Inputs!C8</f>
        <v xml:space="preserve">  Albuquerque, NM 87101</v>
      </c>
      <c r="C5" s="148"/>
      <c r="E5" s="242" t="str">
        <f>"               Email:"&amp;"  "&amp;Inputs!C13</f>
        <v xml:space="preserve">               Email:  john.doe@acme.com</v>
      </c>
      <c r="F5" s="20"/>
    </row>
    <row r="6" spans="1:13" ht="13.8" thickBot="1" x14ac:dyDescent="0.3">
      <c r="A6" s="27"/>
      <c r="B6" s="28"/>
      <c r="C6" s="28"/>
      <c r="D6" s="28"/>
      <c r="E6" s="28"/>
      <c r="F6" s="29"/>
    </row>
    <row r="7" spans="1:13" ht="18" customHeight="1" thickBot="1" x14ac:dyDescent="0.3">
      <c r="A7" s="426" t="s">
        <v>133</v>
      </c>
      <c r="B7" s="427"/>
      <c r="C7" s="427"/>
      <c r="D7" s="427"/>
      <c r="E7" s="427"/>
      <c r="F7" s="428"/>
    </row>
    <row r="8" spans="1:13" ht="15.75" customHeight="1" x14ac:dyDescent="0.25">
      <c r="A8" s="429" t="s">
        <v>0</v>
      </c>
      <c r="B8" s="432" t="s">
        <v>396</v>
      </c>
      <c r="C8" s="433"/>
      <c r="D8" s="50"/>
      <c r="E8" s="308"/>
      <c r="F8" s="30" t="s">
        <v>14</v>
      </c>
      <c r="K8" s="434" t="s">
        <v>397</v>
      </c>
      <c r="L8" s="25" t="s">
        <v>13</v>
      </c>
      <c r="M8" s="435" t="s">
        <v>398</v>
      </c>
    </row>
    <row r="9" spans="1:13" x14ac:dyDescent="0.25">
      <c r="A9" s="430"/>
      <c r="B9" s="432"/>
      <c r="C9" s="433"/>
      <c r="D9" s="436" t="s">
        <v>399</v>
      </c>
      <c r="E9" s="437"/>
      <c r="F9" s="30" t="s">
        <v>151</v>
      </c>
      <c r="K9" s="434"/>
      <c r="L9" s="25" t="s">
        <v>151</v>
      </c>
      <c r="M9" s="435"/>
    </row>
    <row r="10" spans="1:13" ht="13.8" thickBot="1" x14ac:dyDescent="0.3">
      <c r="A10" s="431"/>
      <c r="B10" s="438" t="s">
        <v>1</v>
      </c>
      <c r="C10" s="439"/>
      <c r="D10" s="440" t="s">
        <v>1</v>
      </c>
      <c r="E10" s="441"/>
      <c r="F10" s="22" t="s">
        <v>1</v>
      </c>
      <c r="K10" s="434"/>
      <c r="L10" s="243" t="s">
        <v>1</v>
      </c>
      <c r="M10" s="435"/>
    </row>
    <row r="11" spans="1:13" ht="5.25" customHeight="1" x14ac:dyDescent="0.25">
      <c r="A11" s="65"/>
      <c r="B11" s="66"/>
      <c r="C11" s="244"/>
      <c r="D11" s="67"/>
      <c r="E11" s="245"/>
      <c r="F11" s="68"/>
      <c r="L11" s="246"/>
    </row>
    <row r="12" spans="1:13" x14ac:dyDescent="0.25">
      <c r="A12" s="247" t="s">
        <v>62</v>
      </c>
      <c r="B12" s="47"/>
      <c r="C12" s="248">
        <f>'Total Emissions'!$C$7</f>
        <v>0</v>
      </c>
      <c r="D12" s="15"/>
      <c r="E12" s="249">
        <f>'Total Emissions'!$C$14</f>
        <v>0</v>
      </c>
      <c r="F12" s="250">
        <f>IF(Inputs!$C$28="Attainment",10,5)</f>
        <v>10</v>
      </c>
      <c r="K12" s="46">
        <f>IF(E12&gt;=F12,1,0)</f>
        <v>0</v>
      </c>
      <c r="L12" s="251">
        <f>IF(Inputs!$C$28="Attainment",250,IF(Inputs!$C$28="Nonattainment - moderate",100,50))</f>
        <v>250</v>
      </c>
      <c r="M12" s="241">
        <f>IF(E12&gt;=L12,1,0)</f>
        <v>0</v>
      </c>
    </row>
    <row r="13" spans="1:13" ht="5.25" customHeight="1" x14ac:dyDescent="0.25">
      <c r="A13" s="252"/>
      <c r="B13" s="69"/>
      <c r="C13" s="248"/>
      <c r="D13" s="253"/>
      <c r="E13" s="254"/>
      <c r="F13" s="250"/>
      <c r="L13" s="251"/>
    </row>
    <row r="14" spans="1:13" ht="15.75" customHeight="1" x14ac:dyDescent="0.35">
      <c r="A14" s="247" t="s">
        <v>63</v>
      </c>
      <c r="B14" s="47"/>
      <c r="C14" s="248">
        <f>'Total Emissions'!$D$7</f>
        <v>0</v>
      </c>
      <c r="D14" s="15"/>
      <c r="E14" s="249">
        <f>'Total Emissions'!$D$14</f>
        <v>0</v>
      </c>
      <c r="F14" s="250">
        <f>IF(Inputs!$C$30="Attainment",10,5)</f>
        <v>10</v>
      </c>
      <c r="K14" s="46">
        <f t="shared" ref="K14:K22" si="0">IF(E14&gt;=F14,1,0)</f>
        <v>0</v>
      </c>
      <c r="L14" s="251">
        <f>IF(Inputs!$C$30="Attainment",250,IF(Inputs!$C$30="Nonattainment - marginal",100,IF(Inputs!$C$30="Nonattainment - moderate",100,IF(Inputs!$C$30="Nonattainment - serious",50,IF(Inputs!$C$30="Nonattainment - severe",25,10)))))</f>
        <v>250</v>
      </c>
      <c r="M14" s="241">
        <f t="shared" ref="M14:M22" si="1">IF(E14&gt;=L14,1,0)</f>
        <v>0</v>
      </c>
    </row>
    <row r="15" spans="1:13" ht="5.25" customHeight="1" x14ac:dyDescent="0.25">
      <c r="A15" s="252"/>
      <c r="B15" s="69"/>
      <c r="C15" s="248"/>
      <c r="D15" s="15"/>
      <c r="E15" s="255"/>
      <c r="F15" s="250"/>
      <c r="L15" s="251"/>
    </row>
    <row r="16" spans="1:13" ht="15.6" x14ac:dyDescent="0.35">
      <c r="A16" s="247" t="s">
        <v>64</v>
      </c>
      <c r="B16" s="47"/>
      <c r="C16" s="248">
        <f>'Total Emissions'!$E$7</f>
        <v>0</v>
      </c>
      <c r="D16" s="15"/>
      <c r="E16" s="249">
        <f>'Total Emissions'!$E$14</f>
        <v>0</v>
      </c>
      <c r="F16" s="250">
        <f>IF(Inputs!$C$32="Attainment",10,5)</f>
        <v>10</v>
      </c>
      <c r="K16" s="46">
        <f t="shared" si="0"/>
        <v>0</v>
      </c>
      <c r="L16" s="251">
        <f>IF(Inputs!$C$32="Attainment",250,100)</f>
        <v>250</v>
      </c>
      <c r="M16" s="241">
        <f t="shared" si="1"/>
        <v>0</v>
      </c>
    </row>
    <row r="17" spans="1:13" ht="5.25" customHeight="1" x14ac:dyDescent="0.25">
      <c r="A17" s="256"/>
      <c r="B17" s="48"/>
      <c r="C17" s="248"/>
      <c r="D17" s="15"/>
      <c r="E17" s="255"/>
      <c r="F17" s="250"/>
      <c r="L17" s="251"/>
    </row>
    <row r="18" spans="1:13" x14ac:dyDescent="0.25">
      <c r="A18" s="247" t="s">
        <v>3</v>
      </c>
      <c r="B18" s="47"/>
      <c r="C18" s="248">
        <f>'Total Emissions'!$F$7</f>
        <v>0</v>
      </c>
      <c r="D18" s="15"/>
      <c r="E18" s="249">
        <f>'Total Emissions'!$F$14</f>
        <v>0</v>
      </c>
      <c r="F18" s="250">
        <f>IF(Inputs!$C$30="Attainment",5,2)</f>
        <v>5</v>
      </c>
      <c r="K18" s="46">
        <f t="shared" si="0"/>
        <v>0</v>
      </c>
      <c r="L18" s="251">
        <f>IF(Inputs!$C$30="Attainment",250,IF(Inputs!$C$30="Nonattainment - marginal",100,IF(Inputs!$C$30="Nonattainment - moderate",100,IF(Inputs!$C$30="Nonattainment - serious",50,IF(Inputs!$C$30="Nonattainment - severe",25,10)))))</f>
        <v>250</v>
      </c>
      <c r="M18" s="241">
        <f t="shared" si="1"/>
        <v>0</v>
      </c>
    </row>
    <row r="19" spans="1:13" ht="5.25" customHeight="1" x14ac:dyDescent="0.25">
      <c r="A19" s="257"/>
      <c r="B19" s="70"/>
      <c r="C19" s="248"/>
      <c r="D19" s="15"/>
      <c r="E19" s="255"/>
      <c r="F19" s="250"/>
      <c r="L19" s="251"/>
    </row>
    <row r="20" spans="1:13" ht="15.6" x14ac:dyDescent="0.35">
      <c r="A20" s="247" t="s">
        <v>65</v>
      </c>
      <c r="B20" s="47"/>
      <c r="C20" s="248">
        <f>'Total Emissions'!$G$7</f>
        <v>0</v>
      </c>
      <c r="D20" s="15"/>
      <c r="E20" s="249">
        <f>'Total Emissions'!$G$14</f>
        <v>0</v>
      </c>
      <c r="F20" s="250">
        <f>IF(Inputs!$C$34="Attainment",5,1)</f>
        <v>5</v>
      </c>
      <c r="K20" s="46">
        <f t="shared" si="0"/>
        <v>0</v>
      </c>
      <c r="L20" s="251">
        <f>IF(Inputs!$C$34="Attainment",250,IF(Inputs!$C$34="Nonattainment - moderate",100,70))</f>
        <v>250</v>
      </c>
      <c r="M20" s="241">
        <f t="shared" si="1"/>
        <v>0</v>
      </c>
    </row>
    <row r="21" spans="1:13" ht="5.25" customHeight="1" x14ac:dyDescent="0.25">
      <c r="A21" s="252"/>
      <c r="B21" s="69"/>
      <c r="C21" s="248"/>
      <c r="D21" s="15"/>
      <c r="E21" s="255"/>
      <c r="F21" s="258"/>
      <c r="L21" s="259"/>
    </row>
    <row r="22" spans="1:13" ht="15.6" x14ac:dyDescent="0.35">
      <c r="A22" s="260" t="s">
        <v>66</v>
      </c>
      <c r="B22" s="71"/>
      <c r="C22" s="248">
        <f>'Total Emissions'!$H$7</f>
        <v>0</v>
      </c>
      <c r="D22" s="15"/>
      <c r="E22" s="249">
        <f>'Total Emissions'!$H$14</f>
        <v>0</v>
      </c>
      <c r="F22" s="250">
        <f>IF(Inputs!$C$36="Attainment",3,0.6)</f>
        <v>3</v>
      </c>
      <c r="K22" s="46">
        <f t="shared" si="0"/>
        <v>0</v>
      </c>
      <c r="L22" s="251">
        <f>IF(Inputs!$C$36="Attainment",250,100)</f>
        <v>250</v>
      </c>
      <c r="M22" s="241">
        <f t="shared" si="1"/>
        <v>0</v>
      </c>
    </row>
    <row r="23" spans="1:13" ht="5.25" customHeight="1" x14ac:dyDescent="0.25">
      <c r="A23" s="23"/>
      <c r="B23" s="49"/>
      <c r="C23" s="261"/>
      <c r="D23" s="15"/>
      <c r="E23" s="52"/>
      <c r="F23" s="24"/>
      <c r="L23" s="262"/>
    </row>
    <row r="24" spans="1:13" x14ac:dyDescent="0.25">
      <c r="A24" s="414" t="s">
        <v>30</v>
      </c>
      <c r="B24" s="415"/>
      <c r="C24" s="415"/>
      <c r="D24" s="415"/>
      <c r="E24" s="415"/>
      <c r="F24" s="416"/>
      <c r="L24" s="263"/>
    </row>
    <row r="25" spans="1:13" x14ac:dyDescent="0.25">
      <c r="A25" s="206"/>
      <c r="B25" s="25"/>
      <c r="C25" s="25"/>
      <c r="D25" s="25"/>
      <c r="E25" s="25"/>
      <c r="F25" s="72"/>
      <c r="L25" s="246"/>
    </row>
    <row r="26" spans="1:13" x14ac:dyDescent="0.25">
      <c r="A26" s="21"/>
      <c r="B26" s="15"/>
      <c r="C26" s="73">
        <v>100</v>
      </c>
      <c r="D26" s="13" t="s">
        <v>50</v>
      </c>
      <c r="E26" s="15"/>
      <c r="F26" s="72"/>
      <c r="G26" s="25"/>
      <c r="K26" s="14"/>
      <c r="L26" s="46"/>
    </row>
    <row r="27" spans="1:13" x14ac:dyDescent="0.25">
      <c r="A27" s="21"/>
      <c r="B27" s="15"/>
      <c r="C27" s="26">
        <v>50</v>
      </c>
      <c r="D27" s="13" t="s">
        <v>28</v>
      </c>
      <c r="E27" s="15"/>
      <c r="F27" s="20"/>
      <c r="L27" s="246"/>
    </row>
    <row r="28" spans="1:13" x14ac:dyDescent="0.25">
      <c r="A28" s="21"/>
      <c r="B28" s="15"/>
      <c r="C28" s="26">
        <v>0</v>
      </c>
      <c r="D28" s="13" t="s">
        <v>29</v>
      </c>
      <c r="E28" s="15"/>
      <c r="F28" s="20"/>
    </row>
    <row r="29" spans="1:13" ht="13.8" thickBot="1" x14ac:dyDescent="0.3">
      <c r="A29" s="27"/>
      <c r="B29" s="28"/>
      <c r="C29" s="28"/>
      <c r="D29" s="28"/>
      <c r="E29" s="28"/>
      <c r="F29" s="29"/>
    </row>
    <row r="30" spans="1:13" ht="22.5" customHeight="1" thickBot="1" x14ac:dyDescent="0.3">
      <c r="A30" s="417" t="str">
        <f>IF(OR($M$12=1,$M$14=1,$M$16=1,$M$18=1,$M$20=1,$M$22=1),"PLEASE CONSULT WITH YOUR EPA REGIONAL CONTACT LISTED BELOW",IF(OR(K12=1,K14=1,K16=1,K18=1,K20=1,K22=1),"YOU ARE REQUIRED TO REGISTER YOUR FACILITY UNDER THE TRIBAL NEW SOURCE REVIEW RULE","PLEASE SEE NOTE BELOW"))</f>
        <v>PLEASE SEE NOTE BELOW</v>
      </c>
      <c r="B30" s="418"/>
      <c r="C30" s="418"/>
      <c r="D30" s="418"/>
      <c r="E30" s="418"/>
      <c r="F30" s="419"/>
    </row>
    <row r="31" spans="1:13" x14ac:dyDescent="0.25">
      <c r="A31" s="16"/>
      <c r="B31" s="17"/>
      <c r="C31" s="17"/>
      <c r="D31" s="17"/>
      <c r="E31" s="17"/>
      <c r="F31" s="18"/>
    </row>
    <row r="32" spans="1:13" ht="164.25" customHeight="1" thickBot="1" x14ac:dyDescent="0.3">
      <c r="A32" s="420"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421"/>
      <c r="C32" s="421"/>
      <c r="D32" s="421"/>
      <c r="E32" s="421"/>
      <c r="F32" s="422"/>
    </row>
    <row r="33" spans="1:6" ht="15.75" customHeight="1" thickBot="1" x14ac:dyDescent="0.3">
      <c r="A33" s="423" t="str">
        <f>"U.S. Environmental Protection Agency Region "&amp;VLOOKUP(Inputs!$C$7,'EPA Regional Contact Info'!$A$5:$C$49,3,FALSE)&amp;" Contact"</f>
        <v>U.S. Environmental Protection Agency Region 6 Contact</v>
      </c>
      <c r="B33" s="424"/>
      <c r="C33" s="424"/>
      <c r="D33" s="424"/>
      <c r="E33" s="424"/>
      <c r="F33" s="425"/>
    </row>
    <row r="34" spans="1:6" ht="15.6" x14ac:dyDescent="0.3">
      <c r="A34" s="171"/>
      <c r="B34" s="173" t="s">
        <v>340</v>
      </c>
      <c r="C34" s="264"/>
      <c r="D34" s="265" t="str">
        <f>Inputs!C16</f>
        <v>Bonnie Braganza</v>
      </c>
      <c r="E34" s="264"/>
      <c r="F34" s="172"/>
    </row>
    <row r="35" spans="1:6" ht="15.6" x14ac:dyDescent="0.3">
      <c r="A35" s="165"/>
      <c r="B35" s="174" t="s">
        <v>341</v>
      </c>
      <c r="C35" s="266"/>
      <c r="D35" s="267" t="str">
        <f>Inputs!C22</f>
        <v>U.S. Environmental Protection Agency Region 6</v>
      </c>
      <c r="E35" s="266"/>
      <c r="F35" s="175"/>
    </row>
    <row r="36" spans="1:6" ht="15.6" x14ac:dyDescent="0.3">
      <c r="A36" s="165"/>
      <c r="B36" s="174"/>
      <c r="C36" s="266"/>
      <c r="D36" s="267" t="str">
        <f>Inputs!C23</f>
        <v>1445 Ross Avenue, Suite 1200</v>
      </c>
      <c r="E36" s="266"/>
      <c r="F36" s="175"/>
    </row>
    <row r="37" spans="1:6" ht="15.6" x14ac:dyDescent="0.3">
      <c r="A37" s="165"/>
      <c r="B37" s="174"/>
      <c r="C37" s="266"/>
      <c r="D37" s="267" t="str">
        <f>Inputs!C24</f>
        <v>MC: 6PD</v>
      </c>
      <c r="E37" s="266"/>
      <c r="F37" s="175"/>
    </row>
    <row r="38" spans="1:6" ht="15.6" x14ac:dyDescent="0.3">
      <c r="A38" s="165"/>
      <c r="B38" s="174"/>
      <c r="C38" s="266"/>
      <c r="D38" s="267" t="str">
        <f>Inputs!C25</f>
        <v>Dallas, TX 75202-2733</v>
      </c>
      <c r="E38" s="266"/>
      <c r="F38" s="175"/>
    </row>
    <row r="39" spans="1:6" ht="15.6" x14ac:dyDescent="0.3">
      <c r="A39" s="165"/>
      <c r="B39" s="174"/>
      <c r="C39" s="266"/>
      <c r="D39" s="267"/>
      <c r="E39" s="266"/>
      <c r="F39" s="175"/>
    </row>
    <row r="40" spans="1:6" ht="15.6" x14ac:dyDescent="0.3">
      <c r="A40" s="165"/>
      <c r="B40" s="174" t="s">
        <v>342</v>
      </c>
      <c r="C40" s="266"/>
      <c r="D40" s="267" t="str">
        <f>Inputs!C17</f>
        <v>214-665-7340</v>
      </c>
      <c r="E40" s="266"/>
      <c r="F40" s="175"/>
    </row>
    <row r="41" spans="1:6" ht="15.6" x14ac:dyDescent="0.3">
      <c r="A41" s="165"/>
      <c r="B41" s="174" t="s">
        <v>33</v>
      </c>
      <c r="C41" s="266"/>
      <c r="D41" s="267" t="str">
        <f>Inputs!C18</f>
        <v>braganza.bonnie@epa.gov</v>
      </c>
      <c r="E41" s="266"/>
      <c r="F41" s="175"/>
    </row>
    <row r="42" spans="1:6" ht="13.8" thickBot="1" x14ac:dyDescent="0.3">
      <c r="A42" s="166"/>
      <c r="B42" s="176"/>
      <c r="C42" s="176"/>
      <c r="D42" s="176"/>
      <c r="E42" s="176"/>
      <c r="F42" s="177"/>
    </row>
  </sheetData>
  <sheetProtection password="C969" sheet="1" objects="1" scenarios="1"/>
  <mergeCells count="12">
    <mergeCell ref="K8:K10"/>
    <mergeCell ref="M8:M10"/>
    <mergeCell ref="D9:E9"/>
    <mergeCell ref="B10:C10"/>
    <mergeCell ref="D10:E10"/>
    <mergeCell ref="A24:F24"/>
    <mergeCell ref="A30:F30"/>
    <mergeCell ref="A32:F32"/>
    <mergeCell ref="A33:F33"/>
    <mergeCell ref="A7:F7"/>
    <mergeCell ref="A8:A10"/>
    <mergeCell ref="B8:C9"/>
  </mergeCells>
  <conditionalFormatting sqref="A33 A32:F32">
    <cfRule type="expression" dxfId="7" priority="3">
      <formula>$A$30="PLEASE SEE NOTE BELOW"</formula>
    </cfRule>
  </conditionalFormatting>
  <conditionalFormatting sqref="A30:F30">
    <cfRule type="expression" dxfId="6" priority="2">
      <formula>$A$30="You are required to register your facility under the tribal new source review rule"</formula>
    </cfRule>
  </conditionalFormatting>
  <conditionalFormatting sqref="C27:C28">
    <cfRule type="iconSet" priority="4">
      <iconSet iconSet="3Symbols" showValue="0" reverse="1">
        <cfvo type="percent" val="0"/>
        <cfvo type="num" val="0" gte="0"/>
        <cfvo type="num" val="100"/>
      </iconSet>
    </cfRule>
  </conditionalFormatting>
  <conditionalFormatting sqref="C12 E12">
    <cfRule type="cellIs" dxfId="5" priority="5" operator="greaterThanOrEqual">
      <formula>$F$12</formula>
    </cfRule>
  </conditionalFormatting>
  <conditionalFormatting sqref="C14 E14">
    <cfRule type="cellIs" dxfId="4" priority="7" operator="greaterThanOrEqual">
      <formula>$F$14</formula>
    </cfRule>
  </conditionalFormatting>
  <conditionalFormatting sqref="C16 E16">
    <cfRule type="cellIs" dxfId="3" priority="9" operator="greaterThanOrEqual">
      <formula>$F$16</formula>
    </cfRule>
  </conditionalFormatting>
  <conditionalFormatting sqref="C18 E18">
    <cfRule type="cellIs" dxfId="2" priority="11" operator="greaterThanOrEqual">
      <formula>$F$18</formula>
    </cfRule>
  </conditionalFormatting>
  <conditionalFormatting sqref="C20 E20">
    <cfRule type="cellIs" dxfId="1" priority="13" operator="greaterThanOrEqual">
      <formula>$F$20</formula>
    </cfRule>
  </conditionalFormatting>
  <conditionalFormatting sqref="C22 E22">
    <cfRule type="cellIs" dxfId="0" priority="1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6">
      <iconSet iconSet="3Symbols" reverse="1">
        <cfvo type="percent" val="0"/>
        <cfvo type="formula" val="$F$12"/>
        <cfvo type="formula" val="$L$12"/>
      </iconSet>
    </cfRule>
  </conditionalFormatting>
  <conditionalFormatting sqref="E14">
    <cfRule type="iconSet" priority="8">
      <iconSet iconSet="3Symbols" reverse="1">
        <cfvo type="percent" val="0"/>
        <cfvo type="formula" val="$F$14"/>
        <cfvo type="formula" val="$L$14"/>
      </iconSet>
    </cfRule>
  </conditionalFormatting>
  <conditionalFormatting sqref="E16">
    <cfRule type="iconSet" priority="10">
      <iconSet iconSet="3Symbols" reverse="1">
        <cfvo type="percent" val="0"/>
        <cfvo type="formula" val="$F$16"/>
        <cfvo type="formula" val="$L$16"/>
      </iconSet>
    </cfRule>
  </conditionalFormatting>
  <conditionalFormatting sqref="E18">
    <cfRule type="iconSet" priority="12">
      <iconSet iconSet="3Symbols" reverse="1">
        <cfvo type="percent" val="0"/>
        <cfvo type="formula" val="$F$18"/>
        <cfvo type="formula" val="$L$18"/>
      </iconSet>
    </cfRule>
  </conditionalFormatting>
  <conditionalFormatting sqref="E20">
    <cfRule type="iconSet" priority="14">
      <iconSet iconSet="3Symbols" reverse="1">
        <cfvo type="percent" val="0"/>
        <cfvo type="formula" val="$F$20"/>
        <cfvo type="formula" val="$L$20"/>
      </iconSet>
    </cfRule>
  </conditionalFormatting>
  <conditionalFormatting sqref="E22">
    <cfRule type="iconSet" priority="1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r:id="rId1"/>
  <headerFooter alignWithMargins="0">
    <oddHeader xml:space="preserve">&amp;C&amp;"Arial,Bold"&amp;14
Hot Mix Asphalt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G26"/>
  <sheetViews>
    <sheetView workbookViewId="0">
      <selection sqref="A1:F1"/>
    </sheetView>
  </sheetViews>
  <sheetFormatPr defaultRowHeight="13.2" x14ac:dyDescent="0.25"/>
  <cols>
    <col min="1" max="1" width="17.88671875" style="11" bestFit="1" customWidth="1"/>
    <col min="2" max="2" width="17.5546875" style="6" customWidth="1"/>
    <col min="3" max="3" width="30.109375" customWidth="1"/>
    <col min="4" max="5" width="20" style="6" customWidth="1"/>
    <col min="6" max="6" width="25" style="6" customWidth="1"/>
    <col min="7" max="7" width="26.6640625" bestFit="1" customWidth="1"/>
  </cols>
  <sheetData>
    <row r="1" spans="1:7" ht="17.399999999999999" x14ac:dyDescent="0.3">
      <c r="A1" s="443" t="s">
        <v>82</v>
      </c>
      <c r="B1" s="443"/>
      <c r="C1" s="443"/>
      <c r="D1" s="443"/>
      <c r="E1" s="443"/>
      <c r="F1" s="443"/>
    </row>
    <row r="2" spans="1:7" x14ac:dyDescent="0.25">
      <c r="A2" s="442" t="s">
        <v>477</v>
      </c>
      <c r="B2" s="442"/>
      <c r="C2" s="442"/>
      <c r="D2" s="442"/>
      <c r="E2" s="442"/>
      <c r="F2" s="442"/>
    </row>
    <row r="4" spans="1:7" x14ac:dyDescent="0.25">
      <c r="A4" s="10" t="s">
        <v>26</v>
      </c>
      <c r="B4" s="3" t="s">
        <v>22</v>
      </c>
      <c r="C4" s="3" t="s">
        <v>24</v>
      </c>
      <c r="D4" s="3" t="s">
        <v>23</v>
      </c>
      <c r="E4" s="8" t="s">
        <v>41</v>
      </c>
      <c r="F4" s="8" t="s">
        <v>43</v>
      </c>
      <c r="G4" s="3" t="s">
        <v>25</v>
      </c>
    </row>
    <row r="5" spans="1:7" ht="27" customHeight="1" x14ac:dyDescent="0.25">
      <c r="A5" s="35">
        <v>1</v>
      </c>
      <c r="B5" s="36" t="s">
        <v>344</v>
      </c>
      <c r="C5" s="37" t="s">
        <v>40</v>
      </c>
      <c r="D5" s="149" t="s">
        <v>135</v>
      </c>
      <c r="E5" s="5" t="s">
        <v>42</v>
      </c>
      <c r="F5" s="58" t="s">
        <v>136</v>
      </c>
      <c r="G5" s="38" t="s">
        <v>137</v>
      </c>
    </row>
    <row r="6" spans="1:7" ht="135.75" customHeight="1" x14ac:dyDescent="0.25">
      <c r="A6" s="39">
        <v>1.1000000000000001</v>
      </c>
      <c r="B6" s="277" t="s">
        <v>468</v>
      </c>
      <c r="C6" s="40" t="s">
        <v>441</v>
      </c>
      <c r="D6" s="272" t="s">
        <v>469</v>
      </c>
      <c r="E6" s="5" t="s">
        <v>42</v>
      </c>
      <c r="F6" s="59" t="s">
        <v>136</v>
      </c>
      <c r="G6" s="38" t="s">
        <v>137</v>
      </c>
    </row>
    <row r="7" spans="1:7" ht="30.75" customHeight="1" x14ac:dyDescent="0.25">
      <c r="A7" s="43">
        <v>1.2</v>
      </c>
      <c r="B7" s="312" t="s">
        <v>473</v>
      </c>
      <c r="C7" s="40" t="s">
        <v>474</v>
      </c>
      <c r="D7" s="59" t="s">
        <v>469</v>
      </c>
      <c r="E7" s="59" t="s">
        <v>42</v>
      </c>
      <c r="F7" s="59" t="s">
        <v>136</v>
      </c>
      <c r="G7" s="313" t="s">
        <v>137</v>
      </c>
    </row>
    <row r="8" spans="1:7" ht="25.5" customHeight="1" x14ac:dyDescent="0.25">
      <c r="A8" s="43">
        <v>1.3</v>
      </c>
      <c r="B8" s="314" t="s">
        <v>475</v>
      </c>
      <c r="C8" s="44" t="s">
        <v>476</v>
      </c>
      <c r="D8" s="41" t="s">
        <v>469</v>
      </c>
      <c r="E8" s="41" t="s">
        <v>42</v>
      </c>
      <c r="F8" s="41" t="s">
        <v>136</v>
      </c>
      <c r="G8" s="313" t="s">
        <v>137</v>
      </c>
    </row>
    <row r="9" spans="1:7" ht="16.5" customHeight="1" x14ac:dyDescent="0.25">
      <c r="A9" s="43"/>
      <c r="B9" s="41"/>
      <c r="C9" s="44"/>
      <c r="D9" s="41"/>
      <c r="E9" s="41"/>
      <c r="F9" s="41"/>
      <c r="G9" s="42"/>
    </row>
    <row r="10" spans="1:7" ht="16.5" customHeight="1" x14ac:dyDescent="0.25">
      <c r="A10" s="43"/>
      <c r="B10" s="41"/>
      <c r="C10" s="44"/>
      <c r="D10" s="41"/>
      <c r="E10" s="41"/>
      <c r="F10" s="41"/>
      <c r="G10" s="42"/>
    </row>
    <row r="11" spans="1:7" ht="16.5" customHeight="1" x14ac:dyDescent="0.25">
      <c r="A11" s="43"/>
      <c r="B11" s="41"/>
      <c r="C11" s="44"/>
      <c r="D11" s="41"/>
      <c r="E11" s="41"/>
      <c r="F11" s="41"/>
      <c r="G11" s="42"/>
    </row>
    <row r="12" spans="1:7" ht="16.5" customHeight="1" x14ac:dyDescent="0.25">
      <c r="A12" s="43"/>
      <c r="B12" s="41"/>
      <c r="C12" s="44"/>
      <c r="D12" s="41"/>
      <c r="E12" s="41"/>
      <c r="F12" s="41"/>
      <c r="G12" s="42"/>
    </row>
    <row r="13" spans="1:7" ht="16.5" customHeight="1" x14ac:dyDescent="0.25">
      <c r="A13" s="43"/>
      <c r="B13" s="41"/>
      <c r="C13" s="44"/>
      <c r="D13" s="41"/>
      <c r="E13" s="41"/>
      <c r="F13" s="41"/>
      <c r="G13" s="42"/>
    </row>
    <row r="14" spans="1:7" ht="16.5" customHeight="1" x14ac:dyDescent="0.25">
      <c r="A14" s="43"/>
      <c r="B14" s="41"/>
      <c r="C14" s="44"/>
      <c r="D14" s="41"/>
      <c r="E14" s="41"/>
      <c r="F14" s="41"/>
      <c r="G14" s="42"/>
    </row>
    <row r="15" spans="1:7" ht="16.5" customHeight="1" x14ac:dyDescent="0.25">
      <c r="A15" s="43"/>
      <c r="B15" s="41"/>
      <c r="C15" s="44"/>
      <c r="D15" s="41"/>
      <c r="E15" s="41"/>
      <c r="F15" s="41"/>
      <c r="G15" s="42"/>
    </row>
    <row r="16" spans="1:7" ht="16.5" customHeight="1" x14ac:dyDescent="0.25">
      <c r="A16" s="43"/>
      <c r="B16" s="41"/>
      <c r="C16" s="44"/>
      <c r="D16" s="41"/>
      <c r="E16" s="41"/>
      <c r="F16" s="41"/>
      <c r="G16" s="42"/>
    </row>
    <row r="17" spans="1:7" ht="16.5" customHeight="1" x14ac:dyDescent="0.25">
      <c r="A17" s="43"/>
      <c r="B17" s="41"/>
      <c r="C17" s="44"/>
      <c r="D17" s="41"/>
      <c r="E17" s="41"/>
      <c r="F17" s="41"/>
      <c r="G17" s="42"/>
    </row>
    <row r="18" spans="1:7" ht="16.5" customHeight="1" x14ac:dyDescent="0.25">
      <c r="A18" s="43"/>
      <c r="B18" s="41"/>
      <c r="C18" s="44"/>
      <c r="D18" s="41"/>
      <c r="E18" s="41"/>
      <c r="F18" s="41"/>
      <c r="G18" s="42"/>
    </row>
    <row r="19" spans="1:7" ht="16.5" customHeight="1" x14ac:dyDescent="0.25">
      <c r="A19" s="43"/>
      <c r="B19" s="41"/>
      <c r="C19" s="44"/>
      <c r="D19" s="41"/>
      <c r="E19" s="41"/>
      <c r="F19" s="41"/>
      <c r="G19" s="42"/>
    </row>
    <row r="20" spans="1:7" ht="16.5" customHeight="1" x14ac:dyDescent="0.25">
      <c r="A20" s="43"/>
      <c r="B20" s="41"/>
      <c r="C20" s="44"/>
      <c r="D20" s="41"/>
      <c r="E20" s="41"/>
      <c r="F20" s="41"/>
      <c r="G20" s="42"/>
    </row>
    <row r="21" spans="1:7" ht="16.5" customHeight="1" x14ac:dyDescent="0.25">
      <c r="A21" s="43"/>
      <c r="B21" s="41"/>
      <c r="C21" s="44"/>
      <c r="D21" s="41"/>
      <c r="E21" s="41"/>
      <c r="F21" s="41"/>
      <c r="G21" s="42"/>
    </row>
    <row r="22" spans="1:7" ht="16.5" customHeight="1" x14ac:dyDescent="0.25">
      <c r="A22" s="43"/>
      <c r="B22" s="41"/>
      <c r="C22" s="44"/>
      <c r="D22" s="41"/>
      <c r="E22" s="41"/>
      <c r="F22" s="41"/>
      <c r="G22" s="42"/>
    </row>
    <row r="23" spans="1:7" ht="16.5" customHeight="1" x14ac:dyDescent="0.25">
      <c r="A23" s="43"/>
      <c r="B23" s="41"/>
      <c r="C23" s="44"/>
      <c r="D23" s="41"/>
      <c r="E23" s="41"/>
      <c r="F23" s="41"/>
      <c r="G23" s="42"/>
    </row>
    <row r="24" spans="1:7" ht="16.5" customHeight="1" x14ac:dyDescent="0.25">
      <c r="A24" s="43"/>
      <c r="B24" s="41"/>
      <c r="C24" s="44"/>
      <c r="D24" s="41"/>
      <c r="E24" s="41"/>
      <c r="F24" s="41"/>
      <c r="G24" s="42"/>
    </row>
    <row r="25" spans="1:7" ht="16.5" customHeight="1" x14ac:dyDescent="0.25">
      <c r="A25" s="43"/>
      <c r="B25" s="41"/>
      <c r="C25" s="44"/>
      <c r="D25" s="41"/>
      <c r="E25" s="41"/>
      <c r="F25" s="41"/>
      <c r="G25" s="42"/>
    </row>
    <row r="26" spans="1:7" ht="16.5" customHeight="1" x14ac:dyDescent="0.25">
      <c r="A26" s="43"/>
      <c r="B26" s="41"/>
      <c r="C26" s="44"/>
      <c r="D26" s="41"/>
      <c r="E26" s="41"/>
      <c r="F26" s="41"/>
      <c r="G26" s="42"/>
    </row>
  </sheetData>
  <mergeCells count="2">
    <mergeCell ref="A2:F2"/>
    <mergeCell ref="A1:F1"/>
  </mergeCells>
  <hyperlinks>
    <hyperlink ref="G5" r:id="rId1"/>
    <hyperlink ref="G6" r:id="rId2"/>
    <hyperlink ref="G7" r:id="rId3"/>
    <hyperlink ref="G8" r:id="rId4"/>
  </hyperlinks>
  <pageMargins left="0.7" right="0.7" top="0.75" bottom="0.75" header="0.3" footer="0.3"/>
  <pageSetup scale="79"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I97"/>
  <sheetViews>
    <sheetView zoomScaleNormal="100" workbookViewId="0">
      <pane ySplit="3" topLeftCell="A4" activePane="bottomLeft" state="frozen"/>
      <selection pane="bottomLeft"/>
    </sheetView>
  </sheetViews>
  <sheetFormatPr defaultRowHeight="13.2" x14ac:dyDescent="0.25"/>
  <cols>
    <col min="1" max="1" width="34.44140625" style="4" customWidth="1"/>
    <col min="2" max="2" width="17" customWidth="1"/>
    <col min="3" max="3" width="34.33203125" customWidth="1"/>
    <col min="4" max="4" width="26.88671875" style="7" customWidth="1"/>
    <col min="5" max="5" width="28.109375" style="7" bestFit="1" customWidth="1"/>
    <col min="6" max="6" width="32.88671875" style="276" customWidth="1"/>
    <col min="7" max="7" width="17" customWidth="1"/>
    <col min="8" max="8" width="19.6640625" customWidth="1"/>
    <col min="9" max="9" width="40.6640625" customWidth="1"/>
  </cols>
  <sheetData>
    <row r="1" spans="1:9" ht="17.399999999999999" x14ac:dyDescent="0.3">
      <c r="A1" s="1" t="s">
        <v>34</v>
      </c>
      <c r="B1" s="2"/>
    </row>
    <row r="2" spans="1:9" ht="13.8" thickBot="1" x14ac:dyDescent="0.3">
      <c r="A2" s="444"/>
      <c r="B2" s="444"/>
      <c r="C2" s="444"/>
      <c r="D2" s="444"/>
      <c r="E2" s="444"/>
      <c r="F2" s="444"/>
      <c r="G2" s="444"/>
      <c r="H2" s="444"/>
      <c r="I2" s="444"/>
    </row>
    <row r="3" spans="1:9" ht="13.8" thickBot="1" x14ac:dyDescent="0.3">
      <c r="A3" s="98" t="s">
        <v>56</v>
      </c>
      <c r="B3" s="99" t="s">
        <v>0</v>
      </c>
      <c r="C3" s="99" t="s">
        <v>35</v>
      </c>
      <c r="D3" s="100" t="s">
        <v>429</v>
      </c>
      <c r="E3" s="100" t="s">
        <v>428</v>
      </c>
      <c r="F3" s="100" t="s">
        <v>464</v>
      </c>
      <c r="G3" s="99" t="s">
        <v>37</v>
      </c>
      <c r="H3" s="102" t="s">
        <v>36</v>
      </c>
      <c r="I3" s="103" t="s">
        <v>38</v>
      </c>
    </row>
    <row r="4" spans="1:9" s="101" customFormat="1" x14ac:dyDescent="0.25">
      <c r="A4" s="445" t="s">
        <v>118</v>
      </c>
      <c r="B4" s="445"/>
      <c r="C4" s="445"/>
      <c r="D4" s="445"/>
      <c r="E4" s="445"/>
      <c r="F4" s="445"/>
      <c r="G4" s="445"/>
      <c r="H4" s="445"/>
      <c r="I4" s="446"/>
    </row>
    <row r="5" spans="1:9" s="101" customFormat="1" x14ac:dyDescent="0.25">
      <c r="A5" s="97" t="s">
        <v>67</v>
      </c>
      <c r="B5" s="57" t="s">
        <v>62</v>
      </c>
      <c r="C5" s="74" t="str">
        <f>A5&amp;B5</f>
        <v>Natural GasCO</v>
      </c>
      <c r="D5" s="128">
        <v>0.13</v>
      </c>
      <c r="E5" s="128">
        <f>D5</f>
        <v>0.13</v>
      </c>
      <c r="F5" s="128">
        <f>E5</f>
        <v>0.13</v>
      </c>
      <c r="G5" s="57" t="s">
        <v>39</v>
      </c>
      <c r="H5" s="57" t="s">
        <v>91</v>
      </c>
      <c r="I5" s="57" t="s">
        <v>92</v>
      </c>
    </row>
    <row r="6" spans="1:9" s="101" customFormat="1" x14ac:dyDescent="0.25">
      <c r="A6" s="97" t="s">
        <v>67</v>
      </c>
      <c r="B6" s="57" t="s">
        <v>90</v>
      </c>
      <c r="C6" s="74" t="str">
        <f t="shared" ref="C6:C32" si="0">A6&amp;B6</f>
        <v>Natural GasNOx</v>
      </c>
      <c r="D6" s="128">
        <v>2.5999999999999999E-2</v>
      </c>
      <c r="E6" s="128">
        <f t="shared" ref="E6:F28" si="1">D6</f>
        <v>2.5999999999999999E-2</v>
      </c>
      <c r="F6" s="128">
        <f t="shared" si="1"/>
        <v>2.5999999999999999E-2</v>
      </c>
      <c r="G6" s="57" t="s">
        <v>39</v>
      </c>
      <c r="H6" s="57" t="s">
        <v>91</v>
      </c>
      <c r="I6" s="57" t="s">
        <v>92</v>
      </c>
    </row>
    <row r="7" spans="1:9" s="101" customFormat="1" x14ac:dyDescent="0.25">
      <c r="A7" s="97" t="s">
        <v>67</v>
      </c>
      <c r="B7" s="57" t="s">
        <v>89</v>
      </c>
      <c r="C7" s="74" t="str">
        <f t="shared" si="0"/>
        <v>Natural GasSO2</v>
      </c>
      <c r="D7" s="128">
        <v>3.3999999999999998E-3</v>
      </c>
      <c r="E7" s="128">
        <f t="shared" si="1"/>
        <v>3.3999999999999998E-3</v>
      </c>
      <c r="F7" s="128">
        <f t="shared" si="1"/>
        <v>3.3999999999999998E-3</v>
      </c>
      <c r="G7" s="57" t="s">
        <v>39</v>
      </c>
      <c r="H7" s="57" t="s">
        <v>91</v>
      </c>
      <c r="I7" s="57" t="s">
        <v>92</v>
      </c>
    </row>
    <row r="8" spans="1:9" s="101" customFormat="1" x14ac:dyDescent="0.25">
      <c r="A8" s="97" t="s">
        <v>67</v>
      </c>
      <c r="B8" s="75" t="s">
        <v>3</v>
      </c>
      <c r="C8" s="74" t="str">
        <f t="shared" si="0"/>
        <v>Natural GasVOC</v>
      </c>
      <c r="D8" s="128">
        <v>3.2000000000000001E-2</v>
      </c>
      <c r="E8" s="128">
        <v>3.2000000000000001E-2</v>
      </c>
      <c r="F8" s="128">
        <v>3.2000000000000001E-2</v>
      </c>
      <c r="G8" s="57" t="s">
        <v>39</v>
      </c>
      <c r="H8" s="57" t="s">
        <v>91</v>
      </c>
      <c r="I8" s="57" t="s">
        <v>121</v>
      </c>
    </row>
    <row r="9" spans="1:9" s="101" customFormat="1" x14ac:dyDescent="0.25">
      <c r="A9" s="97" t="s">
        <v>67</v>
      </c>
      <c r="B9" s="97" t="s">
        <v>69</v>
      </c>
      <c r="C9" s="74" t="str">
        <f t="shared" si="0"/>
        <v>Natural GasTotal PM</v>
      </c>
      <c r="D9" s="128">
        <v>28</v>
      </c>
      <c r="E9" s="128">
        <v>28</v>
      </c>
      <c r="F9" s="128">
        <v>28</v>
      </c>
      <c r="G9" s="57" t="s">
        <v>39</v>
      </c>
      <c r="H9" s="57" t="s">
        <v>91</v>
      </c>
      <c r="I9" s="57" t="s">
        <v>120</v>
      </c>
    </row>
    <row r="10" spans="1:9" s="101" customFormat="1" ht="15.6" x14ac:dyDescent="0.25">
      <c r="A10" s="97" t="s">
        <v>67</v>
      </c>
      <c r="B10" s="97" t="s">
        <v>74</v>
      </c>
      <c r="C10" s="74" t="str">
        <f t="shared" si="0"/>
        <v>Natural GasPM10</v>
      </c>
      <c r="D10" s="128">
        <v>6.5</v>
      </c>
      <c r="E10" s="128">
        <v>6.5</v>
      </c>
      <c r="F10" s="128">
        <v>2.3E-2</v>
      </c>
      <c r="G10" s="57" t="s">
        <v>39</v>
      </c>
      <c r="H10" s="57" t="s">
        <v>91</v>
      </c>
      <c r="I10" s="57" t="s">
        <v>444</v>
      </c>
    </row>
    <row r="11" spans="1:9" s="101" customFormat="1" ht="15.6" x14ac:dyDescent="0.25">
      <c r="A11" s="97" t="s">
        <v>67</v>
      </c>
      <c r="B11" s="97" t="s">
        <v>75</v>
      </c>
      <c r="C11" s="74" t="str">
        <f t="shared" si="0"/>
        <v>Natural GasPM2.5</v>
      </c>
      <c r="D11" s="128">
        <v>6.5</v>
      </c>
      <c r="E11" s="128">
        <v>6.5</v>
      </c>
      <c r="F11" s="128">
        <v>2.3E-2</v>
      </c>
      <c r="G11" s="57" t="s">
        <v>39</v>
      </c>
      <c r="H11" s="57" t="s">
        <v>91</v>
      </c>
      <c r="I11" s="57" t="s">
        <v>446</v>
      </c>
    </row>
    <row r="12" spans="1:9" s="101" customFormat="1" x14ac:dyDescent="0.25">
      <c r="A12" s="97" t="s">
        <v>68</v>
      </c>
      <c r="B12" s="57" t="s">
        <v>62</v>
      </c>
      <c r="C12" s="74" t="str">
        <f t="shared" si="0"/>
        <v>Oil - DistillateCO</v>
      </c>
      <c r="D12" s="128">
        <v>0.13</v>
      </c>
      <c r="E12" s="128">
        <f t="shared" si="1"/>
        <v>0.13</v>
      </c>
      <c r="F12" s="128">
        <f t="shared" si="1"/>
        <v>0.13</v>
      </c>
      <c r="G12" s="57" t="s">
        <v>39</v>
      </c>
      <c r="H12" s="57" t="s">
        <v>91</v>
      </c>
      <c r="I12" s="57" t="s">
        <v>92</v>
      </c>
    </row>
    <row r="13" spans="1:9" s="101" customFormat="1" x14ac:dyDescent="0.25">
      <c r="A13" s="97" t="s">
        <v>68</v>
      </c>
      <c r="B13" s="57" t="s">
        <v>90</v>
      </c>
      <c r="C13" s="74" t="str">
        <f t="shared" si="0"/>
        <v>Oil - DistillateNOx</v>
      </c>
      <c r="D13" s="128">
        <v>5.5E-2</v>
      </c>
      <c r="E13" s="128">
        <f t="shared" si="1"/>
        <v>5.5E-2</v>
      </c>
      <c r="F13" s="128">
        <f t="shared" si="1"/>
        <v>5.5E-2</v>
      </c>
      <c r="G13" s="57" t="s">
        <v>39</v>
      </c>
      <c r="H13" s="57" t="s">
        <v>91</v>
      </c>
      <c r="I13" s="57" t="s">
        <v>92</v>
      </c>
    </row>
    <row r="14" spans="1:9" s="101" customFormat="1" x14ac:dyDescent="0.25">
      <c r="A14" s="97" t="s">
        <v>68</v>
      </c>
      <c r="B14" s="57" t="s">
        <v>89</v>
      </c>
      <c r="C14" s="74" t="str">
        <f t="shared" si="0"/>
        <v>Oil - DistillateSO2</v>
      </c>
      <c r="D14" s="128">
        <v>1.0999999999999999E-2</v>
      </c>
      <c r="E14" s="128">
        <f t="shared" si="1"/>
        <v>1.0999999999999999E-2</v>
      </c>
      <c r="F14" s="128">
        <f t="shared" si="1"/>
        <v>1.0999999999999999E-2</v>
      </c>
      <c r="G14" s="57" t="s">
        <v>39</v>
      </c>
      <c r="H14" s="57" t="s">
        <v>91</v>
      </c>
      <c r="I14" s="57" t="s">
        <v>92</v>
      </c>
    </row>
    <row r="15" spans="1:9" s="101" customFormat="1" x14ac:dyDescent="0.25">
      <c r="A15" s="97" t="s">
        <v>68</v>
      </c>
      <c r="B15" s="75" t="s">
        <v>3</v>
      </c>
      <c r="C15" s="129" t="str">
        <f t="shared" si="0"/>
        <v>Oil - DistillateVOC</v>
      </c>
      <c r="D15" s="128">
        <v>3.2000000000000001E-2</v>
      </c>
      <c r="E15" s="128">
        <v>3.2000000000000001E-2</v>
      </c>
      <c r="F15" s="128">
        <v>3.2000000000000001E-2</v>
      </c>
      <c r="G15" s="57" t="s">
        <v>39</v>
      </c>
      <c r="H15" s="57" t="s">
        <v>91</v>
      </c>
      <c r="I15" s="57" t="s">
        <v>121</v>
      </c>
    </row>
    <row r="16" spans="1:9" s="101" customFormat="1" x14ac:dyDescent="0.25">
      <c r="A16" s="97" t="s">
        <v>68</v>
      </c>
      <c r="B16" s="97" t="s">
        <v>69</v>
      </c>
      <c r="C16" s="129" t="str">
        <f t="shared" si="0"/>
        <v>Oil - DistillateTotal PM</v>
      </c>
      <c r="D16" s="128">
        <v>28</v>
      </c>
      <c r="E16" s="128">
        <v>28</v>
      </c>
      <c r="F16" s="128">
        <v>28</v>
      </c>
      <c r="G16" s="57" t="s">
        <v>39</v>
      </c>
      <c r="H16" s="57" t="s">
        <v>91</v>
      </c>
      <c r="I16" s="57" t="s">
        <v>120</v>
      </c>
    </row>
    <row r="17" spans="1:9" s="101" customFormat="1" ht="14.25" customHeight="1" x14ac:dyDescent="0.25">
      <c r="A17" s="97" t="s">
        <v>68</v>
      </c>
      <c r="B17" s="97" t="s">
        <v>74</v>
      </c>
      <c r="C17" s="129" t="str">
        <f t="shared" si="0"/>
        <v>Oil - DistillatePM10</v>
      </c>
      <c r="D17" s="128">
        <v>6.5</v>
      </c>
      <c r="E17" s="128">
        <v>6.5</v>
      </c>
      <c r="F17" s="128">
        <v>2.3E-2</v>
      </c>
      <c r="G17" s="57" t="s">
        <v>39</v>
      </c>
      <c r="H17" s="57" t="s">
        <v>91</v>
      </c>
      <c r="I17" s="57" t="s">
        <v>444</v>
      </c>
    </row>
    <row r="18" spans="1:9" s="101" customFormat="1" ht="14.25" customHeight="1" x14ac:dyDescent="0.25">
      <c r="A18" s="97" t="s">
        <v>68</v>
      </c>
      <c r="B18" s="97" t="s">
        <v>75</v>
      </c>
      <c r="C18" s="129" t="str">
        <f t="shared" si="0"/>
        <v>Oil - DistillatePM2.5</v>
      </c>
      <c r="D18" s="128">
        <v>6.5</v>
      </c>
      <c r="E18" s="128">
        <v>6.5</v>
      </c>
      <c r="F18" s="128">
        <v>2.3E-2</v>
      </c>
      <c r="G18" s="57" t="s">
        <v>39</v>
      </c>
      <c r="H18" s="57" t="s">
        <v>91</v>
      </c>
      <c r="I18" s="57" t="s">
        <v>446</v>
      </c>
    </row>
    <row r="19" spans="1:9" s="101" customFormat="1" ht="14.25" customHeight="1" x14ac:dyDescent="0.25">
      <c r="A19" s="97" t="s">
        <v>88</v>
      </c>
      <c r="B19" s="57" t="s">
        <v>62</v>
      </c>
      <c r="C19" s="129" t="str">
        <f t="shared" si="0"/>
        <v>Oil - ResidualCO</v>
      </c>
      <c r="D19" s="128">
        <v>0.13</v>
      </c>
      <c r="E19" s="128">
        <f t="shared" ref="E19:F20" si="2">D19</f>
        <v>0.13</v>
      </c>
      <c r="F19" s="128">
        <f t="shared" si="2"/>
        <v>0.13</v>
      </c>
      <c r="G19" s="57" t="s">
        <v>39</v>
      </c>
      <c r="H19" s="57" t="s">
        <v>91</v>
      </c>
      <c r="I19" s="57" t="s">
        <v>445</v>
      </c>
    </row>
    <row r="20" spans="1:9" s="101" customFormat="1" ht="14.25" customHeight="1" x14ac:dyDescent="0.25">
      <c r="A20" s="97" t="s">
        <v>88</v>
      </c>
      <c r="B20" s="57" t="s">
        <v>90</v>
      </c>
      <c r="C20" s="129" t="str">
        <f t="shared" si="0"/>
        <v>Oil - ResidualNOx</v>
      </c>
      <c r="D20" s="128">
        <v>5.5E-2</v>
      </c>
      <c r="E20" s="128">
        <f t="shared" si="2"/>
        <v>5.5E-2</v>
      </c>
      <c r="F20" s="128">
        <f t="shared" si="2"/>
        <v>5.5E-2</v>
      </c>
      <c r="G20" s="57" t="s">
        <v>39</v>
      </c>
      <c r="H20" s="57" t="s">
        <v>91</v>
      </c>
      <c r="I20" s="57" t="s">
        <v>445</v>
      </c>
    </row>
    <row r="21" spans="1:9" s="101" customFormat="1" ht="14.25" customHeight="1" x14ac:dyDescent="0.25">
      <c r="A21" s="97" t="s">
        <v>88</v>
      </c>
      <c r="B21" s="57" t="s">
        <v>89</v>
      </c>
      <c r="C21" s="129" t="str">
        <f t="shared" si="0"/>
        <v>Oil - ResidualSO2</v>
      </c>
      <c r="D21" s="128">
        <v>5.8000000000000003E-2</v>
      </c>
      <c r="E21" s="128">
        <f>D21</f>
        <v>5.8000000000000003E-2</v>
      </c>
      <c r="F21" s="128">
        <f>E21</f>
        <v>5.8000000000000003E-2</v>
      </c>
      <c r="G21" s="57" t="s">
        <v>39</v>
      </c>
      <c r="H21" s="57" t="s">
        <v>91</v>
      </c>
      <c r="I21" s="57" t="s">
        <v>92</v>
      </c>
    </row>
    <row r="22" spans="1:9" s="101" customFormat="1" ht="14.25" customHeight="1" x14ac:dyDescent="0.25">
      <c r="A22" s="97" t="s">
        <v>88</v>
      </c>
      <c r="B22" s="75" t="s">
        <v>3</v>
      </c>
      <c r="C22" s="129" t="str">
        <f t="shared" si="0"/>
        <v>Oil - ResidualVOC</v>
      </c>
      <c r="D22" s="128">
        <v>3.2000000000000001E-2</v>
      </c>
      <c r="E22" s="128">
        <v>3.2000000000000001E-2</v>
      </c>
      <c r="F22" s="128">
        <v>3.2000000000000001E-2</v>
      </c>
      <c r="G22" s="57" t="s">
        <v>39</v>
      </c>
      <c r="H22" s="57" t="s">
        <v>91</v>
      </c>
      <c r="I22" s="57" t="s">
        <v>129</v>
      </c>
    </row>
    <row r="23" spans="1:9" s="101" customFormat="1" ht="14.25" customHeight="1" x14ac:dyDescent="0.25">
      <c r="A23" s="97" t="s">
        <v>88</v>
      </c>
      <c r="B23" s="97" t="s">
        <v>69</v>
      </c>
      <c r="C23" s="129" t="str">
        <f t="shared" si="0"/>
        <v>Oil - ResidualTotal PM</v>
      </c>
      <c r="D23" s="128">
        <v>28</v>
      </c>
      <c r="E23" s="128">
        <v>28</v>
      </c>
      <c r="F23" s="128">
        <v>28</v>
      </c>
      <c r="G23" s="57" t="s">
        <v>39</v>
      </c>
      <c r="H23" s="57" t="s">
        <v>91</v>
      </c>
      <c r="I23" s="57" t="s">
        <v>120</v>
      </c>
    </row>
    <row r="24" spans="1:9" s="101" customFormat="1" ht="14.25" customHeight="1" x14ac:dyDescent="0.25">
      <c r="A24" s="97" t="s">
        <v>88</v>
      </c>
      <c r="B24" s="97" t="s">
        <v>74</v>
      </c>
      <c r="C24" s="129" t="str">
        <f t="shared" si="0"/>
        <v>Oil - ResidualPM10</v>
      </c>
      <c r="D24" s="128">
        <v>6.5</v>
      </c>
      <c r="E24" s="128">
        <v>6.5</v>
      </c>
      <c r="F24" s="128">
        <v>2.3E-2</v>
      </c>
      <c r="G24" s="57" t="s">
        <v>39</v>
      </c>
      <c r="H24" s="57" t="s">
        <v>91</v>
      </c>
      <c r="I24" s="57" t="s">
        <v>444</v>
      </c>
    </row>
    <row r="25" spans="1:9" s="101" customFormat="1" ht="14.25" customHeight="1" x14ac:dyDescent="0.25">
      <c r="A25" s="97" t="s">
        <v>88</v>
      </c>
      <c r="B25" s="97" t="s">
        <v>75</v>
      </c>
      <c r="C25" s="129" t="str">
        <f t="shared" si="0"/>
        <v>Oil - ResidualPM2.5</v>
      </c>
      <c r="D25" s="128">
        <v>6.5</v>
      </c>
      <c r="E25" s="128">
        <v>6.5</v>
      </c>
      <c r="F25" s="128">
        <v>2.3E-2</v>
      </c>
      <c r="G25" s="57" t="s">
        <v>39</v>
      </c>
      <c r="H25" s="57" t="s">
        <v>91</v>
      </c>
      <c r="I25" s="57" t="s">
        <v>446</v>
      </c>
    </row>
    <row r="26" spans="1:9" s="101" customFormat="1" x14ac:dyDescent="0.25">
      <c r="A26" s="97" t="s">
        <v>87</v>
      </c>
      <c r="B26" s="57" t="s">
        <v>62</v>
      </c>
      <c r="C26" s="74" t="str">
        <f t="shared" si="0"/>
        <v>Waste OilCO</v>
      </c>
      <c r="D26" s="128">
        <v>0.13</v>
      </c>
      <c r="E26" s="128">
        <f t="shared" si="1"/>
        <v>0.13</v>
      </c>
      <c r="F26" s="128">
        <f t="shared" si="1"/>
        <v>0.13</v>
      </c>
      <c r="G26" s="57" t="s">
        <v>39</v>
      </c>
      <c r="H26" s="57" t="s">
        <v>91</v>
      </c>
      <c r="I26" s="57" t="s">
        <v>92</v>
      </c>
    </row>
    <row r="27" spans="1:9" s="101" customFormat="1" x14ac:dyDescent="0.25">
      <c r="A27" s="97" t="s">
        <v>87</v>
      </c>
      <c r="B27" s="57" t="s">
        <v>90</v>
      </c>
      <c r="C27" s="74" t="str">
        <f t="shared" si="0"/>
        <v>Waste OilNOx</v>
      </c>
      <c r="D27" s="128">
        <v>5.5E-2</v>
      </c>
      <c r="E27" s="128">
        <f t="shared" si="1"/>
        <v>5.5E-2</v>
      </c>
      <c r="F27" s="128">
        <f t="shared" si="1"/>
        <v>5.5E-2</v>
      </c>
      <c r="G27" s="57" t="s">
        <v>39</v>
      </c>
      <c r="H27" s="57" t="s">
        <v>91</v>
      </c>
      <c r="I27" s="57" t="s">
        <v>92</v>
      </c>
    </row>
    <row r="28" spans="1:9" s="101" customFormat="1" x14ac:dyDescent="0.25">
      <c r="A28" s="97" t="s">
        <v>87</v>
      </c>
      <c r="B28" s="57" t="s">
        <v>89</v>
      </c>
      <c r="C28" s="74" t="str">
        <f t="shared" si="0"/>
        <v>Waste OilSO2</v>
      </c>
      <c r="D28" s="128">
        <v>5.8000000000000003E-2</v>
      </c>
      <c r="E28" s="128">
        <f t="shared" si="1"/>
        <v>5.8000000000000003E-2</v>
      </c>
      <c r="F28" s="128">
        <f t="shared" si="1"/>
        <v>5.8000000000000003E-2</v>
      </c>
      <c r="G28" s="57" t="s">
        <v>39</v>
      </c>
      <c r="H28" s="57" t="s">
        <v>91</v>
      </c>
      <c r="I28" s="57" t="s">
        <v>92</v>
      </c>
    </row>
    <row r="29" spans="1:9" s="101" customFormat="1" x14ac:dyDescent="0.25">
      <c r="A29" s="97" t="s">
        <v>87</v>
      </c>
      <c r="B29" s="75" t="s">
        <v>3</v>
      </c>
      <c r="C29" s="129" t="str">
        <f t="shared" si="0"/>
        <v>Waste OilVOC</v>
      </c>
      <c r="D29" s="128">
        <v>3.2000000000000001E-2</v>
      </c>
      <c r="E29" s="128">
        <v>3.2000000000000001E-2</v>
      </c>
      <c r="F29" s="128">
        <v>3.2000000000000001E-2</v>
      </c>
      <c r="G29" s="57" t="s">
        <v>39</v>
      </c>
      <c r="H29" s="57" t="s">
        <v>91</v>
      </c>
      <c r="I29" s="57" t="s">
        <v>121</v>
      </c>
    </row>
    <row r="30" spans="1:9" s="101" customFormat="1" x14ac:dyDescent="0.25">
      <c r="A30" s="97" t="s">
        <v>87</v>
      </c>
      <c r="B30" s="97" t="s">
        <v>69</v>
      </c>
      <c r="C30" s="129" t="str">
        <f t="shared" si="0"/>
        <v>Waste OilTotal PM</v>
      </c>
      <c r="D30" s="128">
        <v>28</v>
      </c>
      <c r="E30" s="128">
        <v>28</v>
      </c>
      <c r="F30" s="128">
        <v>28</v>
      </c>
      <c r="G30" s="57" t="s">
        <v>39</v>
      </c>
      <c r="H30" s="57" t="s">
        <v>91</v>
      </c>
      <c r="I30" s="57" t="s">
        <v>120</v>
      </c>
    </row>
    <row r="31" spans="1:9" s="101" customFormat="1" ht="15.6" x14ac:dyDescent="0.25">
      <c r="A31" s="97" t="s">
        <v>87</v>
      </c>
      <c r="B31" s="97" t="s">
        <v>74</v>
      </c>
      <c r="C31" s="129" t="str">
        <f t="shared" si="0"/>
        <v>Waste OilPM10</v>
      </c>
      <c r="D31" s="128">
        <v>6.5</v>
      </c>
      <c r="E31" s="128">
        <v>6.5</v>
      </c>
      <c r="F31" s="128">
        <v>2.3E-2</v>
      </c>
      <c r="G31" s="57" t="s">
        <v>39</v>
      </c>
      <c r="H31" s="57" t="s">
        <v>91</v>
      </c>
      <c r="I31" s="57" t="s">
        <v>444</v>
      </c>
    </row>
    <row r="32" spans="1:9" s="101" customFormat="1" ht="15.6" x14ac:dyDescent="0.25">
      <c r="A32" s="97" t="s">
        <v>87</v>
      </c>
      <c r="B32" s="97" t="s">
        <v>75</v>
      </c>
      <c r="C32" s="129" t="str">
        <f t="shared" si="0"/>
        <v>Waste OilPM2.5</v>
      </c>
      <c r="D32" s="128">
        <v>6.5</v>
      </c>
      <c r="E32" s="128">
        <v>6.5</v>
      </c>
      <c r="F32" s="128">
        <v>2.3E-2</v>
      </c>
      <c r="G32" s="57" t="s">
        <v>39</v>
      </c>
      <c r="H32" s="57" t="s">
        <v>91</v>
      </c>
      <c r="I32" s="57" t="s">
        <v>446</v>
      </c>
    </row>
    <row r="33" spans="1:9" s="101" customFormat="1" x14ac:dyDescent="0.25">
      <c r="A33" s="445" t="s">
        <v>119</v>
      </c>
      <c r="B33" s="445"/>
      <c r="C33" s="445"/>
      <c r="D33" s="445"/>
      <c r="E33" s="445"/>
      <c r="F33" s="445"/>
      <c r="G33" s="445"/>
      <c r="H33" s="445"/>
      <c r="I33" s="445"/>
    </row>
    <row r="34" spans="1:9" s="101" customFormat="1" x14ac:dyDescent="0.25">
      <c r="A34" s="97" t="s">
        <v>67</v>
      </c>
      <c r="B34" s="57" t="s">
        <v>62</v>
      </c>
      <c r="C34" s="74" t="str">
        <f t="shared" ref="C34:C61" si="3">A34&amp;B34</f>
        <v>Natural GasCO</v>
      </c>
      <c r="D34" s="128">
        <v>0.4</v>
      </c>
      <c r="E34" s="128">
        <v>0.4</v>
      </c>
      <c r="F34" s="128">
        <v>0.4</v>
      </c>
      <c r="G34" s="57" t="s">
        <v>39</v>
      </c>
      <c r="H34" s="57" t="s">
        <v>91</v>
      </c>
      <c r="I34" s="57" t="s">
        <v>443</v>
      </c>
    </row>
    <row r="35" spans="1:9" s="101" customFormat="1" x14ac:dyDescent="0.25">
      <c r="A35" s="97" t="s">
        <v>67</v>
      </c>
      <c r="B35" s="57" t="s">
        <v>90</v>
      </c>
      <c r="C35" s="74" t="str">
        <f t="shared" si="3"/>
        <v>Natural GasNOx</v>
      </c>
      <c r="D35" s="128">
        <v>2.5000000000000001E-2</v>
      </c>
      <c r="E35" s="128">
        <v>2.5000000000000001E-2</v>
      </c>
      <c r="F35" s="128">
        <v>2.5000000000000001E-2</v>
      </c>
      <c r="G35" s="57" t="s">
        <v>39</v>
      </c>
      <c r="H35" s="57" t="s">
        <v>91</v>
      </c>
      <c r="I35" s="57" t="s">
        <v>443</v>
      </c>
    </row>
    <row r="36" spans="1:9" s="101" customFormat="1" x14ac:dyDescent="0.25">
      <c r="A36" s="97" t="s">
        <v>67</v>
      </c>
      <c r="B36" s="57" t="s">
        <v>89</v>
      </c>
      <c r="C36" s="74" t="str">
        <f t="shared" si="3"/>
        <v>Natural GasSO2</v>
      </c>
      <c r="D36" s="128">
        <v>4.5999999999999999E-3</v>
      </c>
      <c r="E36" s="128">
        <v>4.5999999999999999E-3</v>
      </c>
      <c r="F36" s="128">
        <v>4.5999999999999999E-3</v>
      </c>
      <c r="G36" s="57" t="s">
        <v>39</v>
      </c>
      <c r="H36" s="57" t="s">
        <v>91</v>
      </c>
      <c r="I36" s="57" t="s">
        <v>443</v>
      </c>
    </row>
    <row r="37" spans="1:9" s="101" customFormat="1" x14ac:dyDescent="0.25">
      <c r="A37" s="97" t="s">
        <v>67</v>
      </c>
      <c r="B37" s="75" t="s">
        <v>3</v>
      </c>
      <c r="C37" s="129" t="str">
        <f t="shared" si="3"/>
        <v>Natural GasVOC</v>
      </c>
      <c r="D37" s="128">
        <v>8.2000000000000007E-3</v>
      </c>
      <c r="E37" s="128">
        <v>8.2000000000000007E-3</v>
      </c>
      <c r="F37" s="128">
        <v>8.2000000000000007E-3</v>
      </c>
      <c r="G37" s="57" t="s">
        <v>39</v>
      </c>
      <c r="H37" s="57" t="s">
        <v>91</v>
      </c>
      <c r="I37" s="57" t="s">
        <v>122</v>
      </c>
    </row>
    <row r="38" spans="1:9" s="101" customFormat="1" x14ac:dyDescent="0.25">
      <c r="A38" s="97" t="s">
        <v>67</v>
      </c>
      <c r="B38" s="97" t="s">
        <v>69</v>
      </c>
      <c r="C38" s="129" t="str">
        <f t="shared" si="3"/>
        <v>Natural GasTotal PM</v>
      </c>
      <c r="D38" s="128">
        <v>32</v>
      </c>
      <c r="E38" s="128">
        <v>32</v>
      </c>
      <c r="F38" s="128">
        <v>32</v>
      </c>
      <c r="G38" s="57" t="s">
        <v>39</v>
      </c>
      <c r="H38" s="57" t="s">
        <v>91</v>
      </c>
      <c r="I38" s="57" t="s">
        <v>123</v>
      </c>
    </row>
    <row r="39" spans="1:9" s="101" customFormat="1" ht="15.6" x14ac:dyDescent="0.25">
      <c r="A39" s="97" t="s">
        <v>67</v>
      </c>
      <c r="B39" s="97" t="s">
        <v>74</v>
      </c>
      <c r="C39" s="129" t="str">
        <f t="shared" si="3"/>
        <v>Natural GasPM10</v>
      </c>
      <c r="D39" s="128">
        <v>4.5</v>
      </c>
      <c r="E39" s="128">
        <v>4.5</v>
      </c>
      <c r="F39" s="128">
        <v>2.7E-2</v>
      </c>
      <c r="G39" s="57" t="s">
        <v>39</v>
      </c>
      <c r="H39" s="57" t="s">
        <v>91</v>
      </c>
      <c r="I39" s="57" t="s">
        <v>123</v>
      </c>
    </row>
    <row r="40" spans="1:9" s="101" customFormat="1" ht="15.6" x14ac:dyDescent="0.25">
      <c r="A40" s="97" t="s">
        <v>67</v>
      </c>
      <c r="B40" s="97" t="s">
        <v>75</v>
      </c>
      <c r="C40" s="129" t="str">
        <f t="shared" si="3"/>
        <v>Natural GasPM2.5</v>
      </c>
      <c r="D40" s="128">
        <v>4.5</v>
      </c>
      <c r="E40" s="128">
        <v>4.5</v>
      </c>
      <c r="F40" s="128">
        <v>2.7E-2</v>
      </c>
      <c r="G40" s="57" t="s">
        <v>39</v>
      </c>
      <c r="H40" s="57" t="s">
        <v>91</v>
      </c>
      <c r="I40" s="57" t="s">
        <v>446</v>
      </c>
    </row>
    <row r="41" spans="1:9" s="101" customFormat="1" x14ac:dyDescent="0.25">
      <c r="A41" s="97" t="s">
        <v>68</v>
      </c>
      <c r="B41" s="57" t="s">
        <v>62</v>
      </c>
      <c r="C41" s="74" t="str">
        <f t="shared" si="3"/>
        <v>Oil - DistillateCO</v>
      </c>
      <c r="D41" s="128">
        <v>0.4</v>
      </c>
      <c r="E41" s="128">
        <v>0.4</v>
      </c>
      <c r="F41" s="128">
        <v>0.4</v>
      </c>
      <c r="G41" s="57" t="s">
        <v>39</v>
      </c>
      <c r="H41" s="57" t="s">
        <v>91</v>
      </c>
      <c r="I41" s="57" t="s">
        <v>443</v>
      </c>
    </row>
    <row r="42" spans="1:9" s="101" customFormat="1" x14ac:dyDescent="0.25">
      <c r="A42" s="97" t="s">
        <v>68</v>
      </c>
      <c r="B42" s="57" t="s">
        <v>90</v>
      </c>
      <c r="C42" s="74" t="str">
        <f t="shared" si="3"/>
        <v>Oil - DistillateNOx</v>
      </c>
      <c r="D42" s="128">
        <v>0.12</v>
      </c>
      <c r="E42" s="128">
        <v>0.12</v>
      </c>
      <c r="F42" s="128">
        <v>0.12</v>
      </c>
      <c r="G42" s="57" t="s">
        <v>39</v>
      </c>
      <c r="H42" s="57" t="s">
        <v>91</v>
      </c>
      <c r="I42" s="57" t="s">
        <v>443</v>
      </c>
    </row>
    <row r="43" spans="1:9" s="101" customFormat="1" x14ac:dyDescent="0.25">
      <c r="A43" s="97" t="s">
        <v>68</v>
      </c>
      <c r="B43" s="57" t="s">
        <v>89</v>
      </c>
      <c r="C43" s="74" t="str">
        <f t="shared" si="3"/>
        <v>Oil - DistillateSO2</v>
      </c>
      <c r="D43" s="128">
        <v>8.7999999999999995E-2</v>
      </c>
      <c r="E43" s="128">
        <v>8.7999999999999995E-2</v>
      </c>
      <c r="F43" s="128">
        <v>8.7999999999999995E-2</v>
      </c>
      <c r="G43" s="57" t="s">
        <v>39</v>
      </c>
      <c r="H43" s="57" t="s">
        <v>91</v>
      </c>
      <c r="I43" s="57" t="s">
        <v>443</v>
      </c>
    </row>
    <row r="44" spans="1:9" s="101" customFormat="1" x14ac:dyDescent="0.25">
      <c r="A44" s="97" t="s">
        <v>68</v>
      </c>
      <c r="B44" s="75" t="s">
        <v>3</v>
      </c>
      <c r="C44" s="129" t="str">
        <f t="shared" si="3"/>
        <v>Oil - DistillateVOC</v>
      </c>
      <c r="D44" s="128">
        <v>8.0000000000000002E-3</v>
      </c>
      <c r="E44" s="128">
        <v>8.2000000000000007E-3</v>
      </c>
      <c r="F44" s="128">
        <v>8.2000000000000007E-3</v>
      </c>
      <c r="G44" s="57" t="s">
        <v>39</v>
      </c>
      <c r="H44" s="57" t="s">
        <v>91</v>
      </c>
      <c r="I44" s="57" t="s">
        <v>122</v>
      </c>
    </row>
    <row r="45" spans="1:9" s="101" customFormat="1" x14ac:dyDescent="0.25">
      <c r="A45" s="97" t="s">
        <v>68</v>
      </c>
      <c r="B45" s="97" t="s">
        <v>69</v>
      </c>
      <c r="C45" s="129" t="str">
        <f t="shared" si="3"/>
        <v>Oil - DistillateTotal PM</v>
      </c>
      <c r="D45" s="128">
        <v>32</v>
      </c>
      <c r="E45" s="128">
        <v>32</v>
      </c>
      <c r="F45" s="128">
        <v>32</v>
      </c>
      <c r="G45" s="57" t="s">
        <v>39</v>
      </c>
      <c r="H45" s="57" t="s">
        <v>91</v>
      </c>
      <c r="I45" s="57" t="s">
        <v>123</v>
      </c>
    </row>
    <row r="46" spans="1:9" s="101" customFormat="1" ht="15.6" x14ac:dyDescent="0.25">
      <c r="A46" s="97" t="s">
        <v>68</v>
      </c>
      <c r="B46" s="97" t="s">
        <v>74</v>
      </c>
      <c r="C46" s="129" t="str">
        <f t="shared" si="3"/>
        <v>Oil - DistillatePM10</v>
      </c>
      <c r="D46" s="128">
        <v>4.5</v>
      </c>
      <c r="E46" s="128">
        <v>4.5</v>
      </c>
      <c r="F46" s="128">
        <v>2.7E-2</v>
      </c>
      <c r="G46" s="57" t="s">
        <v>39</v>
      </c>
      <c r="H46" s="57" t="s">
        <v>91</v>
      </c>
      <c r="I46" s="57" t="s">
        <v>123</v>
      </c>
    </row>
    <row r="47" spans="1:9" s="101" customFormat="1" ht="15.6" x14ac:dyDescent="0.25">
      <c r="A47" s="97" t="s">
        <v>68</v>
      </c>
      <c r="B47" s="97" t="s">
        <v>75</v>
      </c>
      <c r="C47" s="129" t="str">
        <f t="shared" si="3"/>
        <v>Oil - DistillatePM2.5</v>
      </c>
      <c r="D47" s="128">
        <v>4.5</v>
      </c>
      <c r="E47" s="128">
        <v>4.5</v>
      </c>
      <c r="F47" s="128">
        <v>2.7E-2</v>
      </c>
      <c r="G47" s="57" t="s">
        <v>39</v>
      </c>
      <c r="H47" s="57" t="s">
        <v>91</v>
      </c>
      <c r="I47" s="57" t="s">
        <v>446</v>
      </c>
    </row>
    <row r="48" spans="1:9" s="101" customFormat="1" ht="14.25" customHeight="1" x14ac:dyDescent="0.25">
      <c r="A48" s="97" t="s">
        <v>88</v>
      </c>
      <c r="B48" s="57" t="s">
        <v>62</v>
      </c>
      <c r="C48" s="129" t="str">
        <f t="shared" si="3"/>
        <v>Oil - ResidualCO</v>
      </c>
      <c r="D48" s="128">
        <v>0.4</v>
      </c>
      <c r="E48" s="128">
        <v>0.4</v>
      </c>
      <c r="F48" s="128">
        <v>0.4</v>
      </c>
      <c r="G48" s="57" t="s">
        <v>39</v>
      </c>
      <c r="H48" s="57" t="s">
        <v>91</v>
      </c>
      <c r="I48" s="57" t="s">
        <v>442</v>
      </c>
    </row>
    <row r="49" spans="1:9" s="101" customFormat="1" ht="14.25" customHeight="1" x14ac:dyDescent="0.25">
      <c r="A49" s="97" t="s">
        <v>88</v>
      </c>
      <c r="B49" s="57" t="s">
        <v>90</v>
      </c>
      <c r="C49" s="129" t="str">
        <f t="shared" si="3"/>
        <v>Oil - ResidualNOx</v>
      </c>
      <c r="D49" s="128">
        <v>0.12</v>
      </c>
      <c r="E49" s="128">
        <f t="shared" ref="E49:F49" si="4">D49</f>
        <v>0.12</v>
      </c>
      <c r="F49" s="128">
        <f t="shared" si="4"/>
        <v>0.12</v>
      </c>
      <c r="G49" s="57" t="s">
        <v>39</v>
      </c>
      <c r="H49" s="57" t="s">
        <v>91</v>
      </c>
      <c r="I49" s="57" t="s">
        <v>442</v>
      </c>
    </row>
    <row r="50" spans="1:9" s="101" customFormat="1" ht="14.25" customHeight="1" x14ac:dyDescent="0.25">
      <c r="A50" s="97" t="s">
        <v>88</v>
      </c>
      <c r="B50" s="57" t="s">
        <v>89</v>
      </c>
      <c r="C50" s="129" t="str">
        <f t="shared" si="3"/>
        <v>Oil - ResidualSO2</v>
      </c>
      <c r="D50" s="128">
        <v>8.7999999999999995E-2</v>
      </c>
      <c r="E50" s="128">
        <f>D50</f>
        <v>8.7999999999999995E-2</v>
      </c>
      <c r="F50" s="128">
        <f>E50</f>
        <v>8.7999999999999995E-2</v>
      </c>
      <c r="G50" s="57" t="s">
        <v>39</v>
      </c>
      <c r="H50" s="57" t="s">
        <v>91</v>
      </c>
      <c r="I50" s="57" t="s">
        <v>442</v>
      </c>
    </row>
    <row r="51" spans="1:9" s="101" customFormat="1" ht="14.25" customHeight="1" x14ac:dyDescent="0.25">
      <c r="A51" s="97" t="s">
        <v>88</v>
      </c>
      <c r="B51" s="75" t="s">
        <v>3</v>
      </c>
      <c r="C51" s="129" t="str">
        <f t="shared" si="3"/>
        <v>Oil - ResidualVOC</v>
      </c>
      <c r="D51" s="128">
        <v>3.5999999999999997E-2</v>
      </c>
      <c r="E51" s="137">
        <v>3.5999999999999997E-2</v>
      </c>
      <c r="F51" s="137">
        <v>3.5999999999999997E-2</v>
      </c>
      <c r="G51" s="57" t="s">
        <v>39</v>
      </c>
      <c r="H51" s="57" t="s">
        <v>91</v>
      </c>
      <c r="I51" s="57" t="s">
        <v>122</v>
      </c>
    </row>
    <row r="52" spans="1:9" s="101" customFormat="1" ht="14.25" customHeight="1" x14ac:dyDescent="0.25">
      <c r="A52" s="97" t="s">
        <v>88</v>
      </c>
      <c r="B52" s="97" t="s">
        <v>69</v>
      </c>
      <c r="C52" s="129" t="str">
        <f t="shared" si="3"/>
        <v>Oil - ResidualTotal PM</v>
      </c>
      <c r="D52" s="128">
        <v>32</v>
      </c>
      <c r="E52" s="137">
        <v>32</v>
      </c>
      <c r="F52" s="137">
        <v>32</v>
      </c>
      <c r="G52" s="57" t="s">
        <v>39</v>
      </c>
      <c r="H52" s="57" t="s">
        <v>91</v>
      </c>
      <c r="I52" s="57" t="s">
        <v>123</v>
      </c>
    </row>
    <row r="53" spans="1:9" s="101" customFormat="1" ht="14.25" customHeight="1" x14ac:dyDescent="0.25">
      <c r="A53" s="97" t="s">
        <v>88</v>
      </c>
      <c r="B53" s="97" t="s">
        <v>74</v>
      </c>
      <c r="C53" s="129" t="str">
        <f t="shared" si="3"/>
        <v>Oil - ResidualPM10</v>
      </c>
      <c r="D53" s="128">
        <v>4.5</v>
      </c>
      <c r="E53" s="137">
        <v>4.5</v>
      </c>
      <c r="F53" s="128">
        <v>2.7E-2</v>
      </c>
      <c r="G53" s="57" t="s">
        <v>39</v>
      </c>
      <c r="H53" s="57" t="s">
        <v>91</v>
      </c>
      <c r="I53" s="57" t="s">
        <v>123</v>
      </c>
    </row>
    <row r="54" spans="1:9" s="101" customFormat="1" ht="14.25" customHeight="1" x14ac:dyDescent="0.25">
      <c r="A54" s="97" t="s">
        <v>88</v>
      </c>
      <c r="B54" s="97" t="s">
        <v>75</v>
      </c>
      <c r="C54" s="129" t="str">
        <f t="shared" si="3"/>
        <v>Oil - ResidualPM2.5</v>
      </c>
      <c r="D54" s="128">
        <v>4.5</v>
      </c>
      <c r="E54" s="128">
        <v>4.5</v>
      </c>
      <c r="F54" s="128">
        <v>2.7E-2</v>
      </c>
      <c r="G54" s="57" t="s">
        <v>39</v>
      </c>
      <c r="H54" s="57" t="s">
        <v>91</v>
      </c>
      <c r="I54" s="57" t="s">
        <v>446</v>
      </c>
    </row>
    <row r="55" spans="1:9" s="101" customFormat="1" x14ac:dyDescent="0.25">
      <c r="A55" s="97" t="s">
        <v>87</v>
      </c>
      <c r="B55" s="57" t="s">
        <v>62</v>
      </c>
      <c r="C55" s="74" t="str">
        <f t="shared" si="3"/>
        <v>Waste OilCO</v>
      </c>
      <c r="D55" s="128">
        <v>0.4</v>
      </c>
      <c r="E55" s="128">
        <v>0.4</v>
      </c>
      <c r="F55" s="128">
        <v>0.4</v>
      </c>
      <c r="G55" s="57" t="s">
        <v>39</v>
      </c>
      <c r="H55" s="57" t="s">
        <v>91</v>
      </c>
      <c r="I55" s="57" t="s">
        <v>443</v>
      </c>
    </row>
    <row r="56" spans="1:9" s="101" customFormat="1" x14ac:dyDescent="0.25">
      <c r="A56" s="97" t="s">
        <v>87</v>
      </c>
      <c r="B56" s="57" t="s">
        <v>90</v>
      </c>
      <c r="C56" s="74" t="str">
        <f t="shared" si="3"/>
        <v>Waste OilNOx</v>
      </c>
      <c r="D56" s="128">
        <v>0.12</v>
      </c>
      <c r="E56" s="128">
        <v>0.12</v>
      </c>
      <c r="F56" s="128">
        <v>0.12</v>
      </c>
      <c r="G56" s="57" t="s">
        <v>39</v>
      </c>
      <c r="H56" s="57" t="s">
        <v>91</v>
      </c>
      <c r="I56" s="57" t="s">
        <v>443</v>
      </c>
    </row>
    <row r="57" spans="1:9" s="101" customFormat="1" x14ac:dyDescent="0.25">
      <c r="A57" s="97" t="s">
        <v>87</v>
      </c>
      <c r="B57" s="57" t="s">
        <v>89</v>
      </c>
      <c r="C57" s="74" t="str">
        <f t="shared" si="3"/>
        <v>Waste OilSO2</v>
      </c>
      <c r="D57" s="128">
        <v>8.7999999999999995E-2</v>
      </c>
      <c r="E57" s="128">
        <v>8.7999999999999995E-2</v>
      </c>
      <c r="F57" s="128">
        <v>8.7999999999999995E-2</v>
      </c>
      <c r="G57" s="57" t="s">
        <v>39</v>
      </c>
      <c r="H57" s="57" t="s">
        <v>91</v>
      </c>
      <c r="I57" s="57" t="s">
        <v>443</v>
      </c>
    </row>
    <row r="58" spans="1:9" s="101" customFormat="1" x14ac:dyDescent="0.25">
      <c r="A58" s="97" t="s">
        <v>87</v>
      </c>
      <c r="B58" s="75" t="s">
        <v>3</v>
      </c>
      <c r="C58" s="129" t="str">
        <f t="shared" si="3"/>
        <v>Waste OilVOC</v>
      </c>
      <c r="D58" s="128">
        <v>3.5999999999999997E-2</v>
      </c>
      <c r="E58" s="128">
        <v>3.5999999999999997E-2</v>
      </c>
      <c r="F58" s="128">
        <v>3.5999999999999997E-2</v>
      </c>
      <c r="G58" s="57" t="s">
        <v>39</v>
      </c>
      <c r="H58" s="57" t="s">
        <v>91</v>
      </c>
      <c r="I58" s="57" t="s">
        <v>122</v>
      </c>
    </row>
    <row r="59" spans="1:9" s="101" customFormat="1" x14ac:dyDescent="0.25">
      <c r="A59" s="97" t="s">
        <v>87</v>
      </c>
      <c r="B59" s="97" t="s">
        <v>69</v>
      </c>
      <c r="C59" s="129" t="str">
        <f t="shared" si="3"/>
        <v>Waste OilTotal PM</v>
      </c>
      <c r="D59" s="128">
        <v>32</v>
      </c>
      <c r="E59" s="128">
        <v>32</v>
      </c>
      <c r="F59" s="128">
        <v>32</v>
      </c>
      <c r="G59" s="57" t="s">
        <v>39</v>
      </c>
      <c r="H59" s="57" t="s">
        <v>91</v>
      </c>
      <c r="I59" s="57" t="s">
        <v>123</v>
      </c>
    </row>
    <row r="60" spans="1:9" s="101" customFormat="1" ht="15.6" x14ac:dyDescent="0.25">
      <c r="A60" s="97" t="s">
        <v>87</v>
      </c>
      <c r="B60" s="97" t="s">
        <v>74</v>
      </c>
      <c r="C60" s="129" t="str">
        <f t="shared" si="3"/>
        <v>Waste OilPM10</v>
      </c>
      <c r="D60" s="128">
        <v>4.5</v>
      </c>
      <c r="E60" s="128">
        <v>4.5</v>
      </c>
      <c r="F60" s="128">
        <v>2.7E-2</v>
      </c>
      <c r="G60" s="57" t="s">
        <v>39</v>
      </c>
      <c r="H60" s="57" t="s">
        <v>91</v>
      </c>
      <c r="I60" s="57" t="s">
        <v>123</v>
      </c>
    </row>
    <row r="61" spans="1:9" s="101" customFormat="1" ht="15.6" x14ac:dyDescent="0.25">
      <c r="A61" s="290" t="s">
        <v>87</v>
      </c>
      <c r="B61" s="290" t="s">
        <v>75</v>
      </c>
      <c r="C61" s="291" t="str">
        <f t="shared" si="3"/>
        <v>Waste OilPM2.5</v>
      </c>
      <c r="D61" s="292">
        <v>4.5</v>
      </c>
      <c r="E61" s="292">
        <v>4.5</v>
      </c>
      <c r="F61" s="128">
        <v>2.7E-2</v>
      </c>
      <c r="G61" s="293" t="s">
        <v>39</v>
      </c>
      <c r="H61" s="293" t="s">
        <v>91</v>
      </c>
      <c r="I61" s="293" t="s">
        <v>446</v>
      </c>
    </row>
    <row r="62" spans="1:9" s="299" customFormat="1" ht="15.75" customHeight="1" x14ac:dyDescent="0.25">
      <c r="A62" s="447" t="s">
        <v>95</v>
      </c>
      <c r="B62" s="448"/>
      <c r="C62" s="448"/>
      <c r="D62" s="448"/>
      <c r="E62" s="448"/>
      <c r="F62" s="448"/>
      <c r="G62" s="448"/>
      <c r="H62" s="448"/>
      <c r="I62" s="449"/>
    </row>
    <row r="63" spans="1:9" s="101" customFormat="1" x14ac:dyDescent="0.25">
      <c r="A63" s="294" t="s">
        <v>68</v>
      </c>
      <c r="B63" s="295" t="s">
        <v>3</v>
      </c>
      <c r="C63" s="295" t="str">
        <f t="shared" ref="C63:C97" si="5">A63&amp;B63</f>
        <v>Oil - DistillateVOC</v>
      </c>
      <c r="D63" s="296">
        <v>0.2</v>
      </c>
      <c r="E63" s="296">
        <f t="shared" ref="E63:E83" si="6">D63</f>
        <v>0.2</v>
      </c>
      <c r="F63" s="296"/>
      <c r="G63" s="297" t="s">
        <v>39</v>
      </c>
      <c r="H63" s="297" t="s">
        <v>70</v>
      </c>
      <c r="I63" s="298" t="s">
        <v>71</v>
      </c>
    </row>
    <row r="64" spans="1:9" s="101" customFormat="1" ht="15.6" x14ac:dyDescent="0.25">
      <c r="A64" s="57" t="s">
        <v>68</v>
      </c>
      <c r="B64" s="97" t="s">
        <v>72</v>
      </c>
      <c r="C64" s="130" t="str">
        <f t="shared" si="5"/>
        <v>Oil - DistillateNOx</v>
      </c>
      <c r="D64" s="131">
        <v>20</v>
      </c>
      <c r="E64" s="131">
        <f t="shared" si="6"/>
        <v>20</v>
      </c>
      <c r="F64" s="131"/>
      <c r="G64" s="132" t="s">
        <v>39</v>
      </c>
      <c r="H64" s="132" t="s">
        <v>70</v>
      </c>
      <c r="I64" s="97" t="s">
        <v>71</v>
      </c>
    </row>
    <row r="65" spans="1:9" s="101" customFormat="1" x14ac:dyDescent="0.25">
      <c r="A65" s="57" t="s">
        <v>68</v>
      </c>
      <c r="B65" s="97" t="s">
        <v>62</v>
      </c>
      <c r="C65" s="130" t="str">
        <f t="shared" si="5"/>
        <v>Oil - DistillateCO</v>
      </c>
      <c r="D65" s="131">
        <v>5</v>
      </c>
      <c r="E65" s="131">
        <f t="shared" si="6"/>
        <v>5</v>
      </c>
      <c r="F65" s="131"/>
      <c r="G65" s="132" t="s">
        <v>39</v>
      </c>
      <c r="H65" s="132" t="s">
        <v>70</v>
      </c>
      <c r="I65" s="97" t="s">
        <v>71</v>
      </c>
    </row>
    <row r="66" spans="1:9" s="101" customFormat="1" ht="15.6" x14ac:dyDescent="0.25">
      <c r="A66" s="57" t="s">
        <v>68</v>
      </c>
      <c r="B66" s="97" t="s">
        <v>73</v>
      </c>
      <c r="C66" s="130" t="str">
        <f t="shared" si="5"/>
        <v>Oil - DistillateSO2</v>
      </c>
      <c r="D66" s="133">
        <f>IF(Heater_Fuel_Sulfur_Content=0,142*Oil_Distillate_Uncontrolled_Sulfur_Content,142*Heater_Fuel_Sulfur_Content)</f>
        <v>34.08</v>
      </c>
      <c r="E66" s="131">
        <f>IF(D66&gt;142*Oil_Distillate_Registration_Sulfur_Content,D66,142*Oil_Distillate_Registration_Sulfur_Content)</f>
        <v>71</v>
      </c>
      <c r="F66" s="131"/>
      <c r="G66" s="132" t="s">
        <v>39</v>
      </c>
      <c r="H66" s="132" t="s">
        <v>70</v>
      </c>
      <c r="I66" s="97" t="s">
        <v>71</v>
      </c>
    </row>
    <row r="67" spans="1:9" s="101" customFormat="1" x14ac:dyDescent="0.25">
      <c r="A67" s="57" t="s">
        <v>68</v>
      </c>
      <c r="B67" s="97" t="s">
        <v>69</v>
      </c>
      <c r="C67" s="130" t="str">
        <f t="shared" si="5"/>
        <v>Oil - DistillateTotal PM</v>
      </c>
      <c r="D67" s="131">
        <v>4.5999999999999996</v>
      </c>
      <c r="E67" s="131">
        <f t="shared" si="6"/>
        <v>4.5999999999999996</v>
      </c>
      <c r="F67" s="131"/>
      <c r="G67" s="132" t="s">
        <v>39</v>
      </c>
      <c r="H67" s="132" t="s">
        <v>70</v>
      </c>
      <c r="I67" s="97" t="s">
        <v>71</v>
      </c>
    </row>
    <row r="68" spans="1:9" s="101" customFormat="1" ht="15.6" x14ac:dyDescent="0.25">
      <c r="A68" s="57" t="s">
        <v>68</v>
      </c>
      <c r="B68" s="97" t="s">
        <v>74</v>
      </c>
      <c r="C68" s="130" t="str">
        <f t="shared" si="5"/>
        <v>Oil - DistillatePM10</v>
      </c>
      <c r="D68" s="131">
        <v>2.2999999999999998</v>
      </c>
      <c r="E68" s="131">
        <f t="shared" si="6"/>
        <v>2.2999999999999998</v>
      </c>
      <c r="F68" s="131"/>
      <c r="G68" s="132" t="s">
        <v>39</v>
      </c>
      <c r="H68" s="132" t="s">
        <v>70</v>
      </c>
      <c r="I68" s="97" t="s">
        <v>71</v>
      </c>
    </row>
    <row r="69" spans="1:9" s="101" customFormat="1" ht="15.6" x14ac:dyDescent="0.25">
      <c r="A69" s="57" t="s">
        <v>68</v>
      </c>
      <c r="B69" s="97" t="s">
        <v>75</v>
      </c>
      <c r="C69" s="130" t="str">
        <f t="shared" si="5"/>
        <v>Oil - DistillatePM2.5</v>
      </c>
      <c r="D69" s="131">
        <v>1.55</v>
      </c>
      <c r="E69" s="131">
        <f t="shared" si="6"/>
        <v>1.55</v>
      </c>
      <c r="F69" s="131"/>
      <c r="G69" s="132" t="s">
        <v>39</v>
      </c>
      <c r="H69" s="132" t="s">
        <v>70</v>
      </c>
      <c r="I69" s="97" t="s">
        <v>71</v>
      </c>
    </row>
    <row r="70" spans="1:9" s="101" customFormat="1" x14ac:dyDescent="0.25">
      <c r="A70" s="57" t="s">
        <v>88</v>
      </c>
      <c r="B70" s="130" t="s">
        <v>3</v>
      </c>
      <c r="C70" s="130" t="str">
        <f t="shared" si="5"/>
        <v>Oil - ResidualVOC</v>
      </c>
      <c r="D70" s="131">
        <v>0.28000000000000003</v>
      </c>
      <c r="E70" s="131">
        <f t="shared" si="6"/>
        <v>0.28000000000000003</v>
      </c>
      <c r="F70" s="131"/>
      <c r="G70" s="132" t="s">
        <v>39</v>
      </c>
      <c r="H70" s="132" t="s">
        <v>70</v>
      </c>
      <c r="I70" s="97" t="s">
        <v>71</v>
      </c>
    </row>
    <row r="71" spans="1:9" s="101" customFormat="1" ht="15.6" x14ac:dyDescent="0.25">
      <c r="A71" s="57" t="s">
        <v>88</v>
      </c>
      <c r="B71" s="97" t="s">
        <v>72</v>
      </c>
      <c r="C71" s="130" t="str">
        <f t="shared" si="5"/>
        <v>Oil - ResidualNOx</v>
      </c>
      <c r="D71" s="131">
        <v>55</v>
      </c>
      <c r="E71" s="131">
        <f t="shared" si="6"/>
        <v>55</v>
      </c>
      <c r="F71" s="131"/>
      <c r="G71" s="132" t="s">
        <v>39</v>
      </c>
      <c r="H71" s="132" t="s">
        <v>70</v>
      </c>
      <c r="I71" s="97" t="s">
        <v>71</v>
      </c>
    </row>
    <row r="72" spans="1:9" s="101" customFormat="1" x14ac:dyDescent="0.25">
      <c r="A72" s="57" t="s">
        <v>88</v>
      </c>
      <c r="B72" s="97" t="s">
        <v>62</v>
      </c>
      <c r="C72" s="130" t="str">
        <f t="shared" si="5"/>
        <v>Oil - ResidualCO</v>
      </c>
      <c r="D72" s="131">
        <v>5</v>
      </c>
      <c r="E72" s="131">
        <f t="shared" si="6"/>
        <v>5</v>
      </c>
      <c r="F72" s="131"/>
      <c r="G72" s="132" t="s">
        <v>39</v>
      </c>
      <c r="H72" s="132" t="s">
        <v>70</v>
      </c>
      <c r="I72" s="97" t="s">
        <v>71</v>
      </c>
    </row>
    <row r="73" spans="1:9" s="101" customFormat="1" ht="15.6" x14ac:dyDescent="0.25">
      <c r="A73" s="57" t="s">
        <v>88</v>
      </c>
      <c r="B73" s="97" t="s">
        <v>73</v>
      </c>
      <c r="C73" s="130" t="str">
        <f t="shared" si="5"/>
        <v>Oil - ResidualSO2</v>
      </c>
      <c r="D73" s="133">
        <f>IF(Heater_Fuel_Sulfur_Content=0,157*Oil_Residual_Uncontrolled_Sulfur_Content,157*Heater_Fuel_Sulfur_Content)</f>
        <v>157</v>
      </c>
      <c r="E73" s="131">
        <f>IF(D73&gt;157*Oil_Residual_Registration_Sulfur_Content,D73,157*Oil_Residual_Registration_Sulfur_Content)</f>
        <v>274.75</v>
      </c>
      <c r="F73" s="131"/>
      <c r="G73" s="132" t="s">
        <v>39</v>
      </c>
      <c r="H73" s="132" t="s">
        <v>70</v>
      </c>
      <c r="I73" s="97" t="s">
        <v>71</v>
      </c>
    </row>
    <row r="74" spans="1:9" s="101" customFormat="1" x14ac:dyDescent="0.25">
      <c r="A74" s="57" t="s">
        <v>88</v>
      </c>
      <c r="B74" s="97" t="s">
        <v>69</v>
      </c>
      <c r="C74" s="130" t="str">
        <f t="shared" si="5"/>
        <v>Oil - ResidualTotal PM</v>
      </c>
      <c r="D74" s="134">
        <f>IF(Heater_Fuel_Sulfur_Content=0,8.34*(1.12*Oil_Residual_Uncontrolled_Sulfur_Content+0.37)+1.5,8.34*(1.12*Heater_Fuel_Sulfur_Content+0.37)+1.5)</f>
        <v>13.926600000000002</v>
      </c>
      <c r="E74" s="131">
        <f>IF(D74&gt;8.34*(1.12*Oil_Residual_Registration_Sulfur_Content+0.37)+1.5,D74,8.34*(1.12*Oil_Residual_Registration_Sulfur_Content+0.37)+1.5)</f>
        <v>20.932200000000002</v>
      </c>
      <c r="F74" s="131"/>
      <c r="G74" s="132" t="s">
        <v>39</v>
      </c>
      <c r="H74" s="132" t="s">
        <v>70</v>
      </c>
      <c r="I74" s="97" t="s">
        <v>71</v>
      </c>
    </row>
    <row r="75" spans="1:9" s="101" customFormat="1" ht="15.6" x14ac:dyDescent="0.25">
      <c r="A75" s="57" t="s">
        <v>88</v>
      </c>
      <c r="B75" s="97" t="s">
        <v>74</v>
      </c>
      <c r="C75" s="130" t="str">
        <f t="shared" si="5"/>
        <v>Oil - ResidualPM10</v>
      </c>
      <c r="D75" s="133">
        <f>IF(Heater_Fuel_Sulfur_Content=0,7.17*(1.12*Oil_Residual_Uncontrolled_Sulfur_Content+0.37)+1.5,7.17*(1.12*Heater_Fuel_Sulfur_Content+0.37)+1.5)</f>
        <v>12.183300000000001</v>
      </c>
      <c r="E75" s="131">
        <f>IF(D75&gt;7.17*(1.12*Oil_Residual_Registration_Sulfur_Content+0.37)+1.5,D75,7.17*(1.12*Oil_Residual_Registration_Sulfur_Content+0.37)+1.5)</f>
        <v>18.206099999999999</v>
      </c>
      <c r="F75" s="131"/>
      <c r="G75" s="132" t="s">
        <v>39</v>
      </c>
      <c r="H75" s="132" t="s">
        <v>70</v>
      </c>
      <c r="I75" s="97" t="s">
        <v>71</v>
      </c>
    </row>
    <row r="76" spans="1:9" s="101" customFormat="1" ht="15.6" x14ac:dyDescent="0.25">
      <c r="A76" s="57" t="s">
        <v>88</v>
      </c>
      <c r="B76" s="97" t="s">
        <v>75</v>
      </c>
      <c r="C76" s="130" t="str">
        <f t="shared" si="5"/>
        <v>Oil - ResidualPM2.5</v>
      </c>
      <c r="D76" s="133">
        <f>IF(Heater_Fuel_Sulfur_Content = 0, 4.67*(1.12*Oil_Residual_Uncontrolled_Sulfur_Content+0.37)+1.5,  4.67*(1.12*Heater_Fuel_Sulfur_Content+0.37)+1.5)</f>
        <v>8.4583000000000013</v>
      </c>
      <c r="E76" s="131">
        <f>IF(D76&gt;4.67*(1.12*Oil_Residual_Registration_Sulfur_Content+0.37)+1.5,D76,4.67*(1.12*Oil_Residual_Registration_Sulfur_Content+0.37)+1.5)</f>
        <v>12.3811</v>
      </c>
      <c r="F76" s="131"/>
      <c r="G76" s="132" t="s">
        <v>39</v>
      </c>
      <c r="H76" s="132" t="s">
        <v>70</v>
      </c>
      <c r="I76" s="97" t="s">
        <v>71</v>
      </c>
    </row>
    <row r="77" spans="1:9" s="101" customFormat="1" x14ac:dyDescent="0.25">
      <c r="A77" s="57" t="s">
        <v>67</v>
      </c>
      <c r="B77" s="130" t="s">
        <v>3</v>
      </c>
      <c r="C77" s="130" t="str">
        <f t="shared" si="5"/>
        <v>Natural GasVOC</v>
      </c>
      <c r="D77" s="131">
        <v>5.5</v>
      </c>
      <c r="E77" s="131">
        <f t="shared" si="6"/>
        <v>5.5</v>
      </c>
      <c r="F77" s="131"/>
      <c r="G77" s="132" t="s">
        <v>39</v>
      </c>
      <c r="H77" s="132" t="s">
        <v>448</v>
      </c>
      <c r="I77" s="97" t="s">
        <v>71</v>
      </c>
    </row>
    <row r="78" spans="1:9" s="101" customFormat="1" ht="15.6" x14ac:dyDescent="0.25">
      <c r="A78" s="57" t="s">
        <v>67</v>
      </c>
      <c r="B78" s="97" t="s">
        <v>72</v>
      </c>
      <c r="C78" s="130" t="str">
        <f t="shared" si="5"/>
        <v>Natural GasNOx</v>
      </c>
      <c r="D78" s="131">
        <v>100</v>
      </c>
      <c r="E78" s="131">
        <f t="shared" si="6"/>
        <v>100</v>
      </c>
      <c r="F78" s="131"/>
      <c r="G78" s="132" t="s">
        <v>39</v>
      </c>
      <c r="H78" s="132" t="s">
        <v>448</v>
      </c>
      <c r="I78" s="97" t="s">
        <v>71</v>
      </c>
    </row>
    <row r="79" spans="1:9" s="101" customFormat="1" x14ac:dyDescent="0.25">
      <c r="A79" s="57" t="s">
        <v>67</v>
      </c>
      <c r="B79" s="97" t="s">
        <v>62</v>
      </c>
      <c r="C79" s="130" t="str">
        <f t="shared" si="5"/>
        <v>Natural GasCO</v>
      </c>
      <c r="D79" s="131">
        <v>84</v>
      </c>
      <c r="E79" s="131">
        <f t="shared" si="6"/>
        <v>84</v>
      </c>
      <c r="F79" s="131"/>
      <c r="G79" s="132" t="s">
        <v>39</v>
      </c>
      <c r="H79" s="132" t="s">
        <v>448</v>
      </c>
      <c r="I79" s="97" t="s">
        <v>71</v>
      </c>
    </row>
    <row r="80" spans="1:9" s="101" customFormat="1" ht="15.6" x14ac:dyDescent="0.25">
      <c r="A80" s="57" t="s">
        <v>67</v>
      </c>
      <c r="B80" s="97" t="s">
        <v>73</v>
      </c>
      <c r="C80" s="130" t="str">
        <f t="shared" si="5"/>
        <v>Natural GasSO2</v>
      </c>
      <c r="D80" s="131">
        <f>IF(Heater_Fuel_Sulfur_Content=0,0.6,0.6*Heater_Fuel_Sulfur_Content/Natural_Gas_Unc_Sulfur_Content)</f>
        <v>0.6</v>
      </c>
      <c r="E80" s="131">
        <f>IF(D80&gt;D80*Natural_Gas_Registration_Sulfur_Content/Natural_Gas_Unc_Sulfur_Content,D80,D80*Natural_Gas_Registration_Sulfur_Content/Natural_Gas_Unc_Sulfur_Content)</f>
        <v>143.99999999999997</v>
      </c>
      <c r="F80" s="131"/>
      <c r="G80" s="132" t="s">
        <v>39</v>
      </c>
      <c r="H80" s="132" t="s">
        <v>448</v>
      </c>
      <c r="I80" s="97" t="s">
        <v>71</v>
      </c>
    </row>
    <row r="81" spans="1:9" s="101" customFormat="1" x14ac:dyDescent="0.25">
      <c r="A81" s="57" t="s">
        <v>67</v>
      </c>
      <c r="B81" s="97" t="s">
        <v>69</v>
      </c>
      <c r="C81" s="130" t="str">
        <f t="shared" si="5"/>
        <v>Natural GasTotal PM</v>
      </c>
      <c r="D81" s="126">
        <v>0.52</v>
      </c>
      <c r="E81" s="131">
        <f t="shared" si="6"/>
        <v>0.52</v>
      </c>
      <c r="F81" s="131"/>
      <c r="G81" s="132" t="s">
        <v>39</v>
      </c>
      <c r="H81" s="132" t="s">
        <v>448</v>
      </c>
      <c r="I81" s="97" t="s">
        <v>71</v>
      </c>
    </row>
    <row r="82" spans="1:9" s="101" customFormat="1" ht="15.6" x14ac:dyDescent="0.25">
      <c r="A82" s="57" t="s">
        <v>67</v>
      </c>
      <c r="B82" s="97" t="s">
        <v>74</v>
      </c>
      <c r="C82" s="130" t="str">
        <f t="shared" si="5"/>
        <v>Natural GasPM10</v>
      </c>
      <c r="D82" s="131">
        <v>0.52</v>
      </c>
      <c r="E82" s="131">
        <f t="shared" si="6"/>
        <v>0.52</v>
      </c>
      <c r="F82" s="131"/>
      <c r="G82" s="132" t="s">
        <v>39</v>
      </c>
      <c r="H82" s="132" t="s">
        <v>448</v>
      </c>
      <c r="I82" s="97" t="s">
        <v>71</v>
      </c>
    </row>
    <row r="83" spans="1:9" s="101" customFormat="1" ht="15.6" x14ac:dyDescent="0.25">
      <c r="A83" s="57" t="s">
        <v>67</v>
      </c>
      <c r="B83" s="97" t="s">
        <v>75</v>
      </c>
      <c r="C83" s="130" t="str">
        <f t="shared" si="5"/>
        <v>Natural GasPM2.5</v>
      </c>
      <c r="D83" s="131">
        <v>0.43</v>
      </c>
      <c r="E83" s="131">
        <f t="shared" si="6"/>
        <v>0.43</v>
      </c>
      <c r="F83" s="131"/>
      <c r="G83" s="132" t="s">
        <v>39</v>
      </c>
      <c r="H83" s="132" t="s">
        <v>448</v>
      </c>
      <c r="I83" s="97" t="s">
        <v>71</v>
      </c>
    </row>
    <row r="84" spans="1:9" s="101" customFormat="1" x14ac:dyDescent="0.25">
      <c r="A84" s="97" t="s">
        <v>87</v>
      </c>
      <c r="B84" s="130" t="s">
        <v>3</v>
      </c>
      <c r="C84" s="130" t="str">
        <f t="shared" si="5"/>
        <v>Waste OilVOC</v>
      </c>
      <c r="D84" s="128">
        <v>1</v>
      </c>
      <c r="E84" s="128">
        <v>1</v>
      </c>
      <c r="F84" s="128"/>
      <c r="G84" s="132" t="s">
        <v>39</v>
      </c>
      <c r="H84" s="132" t="s">
        <v>70</v>
      </c>
      <c r="I84" s="57" t="s">
        <v>115</v>
      </c>
    </row>
    <row r="85" spans="1:9" s="101" customFormat="1" ht="15.6" x14ac:dyDescent="0.25">
      <c r="A85" s="97" t="s">
        <v>87</v>
      </c>
      <c r="B85" s="97" t="s">
        <v>72</v>
      </c>
      <c r="C85" s="130" t="str">
        <f t="shared" si="5"/>
        <v>Waste OilNOx</v>
      </c>
      <c r="D85" s="128">
        <v>19</v>
      </c>
      <c r="E85" s="128">
        <f>D85</f>
        <v>19</v>
      </c>
      <c r="F85" s="128"/>
      <c r="G85" s="132" t="s">
        <v>39</v>
      </c>
      <c r="H85" s="132" t="s">
        <v>70</v>
      </c>
      <c r="I85" s="57" t="s">
        <v>114</v>
      </c>
    </row>
    <row r="86" spans="1:9" s="101" customFormat="1" x14ac:dyDescent="0.25">
      <c r="A86" s="97" t="s">
        <v>87</v>
      </c>
      <c r="B86" s="97" t="s">
        <v>62</v>
      </c>
      <c r="C86" s="130" t="str">
        <f t="shared" si="5"/>
        <v>Waste OilCO</v>
      </c>
      <c r="D86" s="128">
        <v>5</v>
      </c>
      <c r="E86" s="128">
        <f>D86</f>
        <v>5</v>
      </c>
      <c r="F86" s="128"/>
      <c r="G86" s="132" t="s">
        <v>39</v>
      </c>
      <c r="H86" s="132" t="s">
        <v>70</v>
      </c>
      <c r="I86" s="57" t="s">
        <v>114</v>
      </c>
    </row>
    <row r="87" spans="1:9" s="101" customFormat="1" ht="15.6" x14ac:dyDescent="0.25">
      <c r="A87" s="97" t="s">
        <v>87</v>
      </c>
      <c r="B87" s="97" t="s">
        <v>73</v>
      </c>
      <c r="C87" s="130" t="str">
        <f t="shared" si="5"/>
        <v>Waste OilSO2</v>
      </c>
      <c r="D87" s="128">
        <f>IF(Heater_Fuel_Sulfur_Content=0,147*Waste_Oil_Unc_Sulfur_Content,147*Heater_Fuel_Sulfur_Content)</f>
        <v>73.5</v>
      </c>
      <c r="E87" s="128">
        <f>IF(D87&gt;147*Waste_Oil_Registration_Sulfur_Content,D87,147*Waste_Oil_Registration_Sulfur_Content)</f>
        <v>294</v>
      </c>
      <c r="F87" s="128"/>
      <c r="G87" s="132" t="s">
        <v>39</v>
      </c>
      <c r="H87" s="132" t="s">
        <v>70</v>
      </c>
      <c r="I87" s="57" t="s">
        <v>114</v>
      </c>
    </row>
    <row r="88" spans="1:9" s="101" customFormat="1" x14ac:dyDescent="0.25">
      <c r="A88" s="97" t="s">
        <v>87</v>
      </c>
      <c r="B88" s="97" t="s">
        <v>69</v>
      </c>
      <c r="C88" s="130" t="str">
        <f t="shared" si="5"/>
        <v>Waste OilTotal PM</v>
      </c>
      <c r="D88" s="128">
        <f>64*Waste_Oil_Unc_Ash_Content/100</f>
        <v>0.41600000000000004</v>
      </c>
      <c r="E88" s="128">
        <f>IF(D88&gt;64*Waste_Oil_Registration_Ash_Content/100,D88,64*Waste_Oil_Registration_Ash_Content/100)</f>
        <v>0.76800000000000002</v>
      </c>
      <c r="F88" s="128"/>
      <c r="G88" s="132" t="s">
        <v>39</v>
      </c>
      <c r="H88" s="132" t="s">
        <v>70</v>
      </c>
      <c r="I88" s="57" t="s">
        <v>113</v>
      </c>
    </row>
    <row r="89" spans="1:9" s="101" customFormat="1" ht="15.6" x14ac:dyDescent="0.25">
      <c r="A89" s="97" t="s">
        <v>87</v>
      </c>
      <c r="B89" s="97" t="s">
        <v>74</v>
      </c>
      <c r="C89" s="130" t="str">
        <f t="shared" si="5"/>
        <v>Waste OilPM10</v>
      </c>
      <c r="D89" s="128">
        <f>51*Waste_Oil_Unc_Ash_Content/100</f>
        <v>0.33149999999999996</v>
      </c>
      <c r="E89" s="128">
        <f>IF(D89&gt;51*Waste_Oil_Registration_Ash_Content/100,D89,51*Waste_Oil_Registration_Ash_Content/100)</f>
        <v>0.61199999999999999</v>
      </c>
      <c r="F89" s="128"/>
      <c r="G89" s="132" t="s">
        <v>39</v>
      </c>
      <c r="H89" s="132" t="s">
        <v>70</v>
      </c>
      <c r="I89" s="57" t="s">
        <v>113</v>
      </c>
    </row>
    <row r="90" spans="1:9" s="125" customFormat="1" ht="15.6" x14ac:dyDescent="0.35">
      <c r="A90" s="135" t="s">
        <v>87</v>
      </c>
      <c r="B90" s="135" t="s">
        <v>75</v>
      </c>
      <c r="C90" s="136" t="str">
        <f t="shared" si="5"/>
        <v>Waste OilPM2.5</v>
      </c>
      <c r="D90" s="137">
        <f>D89</f>
        <v>0.33149999999999996</v>
      </c>
      <c r="E90" s="137">
        <f>E89</f>
        <v>0.61199999999999999</v>
      </c>
      <c r="F90" s="137"/>
      <c r="G90" s="138" t="s">
        <v>39</v>
      </c>
      <c r="H90" s="138" t="s">
        <v>70</v>
      </c>
      <c r="I90" s="75" t="s">
        <v>447</v>
      </c>
    </row>
    <row r="91" spans="1:9" s="101" customFormat="1" x14ac:dyDescent="0.25">
      <c r="A91" s="97" t="s">
        <v>79</v>
      </c>
      <c r="B91" s="130" t="s">
        <v>3</v>
      </c>
      <c r="C91" s="130" t="str">
        <f t="shared" si="5"/>
        <v>ElectricityVOC</v>
      </c>
      <c r="D91" s="128">
        <v>0</v>
      </c>
      <c r="E91" s="128">
        <v>0</v>
      </c>
      <c r="F91" s="128"/>
      <c r="G91" s="138" t="s">
        <v>117</v>
      </c>
      <c r="H91" s="138" t="s">
        <v>117</v>
      </c>
      <c r="I91" s="75" t="s">
        <v>116</v>
      </c>
    </row>
    <row r="92" spans="1:9" s="101" customFormat="1" ht="15.6" x14ac:dyDescent="0.25">
      <c r="A92" s="97" t="s">
        <v>79</v>
      </c>
      <c r="B92" s="97" t="s">
        <v>72</v>
      </c>
      <c r="C92" s="130" t="str">
        <f t="shared" si="5"/>
        <v>ElectricityNOx</v>
      </c>
      <c r="D92" s="128">
        <v>0</v>
      </c>
      <c r="E92" s="128">
        <v>0</v>
      </c>
      <c r="F92" s="128"/>
      <c r="G92" s="138" t="s">
        <v>117</v>
      </c>
      <c r="H92" s="138" t="s">
        <v>117</v>
      </c>
      <c r="I92" s="139" t="s">
        <v>116</v>
      </c>
    </row>
    <row r="93" spans="1:9" s="101" customFormat="1" x14ac:dyDescent="0.25">
      <c r="A93" s="97" t="s">
        <v>79</v>
      </c>
      <c r="B93" s="97" t="s">
        <v>62</v>
      </c>
      <c r="C93" s="130" t="str">
        <f t="shared" si="5"/>
        <v>ElectricityCO</v>
      </c>
      <c r="D93" s="128">
        <v>0</v>
      </c>
      <c r="E93" s="128">
        <v>0</v>
      </c>
      <c r="F93" s="128"/>
      <c r="G93" s="138" t="s">
        <v>117</v>
      </c>
      <c r="H93" s="138" t="s">
        <v>117</v>
      </c>
      <c r="I93" s="139" t="s">
        <v>116</v>
      </c>
    </row>
    <row r="94" spans="1:9" s="101" customFormat="1" ht="15.6" x14ac:dyDescent="0.25">
      <c r="A94" s="97" t="s">
        <v>79</v>
      </c>
      <c r="B94" s="97" t="s">
        <v>73</v>
      </c>
      <c r="C94" s="130" t="str">
        <f t="shared" si="5"/>
        <v>ElectricitySO2</v>
      </c>
      <c r="D94" s="128">
        <v>0</v>
      </c>
      <c r="E94" s="128">
        <v>0</v>
      </c>
      <c r="F94" s="128"/>
      <c r="G94" s="138" t="s">
        <v>117</v>
      </c>
      <c r="H94" s="138" t="s">
        <v>117</v>
      </c>
      <c r="I94" s="139" t="s">
        <v>116</v>
      </c>
    </row>
    <row r="95" spans="1:9" s="101" customFormat="1" x14ac:dyDescent="0.25">
      <c r="A95" s="97" t="s">
        <v>79</v>
      </c>
      <c r="B95" s="97" t="s">
        <v>69</v>
      </c>
      <c r="C95" s="130" t="str">
        <f t="shared" si="5"/>
        <v>ElectricityTotal PM</v>
      </c>
      <c r="D95" s="128">
        <v>0</v>
      </c>
      <c r="E95" s="128">
        <v>0</v>
      </c>
      <c r="F95" s="128"/>
      <c r="G95" s="138" t="s">
        <v>117</v>
      </c>
      <c r="H95" s="138" t="s">
        <v>117</v>
      </c>
      <c r="I95" s="139" t="s">
        <v>116</v>
      </c>
    </row>
    <row r="96" spans="1:9" s="101" customFormat="1" ht="15.6" x14ac:dyDescent="0.25">
      <c r="A96" s="97" t="s">
        <v>79</v>
      </c>
      <c r="B96" s="97" t="s">
        <v>74</v>
      </c>
      <c r="C96" s="130" t="str">
        <f t="shared" si="5"/>
        <v>ElectricityPM10</v>
      </c>
      <c r="D96" s="128">
        <v>0</v>
      </c>
      <c r="E96" s="128">
        <v>0</v>
      </c>
      <c r="F96" s="128"/>
      <c r="G96" s="138" t="s">
        <v>117</v>
      </c>
      <c r="H96" s="138" t="s">
        <v>117</v>
      </c>
      <c r="I96" s="139" t="s">
        <v>116</v>
      </c>
    </row>
    <row r="97" spans="1:9" s="101" customFormat="1" ht="15.6" x14ac:dyDescent="0.25">
      <c r="A97" s="97" t="s">
        <v>79</v>
      </c>
      <c r="B97" s="97" t="s">
        <v>75</v>
      </c>
      <c r="C97" s="130" t="str">
        <f t="shared" si="5"/>
        <v>ElectricityPM2.5</v>
      </c>
      <c r="D97" s="128">
        <v>0</v>
      </c>
      <c r="E97" s="128">
        <v>0</v>
      </c>
      <c r="F97" s="128"/>
      <c r="G97" s="138" t="s">
        <v>117</v>
      </c>
      <c r="H97" s="138" t="s">
        <v>117</v>
      </c>
      <c r="I97" s="139" t="s">
        <v>116</v>
      </c>
    </row>
  </sheetData>
  <mergeCells count="4">
    <mergeCell ref="A2:I2"/>
    <mergeCell ref="A4:I4"/>
    <mergeCell ref="A33:I33"/>
    <mergeCell ref="A62:I62"/>
  </mergeCells>
  <phoneticPr fontId="0" type="noConversion"/>
  <pageMargins left="0.75" right="0.75" top="1" bottom="1" header="0.5" footer="0.5"/>
  <pageSetup orientation="portrait" r:id="rId1"/>
  <headerFooter alignWithMargins="0"/>
  <ignoredErrors>
    <ignoredError sqref="E66 E8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5"/>
  <sheetViews>
    <sheetView workbookViewId="0"/>
  </sheetViews>
  <sheetFormatPr defaultColWidth="9.109375" defaultRowHeight="13.2" x14ac:dyDescent="0.25"/>
  <cols>
    <col min="1" max="1" width="19.88671875" style="104" bestFit="1" customWidth="1"/>
    <col min="2" max="2" width="15" style="104" bestFit="1" customWidth="1"/>
    <col min="3" max="3" width="25.5546875" style="110" bestFit="1" customWidth="1"/>
    <col min="4" max="4" width="27.6640625" style="110" bestFit="1" customWidth="1"/>
    <col min="5" max="5" width="228.109375" style="104" bestFit="1" customWidth="1"/>
    <col min="6" max="16384" width="9.109375" style="104"/>
  </cols>
  <sheetData>
    <row r="1" spans="1:6" ht="17.399999999999999" x14ac:dyDescent="0.3">
      <c r="A1" s="109" t="s">
        <v>97</v>
      </c>
    </row>
    <row r="2" spans="1:6" ht="13.8" thickBot="1" x14ac:dyDescent="0.3"/>
    <row r="3" spans="1:6" x14ac:dyDescent="0.25">
      <c r="A3" s="450" t="s">
        <v>98</v>
      </c>
      <c r="B3" s="451"/>
      <c r="C3" s="451"/>
      <c r="D3" s="451"/>
      <c r="E3" s="452"/>
    </row>
    <row r="4" spans="1:6" x14ac:dyDescent="0.25">
      <c r="A4" s="111" t="s">
        <v>99</v>
      </c>
      <c r="B4" s="105" t="s">
        <v>100</v>
      </c>
      <c r="C4" s="106" t="s">
        <v>101</v>
      </c>
      <c r="D4" s="106" t="s">
        <v>102</v>
      </c>
      <c r="E4" s="112" t="s">
        <v>38</v>
      </c>
    </row>
    <row r="5" spans="1:6" ht="15.6" x14ac:dyDescent="0.25">
      <c r="A5" s="113" t="s">
        <v>67</v>
      </c>
      <c r="B5" s="114">
        <v>1023</v>
      </c>
      <c r="C5" s="107" t="s">
        <v>107</v>
      </c>
      <c r="D5" s="107" t="s">
        <v>108</v>
      </c>
      <c r="E5" s="115" t="s">
        <v>106</v>
      </c>
    </row>
    <row r="6" spans="1:6" x14ac:dyDescent="0.25">
      <c r="A6" s="113" t="s">
        <v>68</v>
      </c>
      <c r="B6" s="114">
        <v>5.8250000000000002</v>
      </c>
      <c r="C6" s="107" t="s">
        <v>103</v>
      </c>
      <c r="D6" s="107" t="s">
        <v>104</v>
      </c>
      <c r="E6" s="115" t="s">
        <v>109</v>
      </c>
    </row>
    <row r="7" spans="1:6" x14ac:dyDescent="0.25">
      <c r="A7" s="140" t="s">
        <v>88</v>
      </c>
      <c r="B7" s="141">
        <v>6.2869999999999999</v>
      </c>
      <c r="C7" s="142" t="s">
        <v>103</v>
      </c>
      <c r="D7" s="142" t="s">
        <v>104</v>
      </c>
      <c r="E7" s="115" t="s">
        <v>105</v>
      </c>
    </row>
    <row r="8" spans="1:6" ht="13.8" thickBot="1" x14ac:dyDescent="0.3">
      <c r="A8" s="116" t="s">
        <v>87</v>
      </c>
      <c r="B8" s="117">
        <v>140</v>
      </c>
      <c r="C8" s="118" t="s">
        <v>103</v>
      </c>
      <c r="D8" s="118" t="s">
        <v>70</v>
      </c>
      <c r="E8" s="143" t="s">
        <v>105</v>
      </c>
    </row>
    <row r="9" spans="1:6" s="114" customFormat="1" ht="13.8" thickBot="1" x14ac:dyDescent="0.3">
      <c r="A9" s="119"/>
      <c r="B9" s="104"/>
      <c r="C9" s="110"/>
      <c r="D9" s="110"/>
      <c r="E9" s="145" t="s">
        <v>126</v>
      </c>
      <c r="F9" s="144"/>
    </row>
    <row r="10" spans="1:6" x14ac:dyDescent="0.25">
      <c r="A10" s="450" t="s">
        <v>110</v>
      </c>
      <c r="B10" s="451"/>
      <c r="C10" s="451"/>
      <c r="D10" s="452"/>
    </row>
    <row r="11" spans="1:6" x14ac:dyDescent="0.25">
      <c r="A11" s="111" t="s">
        <v>99</v>
      </c>
      <c r="B11" s="105" t="s">
        <v>100</v>
      </c>
      <c r="C11" s="106" t="s">
        <v>101</v>
      </c>
      <c r="D11" s="120" t="s">
        <v>102</v>
      </c>
    </row>
    <row r="12" spans="1:6" x14ac:dyDescent="0.25">
      <c r="A12" s="113" t="s">
        <v>67</v>
      </c>
      <c r="B12" s="114">
        <f>B5</f>
        <v>1023</v>
      </c>
      <c r="C12" s="107" t="s">
        <v>103</v>
      </c>
      <c r="D12" s="122" t="s">
        <v>448</v>
      </c>
      <c r="E12" s="121"/>
    </row>
    <row r="13" spans="1:6" x14ac:dyDescent="0.25">
      <c r="A13" s="113" t="s">
        <v>68</v>
      </c>
      <c r="B13" s="114">
        <f>B6*1000/42</f>
        <v>138.6904761904762</v>
      </c>
      <c r="C13" s="107" t="s">
        <v>103</v>
      </c>
      <c r="D13" s="122" t="s">
        <v>70</v>
      </c>
    </row>
    <row r="14" spans="1:6" x14ac:dyDescent="0.25">
      <c r="A14" s="113" t="s">
        <v>88</v>
      </c>
      <c r="B14" s="114">
        <f>B7*1000/42</f>
        <v>149.6904761904762</v>
      </c>
      <c r="C14" s="107" t="s">
        <v>103</v>
      </c>
      <c r="D14" s="122" t="s">
        <v>70</v>
      </c>
    </row>
    <row r="15" spans="1:6" ht="13.8" thickBot="1" x14ac:dyDescent="0.3">
      <c r="A15" s="116" t="s">
        <v>87</v>
      </c>
      <c r="B15" s="117">
        <v>140</v>
      </c>
      <c r="C15" s="118" t="s">
        <v>103</v>
      </c>
      <c r="D15" s="123" t="s">
        <v>70</v>
      </c>
    </row>
  </sheetData>
  <mergeCells count="2">
    <mergeCell ref="A3:E3"/>
    <mergeCell ref="A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34</vt:i4>
      </vt:variant>
    </vt:vector>
  </HeadingPairs>
  <TitlesOfParts>
    <vt:vector size="45" baseType="lpstr">
      <vt:lpstr>Registration FAQs</vt:lpstr>
      <vt:lpstr>Instructions</vt:lpstr>
      <vt:lpstr>Inputs</vt:lpstr>
      <vt:lpstr>Controls and Restrictions</vt:lpstr>
      <vt:lpstr>Total Emissions</vt:lpstr>
      <vt:lpstr>Output-Summary Printout</vt:lpstr>
      <vt:lpstr>Change Log</vt:lpstr>
      <vt:lpstr>Emission Factors</vt:lpstr>
      <vt:lpstr>Fuel Energy Content</vt:lpstr>
      <vt:lpstr>Additional References</vt:lpstr>
      <vt:lpstr>EPA Regional Contact Info</vt:lpstr>
      <vt:lpstr>Allowable_Emission_Restriction</vt:lpstr>
      <vt:lpstr>CO_PM10_Attainment_List</vt:lpstr>
      <vt:lpstr>Dryer_Fuel</vt:lpstr>
      <vt:lpstr>Dryer_Fuel_List</vt:lpstr>
      <vt:lpstr>Facility_Type</vt:lpstr>
      <vt:lpstr>Facility_Type_List</vt:lpstr>
      <vt:lpstr>Heater_Capacity</vt:lpstr>
      <vt:lpstr>Heater_Fuel</vt:lpstr>
      <vt:lpstr>Heater_Fuel_Combusted</vt:lpstr>
      <vt:lpstr>Heater_Fuel_List</vt:lpstr>
      <vt:lpstr>Heater_Fuel_Sulfur_Content</vt:lpstr>
      <vt:lpstr>Hourly_Production_Average</vt:lpstr>
      <vt:lpstr>Hourly_Production_Max</vt:lpstr>
      <vt:lpstr>Natural_Gas_Registration_Sulfur_Content</vt:lpstr>
      <vt:lpstr>Natural_Gas_Unc_Sulfur_Content</vt:lpstr>
      <vt:lpstr>NOx_Control_Multiplier</vt:lpstr>
      <vt:lpstr>Oil_Distillate_Registration_Sulfur_Content</vt:lpstr>
      <vt:lpstr>Oil_Distillate_Uncontrolled_Sulfur_Content</vt:lpstr>
      <vt:lpstr>Oil_Residual_Registration_Sulfur_Content</vt:lpstr>
      <vt:lpstr>Oil_Residual_Uncontrolled_Sulfur_Content</vt:lpstr>
      <vt:lpstr>Ozone_Attainment_List</vt:lpstr>
      <vt:lpstr>PM_Control_Yes_No_List</vt:lpstr>
      <vt:lpstr>Inputs!Print_Area</vt:lpstr>
      <vt:lpstr>'Output-Summary Printout'!Print_Area</vt:lpstr>
      <vt:lpstr>'Registration FAQs'!Print_Area</vt:lpstr>
      <vt:lpstr>'Total Emissions'!Print_Area</vt:lpstr>
      <vt:lpstr>Production_Hours</vt:lpstr>
      <vt:lpstr>SO2_Control_Multiplier</vt:lpstr>
      <vt:lpstr>SO2_PM25_Attainment_List</vt:lpstr>
      <vt:lpstr>State_List</vt:lpstr>
      <vt:lpstr>Waste_Oil_Registration_Ash_Content</vt:lpstr>
      <vt:lpstr>Waste_Oil_Registration_Sulfur_Content</vt:lpstr>
      <vt:lpstr>Waste_Oil_Unc_Ash_Content</vt:lpstr>
      <vt:lpstr>Waste_Oil_Unc_Sulfur_Content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2013-03-06T16:44:29Z</cp:lastPrinted>
  <dcterms:created xsi:type="dcterms:W3CDTF">1999-01-25T20:14:01Z</dcterms:created>
  <dcterms:modified xsi:type="dcterms:W3CDTF">2016-02-03T17:57:28Z</dcterms:modified>
</cp:coreProperties>
</file>