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DIXON\Desktop\"/>
    </mc:Choice>
  </mc:AlternateContent>
  <workbookProtection workbookPassword="C969" lockStructure="1"/>
  <bookViews>
    <workbookView xWindow="48" yWindow="312" windowWidth="15480" windowHeight="11340" tabRatio="759"/>
  </bookViews>
  <sheets>
    <sheet name="Registration FAQs" sheetId="22" r:id="rId1"/>
    <sheet name="Instructions" sheetId="1" r:id="rId2"/>
    <sheet name="Inputs" sheetId="13" r:id="rId3"/>
    <sheet name="Controls and Restrictions" sheetId="23" r:id="rId4"/>
    <sheet name="Total Emissions" sheetId="7" r:id="rId5"/>
    <sheet name="Output-Summary Printout" sheetId="24" r:id="rId6"/>
    <sheet name="Change Log" sheetId="14" state="hidden" r:id="rId7"/>
    <sheet name="Emissions Calculation - Annual" sheetId="16" state="hidden" r:id="rId8"/>
    <sheet name="Emission Factors" sheetId="9" state="hidden" r:id="rId9"/>
    <sheet name="Fuel Energy Content" sheetId="18" state="hidden" r:id="rId10"/>
    <sheet name="Additional References" sheetId="20" state="hidden" r:id="rId11"/>
    <sheet name="EPA Regional Contact Info" sheetId="21" state="hidden" r:id="rId12"/>
  </sheets>
  <definedNames>
    <definedName name="_xlnm._FilterDatabase" localSheetId="11" hidden="1">'EPA Regional Contact Info'!$A$4:$N$55</definedName>
    <definedName name="Bituminous_Coal_Actual_Sulfur_Content">'Additional References'!$C$11</definedName>
    <definedName name="Bituminous_Coal_Allowable_Sulfur_Content">'Additional References'!$C$4</definedName>
    <definedName name="Boiler_ID">Inputs!$B$42:$B$61</definedName>
    <definedName name="CO_PM10_Attainment_List">Inputs!$M$3:$M$5</definedName>
    <definedName name="Emission_Rate_Unit_List">'Controls and Restrictions'!$L$5:$L$6</definedName>
    <definedName name="Fuel_Type">Inputs!$M$20:$M$27</definedName>
    <definedName name="Kerosene_Actual_Sulfur_Content">'Additional References'!$C$13</definedName>
    <definedName name="Kerosene_Allowable_Sulfur_Content">'Additional References'!$C$6</definedName>
    <definedName name="LPG_Actual_Sulfur_Content">'Additional References'!$C$17</definedName>
    <definedName name="LPG_Allowable_Sulfur_Content">'Additional References'!$C$10</definedName>
    <definedName name="Natural_Gas_Actual_Sulfur_Content">'Additional References'!$C$16</definedName>
    <definedName name="Natural_Gas_Allowable_Sulfur_Content">'Additional References'!$C$9</definedName>
    <definedName name="Oil_Distillate_Actual_Sulfur_Content">'Additional References'!$C$14</definedName>
    <definedName name="Oil_Distillate_Allowable_Sulfur_Content">'Additional References'!$C$7</definedName>
    <definedName name="Oil_Residual_Actual_Sulfur_Content">'Additional References'!$C$15</definedName>
    <definedName name="Oil_Residual_Allowable_Sulfur_Content">'Additional References'!$C$8</definedName>
    <definedName name="Ozone_Attainment_List">Inputs!$M$8:$M$13</definedName>
    <definedName name="_xlnm.Print_Area" localSheetId="2">Inputs!$A$1:$K$116</definedName>
    <definedName name="_xlnm.Print_Area" localSheetId="1">Instructions!$A$1:$E$46</definedName>
    <definedName name="_xlnm.Print_Area" localSheetId="5">'Output-Summary Printout'!$A$1:$F$42</definedName>
    <definedName name="_xlnm.Print_Area" localSheetId="0">'Registration FAQs'!$B$1:$C$37</definedName>
    <definedName name="_xlnm.Print_Area" localSheetId="4">'Total Emissions'!$A$1:$I$52</definedName>
    <definedName name="SO2_PM25_Attainment_List">Inputs!$M$16:$M$17</definedName>
    <definedName name="State_List">Inputs!$M$31:$M$75</definedName>
    <definedName name="Subbituminous_Coal_Actual_Sulfur_Content">'Additional References'!$C$12</definedName>
    <definedName name="Subbituminous_Coal_Allowable_Sulfur_Content">'Additional References'!$C$5</definedName>
  </definedNames>
  <calcPr calcId="152511"/>
  <customWorkbookViews>
    <customWorkbookView name="rhamel - Personal View" guid="{8C263A95-99F9-4260-B64A-0E771D03F536}" mergeInterval="0" personalView="1" maximized="1" windowWidth="1256" windowHeight="803" tabRatio="910" activeSheetId="8"/>
  </customWorkbookViews>
</workbook>
</file>

<file path=xl/calcChain.xml><?xml version="1.0" encoding="utf-8"?>
<calcChain xmlns="http://schemas.openxmlformats.org/spreadsheetml/2006/main">
  <c r="J68" i="13" l="1"/>
  <c r="J69" i="13"/>
  <c r="J70" i="13"/>
  <c r="J71" i="13"/>
  <c r="J72" i="13"/>
  <c r="J73" i="13"/>
  <c r="J74" i="13"/>
  <c r="J75" i="13"/>
  <c r="J76" i="13"/>
  <c r="J77" i="13"/>
  <c r="J78" i="13"/>
  <c r="J79" i="13"/>
  <c r="J80" i="13"/>
  <c r="J81" i="13"/>
  <c r="J82" i="13"/>
  <c r="J83" i="13"/>
  <c r="J84" i="13"/>
  <c r="J85" i="13"/>
  <c r="J86" i="13"/>
  <c r="J87" i="13"/>
  <c r="J88" i="13"/>
  <c r="J89" i="13"/>
  <c r="J90" i="13"/>
  <c r="J91" i="13"/>
  <c r="J92" i="13"/>
  <c r="J93" i="13"/>
  <c r="J94" i="13"/>
  <c r="J95" i="13"/>
  <c r="J96" i="13"/>
  <c r="J97" i="13"/>
  <c r="J98" i="13"/>
  <c r="J99" i="13"/>
  <c r="J100" i="13"/>
  <c r="J101" i="13"/>
  <c r="J102" i="13"/>
  <c r="J103" i="13"/>
  <c r="J104" i="13"/>
  <c r="J105" i="13"/>
  <c r="J106" i="13"/>
  <c r="J107" i="13"/>
  <c r="J108" i="13"/>
  <c r="J109" i="13"/>
  <c r="J110" i="13"/>
  <c r="J111" i="13"/>
  <c r="J112" i="13"/>
  <c r="J113" i="13"/>
  <c r="J114" i="13"/>
  <c r="J115" i="13"/>
  <c r="J116" i="13"/>
  <c r="J67" i="13"/>
  <c r="B33" i="7" l="1"/>
  <c r="L33" i="7" s="1"/>
  <c r="C33" i="7"/>
  <c r="B34" i="7"/>
  <c r="C34" i="7"/>
  <c r="B35" i="7"/>
  <c r="L35" i="7" s="1"/>
  <c r="C35" i="7"/>
  <c r="B36" i="7"/>
  <c r="C36" i="7"/>
  <c r="B37" i="7"/>
  <c r="L37" i="7" s="1"/>
  <c r="C37" i="7"/>
  <c r="B38" i="7"/>
  <c r="C38" i="7"/>
  <c r="B39" i="7"/>
  <c r="C39" i="7"/>
  <c r="B40" i="7"/>
  <c r="C40" i="7"/>
  <c r="B41" i="7"/>
  <c r="L41" i="7" s="1"/>
  <c r="C41" i="7"/>
  <c r="B42" i="7"/>
  <c r="C42" i="7"/>
  <c r="B43" i="7"/>
  <c r="C43" i="7"/>
  <c r="B44" i="7"/>
  <c r="C44" i="7"/>
  <c r="B45" i="7"/>
  <c r="C45" i="7"/>
  <c r="B46" i="7"/>
  <c r="C46" i="7"/>
  <c r="B47" i="7"/>
  <c r="C47" i="7"/>
  <c r="B48" i="7"/>
  <c r="C48" i="7"/>
  <c r="B49" i="7"/>
  <c r="C49" i="7"/>
  <c r="B50" i="7"/>
  <c r="C50" i="7"/>
  <c r="B51" i="7"/>
  <c r="C51" i="7"/>
  <c r="B7" i="7"/>
  <c r="C7" i="7"/>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L40" i="7"/>
  <c r="D6" i="16"/>
  <c r="D7" i="16"/>
  <c r="D8" i="16"/>
  <c r="D9" i="16"/>
  <c r="D10" i="16"/>
  <c r="D11" i="16"/>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 i="16"/>
  <c r="I123" i="13"/>
  <c r="B7" i="23"/>
  <c r="C7" i="23"/>
  <c r="B8" i="23"/>
  <c r="C8" i="23"/>
  <c r="B9" i="23"/>
  <c r="C9" i="23"/>
  <c r="B11" i="23"/>
  <c r="C11" i="23"/>
  <c r="B12" i="23"/>
  <c r="C12" i="23"/>
  <c r="B13" i="23"/>
  <c r="C13" i="23"/>
  <c r="B14" i="23"/>
  <c r="C14" i="23"/>
  <c r="B15" i="23"/>
  <c r="C15" i="23"/>
  <c r="B16" i="23"/>
  <c r="C16" i="23"/>
  <c r="B17" i="23"/>
  <c r="C17" i="23"/>
  <c r="B18" i="23"/>
  <c r="C18" i="23"/>
  <c r="B19" i="23"/>
  <c r="C19" i="23"/>
  <c r="B20" i="23"/>
  <c r="C20" i="23"/>
  <c r="B21" i="23"/>
  <c r="C21" i="23"/>
  <c r="B22" i="23"/>
  <c r="C22" i="23"/>
  <c r="B23" i="23"/>
  <c r="C23" i="23"/>
  <c r="B24" i="23"/>
  <c r="C24" i="23"/>
  <c r="B25" i="23"/>
  <c r="C25" i="23"/>
  <c r="B26" i="23"/>
  <c r="C26" i="23"/>
  <c r="F50" i="7" l="1"/>
  <c r="F24" i="7" s="1"/>
  <c r="D50" i="7"/>
  <c r="D24" i="7" s="1"/>
  <c r="H50" i="7"/>
  <c r="H24" i="7" s="1"/>
  <c r="E50" i="7"/>
  <c r="E24" i="7" s="1"/>
  <c r="I50" i="7"/>
  <c r="I24" i="7" s="1"/>
  <c r="G50" i="7"/>
  <c r="G24" i="7" s="1"/>
  <c r="F48" i="7"/>
  <c r="F22" i="7" s="1"/>
  <c r="G48" i="7"/>
  <c r="G22" i="7" s="1"/>
  <c r="D48" i="7"/>
  <c r="D22" i="7" s="1"/>
  <c r="H48" i="7"/>
  <c r="H22" i="7" s="1"/>
  <c r="E48" i="7"/>
  <c r="E22" i="7" s="1"/>
  <c r="I48" i="7"/>
  <c r="I22" i="7" s="1"/>
  <c r="F46" i="7"/>
  <c r="F20" i="7" s="1"/>
  <c r="G46" i="7"/>
  <c r="G20" i="7" s="1"/>
  <c r="D46" i="7"/>
  <c r="D20" i="7" s="1"/>
  <c r="H46" i="7"/>
  <c r="H20" i="7" s="1"/>
  <c r="E46" i="7"/>
  <c r="E20" i="7" s="1"/>
  <c r="I46" i="7"/>
  <c r="I20" i="7" s="1"/>
  <c r="F44" i="7"/>
  <c r="F18" i="7" s="1"/>
  <c r="D44" i="7"/>
  <c r="D18" i="7" s="1"/>
  <c r="H44" i="7"/>
  <c r="H18" i="7" s="1"/>
  <c r="E44" i="7"/>
  <c r="E18" i="7" s="1"/>
  <c r="I44" i="7"/>
  <c r="I18" i="7" s="1"/>
  <c r="G44" i="7"/>
  <c r="G18" i="7" s="1"/>
  <c r="F42" i="7"/>
  <c r="F16" i="7" s="1"/>
  <c r="G42" i="7"/>
  <c r="G16" i="7" s="1"/>
  <c r="D42" i="7"/>
  <c r="D16" i="7" s="1"/>
  <c r="H42" i="7"/>
  <c r="H16" i="7" s="1"/>
  <c r="E42" i="7"/>
  <c r="E16" i="7" s="1"/>
  <c r="I42" i="7"/>
  <c r="I16" i="7" s="1"/>
  <c r="F40" i="7"/>
  <c r="F14" i="7" s="1"/>
  <c r="D40" i="7"/>
  <c r="D14" i="7" s="1"/>
  <c r="H40" i="7"/>
  <c r="H14" i="7" s="1"/>
  <c r="E40" i="7"/>
  <c r="E14" i="7" s="1"/>
  <c r="I40" i="7"/>
  <c r="I14" i="7" s="1"/>
  <c r="G40" i="7"/>
  <c r="G14" i="7" s="1"/>
  <c r="F38" i="7"/>
  <c r="F12" i="7" s="1"/>
  <c r="G38" i="7"/>
  <c r="G12" i="7" s="1"/>
  <c r="D38" i="7"/>
  <c r="D12" i="7" s="1"/>
  <c r="H38" i="7"/>
  <c r="H12" i="7" s="1"/>
  <c r="E38" i="7"/>
  <c r="E12" i="7" s="1"/>
  <c r="I38" i="7"/>
  <c r="I12" i="7" s="1"/>
  <c r="F36" i="7"/>
  <c r="F10" i="7" s="1"/>
  <c r="D36" i="7"/>
  <c r="D10" i="7" s="1"/>
  <c r="H36" i="7"/>
  <c r="H10" i="7" s="1"/>
  <c r="E36" i="7"/>
  <c r="E10" i="7" s="1"/>
  <c r="I36" i="7"/>
  <c r="I10" i="7" s="1"/>
  <c r="G36" i="7"/>
  <c r="G10" i="7" s="1"/>
  <c r="D34" i="7"/>
  <c r="D8" i="7" s="1"/>
  <c r="H34" i="7"/>
  <c r="H8" i="7" s="1"/>
  <c r="E34" i="7"/>
  <c r="E8" i="7" s="1"/>
  <c r="I34" i="7"/>
  <c r="I8" i="7" s="1"/>
  <c r="G34" i="7"/>
  <c r="G8" i="7" s="1"/>
  <c r="L48" i="7"/>
  <c r="L36" i="7"/>
  <c r="D51" i="7"/>
  <c r="D25" i="7" s="1"/>
  <c r="H51" i="7"/>
  <c r="H25" i="7" s="1"/>
  <c r="E51" i="7"/>
  <c r="E25" i="7" s="1"/>
  <c r="F51" i="7"/>
  <c r="F25" i="7" s="1"/>
  <c r="G51" i="7"/>
  <c r="G25" i="7" s="1"/>
  <c r="I51" i="7"/>
  <c r="I25" i="7" s="1"/>
  <c r="D49" i="7"/>
  <c r="D23" i="7" s="1"/>
  <c r="H49" i="7"/>
  <c r="H23" i="7" s="1"/>
  <c r="I49" i="7"/>
  <c r="I23" i="7" s="1"/>
  <c r="F49" i="7"/>
  <c r="F23" i="7" s="1"/>
  <c r="G49" i="7"/>
  <c r="G23" i="7" s="1"/>
  <c r="E49" i="7"/>
  <c r="E23" i="7" s="1"/>
  <c r="D47" i="7"/>
  <c r="D21" i="7" s="1"/>
  <c r="H47" i="7"/>
  <c r="H21" i="7" s="1"/>
  <c r="F47" i="7"/>
  <c r="F21" i="7" s="1"/>
  <c r="G47" i="7"/>
  <c r="G21" i="7" s="1"/>
  <c r="E47" i="7"/>
  <c r="E21" i="7" s="1"/>
  <c r="I47" i="7"/>
  <c r="I21" i="7" s="1"/>
  <c r="D45" i="7"/>
  <c r="D19" i="7" s="1"/>
  <c r="H45" i="7"/>
  <c r="H19" i="7" s="1"/>
  <c r="E45" i="7"/>
  <c r="E19" i="7" s="1"/>
  <c r="F45" i="7"/>
  <c r="F19" i="7" s="1"/>
  <c r="G45" i="7"/>
  <c r="G19" i="7" s="1"/>
  <c r="I45" i="7"/>
  <c r="I19" i="7" s="1"/>
  <c r="D43" i="7"/>
  <c r="D17" i="7" s="1"/>
  <c r="H43" i="7"/>
  <c r="H17" i="7" s="1"/>
  <c r="I43" i="7"/>
  <c r="I17" i="7" s="1"/>
  <c r="F43" i="7"/>
  <c r="F17" i="7" s="1"/>
  <c r="G43" i="7"/>
  <c r="G17" i="7" s="1"/>
  <c r="E43" i="7"/>
  <c r="E17" i="7" s="1"/>
  <c r="D41" i="7"/>
  <c r="D15" i="7" s="1"/>
  <c r="H41" i="7"/>
  <c r="H15" i="7" s="1"/>
  <c r="E41" i="7"/>
  <c r="E15" i="7" s="1"/>
  <c r="F41" i="7"/>
  <c r="F15" i="7" s="1"/>
  <c r="G41" i="7"/>
  <c r="G15" i="7" s="1"/>
  <c r="I41" i="7"/>
  <c r="I15" i="7" s="1"/>
  <c r="D39" i="7"/>
  <c r="D13" i="7" s="1"/>
  <c r="H39" i="7"/>
  <c r="H13" i="7" s="1"/>
  <c r="I39" i="7"/>
  <c r="I13" i="7" s="1"/>
  <c r="F39" i="7"/>
  <c r="F13" i="7" s="1"/>
  <c r="G39" i="7"/>
  <c r="G13" i="7" s="1"/>
  <c r="E39" i="7"/>
  <c r="E13" i="7" s="1"/>
  <c r="D37" i="7"/>
  <c r="D11" i="7" s="1"/>
  <c r="H37" i="7"/>
  <c r="H11" i="7" s="1"/>
  <c r="I37" i="7"/>
  <c r="I11" i="7" s="1"/>
  <c r="F37" i="7"/>
  <c r="F11" i="7" s="1"/>
  <c r="G37" i="7"/>
  <c r="G11" i="7" s="1"/>
  <c r="E37" i="7"/>
  <c r="E11" i="7" s="1"/>
  <c r="D35" i="7"/>
  <c r="D9" i="7" s="1"/>
  <c r="H35" i="7"/>
  <c r="H9" i="7" s="1"/>
  <c r="I35" i="7"/>
  <c r="I9" i="7" s="1"/>
  <c r="F35" i="7"/>
  <c r="F9" i="7" s="1"/>
  <c r="G35" i="7"/>
  <c r="G9" i="7" s="1"/>
  <c r="E35" i="7"/>
  <c r="E9" i="7" s="1"/>
  <c r="D33" i="7"/>
  <c r="D7" i="7" s="1"/>
  <c r="H33" i="7"/>
  <c r="H7" i="7" s="1"/>
  <c r="I33" i="7"/>
  <c r="I7" i="7" s="1"/>
  <c r="F33" i="7"/>
  <c r="F7" i="7" s="1"/>
  <c r="G33" i="7"/>
  <c r="G7" i="7" s="1"/>
  <c r="E33" i="7"/>
  <c r="E7" i="7" s="1"/>
  <c r="L45" i="7"/>
  <c r="L51" i="7"/>
  <c r="L43" i="7"/>
  <c r="L47" i="7"/>
  <c r="L49" i="7"/>
  <c r="L44" i="7"/>
  <c r="L39" i="7"/>
  <c r="L34" i="7"/>
  <c r="L50" i="7"/>
  <c r="L46" i="7"/>
  <c r="L42" i="7"/>
  <c r="L38" i="7"/>
  <c r="C10" i="23"/>
  <c r="B10" i="2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67" i="13"/>
  <c r="M31" i="13" l="1"/>
  <c r="M32" i="13"/>
  <c r="M33" i="13"/>
  <c r="M34" i="13"/>
  <c r="M35" i="13"/>
  <c r="M36" i="13"/>
  <c r="M37" i="13"/>
  <c r="M38" i="13"/>
  <c r="M39" i="13"/>
  <c r="M40" i="13"/>
  <c r="M41" i="13"/>
  <c r="M42" i="13"/>
  <c r="M43" i="13"/>
  <c r="M44" i="13"/>
  <c r="M45" i="13"/>
  <c r="M46" i="13"/>
  <c r="M47" i="13"/>
  <c r="M48" i="13"/>
  <c r="M49" i="13"/>
  <c r="M50" i="13"/>
  <c r="M51" i="13"/>
  <c r="M52" i="13"/>
  <c r="M53" i="13"/>
  <c r="M54" i="13"/>
  <c r="M55" i="13"/>
  <c r="M56" i="13"/>
  <c r="M57" i="13"/>
  <c r="M58" i="13"/>
  <c r="M59" i="13"/>
  <c r="M60" i="13"/>
  <c r="M61" i="13"/>
  <c r="M62" i="13"/>
  <c r="M63" i="13"/>
  <c r="M64" i="13"/>
  <c r="M65" i="13"/>
  <c r="M66" i="13"/>
  <c r="M67" i="13"/>
  <c r="M68" i="13"/>
  <c r="M69" i="13"/>
  <c r="M70" i="13"/>
  <c r="M71" i="13"/>
  <c r="M72" i="13"/>
  <c r="M73" i="13"/>
  <c r="M74" i="13"/>
  <c r="M75" i="13"/>
  <c r="M30" i="13"/>
  <c r="A33" i="24"/>
  <c r="L22" i="24"/>
  <c r="F22" i="24"/>
  <c r="L20" i="24"/>
  <c r="F20" i="24"/>
  <c r="L18" i="24"/>
  <c r="F18" i="24"/>
  <c r="L16" i="24"/>
  <c r="F16" i="24"/>
  <c r="L14" i="24"/>
  <c r="F14" i="24"/>
  <c r="L12" i="24"/>
  <c r="F12" i="24"/>
  <c r="E5" i="24"/>
  <c r="B5" i="24"/>
  <c r="E4" i="24"/>
  <c r="B4" i="24"/>
  <c r="E3" i="24"/>
  <c r="B3" i="24"/>
  <c r="B32" i="7"/>
  <c r="C32" i="7"/>
  <c r="L32" i="7" l="1"/>
  <c r="G67" i="13"/>
  <c r="I67" i="13" l="1"/>
  <c r="G68" i="13"/>
  <c r="I68" i="13" s="1"/>
  <c r="G69" i="13"/>
  <c r="I69" i="13" s="1"/>
  <c r="I120" i="13" s="1"/>
  <c r="G70" i="13"/>
  <c r="I70" i="13" s="1"/>
  <c r="G71" i="13"/>
  <c r="I71" i="13" s="1"/>
  <c r="G72" i="13"/>
  <c r="I72" i="13" s="1"/>
  <c r="G73" i="13"/>
  <c r="I73" i="13" s="1"/>
  <c r="G74" i="13"/>
  <c r="I74" i="13" s="1"/>
  <c r="G75" i="13"/>
  <c r="I75" i="13" s="1"/>
  <c r="G76" i="13"/>
  <c r="I76" i="13" s="1"/>
  <c r="G77" i="13"/>
  <c r="I77" i="13" s="1"/>
  <c r="G78" i="13"/>
  <c r="I78" i="13" s="1"/>
  <c r="G79" i="13"/>
  <c r="I79" i="13" s="1"/>
  <c r="G80" i="13"/>
  <c r="I80" i="13" s="1"/>
  <c r="G81" i="13"/>
  <c r="I81" i="13" s="1"/>
  <c r="G82" i="13"/>
  <c r="I82" i="13" s="1"/>
  <c r="G83" i="13"/>
  <c r="I83" i="13" s="1"/>
  <c r="G84" i="13"/>
  <c r="I84" i="13" s="1"/>
  <c r="G85" i="13"/>
  <c r="I85" i="13" s="1"/>
  <c r="G86" i="13"/>
  <c r="I86" i="13" s="1"/>
  <c r="G87" i="13"/>
  <c r="I87" i="13" s="1"/>
  <c r="G88" i="13"/>
  <c r="I88" i="13" s="1"/>
  <c r="G89" i="13"/>
  <c r="I89" i="13" s="1"/>
  <c r="G90" i="13"/>
  <c r="I90" i="13" s="1"/>
  <c r="G91" i="13"/>
  <c r="I91" i="13" s="1"/>
  <c r="G92" i="13"/>
  <c r="I92" i="13" s="1"/>
  <c r="G93" i="13"/>
  <c r="I93" i="13" s="1"/>
  <c r="G94" i="13"/>
  <c r="I94" i="13" s="1"/>
  <c r="G95" i="13"/>
  <c r="I95" i="13" s="1"/>
  <c r="G96" i="13"/>
  <c r="I96" i="13" s="1"/>
  <c r="G97" i="13"/>
  <c r="I97" i="13" s="1"/>
  <c r="G98" i="13"/>
  <c r="I98" i="13" s="1"/>
  <c r="G99" i="13"/>
  <c r="I99" i="13" s="1"/>
  <c r="G100" i="13"/>
  <c r="I100" i="13" s="1"/>
  <c r="G101" i="13"/>
  <c r="I101" i="13" s="1"/>
  <c r="G102" i="13"/>
  <c r="I102" i="13" s="1"/>
  <c r="G103" i="13"/>
  <c r="I103" i="13" s="1"/>
  <c r="G104" i="13"/>
  <c r="I104" i="13" s="1"/>
  <c r="G105" i="13"/>
  <c r="I105" i="13" s="1"/>
  <c r="G106" i="13"/>
  <c r="I106" i="13" s="1"/>
  <c r="G107" i="13"/>
  <c r="I107" i="13" s="1"/>
  <c r="G108" i="13"/>
  <c r="I108" i="13" s="1"/>
  <c r="G109" i="13"/>
  <c r="I109" i="13" s="1"/>
  <c r="G110" i="13"/>
  <c r="I110" i="13" s="1"/>
  <c r="G111" i="13"/>
  <c r="I111" i="13" s="1"/>
  <c r="G112" i="13"/>
  <c r="I112" i="13" s="1"/>
  <c r="G113" i="13"/>
  <c r="I113" i="13" s="1"/>
  <c r="G114" i="13"/>
  <c r="I114" i="13" s="1"/>
  <c r="G115" i="13"/>
  <c r="I115" i="13" s="1"/>
  <c r="G116" i="13"/>
  <c r="I116" i="13" s="1"/>
  <c r="I119" i="13" l="1"/>
  <c r="E7" i="9" s="1"/>
  <c r="F34" i="7" s="1"/>
  <c r="F8" i="7" s="1"/>
  <c r="I121" i="13"/>
  <c r="E56" i="9" s="1"/>
  <c r="I122" i="13"/>
  <c r="E21" i="9" s="1"/>
  <c r="E14" i="9"/>
  <c r="C25" i="13"/>
  <c r="C24" i="13"/>
  <c r="C23" i="13"/>
  <c r="C22" i="13"/>
  <c r="C21" i="13"/>
  <c r="C20" i="13"/>
  <c r="C19" i="13"/>
  <c r="C18" i="13"/>
  <c r="C17" i="13"/>
  <c r="B15" i="13"/>
  <c r="C16" i="13"/>
  <c r="E31" i="9" l="1"/>
  <c r="E28" i="9"/>
  <c r="E29" i="9"/>
  <c r="E30" i="9"/>
  <c r="D34" i="24"/>
  <c r="D36" i="24"/>
  <c r="D37" i="24"/>
  <c r="D40" i="24"/>
  <c r="D38" i="24"/>
  <c r="D41" i="24"/>
  <c r="D35" i="24"/>
  <c r="E35" i="9"/>
  <c r="E42" i="9"/>
  <c r="B2" i="1" l="1"/>
  <c r="B6" i="16"/>
  <c r="E6" i="16" s="1"/>
  <c r="B7" i="16"/>
  <c r="B8" i="16"/>
  <c r="E8" i="16" s="1"/>
  <c r="B9" i="16"/>
  <c r="E9" i="16" s="1"/>
  <c r="B10" i="16"/>
  <c r="E10" i="16" s="1"/>
  <c r="B11" i="16"/>
  <c r="E11" i="16" s="1"/>
  <c r="B12" i="16"/>
  <c r="E12" i="16" s="1"/>
  <c r="B13" i="16"/>
  <c r="E13" i="16" s="1"/>
  <c r="B14" i="16"/>
  <c r="E14" i="16" s="1"/>
  <c r="B15" i="16"/>
  <c r="E15" i="16" s="1"/>
  <c r="B16" i="16"/>
  <c r="E16" i="16" s="1"/>
  <c r="B17" i="16"/>
  <c r="E17" i="16" s="1"/>
  <c r="B18" i="16"/>
  <c r="E18" i="16" s="1"/>
  <c r="B19" i="16"/>
  <c r="E19" i="16" s="1"/>
  <c r="B20" i="16"/>
  <c r="E20" i="16" s="1"/>
  <c r="B21" i="16"/>
  <c r="E21" i="16" s="1"/>
  <c r="B22" i="16"/>
  <c r="E22" i="16" s="1"/>
  <c r="B23" i="16"/>
  <c r="E23" i="16" s="1"/>
  <c r="B24" i="16"/>
  <c r="E24" i="16" s="1"/>
  <c r="B25" i="16"/>
  <c r="E25" i="16" s="1"/>
  <c r="B26" i="16"/>
  <c r="E26" i="16" s="1"/>
  <c r="B27" i="16"/>
  <c r="E27" i="16" s="1"/>
  <c r="B28" i="16"/>
  <c r="E28" i="16" s="1"/>
  <c r="B29" i="16"/>
  <c r="E29" i="16" s="1"/>
  <c r="B30" i="16"/>
  <c r="E30" i="16" s="1"/>
  <c r="B31" i="16"/>
  <c r="E31" i="16" s="1"/>
  <c r="B32" i="16"/>
  <c r="E32" i="16" s="1"/>
  <c r="B33" i="16"/>
  <c r="E33" i="16" s="1"/>
  <c r="B34" i="16"/>
  <c r="E34" i="16" s="1"/>
  <c r="B35" i="16"/>
  <c r="E35" i="16" s="1"/>
  <c r="B36" i="16"/>
  <c r="E36" i="16" s="1"/>
  <c r="B37" i="16"/>
  <c r="E37" i="16" s="1"/>
  <c r="B38" i="16"/>
  <c r="E38" i="16" s="1"/>
  <c r="B39" i="16"/>
  <c r="E39" i="16" s="1"/>
  <c r="B40" i="16"/>
  <c r="E40" i="16" s="1"/>
  <c r="B41" i="16"/>
  <c r="E41" i="16" s="1"/>
  <c r="B42" i="16"/>
  <c r="E42" i="16" s="1"/>
  <c r="B43" i="16"/>
  <c r="E43" i="16" s="1"/>
  <c r="B44" i="16"/>
  <c r="E44" i="16" s="1"/>
  <c r="B45" i="16"/>
  <c r="E45" i="16" s="1"/>
  <c r="B46" i="16"/>
  <c r="E46" i="16" s="1"/>
  <c r="B47" i="16"/>
  <c r="E47" i="16" s="1"/>
  <c r="B48" i="16"/>
  <c r="E48" i="16" s="1"/>
  <c r="B49" i="16"/>
  <c r="E49" i="16" s="1"/>
  <c r="B50" i="16"/>
  <c r="E50" i="16" s="1"/>
  <c r="B51" i="16"/>
  <c r="E51" i="16" s="1"/>
  <c r="B52" i="16"/>
  <c r="E52" i="16" s="1"/>
  <c r="B53" i="16"/>
  <c r="E53" i="16" s="1"/>
  <c r="B54" i="16"/>
  <c r="E54" i="16" s="1"/>
  <c r="I47" i="16" l="1"/>
  <c r="H47" i="16"/>
  <c r="F47" i="16"/>
  <c r="K47" i="16"/>
  <c r="G47" i="16"/>
  <c r="L47" i="16"/>
  <c r="J47" i="16"/>
  <c r="I39" i="16"/>
  <c r="F39" i="16"/>
  <c r="K39" i="16"/>
  <c r="H39" i="16"/>
  <c r="J39" i="16"/>
  <c r="G39" i="16"/>
  <c r="L39" i="16"/>
  <c r="I31" i="16"/>
  <c r="H31" i="16"/>
  <c r="F31" i="16"/>
  <c r="K31" i="16"/>
  <c r="G31" i="16"/>
  <c r="L31" i="16"/>
  <c r="J31" i="16"/>
  <c r="I27" i="16"/>
  <c r="J27" i="16"/>
  <c r="F27" i="16"/>
  <c r="K27" i="16"/>
  <c r="G27" i="16"/>
  <c r="L27" i="16"/>
  <c r="H27" i="16"/>
  <c r="G19" i="16"/>
  <c r="K19" i="16"/>
  <c r="I19" i="16"/>
  <c r="L19" i="16"/>
  <c r="F19" i="16"/>
  <c r="H19" i="16"/>
  <c r="J19" i="16"/>
  <c r="G15" i="16"/>
  <c r="K15" i="16"/>
  <c r="I15" i="16"/>
  <c r="H15" i="16"/>
  <c r="J15" i="16"/>
  <c r="L15" i="16"/>
  <c r="F15" i="16"/>
  <c r="G11" i="16"/>
  <c r="K11" i="16"/>
  <c r="I11" i="16"/>
  <c r="L11" i="16"/>
  <c r="F11" i="16"/>
  <c r="H11" i="16"/>
  <c r="J11" i="16"/>
  <c r="H54" i="16"/>
  <c r="G54" i="16"/>
  <c r="L54" i="16"/>
  <c r="J54" i="16"/>
  <c r="F54" i="16"/>
  <c r="K54" i="16"/>
  <c r="I54" i="16"/>
  <c r="H46" i="16"/>
  <c r="L46" i="16"/>
  <c r="J46" i="16"/>
  <c r="G46" i="16"/>
  <c r="I46" i="16"/>
  <c r="F46" i="16"/>
  <c r="K46" i="16"/>
  <c r="H38" i="16"/>
  <c r="L38" i="16"/>
  <c r="G38" i="16"/>
  <c r="J38" i="16"/>
  <c r="F38" i="16"/>
  <c r="K38" i="16"/>
  <c r="I38" i="16"/>
  <c r="H34" i="16"/>
  <c r="L34" i="16"/>
  <c r="I34" i="16"/>
  <c r="F34" i="16"/>
  <c r="K34" i="16"/>
  <c r="G34" i="16"/>
  <c r="J34" i="16"/>
  <c r="H26" i="16"/>
  <c r="L26" i="16"/>
  <c r="F26" i="16"/>
  <c r="K26" i="16"/>
  <c r="G26" i="16"/>
  <c r="I26" i="16"/>
  <c r="J26" i="16"/>
  <c r="G49" i="16"/>
  <c r="K49" i="16"/>
  <c r="J49" i="16"/>
  <c r="H49" i="16"/>
  <c r="I49" i="16"/>
  <c r="L49" i="16"/>
  <c r="F49" i="16"/>
  <c r="G41" i="16"/>
  <c r="K41" i="16"/>
  <c r="H41" i="16"/>
  <c r="J41" i="16"/>
  <c r="F41" i="16"/>
  <c r="L41" i="16"/>
  <c r="I41" i="16"/>
  <c r="G37" i="16"/>
  <c r="K37" i="16"/>
  <c r="I37" i="16"/>
  <c r="F37" i="16"/>
  <c r="L37" i="16"/>
  <c r="H37" i="16"/>
  <c r="J37" i="16"/>
  <c r="G29" i="16"/>
  <c r="K29" i="16"/>
  <c r="F29" i="16"/>
  <c r="L29" i="16"/>
  <c r="H29" i="16"/>
  <c r="I29" i="16"/>
  <c r="J29" i="16"/>
  <c r="G21" i="16"/>
  <c r="K21" i="16"/>
  <c r="I21" i="16"/>
  <c r="J21" i="16"/>
  <c r="F21" i="16"/>
  <c r="L21" i="16"/>
  <c r="H21" i="16"/>
  <c r="I17" i="16"/>
  <c r="G17" i="16"/>
  <c r="K17" i="16"/>
  <c r="J17" i="16"/>
  <c r="L17" i="16"/>
  <c r="F17" i="16"/>
  <c r="H17" i="16"/>
  <c r="I13" i="16"/>
  <c r="G13" i="16"/>
  <c r="K13" i="16"/>
  <c r="F13" i="16"/>
  <c r="H13" i="16"/>
  <c r="J13" i="16"/>
  <c r="L13" i="16"/>
  <c r="F52" i="16"/>
  <c r="J52" i="16"/>
  <c r="K52" i="16"/>
  <c r="H52" i="16"/>
  <c r="I52" i="16"/>
  <c r="G52" i="16"/>
  <c r="L52" i="16"/>
  <c r="F48" i="16"/>
  <c r="J48" i="16"/>
  <c r="G48" i="16"/>
  <c r="L48" i="16"/>
  <c r="I48" i="16"/>
  <c r="K48" i="16"/>
  <c r="H48" i="16"/>
  <c r="F44" i="16"/>
  <c r="J44" i="16"/>
  <c r="H44" i="16"/>
  <c r="K44" i="16"/>
  <c r="G44" i="16"/>
  <c r="L44" i="16"/>
  <c r="I44" i="16"/>
  <c r="F40" i="16"/>
  <c r="J40" i="16"/>
  <c r="I40" i="16"/>
  <c r="G40" i="16"/>
  <c r="L40" i="16"/>
  <c r="H40" i="16"/>
  <c r="K40" i="16"/>
  <c r="F36" i="16"/>
  <c r="J36" i="16"/>
  <c r="K36" i="16"/>
  <c r="H36" i="16"/>
  <c r="I36" i="16"/>
  <c r="G36" i="16"/>
  <c r="L36" i="16"/>
  <c r="F32" i="16"/>
  <c r="J32" i="16"/>
  <c r="G32" i="16"/>
  <c r="L32" i="16"/>
  <c r="I32" i="16"/>
  <c r="K32" i="16"/>
  <c r="H32" i="16"/>
  <c r="F28" i="16"/>
  <c r="J28" i="16"/>
  <c r="H28" i="16"/>
  <c r="I28" i="16"/>
  <c r="K28" i="16"/>
  <c r="G28" i="16"/>
  <c r="L28" i="16"/>
  <c r="F24" i="16"/>
  <c r="J24" i="16"/>
  <c r="I24" i="16"/>
  <c r="K24" i="16"/>
  <c r="G24" i="16"/>
  <c r="L24" i="16"/>
  <c r="H24" i="16"/>
  <c r="F20" i="16"/>
  <c r="J20" i="16"/>
  <c r="K20" i="16"/>
  <c r="G20" i="16"/>
  <c r="L20" i="16"/>
  <c r="H20" i="16"/>
  <c r="I20" i="16"/>
  <c r="H16" i="16"/>
  <c r="L16" i="16"/>
  <c r="F16" i="16"/>
  <c r="J16" i="16"/>
  <c r="I16" i="16"/>
  <c r="K16" i="16"/>
  <c r="G16" i="16"/>
  <c r="H12" i="16"/>
  <c r="L12" i="16"/>
  <c r="F12" i="16"/>
  <c r="J12" i="16"/>
  <c r="G12" i="16"/>
  <c r="I12" i="16"/>
  <c r="K12" i="16"/>
  <c r="H8" i="16"/>
  <c r="L8" i="16"/>
  <c r="F8" i="16"/>
  <c r="J8" i="16"/>
  <c r="I8" i="16"/>
  <c r="K8" i="16"/>
  <c r="G8" i="16"/>
  <c r="I51" i="16"/>
  <c r="G51" i="16"/>
  <c r="L51" i="16"/>
  <c r="J51" i="16"/>
  <c r="F51" i="16"/>
  <c r="K51" i="16"/>
  <c r="H51" i="16"/>
  <c r="I43" i="16"/>
  <c r="J43" i="16"/>
  <c r="G43" i="16"/>
  <c r="L43" i="16"/>
  <c r="H43" i="16"/>
  <c r="K43" i="16"/>
  <c r="F43" i="16"/>
  <c r="I35" i="16"/>
  <c r="G35" i="16"/>
  <c r="L35" i="16"/>
  <c r="J35" i="16"/>
  <c r="F35" i="16"/>
  <c r="K35" i="16"/>
  <c r="H35" i="16"/>
  <c r="I23" i="16"/>
  <c r="F23" i="16"/>
  <c r="K23" i="16"/>
  <c r="G23" i="16"/>
  <c r="L23" i="16"/>
  <c r="H23" i="16"/>
  <c r="J23" i="16"/>
  <c r="H7" i="16"/>
  <c r="H50" i="16"/>
  <c r="L50" i="16"/>
  <c r="I50" i="16"/>
  <c r="F50" i="16"/>
  <c r="K50" i="16"/>
  <c r="G50" i="16"/>
  <c r="J50" i="16"/>
  <c r="H42" i="16"/>
  <c r="L42" i="16"/>
  <c r="F42" i="16"/>
  <c r="K42" i="16"/>
  <c r="I42" i="16"/>
  <c r="J42" i="16"/>
  <c r="G42" i="16"/>
  <c r="H30" i="16"/>
  <c r="L30" i="16"/>
  <c r="J30" i="16"/>
  <c r="G30" i="16"/>
  <c r="I30" i="16"/>
  <c r="F30" i="16"/>
  <c r="K30" i="16"/>
  <c r="H22" i="16"/>
  <c r="L22" i="16"/>
  <c r="G22" i="16"/>
  <c r="I22" i="16"/>
  <c r="J22" i="16"/>
  <c r="F22" i="16"/>
  <c r="K22" i="16"/>
  <c r="F18" i="16"/>
  <c r="J18" i="16"/>
  <c r="H18" i="16"/>
  <c r="L18" i="16"/>
  <c r="K18" i="16"/>
  <c r="G18" i="16"/>
  <c r="I18" i="16"/>
  <c r="F14" i="16"/>
  <c r="J14" i="16"/>
  <c r="H14" i="16"/>
  <c r="L14" i="16"/>
  <c r="G14" i="16"/>
  <c r="I14" i="16"/>
  <c r="K14" i="16"/>
  <c r="F10" i="16"/>
  <c r="J10" i="16"/>
  <c r="H10" i="16"/>
  <c r="L10" i="16"/>
  <c r="K10" i="16"/>
  <c r="G10" i="16"/>
  <c r="I10" i="16"/>
  <c r="G53" i="16"/>
  <c r="K53" i="16"/>
  <c r="I53" i="16"/>
  <c r="F53" i="16"/>
  <c r="L53" i="16"/>
  <c r="H53" i="16"/>
  <c r="J53" i="16"/>
  <c r="G45" i="16"/>
  <c r="K45" i="16"/>
  <c r="F45" i="16"/>
  <c r="L45" i="16"/>
  <c r="I45" i="16"/>
  <c r="J45" i="16"/>
  <c r="H45" i="16"/>
  <c r="G33" i="16"/>
  <c r="K33" i="16"/>
  <c r="J33" i="16"/>
  <c r="H33" i="16"/>
  <c r="I33" i="16"/>
  <c r="F33" i="16"/>
  <c r="L33" i="16"/>
  <c r="G25" i="16"/>
  <c r="K25" i="16"/>
  <c r="H25" i="16"/>
  <c r="I25" i="16"/>
  <c r="J25" i="16"/>
  <c r="F25" i="16"/>
  <c r="L25" i="16"/>
  <c r="I9" i="16"/>
  <c r="G9" i="16"/>
  <c r="K9" i="16"/>
  <c r="J9" i="16"/>
  <c r="L9" i="16"/>
  <c r="F9" i="16"/>
  <c r="H9" i="16"/>
  <c r="B5" i="16"/>
  <c r="E17" i="9"/>
  <c r="E16" i="9"/>
  <c r="D15" i="9"/>
  <c r="E15" i="9" s="1"/>
  <c r="E13" i="9"/>
  <c r="E12" i="9"/>
  <c r="E11" i="9"/>
  <c r="C116" i="13"/>
  <c r="C54" i="16" s="1"/>
  <c r="C115" i="13"/>
  <c r="C53" i="16" s="1"/>
  <c r="C114" i="13"/>
  <c r="C52" i="16" s="1"/>
  <c r="C113" i="13"/>
  <c r="C51" i="16" s="1"/>
  <c r="C112" i="13"/>
  <c r="C50" i="16" s="1"/>
  <c r="C111" i="13"/>
  <c r="C49" i="16" s="1"/>
  <c r="C110" i="13"/>
  <c r="C48" i="16" s="1"/>
  <c r="C109" i="13"/>
  <c r="C47" i="16" s="1"/>
  <c r="C108" i="13"/>
  <c r="C46" i="16" s="1"/>
  <c r="C107" i="13"/>
  <c r="C45" i="16" s="1"/>
  <c r="C106" i="13"/>
  <c r="C44" i="16" s="1"/>
  <c r="C105" i="13"/>
  <c r="C43" i="16" s="1"/>
  <c r="C104" i="13"/>
  <c r="C42" i="16" s="1"/>
  <c r="C103" i="13"/>
  <c r="C41" i="16" s="1"/>
  <c r="C102" i="13"/>
  <c r="C40" i="16" s="1"/>
  <c r="C101" i="13"/>
  <c r="C39" i="16" s="1"/>
  <c r="C100" i="13"/>
  <c r="C38" i="16" s="1"/>
  <c r="C99" i="13"/>
  <c r="C37" i="16" s="1"/>
  <c r="C98" i="13"/>
  <c r="C36" i="16" s="1"/>
  <c r="C97" i="13"/>
  <c r="C35" i="16" s="1"/>
  <c r="C96" i="13"/>
  <c r="C34" i="16" s="1"/>
  <c r="C95" i="13"/>
  <c r="C33" i="16" s="1"/>
  <c r="C94" i="13"/>
  <c r="C32" i="16" s="1"/>
  <c r="C93" i="13"/>
  <c r="C31" i="16" s="1"/>
  <c r="C92" i="13"/>
  <c r="C30" i="16" s="1"/>
  <c r="C91" i="13"/>
  <c r="C29" i="16" s="1"/>
  <c r="C90" i="13"/>
  <c r="C28" i="16" s="1"/>
  <c r="C89" i="13"/>
  <c r="C27" i="16" s="1"/>
  <c r="C88" i="13"/>
  <c r="C26" i="16" s="1"/>
  <c r="C87" i="13"/>
  <c r="C25" i="16" s="1"/>
  <c r="C86" i="13"/>
  <c r="C24" i="16" s="1"/>
  <c r="C85" i="13"/>
  <c r="C23" i="16" s="1"/>
  <c r="C84" i="13"/>
  <c r="C22" i="16" s="1"/>
  <c r="C83" i="13"/>
  <c r="C21" i="16" s="1"/>
  <c r="C82" i="13"/>
  <c r="C20" i="16" s="1"/>
  <c r="C81" i="13"/>
  <c r="C19" i="16" s="1"/>
  <c r="C80" i="13"/>
  <c r="C18" i="16" s="1"/>
  <c r="C79" i="13"/>
  <c r="C17" i="16" s="1"/>
  <c r="C78" i="13"/>
  <c r="C16" i="16" s="1"/>
  <c r="C77" i="13"/>
  <c r="C15" i="16" s="1"/>
  <c r="C76" i="13"/>
  <c r="C14" i="16" s="1"/>
  <c r="C75" i="13"/>
  <c r="C13" i="16" s="1"/>
  <c r="C74" i="13"/>
  <c r="C12" i="16" s="1"/>
  <c r="C73" i="13"/>
  <c r="C11" i="16" s="1"/>
  <c r="C72" i="13"/>
  <c r="C10" i="16" s="1"/>
  <c r="C71" i="13"/>
  <c r="C9" i="16" s="1"/>
  <c r="C70" i="13"/>
  <c r="C8" i="16" s="1"/>
  <c r="C69" i="13"/>
  <c r="C7" i="16" s="1"/>
  <c r="C68" i="13"/>
  <c r="C6" i="16" s="1"/>
  <c r="C67" i="13"/>
  <c r="C5" i="16" s="1"/>
  <c r="C11" i="9"/>
  <c r="C12" i="9"/>
  <c r="C13" i="9"/>
  <c r="C14" i="9"/>
  <c r="C15" i="9"/>
  <c r="C16" i="9"/>
  <c r="C17" i="9"/>
  <c r="H5" i="16" l="1"/>
  <c r="B16" i="18"/>
  <c r="E7" i="16" s="1"/>
  <c r="B17" i="18"/>
  <c r="C6" i="7" l="1"/>
  <c r="B6" i="7"/>
  <c r="L24" i="7" l="1"/>
  <c r="L22" i="7"/>
  <c r="L20" i="7"/>
  <c r="L18" i="7"/>
  <c r="L16" i="7"/>
  <c r="L14" i="7"/>
  <c r="L12" i="7"/>
  <c r="L10" i="7"/>
  <c r="L8" i="7"/>
  <c r="L25" i="7"/>
  <c r="L23" i="7"/>
  <c r="L21" i="7"/>
  <c r="L19" i="7"/>
  <c r="L17" i="7"/>
  <c r="L15" i="7"/>
  <c r="L13" i="7"/>
  <c r="L11" i="7"/>
  <c r="L9" i="7"/>
  <c r="L7" i="7"/>
  <c r="E4" i="9"/>
  <c r="E5" i="9"/>
  <c r="E6" i="9"/>
  <c r="E9" i="9"/>
  <c r="E10" i="9"/>
  <c r="E18" i="9"/>
  <c r="E19" i="9"/>
  <c r="E20" i="9"/>
  <c r="E22" i="9"/>
  <c r="E23" i="9"/>
  <c r="E24" i="9"/>
  <c r="E25" i="9"/>
  <c r="E26" i="9"/>
  <c r="E27" i="9"/>
  <c r="E32" i="9"/>
  <c r="E33" i="9"/>
  <c r="E34" i="9"/>
  <c r="E36" i="9"/>
  <c r="E37" i="9"/>
  <c r="E38" i="9"/>
  <c r="E39" i="9"/>
  <c r="E40" i="9"/>
  <c r="E41" i="9"/>
  <c r="E43" i="9"/>
  <c r="E44" i="9"/>
  <c r="E45" i="9"/>
  <c r="E46" i="9"/>
  <c r="E47" i="9"/>
  <c r="E48" i="9"/>
  <c r="E49" i="9"/>
  <c r="E51" i="9"/>
  <c r="E52" i="9"/>
  <c r="E53" i="9"/>
  <c r="E54" i="9"/>
  <c r="E55" i="9"/>
  <c r="E58" i="9"/>
  <c r="E59" i="9"/>
  <c r="B19" i="18"/>
  <c r="B21" i="18"/>
  <c r="B20" i="18"/>
  <c r="B18" i="18"/>
  <c r="B15" i="18"/>
  <c r="D57" i="9"/>
  <c r="E57" i="9" s="1"/>
  <c r="D50" i="9"/>
  <c r="E50" i="9" s="1"/>
  <c r="D8" i="9"/>
  <c r="E8" i="9" s="1"/>
  <c r="C4" i="9"/>
  <c r="C5" i="9"/>
  <c r="C6" i="9"/>
  <c r="C7" i="9"/>
  <c r="C8" i="9"/>
  <c r="C9" i="9"/>
  <c r="C10"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G32" i="7" l="1"/>
  <c r="L6" i="16"/>
  <c r="J6" i="16"/>
  <c r="K7" i="16"/>
  <c r="H6" i="16"/>
  <c r="F7" i="16"/>
  <c r="F6" i="16"/>
  <c r="G6" i="16"/>
  <c r="G7" i="16"/>
  <c r="J7" i="16"/>
  <c r="I6" i="16"/>
  <c r="L7" i="16"/>
  <c r="K6" i="16"/>
  <c r="I7" i="16"/>
  <c r="K5" i="16"/>
  <c r="L5" i="16"/>
  <c r="J5" i="16"/>
  <c r="I32" i="7"/>
  <c r="E32" i="7"/>
  <c r="D32" i="7"/>
  <c r="H32" i="7"/>
  <c r="F32" i="7"/>
  <c r="F6" i="7" s="1"/>
  <c r="E5" i="16"/>
  <c r="L6" i="7" s="1"/>
  <c r="I5" i="16"/>
  <c r="G6" i="7" s="1"/>
  <c r="G5" i="16"/>
  <c r="F5" i="16"/>
  <c r="E6" i="7" l="1"/>
  <c r="I6" i="7"/>
  <c r="H6" i="7"/>
  <c r="D6" i="7"/>
  <c r="D26" i="7" s="1"/>
  <c r="E52" i="7"/>
  <c r="E14" i="24" s="1"/>
  <c r="F52" i="7"/>
  <c r="E16" i="24" s="1"/>
  <c r="H52" i="7"/>
  <c r="E20" i="24" s="1"/>
  <c r="I52" i="7"/>
  <c r="E22" i="24" s="1"/>
  <c r="G52" i="7"/>
  <c r="E18" i="24" s="1"/>
  <c r="D52" i="7"/>
  <c r="E12" i="24" s="1"/>
  <c r="M14" i="24" l="1"/>
  <c r="K14" i="24"/>
  <c r="K20" i="24"/>
  <c r="M20" i="24"/>
  <c r="K12" i="24"/>
  <c r="M12" i="24"/>
  <c r="K16" i="24"/>
  <c r="M16" i="24"/>
  <c r="M18" i="24"/>
  <c r="K18" i="24"/>
  <c r="M22" i="24"/>
  <c r="K22" i="24"/>
  <c r="B1" i="1"/>
  <c r="A30" i="24" l="1"/>
  <c r="A32" i="24" s="1"/>
  <c r="H26" i="7"/>
  <c r="G26" i="7"/>
  <c r="E26" i="7"/>
  <c r="I26" i="7"/>
  <c r="F26" i="7"/>
  <c r="C18" i="24" l="1"/>
  <c r="C16" i="24"/>
  <c r="C20" i="24"/>
  <c r="C22" i="24"/>
  <c r="C12" i="24"/>
  <c r="C14" i="24"/>
</calcChain>
</file>

<file path=xl/sharedStrings.xml><?xml version="1.0" encoding="utf-8"?>
<sst xmlns="http://schemas.openxmlformats.org/spreadsheetml/2006/main" count="1286" uniqueCount="479">
  <si>
    <t>Pollutant</t>
  </si>
  <si>
    <t>(tons/yr)</t>
  </si>
  <si>
    <t>volatile organic compound</t>
  </si>
  <si>
    <t>VOC</t>
  </si>
  <si>
    <t>Purpose</t>
  </si>
  <si>
    <t>Facility Information</t>
  </si>
  <si>
    <t>Name</t>
  </si>
  <si>
    <t>Address</t>
  </si>
  <si>
    <t>Telephone</t>
  </si>
  <si>
    <t>Email</t>
  </si>
  <si>
    <t>Facility Contact</t>
  </si>
  <si>
    <t>Attainment</t>
  </si>
  <si>
    <t>Source Category Description</t>
  </si>
  <si>
    <t>Major Source</t>
  </si>
  <si>
    <t>Minor Source</t>
  </si>
  <si>
    <t>Nonattainment - extreme</t>
  </si>
  <si>
    <t>Nonattainment - severe</t>
  </si>
  <si>
    <t>Nonattainment - serious</t>
  </si>
  <si>
    <t>John Doe</t>
  </si>
  <si>
    <t>555-555-5555</t>
  </si>
  <si>
    <t>john.doe@acme.com</t>
  </si>
  <si>
    <t>101 Acme Way</t>
  </si>
  <si>
    <t>Date</t>
  </si>
  <si>
    <t>Change made by:</t>
  </si>
  <si>
    <t>Description</t>
  </si>
  <si>
    <t>Contact Information</t>
  </si>
  <si>
    <t>Workbook Version</t>
  </si>
  <si>
    <t>Instructions - Please read prior to filling out workbook</t>
  </si>
  <si>
    <t>Exceeds minor source threshold.</t>
  </si>
  <si>
    <t>Below minor source threshold.</t>
  </si>
  <si>
    <t>Icon Key</t>
  </si>
  <si>
    <t>Email:</t>
  </si>
  <si>
    <t>Emission Factors</t>
  </si>
  <si>
    <t>Fuel</t>
  </si>
  <si>
    <t>Data Key 1</t>
  </si>
  <si>
    <t>EF Denominator</t>
  </si>
  <si>
    <t>EF Numerator</t>
  </si>
  <si>
    <t>Boiler ID</t>
  </si>
  <si>
    <t>Boiler Description</t>
  </si>
  <si>
    <t>Fuel Type</t>
  </si>
  <si>
    <t>Fuel Consumption Units</t>
  </si>
  <si>
    <t>Actual Sulfur Content (%)</t>
  </si>
  <si>
    <t>Boiler Information</t>
  </si>
  <si>
    <r>
      <t>SO</t>
    </r>
    <r>
      <rPr>
        <vertAlign val="subscript"/>
        <sz val="10"/>
        <rFont val="Arial"/>
        <family val="2"/>
      </rPr>
      <t>2</t>
    </r>
    <r>
      <rPr>
        <sz val="10"/>
        <rFont val="Arial"/>
        <family val="2"/>
      </rPr>
      <t xml:space="preserve"> Attainment Status (select one):</t>
    </r>
  </si>
  <si>
    <r>
      <t>PM</t>
    </r>
    <r>
      <rPr>
        <vertAlign val="subscript"/>
        <sz val="10"/>
        <rFont val="Arial"/>
        <family val="2"/>
      </rPr>
      <t>10</t>
    </r>
    <r>
      <rPr>
        <sz val="10"/>
        <rFont val="Arial"/>
        <family val="2"/>
      </rPr>
      <t xml:space="preserve"> Attainment Status (select one):</t>
    </r>
  </si>
  <si>
    <t>Boiler</t>
  </si>
  <si>
    <t>Total PM</t>
  </si>
  <si>
    <r>
      <t>PM</t>
    </r>
    <r>
      <rPr>
        <b/>
        <vertAlign val="subscript"/>
        <sz val="10"/>
        <rFont val="Arial"/>
        <family val="2"/>
      </rPr>
      <t>10</t>
    </r>
  </si>
  <si>
    <r>
      <t>PM</t>
    </r>
    <r>
      <rPr>
        <b/>
        <vertAlign val="subscript"/>
        <sz val="10"/>
        <rFont val="Arial"/>
        <family val="2"/>
      </rPr>
      <t>2.5</t>
    </r>
  </si>
  <si>
    <t>CO</t>
  </si>
  <si>
    <r>
      <t>NO</t>
    </r>
    <r>
      <rPr>
        <b/>
        <vertAlign val="subscript"/>
        <sz val="10"/>
        <rFont val="Arial"/>
        <family val="2"/>
      </rPr>
      <t>x</t>
    </r>
  </si>
  <si>
    <r>
      <t>SO</t>
    </r>
    <r>
      <rPr>
        <b/>
        <vertAlign val="subscript"/>
        <sz val="10"/>
        <rFont val="Arial"/>
        <family val="2"/>
      </rPr>
      <t>2</t>
    </r>
  </si>
  <si>
    <r>
      <t>NO</t>
    </r>
    <r>
      <rPr>
        <vertAlign val="subscript"/>
        <sz val="10"/>
        <rFont val="Arial"/>
        <family val="2"/>
      </rPr>
      <t>x</t>
    </r>
  </si>
  <si>
    <r>
      <t>SO</t>
    </r>
    <r>
      <rPr>
        <vertAlign val="subscript"/>
        <sz val="10"/>
        <rFont val="Arial"/>
        <family val="2"/>
      </rPr>
      <t>2</t>
    </r>
  </si>
  <si>
    <r>
      <t>PM</t>
    </r>
    <r>
      <rPr>
        <vertAlign val="subscript"/>
        <sz val="10"/>
        <rFont val="Arial"/>
        <family val="2"/>
      </rPr>
      <t>10</t>
    </r>
  </si>
  <si>
    <r>
      <t>PM</t>
    </r>
    <r>
      <rPr>
        <vertAlign val="subscript"/>
        <sz val="10"/>
        <rFont val="Arial"/>
        <family val="2"/>
      </rPr>
      <t>2.5</t>
    </r>
  </si>
  <si>
    <t>Oil - Distillate</t>
  </si>
  <si>
    <t>Oil - Residual</t>
  </si>
  <si>
    <t>LPG</t>
  </si>
  <si>
    <t>Natural Gas</t>
  </si>
  <si>
    <t>Kerosene</t>
  </si>
  <si>
    <t>TOTAL</t>
  </si>
  <si>
    <t>Wood</t>
  </si>
  <si>
    <t>Boiler Capacity (MMBtu/hr)</t>
  </si>
  <si>
    <t>Energy Content</t>
  </si>
  <si>
    <t>Energy Content Numerator</t>
  </si>
  <si>
    <t>Energy Content Denominator</t>
  </si>
  <si>
    <t>Btu</t>
  </si>
  <si>
    <t>Primary Fuel</t>
  </si>
  <si>
    <t>ton</t>
  </si>
  <si>
    <t>bbl</t>
  </si>
  <si>
    <r>
      <t>ft</t>
    </r>
    <r>
      <rPr>
        <vertAlign val="superscript"/>
        <sz val="10"/>
        <rFont val="Arial"/>
        <family val="2"/>
      </rPr>
      <t>3</t>
    </r>
  </si>
  <si>
    <t>Source</t>
  </si>
  <si>
    <t>38*S%</t>
  </si>
  <si>
    <t>142*S%</t>
  </si>
  <si>
    <t>157*S%</t>
  </si>
  <si>
    <t>7.17*(1.12*S%+0.37)+1.5</t>
  </si>
  <si>
    <t>4.67*(1.12*S%+0.37)+1.5</t>
  </si>
  <si>
    <t>lb</t>
  </si>
  <si>
    <t>1000 gal</t>
  </si>
  <si>
    <t>MMcf</t>
  </si>
  <si>
    <t>MMBtu</t>
  </si>
  <si>
    <t>Ton</t>
  </si>
  <si>
    <t>8.34*(1.12*S%+0.37)+1.5</t>
  </si>
  <si>
    <t>CO Attainment Status (select one):</t>
  </si>
  <si>
    <t>123abc</t>
  </si>
  <si>
    <t>Acme Wet Bottom</t>
  </si>
  <si>
    <t>(Tons)</t>
  </si>
  <si>
    <t>Fuel Energy Content</t>
  </si>
  <si>
    <t>Units Same as Source</t>
  </si>
  <si>
    <t>Units Converted to Match Emission Factors</t>
  </si>
  <si>
    <t>Annual Emissions Calculation Sheet</t>
  </si>
  <si>
    <t>Fuel Consumption Data</t>
  </si>
  <si>
    <t>Initial workbook version.</t>
  </si>
  <si>
    <t>Jonathan Dorn</t>
  </si>
  <si>
    <t>Affiliation:</t>
  </si>
  <si>
    <t>Abt Associates</t>
  </si>
  <si>
    <t>jonathan_dorn@abtassoc.com</t>
  </si>
  <si>
    <t>carbon monoxide</t>
  </si>
  <si>
    <t>nitrogen oxides</t>
  </si>
  <si>
    <t>sulfur dioxide</t>
  </si>
  <si>
    <t>U.S. Environmental Protection Agency, Direct Emissions from Stationary Combustion Sources, EPA430-K-08-003, May 2008, http://www.epa.gov/climateleadership/documents/resources/stationarycombustionguidance.pdf.</t>
  </si>
  <si>
    <r>
      <t xml:space="preserve">U.S. Energy Information Administration, </t>
    </r>
    <r>
      <rPr>
        <b/>
        <sz val="10"/>
        <rFont val="Arial"/>
        <family val="2"/>
      </rPr>
      <t>Annual Energy Review 2011</t>
    </r>
    <r>
      <rPr>
        <sz val="10"/>
        <rFont val="Arial"/>
        <family val="2"/>
      </rPr>
      <t xml:space="preserve">, </t>
    </r>
    <r>
      <rPr>
        <i/>
        <sz val="10"/>
        <rFont val="Arial"/>
        <family val="2"/>
      </rPr>
      <t>Table A1. Approximate Heat Content of Petroleum Products (Million Btu per Barrel)</t>
    </r>
    <r>
      <rPr>
        <sz val="10"/>
        <rFont val="Arial"/>
        <family val="2"/>
      </rPr>
      <t>, September 2012, http://www.eia.gov/totalenergy/data/annual/pdf/aer.pdf.</t>
    </r>
  </si>
  <si>
    <r>
      <t xml:space="preserve">U.S. Energy Information Administration, </t>
    </r>
    <r>
      <rPr>
        <b/>
        <sz val="10"/>
        <rFont val="Arial"/>
        <family val="2"/>
      </rPr>
      <t>Annual Energy Review 2011</t>
    </r>
    <r>
      <rPr>
        <sz val="10"/>
        <rFont val="Arial"/>
        <family val="2"/>
      </rPr>
      <t xml:space="preserve">, </t>
    </r>
    <r>
      <rPr>
        <i/>
        <sz val="10"/>
        <rFont val="Arial"/>
        <family val="2"/>
      </rPr>
      <t>Table A4. Approximate Heat Content of Natural Gas</t>
    </r>
    <r>
      <rPr>
        <sz val="10"/>
        <rFont val="Arial"/>
        <family val="2"/>
      </rPr>
      <t>, September 2012,  http://www.eia.gov/totalenergy/data/annual/pdf/aer.pdf.</t>
    </r>
  </si>
  <si>
    <t>Based on average of emissions factors in AP-42, Fifth Edition, Volume I, Chapter 1: External Combustion Sources, http://www.epa.gov/ttn/chief/ap42/ch01/index.html.</t>
  </si>
  <si>
    <t>10/01/2012</t>
  </si>
  <si>
    <t>QA performed by:</t>
  </si>
  <si>
    <t>Air Basin Attainment Status</t>
  </si>
  <si>
    <t>Coal - Bituminous</t>
  </si>
  <si>
    <t>Coal - Subbituminous</t>
  </si>
  <si>
    <r>
      <t xml:space="preserve">U.S. Energy Information Administration, </t>
    </r>
    <r>
      <rPr>
        <b/>
        <sz val="10"/>
        <rFont val="Arial"/>
        <family val="2"/>
      </rPr>
      <t>Annual Energy Review 2011</t>
    </r>
    <r>
      <rPr>
        <sz val="10"/>
        <rFont val="Arial"/>
        <family val="2"/>
      </rPr>
      <t xml:space="preserve">, </t>
    </r>
    <r>
      <rPr>
        <i/>
        <sz val="10"/>
        <rFont val="Arial"/>
        <family val="2"/>
      </rPr>
      <t>Table A5. Approximate Heat Content of Coal and Coal Coke, Selected Years, 1949-2011, September 2012 (Million Btu per Short Ton)</t>
    </r>
    <r>
      <rPr>
        <sz val="10"/>
        <rFont val="Arial"/>
        <family val="2"/>
      </rPr>
      <t>, http://www.eia.gov/totalenergy/data/annual/pdf/sec12_5.pdf</t>
    </r>
  </si>
  <si>
    <t>35*S%</t>
  </si>
  <si>
    <t>AP-42, Fifth Edition, Volume I, Chapter 1: External Combustion Sources, Table 1.1-3, Spreader Stoker, Subbituminous, http://www.epa.gov/ttn/chief/ap42/ch01/index.html.</t>
  </si>
  <si>
    <t>Simplified inputs, removed calculation of controlled emissions, added emission factors for subbituminous coal, and revised instructions.</t>
  </si>
  <si>
    <t>1:  Facility Information</t>
  </si>
  <si>
    <t>2:  Facility Contact</t>
  </si>
  <si>
    <t>3:  Air Basin Attainment Status</t>
  </si>
  <si>
    <t>4:  Boiler Information</t>
  </si>
  <si>
    <t>5:  Fuel Consumption Data</t>
  </si>
  <si>
    <t>Steps to Complete this Workbook</t>
  </si>
  <si>
    <r>
      <t xml:space="preserve">On the </t>
    </r>
    <r>
      <rPr>
        <b/>
        <i/>
        <sz val="10"/>
        <rFont val="Arial"/>
        <family val="2"/>
      </rPr>
      <t>Inputs</t>
    </r>
    <r>
      <rPr>
        <sz val="10"/>
        <rFont val="Arial"/>
        <family val="2"/>
      </rPr>
      <t xml:space="preserve"> worksheet, replace the default contact information with information specific to your facility's primary contact.</t>
    </r>
  </si>
  <si>
    <t>Exceeds major source threshold.</t>
  </si>
  <si>
    <t>10/31/2012</t>
  </si>
  <si>
    <t>Additional References</t>
  </si>
  <si>
    <t>Assumed the same as distillate oil. USEPA, Technical Support Document for Potential to Emit Guidance Document. Documentation of Emissions Calculations. Tim Smith, April 1998, p. 12, available at http://www.epa.gov/ttn/atw/pte/tekmarch.pdf (accessed October 2012).</t>
  </si>
  <si>
    <t>Data Element</t>
  </si>
  <si>
    <t>Value (percent)</t>
  </si>
  <si>
    <t>Frank Divita</t>
  </si>
  <si>
    <t>new source review</t>
  </si>
  <si>
    <t>U.S. Environmental Protection Agency in collaboration with the Eastern Regional Technical Advisory Committee, 2009, http://ertac.us/compare/state_comparison_ERTAC_SS_version7.2_23nov2009.xls. Based on emissions factors in AP-42, Fifth Edition, Volume I, Chapter 1: External Combustion Sources, http://www.epa.gov/ttn/chief/ap42/ch01/index.html.</t>
  </si>
  <si>
    <t>Added disclaimer. Removed blanks from Boiler ID drop-down list on Inputs tab.</t>
  </si>
  <si>
    <t>million British thermal units</t>
  </si>
  <si>
    <t>12/06/2012</t>
  </si>
  <si>
    <t>Industrial Boilers Registration Calculator</t>
  </si>
  <si>
    <t>Registration Calculator Inputs</t>
  </si>
  <si>
    <t>Registration Summary</t>
  </si>
  <si>
    <t>Industrial boilers are typically used to generate hot water or steam needed to power other processes, such as electricity generation. Some industries use boilers in a method known as cogeneration, where steam from the boilers will power one process, such as a turbine, after which excess steam and heat will be used for another process or energy recycling. Boilers create steam from the combustion of fuel, usually coal, oil, or natural gas, though a wide variety of fuels can be used. Natural gas is the most commonly used fuel for industrial boilers in the U.S., with 78% of facilities identifying it as their primary fuel.  Emissions from industrial boilers primarily result from fuel combustion. The combustion process can also release VOCs, particulate matter, sulfur oxides, nitrogen oxides, and CO. The particular chemicals and quantities emitted will be dependent on the boiler size and fuel type.</t>
  </si>
  <si>
    <t>Cells shaded gray do not need to be completed.</t>
  </si>
  <si>
    <t>12/15/2012</t>
  </si>
  <si>
    <t>Tracey Westfield</t>
  </si>
  <si>
    <t>U.S. Environmental Protection Agency, AP-42, Fifth Edition, Volume I, Chapter 1: External Combustion, Section 1.4: Natural Gas Combustion, 1998, available at http://www.epa.gov/ttn/chief/ap42/ch01/final/c01s04.pdf.</t>
  </si>
  <si>
    <t>EPA Regional Contact Information</t>
  </si>
  <si>
    <t>Regional Contact Information</t>
  </si>
  <si>
    <t>State</t>
  </si>
  <si>
    <t>State Abbreviation</t>
  </si>
  <si>
    <t>EPA Region</t>
  </si>
  <si>
    <t>Alternate Name</t>
  </si>
  <si>
    <t>Alt Telephone</t>
  </si>
  <si>
    <t>Alt Email</t>
  </si>
  <si>
    <t>Address 1</t>
  </si>
  <si>
    <t>Address 2</t>
  </si>
  <si>
    <t>City</t>
  </si>
  <si>
    <t>ZIP</t>
  </si>
  <si>
    <t>Alabama</t>
  </si>
  <si>
    <t>AL</t>
  </si>
  <si>
    <t>Ana Oquendo</t>
  </si>
  <si>
    <t>404-562-9781</t>
  </si>
  <si>
    <t>oquendo.ana@epa.gov</t>
  </si>
  <si>
    <t>Lorinda Shepherd</t>
  </si>
  <si>
    <t>404-562-8435</t>
  </si>
  <si>
    <t>shepherd.lorinda@epa.gov</t>
  </si>
  <si>
    <t>61 Forsyth Street, S.W.</t>
  </si>
  <si>
    <t>12th Floor</t>
  </si>
  <si>
    <t>Atlanta</t>
  </si>
  <si>
    <t>GA</t>
  </si>
  <si>
    <t>30303-8960</t>
  </si>
  <si>
    <t>Alaska</t>
  </si>
  <si>
    <t>AK</t>
  </si>
  <si>
    <t>Bill Todd</t>
  </si>
  <si>
    <t>206-553-6914</t>
  </si>
  <si>
    <t>todd.bill@epa.gov</t>
  </si>
  <si>
    <t>None</t>
  </si>
  <si>
    <t>1200 Sixth Avenue</t>
  </si>
  <si>
    <t>MC: AWT-107</t>
  </si>
  <si>
    <t>Seattle</t>
  </si>
  <si>
    <t>WA</t>
  </si>
  <si>
    <t>Arizona</t>
  </si>
  <si>
    <t>AZ</t>
  </si>
  <si>
    <t>Geoffrey Glass</t>
  </si>
  <si>
    <t>415-972-3498</t>
  </si>
  <si>
    <t>glass.geoffrey@epa.gov</t>
  </si>
  <si>
    <t>Roberto Gutierrez</t>
  </si>
  <si>
    <t>415-947-4276</t>
  </si>
  <si>
    <t>Gutierrez.roberto@epa.gov</t>
  </si>
  <si>
    <t xml:space="preserve">75 Hawthorne St. </t>
  </si>
  <si>
    <t>MC: AIR-3</t>
  </si>
  <si>
    <t>San Francisco</t>
  </si>
  <si>
    <t>CA</t>
  </si>
  <si>
    <t>Arkansas</t>
  </si>
  <si>
    <t>AR</t>
  </si>
  <si>
    <t>Bonnie Braganza</t>
  </si>
  <si>
    <t>214-665-7340</t>
  </si>
  <si>
    <t>braganza.bonnie@epa.gov</t>
  </si>
  <si>
    <t>1445 Ross Avenue, Suite 1200</t>
  </si>
  <si>
    <t>MC: 6PD</t>
  </si>
  <si>
    <t>Dallas</t>
  </si>
  <si>
    <t>TX</t>
  </si>
  <si>
    <t>75202-2733</t>
  </si>
  <si>
    <t>California</t>
  </si>
  <si>
    <t>Colorado</t>
  </si>
  <si>
    <t>Claudia Smith</t>
  </si>
  <si>
    <t>303-312-6520</t>
  </si>
  <si>
    <t>smith.claudia@epa.gov</t>
  </si>
  <si>
    <t>Kathleen Paser</t>
  </si>
  <si>
    <t>303-312-6526</t>
  </si>
  <si>
    <t>paser.kathleen@epa.gov</t>
  </si>
  <si>
    <t>1595 Wynkoop St.</t>
  </si>
  <si>
    <t>MC: 8P-AR</t>
  </si>
  <si>
    <t>Denver</t>
  </si>
  <si>
    <t>80202-1129</t>
  </si>
  <si>
    <t>Connecticut</t>
  </si>
  <si>
    <t>CT</t>
  </si>
  <si>
    <t xml:space="preserve">Brendan McCahill </t>
  </si>
  <si>
    <t>617-918-1652</t>
  </si>
  <si>
    <t>McCahill.brendan@epa.gov</t>
  </si>
  <si>
    <t>5 Post Office Square</t>
  </si>
  <si>
    <t>MC: OEP</t>
  </si>
  <si>
    <t>Boston</t>
  </si>
  <si>
    <t>MA</t>
  </si>
  <si>
    <t>02109-3912</t>
  </si>
  <si>
    <t>Florida</t>
  </si>
  <si>
    <t>FL</t>
  </si>
  <si>
    <t>Hawaii</t>
  </si>
  <si>
    <t>HI</t>
  </si>
  <si>
    <t>Idaho</t>
  </si>
  <si>
    <t>ID</t>
  </si>
  <si>
    <t>Illinois</t>
  </si>
  <si>
    <t>IL</t>
  </si>
  <si>
    <t>Kaushal Gupta</t>
  </si>
  <si>
    <t>312-886-6803</t>
  </si>
  <si>
    <t>gupta.kaushal@epa.gov</t>
  </si>
  <si>
    <t>77 West Jackson Boulevard</t>
  </si>
  <si>
    <t>Rm#: 18130</t>
  </si>
  <si>
    <t>Chicago</t>
  </si>
  <si>
    <t>60604-3507</t>
  </si>
  <si>
    <t>Indiana</t>
  </si>
  <si>
    <t>IN</t>
  </si>
  <si>
    <t>Iowa</t>
  </si>
  <si>
    <t>IA</t>
  </si>
  <si>
    <t>Bob Webber</t>
  </si>
  <si>
    <t>913-551-7251</t>
  </si>
  <si>
    <t>webber.robert@epa.gov</t>
  </si>
  <si>
    <t xml:space="preserve">KS  </t>
  </si>
  <si>
    <t>Kansas</t>
  </si>
  <si>
    <t>KS</t>
  </si>
  <si>
    <t>Kentucky</t>
  </si>
  <si>
    <t>KY</t>
  </si>
  <si>
    <t>LA</t>
  </si>
  <si>
    <t>Maine</t>
  </si>
  <si>
    <t>ME</t>
  </si>
  <si>
    <t>Massachusetts</t>
  </si>
  <si>
    <t>Michigan</t>
  </si>
  <si>
    <t>MI</t>
  </si>
  <si>
    <t>Minnesota</t>
  </si>
  <si>
    <t>MN</t>
  </si>
  <si>
    <t>Mississippi</t>
  </si>
  <si>
    <t>MS</t>
  </si>
  <si>
    <t>Missouri</t>
  </si>
  <si>
    <t>MO</t>
  </si>
  <si>
    <t>Montana</t>
  </si>
  <si>
    <t>MT</t>
  </si>
  <si>
    <t>Nebraska</t>
  </si>
  <si>
    <t>NE</t>
  </si>
  <si>
    <t>Nevada</t>
  </si>
  <si>
    <t>NV</t>
  </si>
  <si>
    <t>New Hampshire</t>
  </si>
  <si>
    <t>NH</t>
  </si>
  <si>
    <t>New Jersey</t>
  </si>
  <si>
    <t>NJ</t>
  </si>
  <si>
    <t>Gavin Lau</t>
  </si>
  <si>
    <t>212-637-3708</t>
  </si>
  <si>
    <t>lau.gavin@epa.gov</t>
  </si>
  <si>
    <t>Umesh Dholakia</t>
  </si>
  <si>
    <t>212-637-4023</t>
  </si>
  <si>
    <t>Dholakia.umesh@epa.gov</t>
  </si>
  <si>
    <t>290 Broadway</t>
  </si>
  <si>
    <t>25th Floor</t>
  </si>
  <si>
    <t>New York</t>
  </si>
  <si>
    <t>NY</t>
  </si>
  <si>
    <t>10007-1866</t>
  </si>
  <si>
    <t>New Mexico</t>
  </si>
  <si>
    <t>NM</t>
  </si>
  <si>
    <t>North Carolina</t>
  </si>
  <si>
    <t>NC</t>
  </si>
  <si>
    <t>North Dakota</t>
  </si>
  <si>
    <t>ND</t>
  </si>
  <si>
    <t>Ohio</t>
  </si>
  <si>
    <t>OH</t>
  </si>
  <si>
    <t>Oklahoma</t>
  </si>
  <si>
    <t>OK</t>
  </si>
  <si>
    <t>Oregon</t>
  </si>
  <si>
    <t>OR</t>
  </si>
  <si>
    <t>Rhode Island</t>
  </si>
  <si>
    <t>RI</t>
  </si>
  <si>
    <t>South Carolina</t>
  </si>
  <si>
    <t>SC</t>
  </si>
  <si>
    <t>South Dakota</t>
  </si>
  <si>
    <t>SD</t>
  </si>
  <si>
    <t>Tennessee</t>
  </si>
  <si>
    <t>TN</t>
  </si>
  <si>
    <t>Texas</t>
  </si>
  <si>
    <t>Utah</t>
  </si>
  <si>
    <t>UT</t>
  </si>
  <si>
    <t>Vermont</t>
  </si>
  <si>
    <t>VT</t>
  </si>
  <si>
    <t>Washington</t>
  </si>
  <si>
    <t>Wisconsin</t>
  </si>
  <si>
    <t>WI</t>
  </si>
  <si>
    <t>Wyoming</t>
  </si>
  <si>
    <t>WY</t>
  </si>
  <si>
    <t>Delaware</t>
  </si>
  <si>
    <t>DE</t>
  </si>
  <si>
    <t>District of Columbia</t>
  </si>
  <si>
    <t>DC</t>
  </si>
  <si>
    <t>Maryland</t>
  </si>
  <si>
    <t>MD</t>
  </si>
  <si>
    <t>Pennsylvania</t>
  </si>
  <si>
    <t>PA</t>
  </si>
  <si>
    <t>Virginia</t>
  </si>
  <si>
    <t>VA</t>
  </si>
  <si>
    <t>West Virginia</t>
  </si>
  <si>
    <t>WV</t>
  </si>
  <si>
    <r>
      <t xml:space="preserve">You will need to enter information on the boiler sizes at your facility as well as boiler fuel consumption for each industrial boiler.  This workbook automatically calculates air pollutant emissions based on this information.  Some sample data have already been entered (in blue font) to assist with filling this out.  You will need to replace these sample data with your own.  The last tab along the bottom of this workbook, called the </t>
    </r>
    <r>
      <rPr>
        <b/>
        <i/>
        <sz val="10"/>
        <rFont val="Arial"/>
        <family val="2"/>
      </rPr>
      <t>Output-Summary Printout</t>
    </r>
    <r>
      <rPr>
        <sz val="10"/>
        <rFont val="Arial"/>
        <family val="2"/>
      </rPr>
      <t>, is a one-page summary of your facility's emissions and, based on the information entered, indicates whether your facility is required to register under the Tribal New Source Review Rule.  Please read all instructions below before using this workbook.  All worksheets in this workbook are printer-friendly. If necessary, print this page for reference while completing the worksheets.</t>
    </r>
  </si>
  <si>
    <t>Acronyms/Definitions</t>
  </si>
  <si>
    <t xml:space="preserve">CO </t>
  </si>
  <si>
    <t xml:space="preserve">MMBtu </t>
  </si>
  <si>
    <r>
      <t>NO</t>
    </r>
    <r>
      <rPr>
        <vertAlign val="subscript"/>
        <sz val="10"/>
        <rFont val="Arial"/>
        <family val="2"/>
      </rPr>
      <t>x</t>
    </r>
    <r>
      <rPr>
        <sz val="10"/>
        <rFont val="Arial"/>
        <family val="2"/>
      </rPr>
      <t xml:space="preserve"> </t>
    </r>
  </si>
  <si>
    <t xml:space="preserve">NSR </t>
  </si>
  <si>
    <r>
      <t>PM</t>
    </r>
    <r>
      <rPr>
        <vertAlign val="subscript"/>
        <sz val="10"/>
        <rFont val="Arial"/>
        <family val="2"/>
      </rPr>
      <t>10</t>
    </r>
    <r>
      <rPr>
        <sz val="10"/>
        <rFont val="Arial"/>
        <family val="2"/>
      </rPr>
      <t xml:space="preserve"> </t>
    </r>
  </si>
  <si>
    <r>
      <t>PM</t>
    </r>
    <r>
      <rPr>
        <vertAlign val="subscript"/>
        <sz val="10"/>
        <rFont val="Arial"/>
        <family val="2"/>
      </rPr>
      <t>2.5</t>
    </r>
    <r>
      <rPr>
        <sz val="10"/>
        <rFont val="Arial"/>
        <family val="2"/>
      </rPr>
      <t xml:space="preserve"> </t>
    </r>
  </si>
  <si>
    <r>
      <t>SO</t>
    </r>
    <r>
      <rPr>
        <vertAlign val="subscript"/>
        <sz val="10"/>
        <rFont val="Arial"/>
        <family val="2"/>
      </rPr>
      <t xml:space="preserve">2 </t>
    </r>
  </si>
  <si>
    <t xml:space="preserve">VOC </t>
  </si>
  <si>
    <t>particulate matter less than or equal to 10 micrometers (µm) in size</t>
  </si>
  <si>
    <t>particulate matter less than or equal to 2.5 micrometers (µm) in size</t>
  </si>
  <si>
    <t>EF</t>
  </si>
  <si>
    <t>emission factor</t>
  </si>
  <si>
    <t>EPA</t>
  </si>
  <si>
    <t>U.S. Environmental Protection Agency</t>
  </si>
  <si>
    <t xml:space="preserve">http://www.epa.gov/oar/oaqps/greenbk/ancl.html </t>
  </si>
  <si>
    <t>Zip Code</t>
  </si>
  <si>
    <t>Acme Corporation Steam Plant</t>
  </si>
  <si>
    <t>Albuquerque</t>
  </si>
  <si>
    <t>Primary Contact Name</t>
  </si>
  <si>
    <t>Primary Contact Telephone</t>
  </si>
  <si>
    <t>Primary Contact Email</t>
  </si>
  <si>
    <t>Alternate Contact Name</t>
  </si>
  <si>
    <t>Alternate Contact Telephone</t>
  </si>
  <si>
    <t>Alternate Contact Email</t>
  </si>
  <si>
    <t>1997 8-Hr Ozone Attainment Status (select one):</t>
  </si>
  <si>
    <r>
      <t>CO and PM</t>
    </r>
    <r>
      <rPr>
        <b/>
        <vertAlign val="subscript"/>
        <sz val="10"/>
        <rFont val="Arial"/>
        <family val="2"/>
      </rPr>
      <t>10</t>
    </r>
    <r>
      <rPr>
        <b/>
        <sz val="10"/>
        <rFont val="Arial"/>
        <family val="2"/>
      </rPr>
      <t xml:space="preserve"> Attainment Status List</t>
    </r>
  </si>
  <si>
    <t>Nonattainment - moderate</t>
  </si>
  <si>
    <t>Ozone Attainment Status List</t>
  </si>
  <si>
    <t>Nonattainment - marginal</t>
  </si>
  <si>
    <r>
      <t>SO</t>
    </r>
    <r>
      <rPr>
        <b/>
        <vertAlign val="subscript"/>
        <sz val="10"/>
        <rFont val="Arial"/>
        <family val="2"/>
      </rPr>
      <t>2</t>
    </r>
    <r>
      <rPr>
        <b/>
        <sz val="10"/>
        <rFont val="Arial"/>
        <family val="2"/>
      </rPr>
      <t xml:space="preserve"> and PM</t>
    </r>
    <r>
      <rPr>
        <b/>
        <vertAlign val="subscript"/>
        <sz val="10"/>
        <rFont val="Arial"/>
        <family val="2"/>
      </rPr>
      <t>2.5</t>
    </r>
    <r>
      <rPr>
        <b/>
        <sz val="10"/>
        <rFont val="Arial"/>
        <family val="2"/>
      </rPr>
      <t xml:space="preserve"> Attainment Status List</t>
    </r>
  </si>
  <si>
    <t>Nonattainment</t>
  </si>
  <si>
    <t>Threshold</t>
  </si>
  <si>
    <t>Name:</t>
  </si>
  <si>
    <t>Address:</t>
  </si>
  <si>
    <t>Telephone:</t>
  </si>
  <si>
    <t>Corrected PM emission factors for anthracite coal by updating ash content from 9.95 to 20.99. Updated natural gas and LPG SO2 registration emissions factors by adjusting natural gas and LPG registration sulfur contents from 2 to 20 percent.</t>
  </si>
  <si>
    <t>U.S. Environmental Protection Agency 1993. Emissions Factor Documentation for AP-42 Section 1.11 Waste Oil Combustion. Table 2-1. Available electronically at: http://www.epa.gov/ttnchie1/ap42/ch01/bgdocs/b01s11.pdf</t>
  </si>
  <si>
    <t>scf</t>
  </si>
  <si>
    <t>standard cubic feet</t>
  </si>
  <si>
    <t>Units</t>
  </si>
  <si>
    <t>%</t>
  </si>
  <si>
    <t>grains/100 scf</t>
  </si>
  <si>
    <t>TRIBAL NEW SOURCE REVIEW PROGRAM</t>
  </si>
  <si>
    <t>Registration for Existing True Minor Sources of Air Pollution in Indian Country</t>
  </si>
  <si>
    <t>What is the Tribal New Source Review Rule?</t>
  </si>
  <si>
    <r>
      <rPr>
        <sz val="10"/>
        <rFont val="Arial"/>
        <family val="2"/>
      </rPr>
      <t xml:space="preserve">Please visit EPA's Tribal Air website at </t>
    </r>
    <r>
      <rPr>
        <u/>
        <sz val="10"/>
        <color theme="10"/>
        <rFont val="Arial"/>
        <family val="2"/>
      </rPr>
      <t xml:space="preserve">http://www.epa.gov/air/tribal/tribalnsr.html </t>
    </r>
    <r>
      <rPr>
        <sz val="10"/>
        <rFont val="Arial"/>
        <family val="2"/>
      </rPr>
      <t>for more information about the Tribal NSR Rule.</t>
    </r>
  </si>
  <si>
    <t>Do I need to register my minor source?</t>
  </si>
  <si>
    <t>You are exempt from the registration requirement if your source is subject to the registration requirements under 40 CFR 49.138—Rule for the registration of air pollution sources and the reporting of emissions (also known as the Federal Air Rules for Reservations (FARR)).  The FARR is a set of federal air rules that only apply to 39 Indian Reservations in Idaho, Oregon, and Washington.
If your air pollution source is not located on one of the 39 Indian Reservations in Idaho, Oregon, or Washington, you must register your source with your EPA Regional Office (the reviewing authority) by March 1, 2013 if you own or operate an existing true minor air pollution source (as defined in 40 CFR 49.152(d)) and your source’s emissions are equal to or greater than the cutoff levels listed in Table 1 at 40 CFR 49.153.</t>
  </si>
  <si>
    <r>
      <t xml:space="preserve">How do I determine if my source is a </t>
    </r>
    <r>
      <rPr>
        <b/>
        <i/>
        <sz val="10"/>
        <rFont val="Arial"/>
        <family val="2"/>
      </rPr>
      <t>true minor</t>
    </r>
    <r>
      <rPr>
        <b/>
        <sz val="10"/>
        <rFont val="Arial"/>
        <family val="2"/>
      </rPr>
      <t xml:space="preserve"> source?</t>
    </r>
  </si>
  <si>
    <t>True minor source means a source, not including exempt emissions units and activities listed in 40 CFR 49.153(c), that emits or has the potential to emit regulated NSR pollutants in amounts that are less than the major source thresholds in 40 CFR 52.21, (generally 100 to 250 tons per year), but equal to or greater than the minor NSR thresholds in Table 1 at 40 CFR 49.153, without the need to take an enforceable restriction to reduce its potential to emit to such levels.  That is, a true minor source is a minor source that is not a synthetic minor source.  The potential to emit includes fugitive emissions, to the extent that they are quantifiable, only if the source belongs to one of the source categories listed in 40 CFR 51, Appendix S, paragraph II.A.4(iii).</t>
  </si>
  <si>
    <t>How do I register my true minor source?</t>
  </si>
  <si>
    <t>The EPA has provided this registration calculator to assist you in determining your registration requirements. Completing this calculator will:</t>
  </si>
  <si>
    <t>1.</t>
  </si>
  <si>
    <r>
      <t>help you determine if you need to register your air pollution emission source, based on your emission level and area’s attainment status</t>
    </r>
    <r>
      <rPr>
        <b/>
        <sz val="10"/>
        <rFont val="Arial"/>
        <family val="2"/>
      </rPr>
      <t>;</t>
    </r>
    <r>
      <rPr>
        <sz val="10"/>
        <rFont val="Arial"/>
        <family val="2"/>
      </rPr>
      <t xml:space="preserve"> and</t>
    </r>
  </si>
  <si>
    <t>2.</t>
  </si>
  <si>
    <t>How often must I register?</t>
  </si>
  <si>
    <t>This is a one-time registration for your true minor source.  However, after registration, you must notify your EPA Regional Office in writing if:</t>
  </si>
  <si>
    <t>your source relocates (send report no later than 30 days prior to relocation);</t>
  </si>
  <si>
    <t>your source has a new owner/operator (send report within 90 days after change in ownership); or</t>
  </si>
  <si>
    <t>3.</t>
  </si>
  <si>
    <t>your source closes (send report within 90 days after cessation of all operations).</t>
  </si>
  <si>
    <t>May I register using my own emission information, rather than using the Registration Calculators?</t>
  </si>
  <si>
    <t>The Registration Calculators are provided for the convenience of most minor sources, which are unlikely to have tracked emissions data since minor sources in Indian country have been unregulated until now.  However, if you have actual emission data from your source you may choose not to use the calculator(s), but your registration information must comply with all of the requirements in 40 CFR 49.160 and be submitted using the form provided on EPA's Tribal Air website. Please click on the URL below to access the form.</t>
  </si>
  <si>
    <t xml:space="preserve">http://www.epa.gov/air/tribal/pdfs/existing_source_registration_rev.pdf </t>
  </si>
  <si>
    <t>How does registration relate to obtaining a permit?</t>
  </si>
  <si>
    <r>
      <t xml:space="preserve">Registering your source does not relieve you of the requirement to obtain any required permit.  Please note that </t>
    </r>
    <r>
      <rPr>
        <i/>
        <sz val="10"/>
        <rFont val="Arial"/>
        <family val="2"/>
      </rPr>
      <t>registering</t>
    </r>
    <r>
      <rPr>
        <sz val="10"/>
        <rFont val="Arial"/>
        <family val="2"/>
      </rPr>
      <t xml:space="preserve"> your source and </t>
    </r>
    <r>
      <rPr>
        <i/>
        <sz val="10"/>
        <rFont val="Arial"/>
        <family val="2"/>
      </rPr>
      <t>obtaining a permit</t>
    </r>
    <r>
      <rPr>
        <sz val="10"/>
        <rFont val="Arial"/>
        <family val="2"/>
      </rPr>
      <t xml:space="preserve">, if needed, are two different and separate requirements.  The emissions information generated by the Registration Calculators is different than the emissions information needed for a permit application, thus you may </t>
    </r>
    <r>
      <rPr>
        <b/>
        <i/>
        <sz val="10"/>
        <rFont val="Arial"/>
        <family val="2"/>
      </rPr>
      <t>not</t>
    </r>
    <r>
      <rPr>
        <sz val="10"/>
        <rFont val="Arial"/>
        <family val="2"/>
      </rPr>
      <t xml:space="preserve"> use the Registration Calculator emissions information when applying for a permit.</t>
    </r>
  </si>
  <si>
    <t>Registration steps for existing true minor sources:</t>
  </si>
  <si>
    <t>Complete this calculator and all other calculators that are applicable to your true minor source as accurately as possible.</t>
  </si>
  <si>
    <t>Once completed, the calculator’s Output-Summary Printout worksheet will provide information on your registration requirements.</t>
  </si>
  <si>
    <t>4.</t>
  </si>
  <si>
    <t>5.</t>
  </si>
  <si>
    <t>If you have any questions about registration or completing the calculators, please contact your EPA Regional Office.</t>
  </si>
  <si>
    <t>Emission Controls and Operational Restrictions</t>
  </si>
  <si>
    <r>
      <t>PM</t>
    </r>
    <r>
      <rPr>
        <vertAlign val="subscript"/>
        <sz val="10"/>
        <rFont val="Arial"/>
        <family val="2"/>
      </rPr>
      <t>2.5</t>
    </r>
    <r>
      <rPr>
        <sz val="10"/>
        <rFont val="Arial"/>
        <family val="2"/>
      </rPr>
      <t xml:space="preserve"> Attainment Status (select one):</t>
    </r>
  </si>
  <si>
    <t>Georgia</t>
  </si>
  <si>
    <t>Louisiana</t>
  </si>
  <si>
    <t>Facility Name:</t>
  </si>
  <si>
    <t>Facility Address:</t>
  </si>
  <si>
    <t>Estimated Actual Emissions
for 2012</t>
  </si>
  <si>
    <t>Registration Determination</t>
  </si>
  <si>
    <t>Exceeds Major Source Threshold Determination</t>
  </si>
  <si>
    <t>Allowable Emissions</t>
  </si>
  <si>
    <t>Estimated Actual Emissions for 2012 (tons/yr):</t>
  </si>
  <si>
    <t>Allowable Emissions (tons/yr):</t>
  </si>
  <si>
    <t>Explanation of Text Colors and Cell Shading</t>
  </si>
  <si>
    <r>
      <t xml:space="preserve">This workbook is an aid to assist facility owners/operators in determining their need to register their facility under the Tribal New Source Review Rule. Owners/operators should provide the best estimate of inputs required in this workbook based on their facility's existing available records, actual test data, manufacturers' data and/or fuel (instrumentation) meters. If a source owner/operator has a more accurate methodology for estimating emissions, he/she is not obligated to use this registration calculator; however, the source owner/operator must comply with all of the applicable requirements in 40 CFR 49.160 and submit all registration information using the forms provided on EPA's Tribal Air website. For example, if you believe that the actual emissions in calendar year 2012 estimated using this calculator are not representative of the emissions that your source actually emitted, you may submit your own estimate of actual emissions and the rationale for the actual emissions.
</t>
    </r>
    <r>
      <rPr>
        <b/>
        <i/>
        <sz val="10"/>
        <color rgb="FFFF0000"/>
        <rFont val="Arial"/>
        <family val="2"/>
      </rPr>
      <t xml:space="preserve">Please note that the emissions information generated by this registration calculator is different than the emissions information needed for a permit application, thus you may not use the registration calculator emission estimates when applying for a permit (if required). </t>
    </r>
  </si>
  <si>
    <r>
      <t xml:space="preserve">Owners/operators of facilities with industrial boilers must evaluate the emissions of air pollutants from their facility to determine the need to register their facility under the Tribal New Source Review Rule. This workbook should </t>
    </r>
    <r>
      <rPr>
        <b/>
        <i/>
        <sz val="10"/>
        <rFont val="Arial"/>
        <family val="2"/>
      </rPr>
      <t>not</t>
    </r>
    <r>
      <rPr>
        <sz val="10"/>
        <rFont val="Arial"/>
        <family val="2"/>
      </rPr>
      <t xml:space="preserve"> be used for permitting purposes.</t>
    </r>
  </si>
  <si>
    <r>
      <t xml:space="preserve">Text in </t>
    </r>
    <r>
      <rPr>
        <b/>
        <sz val="10"/>
        <color rgb="FFFF0000"/>
        <rFont val="Arial"/>
        <family val="2"/>
      </rPr>
      <t>red</t>
    </r>
    <r>
      <rPr>
        <sz val="10"/>
        <rFont val="Arial"/>
        <family val="2"/>
      </rPr>
      <t xml:space="preserve"> or </t>
    </r>
    <r>
      <rPr>
        <b/>
        <sz val="10"/>
        <color rgb="FFCC6600"/>
        <rFont val="Arial"/>
        <family val="2"/>
      </rPr>
      <t>brown</t>
    </r>
    <r>
      <rPr>
        <sz val="10"/>
        <rFont val="Arial"/>
        <family val="2"/>
      </rPr>
      <t xml:space="preserve"> is a disclaimer or calculated value and cannot be changed.</t>
    </r>
  </si>
  <si>
    <r>
      <t xml:space="preserve">Text in </t>
    </r>
    <r>
      <rPr>
        <b/>
        <sz val="10"/>
        <color indexed="12"/>
        <rFont val="Arial"/>
        <family val="2"/>
      </rPr>
      <t>blue</t>
    </r>
    <r>
      <rPr>
        <sz val="10"/>
        <rFont val="Arial"/>
        <family val="2"/>
      </rPr>
      <t xml:space="preserve"> is to be overwritten, as necessary, with your facility's inputs.</t>
    </r>
  </si>
  <si>
    <r>
      <t xml:space="preserve">Text in </t>
    </r>
    <r>
      <rPr>
        <b/>
        <sz val="10"/>
        <rFont val="Arial"/>
        <family val="2"/>
      </rPr>
      <t>black</t>
    </r>
    <r>
      <rPr>
        <sz val="10"/>
        <rFont val="Arial"/>
        <family val="2"/>
      </rPr>
      <t xml:space="preserve"> is a title, heading or calculated value and cannot be changed.</t>
    </r>
  </si>
  <si>
    <t>Allowable
Emissions</t>
  </si>
  <si>
    <t>Potential annual emissions from a source calculated using the maximum rated capacity of the source (unless the source is subject to practically and legally enforceable limits which restrict the operating rate, or hours of operation, or both) and any applicable standards as set forth in 40 CFR parts 60 and 61.</t>
  </si>
  <si>
    <t>Estimated Actual Emissions</t>
  </si>
  <si>
    <t>Estimates of actual emissions take into account equipment, operating conditions, and air pollution control measures and are calculated using the actual operating hours, production rates, in-place control equipment, and types of materials processed, stored, or combusted during the preceding calendar year (e.g., 2012).</t>
  </si>
  <si>
    <r>
      <t>Note: Your facility's information and estimates will be entered on the</t>
    </r>
    <r>
      <rPr>
        <b/>
        <i/>
        <sz val="10"/>
        <rFont val="Arial"/>
        <family val="2"/>
      </rPr>
      <t xml:space="preserve"> Inputs</t>
    </r>
    <r>
      <rPr>
        <sz val="10"/>
        <rFont val="Arial"/>
        <family val="2"/>
      </rPr>
      <t xml:space="preserve"> and</t>
    </r>
    <r>
      <rPr>
        <b/>
        <i/>
        <sz val="10"/>
        <rFont val="Arial"/>
        <family val="2"/>
      </rPr>
      <t xml:space="preserve"> Controls and Restrictions</t>
    </r>
    <r>
      <rPr>
        <sz val="10"/>
        <rFont val="Arial"/>
        <family val="2"/>
      </rPr>
      <t xml:space="preserve"> worksheets.</t>
    </r>
  </si>
  <si>
    <r>
      <t xml:space="preserve">On the </t>
    </r>
    <r>
      <rPr>
        <b/>
        <i/>
        <sz val="10"/>
        <rFont val="Arial"/>
        <family val="2"/>
      </rPr>
      <t>Inputs</t>
    </r>
    <r>
      <rPr>
        <sz val="10"/>
        <rFont val="Arial"/>
        <family val="2"/>
      </rPr>
      <t xml:space="preserve"> worksheet, replace the default facility information with information specific to your facility. </t>
    </r>
  </si>
  <si>
    <r>
      <t xml:space="preserve">On the </t>
    </r>
    <r>
      <rPr>
        <b/>
        <i/>
        <sz val="10"/>
        <rFont val="Arial"/>
        <family val="2"/>
      </rPr>
      <t>Inputs</t>
    </r>
    <r>
      <rPr>
        <sz val="10"/>
        <rFont val="Arial"/>
        <family val="2"/>
      </rPr>
      <t xml:space="preserve"> worksheet, select the air basin attainment status for each pollutant from the drop-down lists for the air basin in which your facility resides. This information is necessary since the pollutant thresholds that trigger registration requirements vary by attainment status. If you are unsure of the appropriate attainment statuses for the air basin in which your facility is located, refer to EPA’s Green Book (available by clicking on the link below) or ask your EPA Regional contact for help. Your EPA Regional contact will be listed on the </t>
    </r>
    <r>
      <rPr>
        <b/>
        <i/>
        <sz val="10"/>
        <rFont val="Arial"/>
        <family val="2"/>
      </rPr>
      <t>Inputs</t>
    </r>
    <r>
      <rPr>
        <sz val="10"/>
        <rFont val="Arial"/>
        <family val="2"/>
      </rPr>
      <t xml:space="preserve"> worksheet once you have selected the correct state in which your facility resides.</t>
    </r>
  </si>
  <si>
    <t>7:  Emissions Summaries</t>
  </si>
  <si>
    <t>6: Emission Controls and
    Operational Restrictions</t>
  </si>
  <si>
    <r>
      <t xml:space="preserve">The </t>
    </r>
    <r>
      <rPr>
        <b/>
        <i/>
        <sz val="10"/>
        <rFont val="Arial"/>
        <family val="2"/>
      </rPr>
      <t>Total Emissions</t>
    </r>
    <r>
      <rPr>
        <sz val="10"/>
        <rFont val="Arial"/>
        <family val="2"/>
      </rPr>
      <t xml:space="preserve"> worksheet provides a summary of your estimated actual emissions and allowable emissions by source. The </t>
    </r>
    <r>
      <rPr>
        <b/>
        <i/>
        <sz val="10"/>
        <rFont val="Arial"/>
        <family val="2"/>
      </rPr>
      <t xml:space="preserve">Output-Summary Printout </t>
    </r>
    <r>
      <rPr>
        <sz val="10"/>
        <rFont val="Arial"/>
        <family val="2"/>
      </rPr>
      <t xml:space="preserve">worksheet provides a facility-level summary of your estimated actual emissions and allowable emissions and indicates whether or not your facility is required to register under the Tribal New Source Review Rule. </t>
    </r>
  </si>
  <si>
    <t>40 CFR 49.130(d)(2)</t>
  </si>
  <si>
    <t>Allowable Emission Factor</t>
  </si>
  <si>
    <t>Actual Emission Factor</t>
  </si>
  <si>
    <t>11201 Renner Blvd.</t>
  </si>
  <si>
    <t>MC: AWMD/APCO</t>
  </si>
  <si>
    <t>Lenexa</t>
  </si>
  <si>
    <t>Bituminous Coal Actual Sulfur Content</t>
  </si>
  <si>
    <t>Subbituminous Coal Actual Sulfur Content</t>
  </si>
  <si>
    <t>Kerosene Actual Sulfur Content</t>
  </si>
  <si>
    <t>Oil Distillate Actual Sulfur Content</t>
  </si>
  <si>
    <t>Oil Residual Actual Sulfur Content</t>
  </si>
  <si>
    <t>Natural Gas Actual Sulfur Content</t>
  </si>
  <si>
    <t>LPG Actual Sulfur Content</t>
  </si>
  <si>
    <t>Allowable Sulfur Content (%)</t>
  </si>
  <si>
    <r>
      <t xml:space="preserve">Select the Units for the Emission Rate </t>
    </r>
    <r>
      <rPr>
        <b/>
        <sz val="10"/>
        <rFont val="Calibri"/>
        <family val="2"/>
      </rPr>
      <t>→</t>
    </r>
  </si>
  <si>
    <t>Pollutant Emission Rate</t>
  </si>
  <si>
    <t>Emission Rate Unit</t>
  </si>
  <si>
    <t>lb/hr</t>
  </si>
  <si>
    <t>Allowable Sulfur Content (percent)</t>
  </si>
  <si>
    <t>Fuel Energy Consumed in 2012 (MMBtu)</t>
  </si>
  <si>
    <t>Fuel Energy Consumed in 2012</t>
  </si>
  <si>
    <t>lb/MMBtu (fuel input)</t>
  </si>
  <si>
    <t>Maximum Potential Energy Consumption</t>
  </si>
  <si>
    <t>40 CFR 49.130(d)(6)</t>
  </si>
  <si>
    <t>40 CFR 49.130(d)(1)</t>
  </si>
  <si>
    <t>40 CFR 49.130(d)(3)</t>
  </si>
  <si>
    <t>Allowable value from 40 CFR Section 49.130(d)(8); 1.1 grams S per standard cubic meter = 48 grains per 100 scf</t>
  </si>
  <si>
    <t xml:space="preserve">U.S. Environmental Protection Agency, AP-42, Fifth Edition, Volume I, Chapter 1: External Combustion, Section 1.4: Natural Gas Combustion, 1998, available at http://www.epa.gov/ttn/chief/ap42/ch01/final/c01s04.pdf. </t>
  </si>
  <si>
    <t>Bituminous Coal Allowable Sulfur Content</t>
  </si>
  <si>
    <t>Subbituminous Coal Allowable Sulfur Content</t>
  </si>
  <si>
    <t>Kerosene Allowable Sulfur Content</t>
  </si>
  <si>
    <t>Distillate Oil Allowable Sulfur Content</t>
  </si>
  <si>
    <t>Residual Oil Allowable Sulfur Content</t>
  </si>
  <si>
    <t>Natural Gas Allowable Sulfur Content</t>
  </si>
  <si>
    <t>LPG Allowable Sulfur Content</t>
  </si>
  <si>
    <t>Added EPA regional contact information. Revised attainment status fields. Updated disclaimer. Updated default sulfur contents. Added Registration FAQs tab. Created Controls and Restrictions tab. Fixed backwards compatability issues with drop-downs. Fixed all table headers. Removed PTE references. Deleted anthracite coal and usage of fuel-to-steam efficiencies.</t>
  </si>
  <si>
    <t>Total Emissions</t>
  </si>
  <si>
    <r>
      <t xml:space="preserve">On the </t>
    </r>
    <r>
      <rPr>
        <b/>
        <i/>
        <sz val="10"/>
        <rFont val="Arial"/>
        <family val="2"/>
      </rPr>
      <t>Inputs</t>
    </r>
    <r>
      <rPr>
        <sz val="10"/>
        <rFont val="Arial"/>
        <family val="2"/>
      </rPr>
      <t xml:space="preserve"> worksheet, select the boiler and fuel type combusted in the boiler. To account for the combustion of more than one fuel type in a given boiler, the boiler may be selected more than once. For each boiler/fuel combination, enter the sulfur content (wt%) of the fuel, where applicable, and the quantity of fuel combusted per year. The fuel combustion data entered should be in the same units as specified in the 'Fuel Consumption Units' column. If the sulfur content of the fuel is unknown, enter 0 and a default sulfur value will be used to estimate emissions.</t>
    </r>
  </si>
  <si>
    <t xml:space="preserve">MMscf </t>
  </si>
  <si>
    <t>million standard cubic feet</t>
  </si>
  <si>
    <t>Fuel Consumption in 2012</t>
  </si>
  <si>
    <t>MMscf</t>
  </si>
  <si>
    <r>
      <t xml:space="preserve">On the </t>
    </r>
    <r>
      <rPr>
        <b/>
        <i/>
        <sz val="10"/>
        <rFont val="Arial"/>
        <family val="2"/>
      </rPr>
      <t>Inputs</t>
    </r>
    <r>
      <rPr>
        <sz val="10"/>
        <rFont val="Arial"/>
        <family val="2"/>
      </rPr>
      <t xml:space="preserve"> worksheet, replace the default boiler data with data specific to boilers at your facility. Add additional boilers as necessary. The boiler capacity is the heat input rate, expressed as MMBtu/hr, and can usually be found on the manufacturer's spec sheet.  Also select the primary fuel combusted for each boiler from the drop-down list, defined as the amount of time in the year that the boiler combusts the fuel.</t>
    </r>
  </si>
  <si>
    <t xml:space="preserve">The Tribal New Source Review (NSR) Rule protects public health and the environment in Indian country as new facilities are built, and existing facilities expand, without unduly burdening economic development.  The Tribal NSR Rule establishes a registration program that will allow the United States Environmental Protection Agency (EPA) to develop and maintain a record of minor source emissions in Indian country.  The EPA developed the Excel Workbook Registration Calculators for you (the source owner/operator) to use to determine if you must register and to facilitate the registration process, if required.  
</t>
  </si>
  <si>
    <t>Note: If your facility operated for only a portion of 2012, estimate the following information as if you had been operating for the whole year. For example, if your facility operated for only three months in 2012 and used a boiler that burns distillate oil, you should multiply the gallons of fuel combusted in those three months by four to project the gallons of fuel used for the entire 12 months.</t>
  </si>
  <si>
    <t>Default Actual Sulfur Content (%)</t>
  </si>
  <si>
    <t xml:space="preserve">Note: 40 CFR part 60, Subparts D through DC, provide standards of performance for boilers (e.g., steam generating units). If the standards listed in these sections applied to your boiler(s) in calendar year 2012, please enter in the table below the emission standards or your facility's actual emission rates determined from continuous emission monitors or other tests performed at your facility. Enter 0 if unknown or not applicable. Select the appropriate units for the emission rate of each pollutant from the drop-down list. </t>
  </si>
  <si>
    <t>02/02/2013</t>
  </si>
  <si>
    <r>
      <t xml:space="preserve">40 CFR part 60, Subparts D through DC, provide standards of performance for boilers (e.g., steam generating units). If the standards listed in these sections applied to your boiler(s) in calendar year 2012, please enter the emission standards or the actual emission rates determined from continuous emission monitors or other tests performed at your facility on the </t>
    </r>
    <r>
      <rPr>
        <b/>
        <i/>
        <sz val="10"/>
        <rFont val="Arial"/>
        <family val="2"/>
      </rPr>
      <t xml:space="preserve">Controls and Restrictions </t>
    </r>
    <r>
      <rPr>
        <sz val="10"/>
        <rFont val="Arial"/>
        <family val="2"/>
      </rPr>
      <t xml:space="preserve">worksheet. Enter 0 if unknown or not applicable. Select the appropriate units for the emission rate of each pollutant from the drop-down list. </t>
    </r>
  </si>
  <si>
    <t>02/21/2013</t>
  </si>
  <si>
    <t>Updated region 6 telephone number.</t>
  </si>
  <si>
    <t>v1.5 (last updated 2013.02.21)</t>
  </si>
  <si>
    <r>
      <t xml:space="preserve">If the Output-Summary Printout worksheet indicates that you </t>
    </r>
    <r>
      <rPr>
        <b/>
        <i/>
        <sz val="10"/>
        <rFont val="Arial"/>
        <family val="2"/>
      </rPr>
      <t>do</t>
    </r>
    <r>
      <rPr>
        <i/>
        <sz val="10"/>
        <rFont val="Arial"/>
        <family val="2"/>
      </rPr>
      <t xml:space="preserve"> need to register</t>
    </r>
    <r>
      <rPr>
        <sz val="10"/>
        <rFont val="Arial"/>
        <family val="2"/>
      </rPr>
      <t>, contact your EPA Regional Office to determine what they require for registration. The contact information for your Regional Office is located on the Output-Summary Printout.</t>
    </r>
  </si>
  <si>
    <t>generate the Output-Summary Printout that will indicate if you need to register. If registration is required, contact your EPA Regional Office for further guidance. The contact information for your Regional Office is located on the Output-Summary Printout.</t>
  </si>
  <si>
    <r>
      <t xml:space="preserve">If the Output-Summary Printout worksheet indicates that you </t>
    </r>
    <r>
      <rPr>
        <b/>
        <i/>
        <sz val="10"/>
        <rFont val="Arial"/>
        <family val="2"/>
      </rPr>
      <t>do not</t>
    </r>
    <r>
      <rPr>
        <i/>
        <sz val="10"/>
        <rFont val="Arial"/>
        <family val="2"/>
      </rPr>
      <t xml:space="preserve"> need to register</t>
    </r>
    <r>
      <rPr>
        <sz val="10"/>
        <rFont val="Arial"/>
        <family val="2"/>
      </rPr>
      <t>, no further action is required. It is recommended that you save a copy of the calculation worksheets and the Output-Summary Printout for your files.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</si>
</sst>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00"/>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name val="Arial"/>
      <family val="2"/>
    </font>
    <font>
      <sz val="10"/>
      <color indexed="10"/>
      <name val="Arial"/>
      <family val="2"/>
    </font>
    <font>
      <sz val="10"/>
      <name val="Arial"/>
      <family val="2"/>
    </font>
    <font>
      <b/>
      <sz val="10"/>
      <color indexed="9"/>
      <name val="Arial"/>
      <family val="2"/>
    </font>
    <font>
      <sz val="10"/>
      <color indexed="12"/>
      <name val="Arial"/>
      <family val="2"/>
    </font>
    <font>
      <b/>
      <sz val="10"/>
      <color indexed="10"/>
      <name val="Arial"/>
      <family val="2"/>
    </font>
    <font>
      <vertAlign val="subscript"/>
      <sz val="10"/>
      <name val="Arial"/>
      <family val="2"/>
    </font>
    <font>
      <b/>
      <u/>
      <sz val="10"/>
      <name val="Arial"/>
      <family val="2"/>
    </font>
    <font>
      <b/>
      <sz val="10"/>
      <color indexed="12"/>
      <name val="Arial"/>
      <family val="2"/>
    </font>
    <font>
      <i/>
      <sz val="10"/>
      <name val="Arial"/>
      <family val="2"/>
    </font>
    <font>
      <b/>
      <sz val="14"/>
      <name val="Arial"/>
      <family val="2"/>
    </font>
    <font>
      <b/>
      <vertAlign val="subscript"/>
      <sz val="10"/>
      <name val="Arial"/>
      <family val="2"/>
    </font>
    <font>
      <sz val="8"/>
      <name val="Arial"/>
      <family val="2"/>
    </font>
    <font>
      <sz val="10"/>
      <color rgb="FF0000FF"/>
      <name val="Arial"/>
      <family val="2"/>
    </font>
    <font>
      <vertAlign val="superscript"/>
      <sz val="10"/>
      <name val="Arial"/>
      <family val="2"/>
    </font>
    <font>
      <u/>
      <sz val="10"/>
      <color theme="10"/>
      <name val="Arial"/>
      <family val="2"/>
    </font>
    <font>
      <b/>
      <i/>
      <sz val="10"/>
      <name val="Arial"/>
      <family val="2"/>
    </font>
    <font>
      <i/>
      <sz val="10"/>
      <color rgb="FFFF0000"/>
      <name val="Arial"/>
      <family val="2"/>
    </font>
    <font>
      <b/>
      <i/>
      <sz val="10"/>
      <color rgb="FFFF0000"/>
      <name val="Arial"/>
      <family val="2"/>
    </font>
    <font>
      <b/>
      <sz val="11"/>
      <color theme="1"/>
      <name val="Calibri"/>
      <family val="2"/>
      <scheme val="minor"/>
    </font>
    <font>
      <u/>
      <sz val="11"/>
      <color theme="10"/>
      <name val="Calibri"/>
      <family val="2"/>
      <scheme val="minor"/>
    </font>
    <font>
      <sz val="10"/>
      <color indexed="8"/>
      <name val="Arial"/>
      <family val="2"/>
    </font>
    <font>
      <sz val="10"/>
      <color theme="1"/>
      <name val="Arial"/>
      <family val="2"/>
    </font>
    <font>
      <b/>
      <sz val="10"/>
      <color rgb="FFFF0000"/>
      <name val="Arial"/>
      <family val="2"/>
    </font>
    <font>
      <b/>
      <sz val="10"/>
      <color rgb="FFCC6600"/>
      <name val="Arial"/>
      <family val="2"/>
    </font>
    <font>
      <sz val="10"/>
      <color rgb="FFCC6600"/>
      <name val="Arial"/>
      <family val="2"/>
    </font>
    <font>
      <b/>
      <sz val="11"/>
      <color rgb="FFFF0000"/>
      <name val="Arial"/>
      <family val="2"/>
    </font>
    <font>
      <b/>
      <sz val="11"/>
      <name val="Arial"/>
      <family val="2"/>
    </font>
    <font>
      <b/>
      <sz val="12"/>
      <name val="Arial"/>
      <family val="2"/>
    </font>
    <font>
      <sz val="11"/>
      <name val="Arial"/>
      <family val="2"/>
    </font>
    <font>
      <b/>
      <sz val="10"/>
      <name val="Calibri"/>
      <family val="2"/>
    </font>
    <font>
      <b/>
      <sz val="10"/>
      <color rgb="FF0000FF"/>
      <name val="Arial"/>
      <family val="2"/>
    </font>
  </fonts>
  <fills count="9">
    <fill>
      <patternFill patternType="none"/>
    </fill>
    <fill>
      <patternFill patternType="gray125"/>
    </fill>
    <fill>
      <patternFill patternType="solid">
        <fgColor indexed="8"/>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99"/>
        <bgColor indexed="64"/>
      </patternFill>
    </fill>
    <fill>
      <patternFill patternType="solid">
        <fgColor theme="3" tint="0.79998168889431442"/>
        <bgColor indexed="64"/>
      </patternFill>
    </fill>
  </fills>
  <borders count="80">
    <border>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double">
        <color indexed="64"/>
      </right>
      <top/>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style="thin">
        <color indexed="64"/>
      </bottom>
      <diagonal/>
    </border>
    <border>
      <left style="double">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1" tint="0.499984740745262"/>
      </left>
      <right style="medium">
        <color indexed="64"/>
      </right>
      <top/>
      <bottom style="thin">
        <color indexed="64"/>
      </bottom>
      <diagonal/>
    </border>
    <border>
      <left style="thin">
        <color theme="1" tint="0.499984740745262"/>
      </left>
      <right style="medium">
        <color indexed="64"/>
      </right>
      <top/>
      <bottom/>
      <diagonal/>
    </border>
    <border>
      <left style="thin">
        <color theme="1" tint="0.499984740745262"/>
      </left>
      <right style="medium">
        <color indexed="64"/>
      </right>
      <top/>
      <bottom style="medium">
        <color indexed="64"/>
      </bottom>
      <diagonal/>
    </border>
    <border>
      <left style="thin">
        <color theme="1" tint="0.499984740745262"/>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style="thick">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top style="thin">
        <color indexed="64"/>
      </top>
      <bottom/>
      <diagonal/>
    </border>
    <border>
      <left style="dashed">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thin">
        <color indexed="64"/>
      </left>
      <right/>
      <top style="thin">
        <color indexed="64"/>
      </top>
      <bottom/>
      <diagonal/>
    </border>
    <border>
      <left/>
      <right/>
      <top style="thin">
        <color indexed="64"/>
      </top>
      <bottom/>
      <diagonal/>
    </border>
  </borders>
  <cellStyleXfs count="9">
    <xf numFmtId="2" fontId="0" fillId="0" borderId="0"/>
    <xf numFmtId="2" fontId="22" fillId="0" borderId="0" applyNumberFormat="0" applyFill="0" applyBorder="0" applyAlignment="0" applyProtection="0"/>
    <xf numFmtId="2" fontId="6" fillId="0" borderId="0"/>
    <xf numFmtId="0" fontId="4" fillId="0" borderId="0"/>
    <xf numFmtId="0" fontId="22" fillId="0" borderId="0" applyNumberFormat="0" applyFill="0" applyBorder="0" applyAlignment="0" applyProtection="0">
      <alignment vertical="top"/>
      <protection locked="0"/>
    </xf>
    <xf numFmtId="0" fontId="28" fillId="0" borderId="0"/>
    <xf numFmtId="0" fontId="6" fillId="0" borderId="0"/>
    <xf numFmtId="0" fontId="29" fillId="0" borderId="0"/>
    <xf numFmtId="9" fontId="6" fillId="0" borderId="0" applyFont="0" applyFill="0" applyBorder="0" applyAlignment="0" applyProtection="0"/>
  </cellStyleXfs>
  <cellXfs count="525">
    <xf numFmtId="2" fontId="0" fillId="0" borderId="0" xfId="0"/>
    <xf numFmtId="1" fontId="8" fillId="0" borderId="0" xfId="0" applyNumberFormat="1" applyFont="1" applyFill="1" applyAlignment="1">
      <alignment horizontal="left"/>
    </xf>
    <xf numFmtId="166" fontId="8" fillId="0" borderId="0" xfId="0" applyNumberFormat="1" applyFont="1" applyAlignment="1">
      <alignment horizontal="center"/>
    </xf>
    <xf numFmtId="165" fontId="8" fillId="0" borderId="0" xfId="0" applyNumberFormat="1" applyFont="1" applyFill="1" applyAlignment="1">
      <alignment horizontal="left"/>
    </xf>
    <xf numFmtId="2" fontId="0" fillId="0" borderId="0" xfId="0" applyBorder="1"/>
    <xf numFmtId="1" fontId="8" fillId="0" borderId="0" xfId="0" applyNumberFormat="1" applyFont="1" applyFill="1" applyBorder="1" applyAlignment="1">
      <alignment horizontal="left"/>
    </xf>
    <xf numFmtId="2" fontId="17" fillId="0" borderId="0" xfId="0" applyFont="1"/>
    <xf numFmtId="2" fontId="8" fillId="0" borderId="0" xfId="0" applyNumberFormat="1" applyFont="1" applyFill="1" applyAlignment="1">
      <alignment horizontal="left"/>
    </xf>
    <xf numFmtId="166" fontId="12" fillId="0" borderId="0" xfId="0" applyNumberFormat="1" applyFont="1" applyBorder="1" applyAlignment="1">
      <alignment horizontal="center"/>
    </xf>
    <xf numFmtId="2" fontId="6" fillId="0" borderId="0" xfId="0" applyFont="1"/>
    <xf numFmtId="2" fontId="0" fillId="0" borderId="6" xfId="0" applyBorder="1"/>
    <xf numFmtId="2" fontId="7" fillId="4" borderId="6" xfId="0" applyFont="1" applyFill="1" applyBorder="1" applyAlignment="1">
      <alignment horizontal="center"/>
    </xf>
    <xf numFmtId="1" fontId="0" fillId="0" borderId="0" xfId="0" applyNumberFormat="1" applyAlignment="1">
      <alignment horizontal="center" vertical="center"/>
    </xf>
    <xf numFmtId="1" fontId="0" fillId="0" borderId="6" xfId="0" applyNumberFormat="1" applyBorder="1" applyAlignment="1">
      <alignment horizontal="center" vertical="center"/>
    </xf>
    <xf numFmtId="2" fontId="8" fillId="0" borderId="0" xfId="0" applyNumberFormat="1" applyFont="1" applyFill="1" applyBorder="1" applyAlignment="1">
      <alignment horizontal="left"/>
    </xf>
    <xf numFmtId="166" fontId="8" fillId="0" borderId="0" xfId="0" applyNumberFormat="1" applyFont="1" applyBorder="1" applyAlignment="1">
      <alignment horizontal="center"/>
    </xf>
    <xf numFmtId="2" fontId="6" fillId="0" borderId="6" xfId="0" applyFont="1" applyBorder="1" applyAlignment="1">
      <alignment horizontal="center" vertical="center"/>
    </xf>
    <xf numFmtId="1" fontId="6" fillId="0" borderId="6" xfId="0" applyNumberFormat="1" applyFont="1" applyBorder="1" applyAlignment="1">
      <alignment horizontal="center" vertical="center"/>
    </xf>
    <xf numFmtId="2" fontId="0" fillId="0" borderId="0" xfId="0" applyAlignment="1">
      <alignment horizontal="center"/>
    </xf>
    <xf numFmtId="165" fontId="0" fillId="0" borderId="0" xfId="0" applyNumberFormat="1"/>
    <xf numFmtId="165" fontId="0" fillId="0" borderId="6" xfId="0" applyNumberFormat="1" applyBorder="1" applyAlignment="1">
      <alignment horizontal="center" vertical="center"/>
    </xf>
    <xf numFmtId="165" fontId="6" fillId="0" borderId="6" xfId="0" applyNumberFormat="1" applyFont="1" applyBorder="1" applyAlignment="1">
      <alignment horizontal="center" vertical="center"/>
    </xf>
    <xf numFmtId="2" fontId="5" fillId="4" borderId="6" xfId="0" applyFont="1" applyFill="1" applyBorder="1"/>
    <xf numFmtId="2" fontId="5" fillId="4" borderId="6" xfId="0" applyFont="1" applyFill="1" applyBorder="1" applyAlignment="1">
      <alignment horizontal="center"/>
    </xf>
    <xf numFmtId="2" fontId="6" fillId="0" borderId="6" xfId="0" applyFont="1" applyBorder="1" applyAlignment="1">
      <alignment horizontal="center"/>
    </xf>
    <xf numFmtId="2" fontId="5" fillId="0" borderId="0" xfId="0" applyFont="1" applyFill="1" applyBorder="1"/>
    <xf numFmtId="2" fontId="20" fillId="0" borderId="6" xfId="0" applyFont="1" applyBorder="1" applyProtection="1">
      <protection locked="0"/>
    </xf>
    <xf numFmtId="2" fontId="5" fillId="4" borderId="12" xfId="0" applyFont="1" applyFill="1" applyBorder="1"/>
    <xf numFmtId="2" fontId="5" fillId="4" borderId="8" xfId="0" applyFont="1" applyFill="1" applyBorder="1" applyAlignment="1">
      <alignment horizontal="center"/>
    </xf>
    <xf numFmtId="2" fontId="6" fillId="0" borderId="12" xfId="0" applyFont="1" applyBorder="1"/>
    <xf numFmtId="2" fontId="6" fillId="0" borderId="8" xfId="0" applyFont="1" applyBorder="1" applyAlignment="1">
      <alignment horizontal="center"/>
    </xf>
    <xf numFmtId="2" fontId="6" fillId="0" borderId="25" xfId="0" applyFont="1" applyBorder="1"/>
    <xf numFmtId="2" fontId="0" fillId="0" borderId="7" xfId="0" applyBorder="1"/>
    <xf numFmtId="2" fontId="6" fillId="0" borderId="7" xfId="0" applyFont="1" applyBorder="1" applyAlignment="1">
      <alignment horizontal="center"/>
    </xf>
    <xf numFmtId="2" fontId="6" fillId="0" borderId="9" xfId="0" applyFont="1" applyBorder="1" applyAlignment="1">
      <alignment horizontal="center"/>
    </xf>
    <xf numFmtId="2" fontId="5" fillId="4" borderId="8" xfId="0" applyFont="1" applyFill="1" applyBorder="1"/>
    <xf numFmtId="164" fontId="7" fillId="4" borderId="6" xfId="0" applyNumberFormat="1" applyFont="1" applyFill="1" applyBorder="1" applyAlignment="1">
      <alignment horizontal="center"/>
    </xf>
    <xf numFmtId="164" fontId="0" fillId="0" borderId="0" xfId="0" applyNumberFormat="1" applyAlignment="1">
      <alignment horizontal="center"/>
    </xf>
    <xf numFmtId="1" fontId="5" fillId="4" borderId="38" xfId="0" applyNumberFormat="1" applyFont="1" applyFill="1" applyBorder="1" applyAlignment="1">
      <alignment horizontal="center" vertical="center"/>
    </xf>
    <xf numFmtId="1" fontId="5" fillId="4" borderId="39" xfId="0" applyNumberFormat="1" applyFont="1" applyFill="1" applyBorder="1" applyAlignment="1">
      <alignment horizontal="center" vertical="center"/>
    </xf>
    <xf numFmtId="165" fontId="5" fillId="4" borderId="39" xfId="0" applyNumberFormat="1" applyFont="1" applyFill="1" applyBorder="1" applyAlignment="1">
      <alignment horizontal="center" vertical="center"/>
    </xf>
    <xf numFmtId="165" fontId="6" fillId="0" borderId="0" xfId="0" applyNumberFormat="1" applyFont="1" applyBorder="1" applyAlignment="1">
      <alignment horizontal="center"/>
    </xf>
    <xf numFmtId="165" fontId="0" fillId="0" borderId="0" xfId="0" applyNumberFormat="1" applyBorder="1" applyAlignment="1">
      <alignment horizontal="center"/>
    </xf>
    <xf numFmtId="1" fontId="6" fillId="0" borderId="7" xfId="0" applyNumberFormat="1" applyFont="1" applyBorder="1" applyAlignment="1">
      <alignment horizontal="center" vertical="center"/>
    </xf>
    <xf numFmtId="1" fontId="0" fillId="0" borderId="7" xfId="0" applyNumberFormat="1" applyBorder="1" applyAlignment="1">
      <alignment horizontal="center" vertical="center"/>
    </xf>
    <xf numFmtId="165" fontId="0" fillId="0" borderId="7" xfId="0" applyNumberFormat="1" applyBorder="1" applyAlignment="1">
      <alignment horizontal="center" vertical="center"/>
    </xf>
    <xf numFmtId="2" fontId="6" fillId="0" borderId="8" xfId="0" applyFont="1" applyBorder="1"/>
    <xf numFmtId="1" fontId="6" fillId="0" borderId="8" xfId="0" applyNumberFormat="1" applyFont="1" applyBorder="1" applyAlignment="1">
      <alignment horizontal="left" vertical="center"/>
    </xf>
    <xf numFmtId="1" fontId="6" fillId="0" borderId="53" xfId="0" applyNumberFormat="1" applyFont="1" applyBorder="1" applyAlignment="1">
      <alignment horizontal="left" vertical="center"/>
    </xf>
    <xf numFmtId="1" fontId="5" fillId="4" borderId="40" xfId="0" applyNumberFormat="1" applyFont="1" applyFill="1" applyBorder="1" applyAlignment="1">
      <alignment horizontal="left" vertical="center"/>
    </xf>
    <xf numFmtId="2" fontId="17" fillId="0" borderId="0" xfId="0" applyFont="1" applyProtection="1"/>
    <xf numFmtId="2" fontId="6" fillId="0" borderId="0" xfId="0" applyFont="1" applyBorder="1" applyProtection="1"/>
    <xf numFmtId="2" fontId="0" fillId="0" borderId="0" xfId="0" applyProtection="1"/>
    <xf numFmtId="1" fontId="20" fillId="0" borderId="6" xfId="0" applyNumberFormat="1" applyFont="1" applyBorder="1" applyAlignment="1" applyProtection="1">
      <alignment horizontal="left"/>
      <protection locked="0"/>
    </xf>
    <xf numFmtId="2" fontId="0" fillId="0" borderId="0" xfId="0" applyBorder="1" applyProtection="1"/>
    <xf numFmtId="2" fontId="8" fillId="0" borderId="0" xfId="0" applyNumberFormat="1" applyFont="1" applyFill="1" applyBorder="1" applyAlignment="1" applyProtection="1">
      <alignment horizontal="left"/>
    </xf>
    <xf numFmtId="1" fontId="8" fillId="0" borderId="0" xfId="0" applyNumberFormat="1" applyFont="1" applyFill="1" applyBorder="1" applyAlignment="1" applyProtection="1">
      <alignment horizontal="left"/>
    </xf>
    <xf numFmtId="166" fontId="8" fillId="0" borderId="0" xfId="0" applyNumberFormat="1" applyFont="1" applyBorder="1" applyAlignment="1" applyProtection="1">
      <alignment horizontal="center"/>
    </xf>
    <xf numFmtId="166" fontId="12" fillId="0" borderId="0" xfId="0" applyNumberFormat="1" applyFont="1" applyBorder="1" applyAlignment="1" applyProtection="1">
      <alignment horizontal="center"/>
    </xf>
    <xf numFmtId="2" fontId="8" fillId="0" borderId="0" xfId="0" applyNumberFormat="1" applyFont="1" applyFill="1" applyAlignment="1" applyProtection="1">
      <alignment horizontal="left"/>
    </xf>
    <xf numFmtId="1" fontId="8" fillId="0" borderId="0" xfId="0" applyNumberFormat="1" applyFont="1" applyFill="1" applyAlignment="1" applyProtection="1">
      <alignment horizontal="left"/>
    </xf>
    <xf numFmtId="165" fontId="8" fillId="0" borderId="0" xfId="0" applyNumberFormat="1" applyFont="1" applyFill="1" applyAlignment="1" applyProtection="1">
      <alignment horizontal="left"/>
    </xf>
    <xf numFmtId="166" fontId="8" fillId="0" borderId="0" xfId="0" applyNumberFormat="1" applyFont="1" applyAlignment="1" applyProtection="1">
      <alignment horizontal="center"/>
    </xf>
    <xf numFmtId="2" fontId="0" fillId="0" borderId="34" xfId="0" applyBorder="1" applyProtection="1"/>
    <xf numFmtId="2" fontId="0" fillId="0" borderId="15" xfId="0" applyBorder="1" applyProtection="1"/>
    <xf numFmtId="2" fontId="0" fillId="0" borderId="30" xfId="0" applyBorder="1" applyProtection="1"/>
    <xf numFmtId="2" fontId="5" fillId="0" borderId="3" xfId="0" applyFont="1" applyBorder="1" applyAlignment="1" applyProtection="1">
      <alignment horizontal="right"/>
    </xf>
    <xf numFmtId="2" fontId="0" fillId="0" borderId="20" xfId="0" applyBorder="1" applyProtection="1"/>
    <xf numFmtId="2" fontId="0" fillId="0" borderId="3" xfId="0" applyBorder="1" applyProtection="1"/>
    <xf numFmtId="2" fontId="6" fillId="0" borderId="43" xfId="0" applyFont="1" applyFill="1" applyBorder="1" applyAlignment="1" applyProtection="1">
      <alignment horizontal="center"/>
    </xf>
    <xf numFmtId="2" fontId="0" fillId="0" borderId="34" xfId="0" applyNumberFormat="1" applyBorder="1" applyAlignment="1" applyProtection="1">
      <alignment horizontal="left" indent="1"/>
    </xf>
    <xf numFmtId="2" fontId="0" fillId="0" borderId="44" xfId="0" applyBorder="1" applyProtection="1"/>
    <xf numFmtId="2" fontId="0" fillId="0" borderId="3" xfId="0" applyBorder="1" applyAlignment="1" applyProtection="1">
      <alignment horizontal="left" indent="1"/>
    </xf>
    <xf numFmtId="2" fontId="0" fillId="0" borderId="41" xfId="0" applyBorder="1" applyProtection="1"/>
    <xf numFmtId="2" fontId="5" fillId="0" borderId="3" xfId="0" applyFont="1" applyBorder="1" applyAlignment="1" applyProtection="1">
      <alignment horizontal="center"/>
    </xf>
    <xf numFmtId="2" fontId="5" fillId="0" borderId="0" xfId="0" applyFont="1" applyBorder="1" applyAlignment="1" applyProtection="1">
      <alignment horizontal="center"/>
    </xf>
    <xf numFmtId="2" fontId="0" fillId="0" borderId="0" xfId="0" applyFill="1" applyBorder="1" applyAlignment="1" applyProtection="1">
      <alignment horizontal="right" vertical="center"/>
    </xf>
    <xf numFmtId="2" fontId="0" fillId="0" borderId="2" xfId="0" applyBorder="1" applyProtection="1"/>
    <xf numFmtId="2" fontId="0" fillId="0" borderId="1" xfId="0" applyBorder="1" applyProtection="1"/>
    <xf numFmtId="2" fontId="0" fillId="0" borderId="33" xfId="0" applyBorder="1" applyProtection="1"/>
    <xf numFmtId="2" fontId="5" fillId="0" borderId="42" xfId="0" applyFont="1" applyBorder="1" applyAlignment="1" applyProtection="1">
      <alignment horizontal="center"/>
    </xf>
    <xf numFmtId="2" fontId="20" fillId="0" borderId="6" xfId="0" applyFont="1" applyBorder="1" applyAlignment="1" applyProtection="1">
      <alignment horizontal="center"/>
      <protection locked="0"/>
    </xf>
    <xf numFmtId="2" fontId="20" fillId="0" borderId="8" xfId="0" applyFont="1" applyBorder="1" applyProtection="1">
      <protection locked="0"/>
    </xf>
    <xf numFmtId="2" fontId="20" fillId="0" borderId="9" xfId="0" applyFont="1" applyBorder="1" applyProtection="1">
      <protection locked="0"/>
    </xf>
    <xf numFmtId="2" fontId="20" fillId="0" borderId="7" xfId="0" applyFont="1" applyBorder="1" applyProtection="1">
      <protection locked="0"/>
    </xf>
    <xf numFmtId="2" fontId="20" fillId="0" borderId="7" xfId="0" applyFont="1" applyBorder="1" applyAlignment="1" applyProtection="1">
      <alignment horizontal="center"/>
      <protection locked="0"/>
    </xf>
    <xf numFmtId="2" fontId="6" fillId="4" borderId="6" xfId="0" applyFont="1" applyFill="1" applyBorder="1" applyProtection="1"/>
    <xf numFmtId="2" fontId="5" fillId="3" borderId="6" xfId="0" applyFont="1" applyFill="1" applyBorder="1" applyAlignment="1" applyProtection="1">
      <alignment horizontal="left"/>
    </xf>
    <xf numFmtId="2" fontId="20" fillId="0" borderId="21" xfId="0" applyFont="1" applyBorder="1" applyProtection="1">
      <protection locked="0"/>
    </xf>
    <xf numFmtId="2" fontId="6" fillId="0" borderId="39" xfId="0" applyFont="1" applyBorder="1" applyAlignment="1">
      <alignment horizontal="center" vertical="center"/>
    </xf>
    <xf numFmtId="2" fontId="6" fillId="0" borderId="40" xfId="0" applyFont="1" applyBorder="1" applyAlignment="1">
      <alignment horizontal="center" vertical="center"/>
    </xf>
    <xf numFmtId="2" fontId="5" fillId="4" borderId="39" xfId="0" applyFont="1" applyFill="1" applyBorder="1" applyAlignment="1" applyProtection="1">
      <alignment horizontal="center" vertical="center"/>
    </xf>
    <xf numFmtId="2" fontId="5" fillId="4" borderId="40" xfId="0" applyFont="1" applyFill="1" applyBorder="1" applyAlignment="1" applyProtection="1">
      <alignment horizontal="center" vertical="center"/>
    </xf>
    <xf numFmtId="2" fontId="5" fillId="4" borderId="39" xfId="0" applyFont="1" applyFill="1" applyBorder="1" applyAlignment="1">
      <alignment horizontal="center" vertical="center"/>
    </xf>
    <xf numFmtId="2" fontId="5" fillId="4" borderId="40" xfId="0" applyFont="1" applyFill="1" applyBorder="1" applyAlignment="1">
      <alignment horizontal="center" vertical="center"/>
    </xf>
    <xf numFmtId="1" fontId="20" fillId="0" borderId="39" xfId="0" applyNumberFormat="1" applyFont="1" applyBorder="1" applyAlignment="1" applyProtection="1">
      <alignment horizontal="left"/>
      <protection locked="0"/>
    </xf>
    <xf numFmtId="1" fontId="20" fillId="0" borderId="7" xfId="0" applyNumberFormat="1" applyFont="1" applyBorder="1" applyAlignment="1" applyProtection="1">
      <alignment horizontal="left"/>
      <protection locked="0"/>
    </xf>
    <xf numFmtId="164" fontId="0" fillId="0" borderId="6" xfId="0" applyNumberFormat="1" applyBorder="1" applyAlignment="1">
      <alignment horizontal="center" vertical="center"/>
    </xf>
    <xf numFmtId="2" fontId="6" fillId="0" borderId="6" xfId="0" quotePrefix="1" applyFont="1" applyBorder="1" applyAlignment="1">
      <alignment horizontal="center" vertical="center"/>
    </xf>
    <xf numFmtId="2" fontId="6" fillId="0" borderId="6" xfId="0" applyFont="1" applyBorder="1" applyAlignment="1">
      <alignment vertical="center" wrapText="1"/>
    </xf>
    <xf numFmtId="2" fontId="22" fillId="0" borderId="6" xfId="1" applyBorder="1" applyAlignment="1">
      <alignment vertical="center"/>
    </xf>
    <xf numFmtId="164" fontId="6" fillId="0" borderId="6" xfId="0" applyNumberFormat="1" applyFont="1" applyBorder="1" applyAlignment="1" applyProtection="1">
      <alignment horizontal="center" vertical="center"/>
      <protection locked="0"/>
    </xf>
    <xf numFmtId="2" fontId="6" fillId="0" borderId="6" xfId="0" quotePrefix="1" applyFont="1" applyBorder="1" applyAlignment="1" applyProtection="1">
      <alignment horizontal="center" vertical="center"/>
      <protection locked="0"/>
    </xf>
    <xf numFmtId="2" fontId="6" fillId="0" borderId="6" xfId="0" applyFont="1" applyBorder="1" applyAlignment="1" applyProtection="1">
      <alignment vertical="center" wrapText="1"/>
      <protection locked="0"/>
    </xf>
    <xf numFmtId="2" fontId="0" fillId="0" borderId="6" xfId="0" applyBorder="1" applyAlignment="1" applyProtection="1">
      <alignment horizontal="center" vertical="center"/>
      <protection locked="0"/>
    </xf>
    <xf numFmtId="2" fontId="0" fillId="0" borderId="6" xfId="0" applyBorder="1" applyAlignment="1" applyProtection="1">
      <alignment vertical="center"/>
      <protection locked="0"/>
    </xf>
    <xf numFmtId="164" fontId="0" fillId="0" borderId="6" xfId="0" applyNumberFormat="1" applyBorder="1" applyAlignment="1" applyProtection="1">
      <alignment horizontal="center" vertical="center"/>
      <protection locked="0"/>
    </xf>
    <xf numFmtId="2" fontId="0" fillId="0" borderId="6" xfId="0" applyBorder="1" applyAlignment="1" applyProtection="1">
      <alignment vertical="center" wrapText="1"/>
      <protection locked="0"/>
    </xf>
    <xf numFmtId="2" fontId="6" fillId="0" borderId="0" xfId="0" applyFont="1" applyProtection="1"/>
    <xf numFmtId="2" fontId="0" fillId="0" borderId="0" xfId="0" applyAlignment="1" applyProtection="1">
      <alignment horizontal="center" vertical="center"/>
    </xf>
    <xf numFmtId="2" fontId="0" fillId="0" borderId="61" xfId="0" applyNumberFormat="1" applyBorder="1" applyAlignment="1" applyProtection="1">
      <alignment horizontal="left" indent="1"/>
    </xf>
    <xf numFmtId="2" fontId="5" fillId="0" borderId="37" xfId="0" applyNumberFormat="1" applyFont="1" applyBorder="1" applyAlignment="1" applyProtection="1">
      <alignment horizontal="left" indent="1"/>
    </xf>
    <xf numFmtId="2" fontId="0" fillId="0" borderId="37" xfId="0" applyBorder="1" applyAlignment="1" applyProtection="1">
      <alignment horizontal="left" indent="1"/>
    </xf>
    <xf numFmtId="2" fontId="0" fillId="0" borderId="37" xfId="0" applyNumberFormat="1" applyBorder="1" applyAlignment="1" applyProtection="1">
      <alignment horizontal="left" indent="1"/>
    </xf>
    <xf numFmtId="2" fontId="5" fillId="0" borderId="37" xfId="0" applyFont="1" applyBorder="1" applyAlignment="1" applyProtection="1">
      <alignment horizontal="left" indent="1"/>
    </xf>
    <xf numFmtId="2" fontId="0" fillId="0" borderId="63" xfId="0" applyBorder="1" applyAlignment="1" applyProtection="1">
      <alignment horizontal="left" indent="1"/>
    </xf>
    <xf numFmtId="2" fontId="5" fillId="0" borderId="0" xfId="0" applyFont="1" applyBorder="1" applyAlignment="1" applyProtection="1">
      <alignment horizontal="center" wrapText="1"/>
    </xf>
    <xf numFmtId="2" fontId="0" fillId="0" borderId="15" xfId="0" applyNumberFormat="1" applyBorder="1" applyProtection="1"/>
    <xf numFmtId="2" fontId="6" fillId="0" borderId="0" xfId="0" applyFont="1" applyAlignment="1">
      <alignment horizontal="center"/>
    </xf>
    <xf numFmtId="2" fontId="17" fillId="0" borderId="0" xfId="0" applyFont="1" applyAlignment="1">
      <alignment horizontal="center"/>
    </xf>
    <xf numFmtId="2" fontId="6" fillId="0" borderId="6" xfId="0" applyFont="1" applyBorder="1"/>
    <xf numFmtId="49" fontId="20" fillId="0" borderId="12" xfId="0" applyNumberFormat="1" applyFont="1" applyBorder="1" applyProtection="1">
      <protection locked="0"/>
    </xf>
    <xf numFmtId="49" fontId="20" fillId="0" borderId="25" xfId="0" applyNumberFormat="1" applyFont="1" applyBorder="1" applyProtection="1">
      <protection locked="0"/>
    </xf>
    <xf numFmtId="2" fontId="0" fillId="0" borderId="6" xfId="0" applyBorder="1" applyAlignment="1">
      <alignment horizontal="center" vertical="center"/>
    </xf>
    <xf numFmtId="2" fontId="6" fillId="0" borderId="6" xfId="0" applyFont="1" applyBorder="1" applyAlignment="1" applyProtection="1">
      <alignment horizontal="center" vertical="center"/>
      <protection locked="0"/>
    </xf>
    <xf numFmtId="2" fontId="0" fillId="0" borderId="14" xfId="0" applyBorder="1" applyAlignment="1" applyProtection="1">
      <alignment horizontal="left" indent="2"/>
    </xf>
    <xf numFmtId="2" fontId="0" fillId="0" borderId="12" xfId="0" applyBorder="1" applyAlignment="1" applyProtection="1">
      <alignment horizontal="left" indent="2"/>
    </xf>
    <xf numFmtId="2" fontId="6" fillId="0" borderId="12" xfId="0" applyFont="1" applyBorder="1" applyAlignment="1" applyProtection="1">
      <alignment horizontal="left" indent="2"/>
    </xf>
    <xf numFmtId="2" fontId="6" fillId="0" borderId="25" xfId="0" applyFont="1" applyBorder="1" applyAlignment="1" applyProtection="1">
      <alignment horizontal="left" indent="2"/>
    </xf>
    <xf numFmtId="2" fontId="7" fillId="3" borderId="6" xfId="0" applyFont="1" applyFill="1" applyBorder="1" applyAlignment="1" applyProtection="1">
      <alignment horizontal="left"/>
    </xf>
    <xf numFmtId="2" fontId="0" fillId="0" borderId="25" xfId="0" applyBorder="1" applyAlignment="1" applyProtection="1">
      <alignment horizontal="left" indent="2"/>
    </xf>
    <xf numFmtId="2" fontId="0" fillId="4" borderId="6" xfId="0" applyFill="1" applyBorder="1" applyProtection="1"/>
    <xf numFmtId="166" fontId="20" fillId="0" borderId="40" xfId="0" applyNumberFormat="1" applyFont="1" applyBorder="1" applyProtection="1">
      <protection locked="0"/>
    </xf>
    <xf numFmtId="166" fontId="20" fillId="0" borderId="21" xfId="0" applyNumberFormat="1" applyFont="1" applyBorder="1" applyProtection="1">
      <protection locked="0"/>
    </xf>
    <xf numFmtId="166" fontId="20" fillId="0" borderId="55" xfId="0" applyNumberFormat="1" applyFont="1" applyBorder="1" applyProtection="1">
      <protection locked="0"/>
    </xf>
    <xf numFmtId="2" fontId="22" fillId="0" borderId="6" xfId="1" applyBorder="1" applyAlignment="1" applyProtection="1">
      <alignment vertical="center"/>
      <protection locked="0"/>
    </xf>
    <xf numFmtId="4" fontId="11" fillId="0" borderId="46" xfId="0" applyNumberFormat="1" applyFont="1" applyFill="1" applyBorder="1" applyAlignment="1" applyProtection="1">
      <alignment horizontal="center"/>
      <protection locked="0"/>
    </xf>
    <xf numFmtId="4" fontId="11" fillId="0" borderId="6" xfId="0" applyNumberFormat="1" applyFont="1" applyFill="1" applyBorder="1" applyAlignment="1" applyProtection="1">
      <alignment horizontal="center"/>
      <protection locked="0"/>
    </xf>
    <xf numFmtId="4" fontId="11" fillId="0" borderId="7" xfId="0" applyNumberFormat="1" applyFont="1" applyFill="1" applyBorder="1" applyAlignment="1" applyProtection="1">
      <alignment horizontal="center"/>
      <protection locked="0"/>
    </xf>
    <xf numFmtId="2" fontId="0" fillId="0" borderId="6" xfId="0" quotePrefix="1" applyBorder="1" applyAlignment="1" applyProtection="1">
      <alignment horizontal="center" vertical="center"/>
      <protection locked="0"/>
    </xf>
    <xf numFmtId="2" fontId="6" fillId="0" borderId="6" xfId="0" applyFont="1" applyFill="1" applyBorder="1"/>
    <xf numFmtId="2" fontId="0" fillId="0" borderId="6" xfId="0" applyBorder="1" applyAlignment="1">
      <alignment horizontal="center"/>
    </xf>
    <xf numFmtId="2" fontId="14" fillId="0" borderId="0" xfId="0" applyFont="1" applyProtection="1"/>
    <xf numFmtId="2" fontId="9" fillId="0" borderId="0" xfId="0" applyFont="1" applyProtection="1"/>
    <xf numFmtId="2" fontId="0" fillId="0" borderId="15" xfId="0" applyBorder="1" applyAlignment="1" applyProtection="1"/>
    <xf numFmtId="2" fontId="0" fillId="0" borderId="0" xfId="0" applyBorder="1" applyAlignment="1" applyProtection="1"/>
    <xf numFmtId="2" fontId="6" fillId="0" borderId="3" xfId="0" applyFont="1" applyBorder="1" applyAlignment="1" applyProtection="1"/>
    <xf numFmtId="2" fontId="0" fillId="0" borderId="20" xfId="0" applyBorder="1" applyAlignment="1" applyProtection="1">
      <alignment horizontal="left"/>
    </xf>
    <xf numFmtId="2" fontId="0" fillId="0" borderId="27" xfId="0" applyBorder="1" applyAlignment="1" applyProtection="1">
      <alignment horizontal="left"/>
    </xf>
    <xf numFmtId="2" fontId="6" fillId="0" borderId="36" xfId="0" applyFont="1" applyBorder="1" applyAlignment="1" applyProtection="1"/>
    <xf numFmtId="2" fontId="6" fillId="0" borderId="52" xfId="0" applyFont="1" applyBorder="1" applyAlignment="1" applyProtection="1">
      <alignment vertical="top"/>
    </xf>
    <xf numFmtId="2" fontId="0" fillId="0" borderId="24" xfId="0" applyBorder="1" applyAlignment="1" applyProtection="1">
      <alignment horizontal="left" vertical="top" wrapText="1"/>
    </xf>
    <xf numFmtId="49" fontId="0" fillId="0" borderId="0" xfId="0" applyNumberFormat="1" applyBorder="1" applyAlignment="1" applyProtection="1">
      <alignment horizontal="left" vertical="top"/>
    </xf>
    <xf numFmtId="2" fontId="0" fillId="0" borderId="0" xfId="0" applyBorder="1" applyAlignment="1" applyProtection="1">
      <alignment horizontal="left" vertical="top" wrapText="1"/>
    </xf>
    <xf numFmtId="2" fontId="5" fillId="4" borderId="11" xfId="0" applyFont="1" applyFill="1" applyBorder="1" applyAlignment="1" applyProtection="1">
      <alignment horizontal="left" vertical="center" wrapText="1"/>
    </xf>
    <xf numFmtId="2" fontId="5" fillId="4" borderId="22" xfId="0" applyFont="1" applyFill="1" applyBorder="1" applyAlignment="1" applyProtection="1">
      <alignment horizontal="left" vertical="center" wrapText="1"/>
    </xf>
    <xf numFmtId="2" fontId="5" fillId="4" borderId="10" xfId="0" applyFont="1" applyFill="1" applyBorder="1" applyAlignment="1" applyProtection="1">
      <alignment horizontal="left" vertical="center" wrapText="1"/>
    </xf>
    <xf numFmtId="2" fontId="17" fillId="0" borderId="0" xfId="2" applyFont="1" applyAlignment="1"/>
    <xf numFmtId="0" fontId="4" fillId="0" borderId="0" xfId="3" applyAlignment="1">
      <alignment horizontal="center"/>
    </xf>
    <xf numFmtId="0" fontId="4" fillId="0" borderId="0" xfId="3" applyAlignment="1"/>
    <xf numFmtId="0" fontId="26" fillId="4" borderId="6" xfId="3" applyFont="1" applyFill="1" applyBorder="1" applyAlignment="1"/>
    <xf numFmtId="0" fontId="26" fillId="4" borderId="6" xfId="3" applyFont="1" applyFill="1" applyBorder="1" applyAlignment="1">
      <alignment horizontal="center"/>
    </xf>
    <xf numFmtId="0" fontId="4" fillId="0" borderId="0" xfId="3" applyFont="1" applyAlignment="1">
      <alignment horizontal="left" vertical="center"/>
    </xf>
    <xf numFmtId="0" fontId="4" fillId="0" borderId="0" xfId="3" applyFont="1" applyAlignment="1"/>
    <xf numFmtId="0" fontId="27" fillId="0" borderId="0" xfId="1" applyNumberFormat="1" applyFont="1" applyAlignment="1">
      <alignment horizontal="left" vertical="center"/>
    </xf>
    <xf numFmtId="0" fontId="27" fillId="0" borderId="0" xfId="1" applyNumberFormat="1" applyFont="1" applyAlignment="1"/>
    <xf numFmtId="0" fontId="4" fillId="0" borderId="0" xfId="3" applyFont="1" applyAlignment="1">
      <alignment horizontal="center"/>
    </xf>
    <xf numFmtId="0" fontId="22" fillId="0" borderId="0" xfId="1" applyNumberFormat="1" applyAlignment="1">
      <alignment horizontal="left" vertical="center"/>
    </xf>
    <xf numFmtId="2" fontId="6" fillId="0" borderId="0" xfId="2" applyProtection="1"/>
    <xf numFmtId="2" fontId="6" fillId="0" borderId="47" xfId="2" applyFont="1" applyBorder="1" applyAlignment="1" applyProtection="1">
      <alignment horizontal="left" vertical="center" wrapText="1"/>
    </xf>
    <xf numFmtId="2" fontId="6" fillId="0" borderId="16" xfId="0" applyFont="1" applyBorder="1" applyAlignment="1" applyProtection="1"/>
    <xf numFmtId="2" fontId="6" fillId="0" borderId="66" xfId="0" applyFont="1" applyBorder="1" applyAlignment="1" applyProtection="1">
      <alignment horizontal="left"/>
    </xf>
    <xf numFmtId="2" fontId="6" fillId="0" borderId="65" xfId="0" applyFont="1" applyBorder="1" applyAlignment="1" applyProtection="1">
      <alignment horizontal="left"/>
    </xf>
    <xf numFmtId="2" fontId="6" fillId="0" borderId="67" xfId="0" applyFont="1" applyBorder="1" applyAlignment="1" applyProtection="1">
      <alignment horizontal="left" vertical="top" wrapText="1"/>
    </xf>
    <xf numFmtId="2" fontId="6" fillId="0" borderId="13" xfId="0" applyFont="1" applyBorder="1" applyAlignment="1" applyProtection="1">
      <alignment vertical="center"/>
    </xf>
    <xf numFmtId="2" fontId="6" fillId="0" borderId="65" xfId="0" applyFont="1" applyBorder="1" applyAlignment="1" applyProtection="1">
      <alignment horizontal="left" vertical="center"/>
    </xf>
    <xf numFmtId="2" fontId="0" fillId="0" borderId="27" xfId="0" applyBorder="1" applyAlignment="1" applyProtection="1">
      <alignment horizontal="left" vertical="center"/>
    </xf>
    <xf numFmtId="0" fontId="20" fillId="0" borderId="8" xfId="0" applyNumberFormat="1" applyFont="1" applyBorder="1" applyProtection="1">
      <protection locked="0"/>
    </xf>
    <xf numFmtId="2" fontId="6" fillId="0" borderId="45" xfId="2" applyBorder="1" applyAlignment="1" applyProtection="1">
      <alignment horizontal="left" indent="2"/>
    </xf>
    <xf numFmtId="2" fontId="32" fillId="0" borderId="30" xfId="2" applyFont="1" applyBorder="1" applyProtection="1"/>
    <xf numFmtId="2" fontId="6" fillId="0" borderId="12" xfId="2" applyBorder="1" applyAlignment="1" applyProtection="1">
      <alignment horizontal="left" indent="2"/>
    </xf>
    <xf numFmtId="2" fontId="32" fillId="0" borderId="8" xfId="2" applyFont="1" applyBorder="1" applyProtection="1"/>
    <xf numFmtId="2" fontId="6" fillId="0" borderId="51" xfId="2" applyBorder="1" applyAlignment="1" applyProtection="1">
      <alignment horizontal="left" indent="2"/>
    </xf>
    <xf numFmtId="2" fontId="32" fillId="0" borderId="24" xfId="2" applyFont="1" applyBorder="1" applyProtection="1"/>
    <xf numFmtId="2" fontId="6" fillId="0" borderId="51" xfId="2" applyBorder="1" applyProtection="1"/>
    <xf numFmtId="2" fontId="32" fillId="0" borderId="20" xfId="2" applyFont="1" applyBorder="1" applyProtection="1"/>
    <xf numFmtId="2" fontId="6" fillId="0" borderId="32" xfId="2" applyBorder="1" applyProtection="1"/>
    <xf numFmtId="2" fontId="32" fillId="0" borderId="33" xfId="2" applyFont="1" applyBorder="1" applyAlignment="1" applyProtection="1">
      <alignment vertical="top"/>
    </xf>
    <xf numFmtId="2" fontId="5" fillId="3" borderId="6" xfId="2" applyFont="1" applyFill="1" applyBorder="1" applyProtection="1"/>
    <xf numFmtId="2" fontId="6" fillId="4" borderId="6" xfId="2" applyFont="1" applyFill="1" applyBorder="1" applyAlignment="1" applyProtection="1">
      <alignment horizontal="left"/>
    </xf>
    <xf numFmtId="2" fontId="6" fillId="0" borderId="34" xfId="2" applyBorder="1" applyProtection="1"/>
    <xf numFmtId="2" fontId="35" fillId="0" borderId="15" xfId="2" applyFont="1" applyBorder="1" applyAlignment="1" applyProtection="1">
      <alignment horizontal="left" indent="3"/>
    </xf>
    <xf numFmtId="2" fontId="6" fillId="0" borderId="30" xfId="2" applyBorder="1" applyProtection="1"/>
    <xf numFmtId="2" fontId="6" fillId="0" borderId="3" xfId="2" applyBorder="1" applyProtection="1"/>
    <xf numFmtId="2" fontId="35" fillId="0" borderId="0" xfId="2" applyFont="1" applyBorder="1" applyAlignment="1" applyProtection="1">
      <alignment horizontal="left" indent="3"/>
    </xf>
    <xf numFmtId="2" fontId="6" fillId="0" borderId="20" xfId="2" applyBorder="1" applyProtection="1"/>
    <xf numFmtId="2" fontId="6" fillId="0" borderId="2" xfId="2" applyBorder="1" applyProtection="1"/>
    <xf numFmtId="2" fontId="6" fillId="0" borderId="1" xfId="2" applyBorder="1" applyProtection="1"/>
    <xf numFmtId="2" fontId="6" fillId="0" borderId="33" xfId="2" applyBorder="1" applyProtection="1"/>
    <xf numFmtId="2" fontId="36" fillId="0" borderId="15" xfId="2" applyFont="1" applyBorder="1" applyProtection="1"/>
    <xf numFmtId="2" fontId="34" fillId="0" borderId="15" xfId="2" applyFont="1" applyBorder="1" applyProtection="1"/>
    <xf numFmtId="2" fontId="36" fillId="0" borderId="0" xfId="2" applyFont="1" applyBorder="1" applyProtection="1"/>
    <xf numFmtId="2" fontId="34" fillId="0" borderId="0" xfId="2" applyFont="1" applyBorder="1" applyProtection="1"/>
    <xf numFmtId="1" fontId="32" fillId="0" borderId="39" xfId="0" applyNumberFormat="1" applyFont="1" applyBorder="1" applyAlignment="1" applyProtection="1">
      <alignment horizontal="left"/>
    </xf>
    <xf numFmtId="1" fontId="32" fillId="0" borderId="6" xfId="0" applyNumberFormat="1" applyFont="1" applyBorder="1" applyAlignment="1" applyProtection="1">
      <alignment horizontal="left"/>
    </xf>
    <xf numFmtId="1" fontId="32" fillId="0" borderId="7" xfId="0" applyNumberFormat="1" applyFont="1" applyBorder="1" applyAlignment="1" applyProtection="1">
      <alignment horizontal="left"/>
    </xf>
    <xf numFmtId="2" fontId="32" fillId="0" borderId="46" xfId="0" applyNumberFormat="1" applyFont="1" applyBorder="1" applyAlignment="1" applyProtection="1">
      <alignment horizontal="center"/>
    </xf>
    <xf numFmtId="2" fontId="32" fillId="0" borderId="6" xfId="0" applyNumberFormat="1" applyFont="1" applyBorder="1" applyAlignment="1" applyProtection="1">
      <alignment horizontal="center"/>
    </xf>
    <xf numFmtId="2" fontId="32" fillId="0" borderId="7" xfId="0" applyNumberFormat="1" applyFont="1" applyBorder="1" applyAlignment="1" applyProtection="1">
      <alignment horizontal="center"/>
    </xf>
    <xf numFmtId="1" fontId="32" fillId="0" borderId="39" xfId="0" applyNumberFormat="1" applyFont="1" applyBorder="1" applyAlignment="1" applyProtection="1">
      <alignment horizontal="center"/>
    </xf>
    <xf numFmtId="1" fontId="32" fillId="0" borderId="17" xfId="0" applyNumberFormat="1" applyFont="1" applyBorder="1" applyAlignment="1" applyProtection="1">
      <alignment horizontal="center"/>
    </xf>
    <xf numFmtId="1" fontId="32" fillId="0" borderId="18" xfId="0" applyNumberFormat="1" applyFont="1" applyBorder="1" applyAlignment="1" applyProtection="1">
      <alignment horizontal="center"/>
    </xf>
    <xf numFmtId="4" fontId="32" fillId="0" borderId="6" xfId="0" applyNumberFormat="1" applyFont="1" applyBorder="1" applyAlignment="1" applyProtection="1">
      <alignment horizontal="center"/>
    </xf>
    <xf numFmtId="4" fontId="32" fillId="0" borderId="8" xfId="0" applyNumberFormat="1" applyFont="1" applyBorder="1" applyAlignment="1" applyProtection="1">
      <alignment horizontal="center"/>
    </xf>
    <xf numFmtId="2" fontId="32" fillId="0" borderId="38" xfId="0" applyNumberFormat="1" applyFont="1" applyFill="1" applyBorder="1" applyAlignment="1">
      <alignment horizontal="left"/>
    </xf>
    <xf numFmtId="1" fontId="32" fillId="0" borderId="39" xfId="0" applyNumberFormat="1" applyFont="1" applyFill="1" applyBorder="1" applyAlignment="1">
      <alignment horizontal="left"/>
    </xf>
    <xf numFmtId="166" fontId="32" fillId="0" borderId="39" xfId="0" applyNumberFormat="1" applyFont="1" applyBorder="1" applyAlignment="1">
      <alignment horizontal="center"/>
    </xf>
    <xf numFmtId="166" fontId="32" fillId="0" borderId="40" xfId="0" applyNumberFormat="1" applyFont="1" applyBorder="1" applyAlignment="1">
      <alignment horizontal="center"/>
    </xf>
    <xf numFmtId="166" fontId="32" fillId="0" borderId="6" xfId="0" applyNumberFormat="1" applyFont="1" applyBorder="1" applyAlignment="1">
      <alignment horizontal="center"/>
    </xf>
    <xf numFmtId="166" fontId="32" fillId="0" borderId="8" xfId="0" applyNumberFormat="1" applyFont="1" applyBorder="1" applyAlignment="1">
      <alignment horizontal="center"/>
    </xf>
    <xf numFmtId="166" fontId="32" fillId="0" borderId="46" xfId="0" applyNumberFormat="1" applyFont="1" applyBorder="1" applyAlignment="1">
      <alignment horizontal="center"/>
    </xf>
    <xf numFmtId="166" fontId="32" fillId="0" borderId="54" xfId="0" applyNumberFormat="1" applyFont="1" applyBorder="1" applyAlignment="1">
      <alignment horizontal="center"/>
    </xf>
    <xf numFmtId="2" fontId="32" fillId="0" borderId="12" xfId="0" applyNumberFormat="1" applyFont="1" applyFill="1" applyBorder="1" applyAlignment="1">
      <alignment horizontal="left"/>
    </xf>
    <xf numFmtId="1" fontId="32" fillId="0" borderId="6" xfId="0" applyNumberFormat="1" applyFont="1" applyFill="1" applyBorder="1" applyAlignment="1">
      <alignment horizontal="left"/>
    </xf>
    <xf numFmtId="2" fontId="32" fillId="0" borderId="25" xfId="0" applyNumberFormat="1" applyFont="1" applyFill="1" applyBorder="1" applyAlignment="1">
      <alignment horizontal="left"/>
    </xf>
    <xf numFmtId="1" fontId="32" fillId="0" borderId="7" xfId="0" applyNumberFormat="1" applyFont="1" applyFill="1" applyBorder="1" applyAlignment="1">
      <alignment horizontal="left"/>
    </xf>
    <xf numFmtId="166" fontId="32" fillId="0" borderId="7" xfId="0" applyNumberFormat="1" applyFont="1" applyBorder="1" applyAlignment="1">
      <alignment horizontal="center"/>
    </xf>
    <xf numFmtId="166" fontId="32" fillId="0" borderId="9" xfId="0" applyNumberFormat="1" applyFont="1" applyBorder="1" applyAlignment="1">
      <alignment horizontal="center"/>
    </xf>
    <xf numFmtId="2" fontId="6" fillId="0" borderId="12" xfId="0" applyFont="1" applyFill="1" applyBorder="1"/>
    <xf numFmtId="2" fontId="6" fillId="0" borderId="25" xfId="0" applyFont="1" applyFill="1" applyBorder="1"/>
    <xf numFmtId="2" fontId="0" fillId="0" borderId="7" xfId="0" applyBorder="1" applyAlignment="1">
      <alignment horizontal="center"/>
    </xf>
    <xf numFmtId="2" fontId="0" fillId="0" borderId="9" xfId="0" applyBorder="1"/>
    <xf numFmtId="2" fontId="5" fillId="4" borderId="11" xfId="0" applyFont="1" applyFill="1" applyBorder="1"/>
    <xf numFmtId="2" fontId="5" fillId="4" borderId="58" xfId="0" applyFont="1" applyFill="1" applyBorder="1" applyAlignment="1">
      <alignment horizontal="center"/>
    </xf>
    <xf numFmtId="2" fontId="5" fillId="4" borderId="10" xfId="0" applyFont="1" applyFill="1" applyBorder="1"/>
    <xf numFmtId="2" fontId="6" fillId="0" borderId="38" xfId="0" applyFont="1" applyBorder="1" applyProtection="1"/>
    <xf numFmtId="2" fontId="6" fillId="0" borderId="12" xfId="0" applyFont="1" applyBorder="1" applyProtection="1"/>
    <xf numFmtId="2" fontId="0" fillId="0" borderId="12" xfId="0" applyBorder="1" applyProtection="1"/>
    <xf numFmtId="2" fontId="0" fillId="0" borderId="25" xfId="0" applyBorder="1" applyProtection="1"/>
    <xf numFmtId="2" fontId="20" fillId="0" borderId="40" xfId="0" applyFont="1" applyBorder="1" applyAlignment="1" applyProtection="1">
      <alignment horizontal="center"/>
      <protection locked="0"/>
    </xf>
    <xf numFmtId="2" fontId="20" fillId="0" borderId="8" xfId="0" applyFont="1" applyBorder="1" applyAlignment="1" applyProtection="1">
      <alignment horizontal="center"/>
    </xf>
    <xf numFmtId="2" fontId="20" fillId="0" borderId="8" xfId="0" applyFont="1" applyBorder="1" applyAlignment="1" applyProtection="1">
      <alignment horizontal="center"/>
      <protection locked="0"/>
    </xf>
    <xf numFmtId="2" fontId="0" fillId="0" borderId="8" xfId="0" applyBorder="1" applyAlignment="1" applyProtection="1">
      <alignment horizontal="center"/>
    </xf>
    <xf numFmtId="2" fontId="0" fillId="0" borderId="9" xfId="0" applyBorder="1" applyAlignment="1" applyProtection="1">
      <alignment horizontal="center"/>
    </xf>
    <xf numFmtId="2" fontId="6" fillId="0" borderId="6" xfId="0" applyFont="1" applyFill="1" applyBorder="1" applyAlignment="1">
      <alignment horizontal="center"/>
    </xf>
    <xf numFmtId="2" fontId="6" fillId="0" borderId="6" xfId="0" applyFont="1" applyFill="1" applyBorder="1" applyAlignment="1"/>
    <xf numFmtId="2" fontId="6" fillId="0" borderId="74" xfId="0" applyFont="1" applyFill="1" applyBorder="1"/>
    <xf numFmtId="2" fontId="5" fillId="4" borderId="22" xfId="0" applyFont="1" applyFill="1" applyBorder="1"/>
    <xf numFmtId="2" fontId="6" fillId="0" borderId="74" xfId="0" applyFont="1" applyBorder="1"/>
    <xf numFmtId="2" fontId="6" fillId="0" borderId="6" xfId="0" applyFont="1" applyFill="1" applyBorder="1" applyProtection="1"/>
    <xf numFmtId="2" fontId="6" fillId="0" borderId="7" xfId="0" applyFont="1" applyFill="1" applyBorder="1" applyProtection="1"/>
    <xf numFmtId="4" fontId="32" fillId="0" borderId="46" xfId="0" applyNumberFormat="1" applyFont="1" applyFill="1" applyBorder="1" applyAlignment="1" applyProtection="1">
      <alignment horizontal="center"/>
    </xf>
    <xf numFmtId="4" fontId="32" fillId="0" borderId="6" xfId="0" applyNumberFormat="1" applyFont="1" applyFill="1" applyBorder="1" applyAlignment="1" applyProtection="1">
      <alignment horizontal="center"/>
    </xf>
    <xf numFmtId="4" fontId="32" fillId="0" borderId="7" xfId="0" applyNumberFormat="1" applyFont="1" applyFill="1" applyBorder="1" applyAlignment="1" applyProtection="1">
      <alignment horizontal="center"/>
    </xf>
    <xf numFmtId="2" fontId="6" fillId="0" borderId="52" xfId="2" applyBorder="1" applyAlignment="1" applyProtection="1">
      <alignment horizontal="left" vertical="center" wrapText="1"/>
    </xf>
    <xf numFmtId="2" fontId="6" fillId="0" borderId="67" xfId="2" applyBorder="1" applyAlignment="1" applyProtection="1">
      <alignment horizontal="left" vertical="center" wrapText="1"/>
    </xf>
    <xf numFmtId="2" fontId="6" fillId="0" borderId="24" xfId="2" applyBorder="1" applyAlignment="1" applyProtection="1">
      <alignment horizontal="left" vertical="center" wrapText="1"/>
    </xf>
    <xf numFmtId="2" fontId="6" fillId="0" borderId="60" xfId="0" applyFont="1" applyBorder="1" applyAlignment="1">
      <alignment horizontal="center"/>
    </xf>
    <xf numFmtId="2" fontId="0" fillId="0" borderId="60" xfId="0" applyBorder="1" applyAlignment="1">
      <alignment horizontal="center"/>
    </xf>
    <xf numFmtId="2" fontId="0" fillId="0" borderId="23" xfId="0" applyBorder="1" applyAlignment="1">
      <alignment horizontal="center"/>
    </xf>
    <xf numFmtId="2" fontId="5" fillId="0" borderId="0" xfId="0" applyFont="1" applyFill="1" applyBorder="1" applyAlignment="1" applyProtection="1">
      <alignment horizontal="left" vertical="center" wrapText="1"/>
    </xf>
    <xf numFmtId="2" fontId="5" fillId="0" borderId="0" xfId="0" applyFont="1" applyAlignment="1" applyProtection="1">
      <alignment vertical="center" wrapText="1"/>
    </xf>
    <xf numFmtId="2" fontId="22" fillId="0" borderId="0" xfId="1" applyProtection="1"/>
    <xf numFmtId="2" fontId="6" fillId="0" borderId="0" xfId="0" applyFont="1" applyAlignment="1" applyProtection="1">
      <alignment vertical="center" wrapText="1"/>
    </xf>
    <xf numFmtId="2" fontId="6" fillId="0" borderId="0" xfId="0" quotePrefix="1" applyFont="1" applyAlignment="1" applyProtection="1">
      <alignment horizontal="right" vertical="top"/>
    </xf>
    <xf numFmtId="2" fontId="6" fillId="0" borderId="0" xfId="0" applyFont="1" applyAlignment="1" applyProtection="1">
      <alignment horizontal="left" vertical="top" wrapText="1" indent="1"/>
    </xf>
    <xf numFmtId="2" fontId="6" fillId="0" borderId="0" xfId="0" applyFont="1" applyAlignment="1" applyProtection="1">
      <alignment horizontal="left" vertical="center" wrapText="1" indent="1"/>
    </xf>
    <xf numFmtId="2" fontId="22" fillId="0" borderId="0" xfId="1" applyFont="1" applyAlignment="1" applyProtection="1">
      <alignment vertical="center" wrapText="1"/>
    </xf>
    <xf numFmtId="2" fontId="6" fillId="0" borderId="0" xfId="0" applyFont="1" applyAlignment="1" applyProtection="1">
      <alignment wrapText="1"/>
    </xf>
    <xf numFmtId="0" fontId="17" fillId="0" borderId="0" xfId="6" applyFont="1" applyProtection="1"/>
    <xf numFmtId="2" fontId="0" fillId="0" borderId="38" xfId="0" applyBorder="1" applyAlignment="1" applyProtection="1">
      <alignment horizontal="left" indent="2"/>
    </xf>
    <xf numFmtId="2" fontId="20" fillId="0" borderId="40" xfId="0" applyFont="1" applyBorder="1" applyProtection="1">
      <protection locked="0"/>
    </xf>
    <xf numFmtId="1" fontId="20" fillId="0" borderId="9" xfId="0" applyNumberFormat="1" applyFont="1" applyBorder="1" applyAlignment="1" applyProtection="1">
      <alignment horizontal="left"/>
      <protection locked="0"/>
    </xf>
    <xf numFmtId="0" fontId="3" fillId="0" borderId="0" xfId="3" applyFont="1" applyAlignment="1"/>
    <xf numFmtId="2" fontId="0" fillId="0" borderId="0" xfId="0" applyAlignment="1" applyProtection="1">
      <alignment horizontal="center"/>
    </xf>
    <xf numFmtId="2" fontId="5" fillId="0" borderId="0" xfId="0" applyFont="1" applyBorder="1" applyAlignment="1" applyProtection="1">
      <alignment horizontal="left"/>
    </xf>
    <xf numFmtId="2" fontId="5" fillId="0" borderId="0" xfId="0" applyFont="1" applyBorder="1" applyProtection="1"/>
    <xf numFmtId="2" fontId="0" fillId="0" borderId="0" xfId="0" applyFill="1" applyBorder="1" applyAlignment="1" applyProtection="1">
      <alignment horizontal="center"/>
    </xf>
    <xf numFmtId="167" fontId="8" fillId="0" borderId="35" xfId="0" applyNumberFormat="1" applyFont="1" applyBorder="1" applyAlignment="1" applyProtection="1">
      <alignment horizontal="right" indent="3"/>
    </xf>
    <xf numFmtId="166" fontId="8" fillId="0" borderId="35" xfId="0" applyNumberFormat="1" applyFont="1" applyBorder="1" applyAlignment="1" applyProtection="1">
      <alignment horizontal="right" indent="3"/>
    </xf>
    <xf numFmtId="2" fontId="0" fillId="0" borderId="0" xfId="0" applyBorder="1" applyAlignment="1" applyProtection="1">
      <alignment horizontal="center"/>
    </xf>
    <xf numFmtId="2" fontId="5" fillId="0" borderId="3" xfId="0" applyNumberFormat="1" applyFont="1" applyBorder="1" applyAlignment="1" applyProtection="1">
      <alignment horizontal="left" indent="3"/>
    </xf>
    <xf numFmtId="4" fontId="5" fillId="0" borderId="4" xfId="0" applyNumberFormat="1" applyFont="1" applyBorder="1" applyAlignment="1" applyProtection="1">
      <alignment horizontal="right" indent="7"/>
    </xf>
    <xf numFmtId="164" fontId="5" fillId="0" borderId="4" xfId="0" applyNumberFormat="1" applyFont="1" applyBorder="1" applyAlignment="1" applyProtection="1">
      <alignment horizontal="right" indent="7"/>
    </xf>
    <xf numFmtId="164" fontId="5" fillId="0" borderId="20" xfId="2" applyNumberFormat="1" applyFont="1" applyFill="1" applyBorder="1" applyAlignment="1" applyProtection="1">
      <alignment horizontal="right" indent="8"/>
    </xf>
    <xf numFmtId="164" fontId="5" fillId="0" borderId="0" xfId="2" applyNumberFormat="1" applyFont="1" applyFill="1" applyBorder="1" applyAlignment="1" applyProtection="1">
      <alignment horizontal="right" indent="3"/>
    </xf>
    <xf numFmtId="2" fontId="0" fillId="0" borderId="3" xfId="0" applyBorder="1" applyAlignment="1" applyProtection="1">
      <alignment horizontal="left" indent="3"/>
    </xf>
    <xf numFmtId="167" fontId="5" fillId="0" borderId="0" xfId="0" applyNumberFormat="1" applyFont="1" applyBorder="1" applyAlignment="1" applyProtection="1">
      <alignment horizontal="right" indent="8"/>
    </xf>
    <xf numFmtId="164" fontId="5" fillId="0" borderId="4" xfId="0" applyNumberFormat="1" applyFont="1" applyBorder="1" applyAlignment="1" applyProtection="1">
      <alignment horizontal="right" indent="8"/>
    </xf>
    <xf numFmtId="167" fontId="5" fillId="0" borderId="4" xfId="0" applyNumberFormat="1" applyFont="1" applyBorder="1" applyAlignment="1" applyProtection="1">
      <alignment horizontal="right" indent="7"/>
    </xf>
    <xf numFmtId="2" fontId="0" fillId="0" borderId="3" xfId="0" applyNumberFormat="1" applyBorder="1" applyAlignment="1" applyProtection="1">
      <alignment horizontal="left" indent="3"/>
    </xf>
    <xf numFmtId="2" fontId="6" fillId="0" borderId="3" xfId="0" applyNumberFormat="1" applyFont="1" applyBorder="1" applyAlignment="1" applyProtection="1">
      <alignment horizontal="left" indent="3"/>
    </xf>
    <xf numFmtId="2" fontId="6" fillId="0" borderId="37" xfId="0" applyNumberFormat="1" applyFont="1" applyBorder="1" applyAlignment="1" applyProtection="1">
      <alignment horizontal="left" indent="1"/>
    </xf>
    <xf numFmtId="164" fontId="6" fillId="0" borderId="20" xfId="2" applyNumberFormat="1" applyFont="1" applyFill="1" applyBorder="1" applyAlignment="1" applyProtection="1">
      <alignment horizontal="right" indent="8"/>
    </xf>
    <xf numFmtId="164" fontId="6" fillId="0" borderId="0" xfId="2" applyNumberFormat="1" applyFont="1" applyFill="1" applyBorder="1" applyAlignment="1" applyProtection="1">
      <alignment horizontal="right" indent="3"/>
    </xf>
    <xf numFmtId="2" fontId="5" fillId="0" borderId="3" xfId="0" applyFont="1" applyBorder="1" applyAlignment="1" applyProtection="1">
      <alignment horizontal="left" indent="3"/>
    </xf>
    <xf numFmtId="167" fontId="8" fillId="0" borderId="4" xfId="0" applyNumberFormat="1" applyFont="1" applyBorder="1" applyAlignment="1" applyProtection="1">
      <alignment horizontal="right" indent="6"/>
    </xf>
    <xf numFmtId="166" fontId="8" fillId="0" borderId="4" xfId="0" applyNumberFormat="1" applyFont="1" applyBorder="1" applyAlignment="1" applyProtection="1">
      <alignment horizontal="right" indent="3"/>
    </xf>
    <xf numFmtId="164" fontId="6" fillId="0" borderId="0" xfId="2" applyNumberFormat="1" applyFont="1" applyFill="1" applyBorder="1" applyAlignment="1" applyProtection="1">
      <alignment horizontal="center"/>
    </xf>
    <xf numFmtId="164" fontId="5" fillId="0" borderId="0" xfId="2" applyNumberFormat="1" applyFont="1" applyFill="1" applyBorder="1" applyAlignment="1" applyProtection="1">
      <alignment horizontal="center"/>
    </xf>
    <xf numFmtId="2" fontId="5" fillId="0" borderId="20" xfId="0" applyFont="1" applyBorder="1" applyAlignment="1" applyProtection="1">
      <alignment horizontal="center"/>
    </xf>
    <xf numFmtId="2" fontId="5" fillId="0" borderId="0" xfId="0" applyFont="1" applyFill="1" applyBorder="1" applyAlignment="1" applyProtection="1">
      <alignment horizontal="right" vertical="center"/>
    </xf>
    <xf numFmtId="2" fontId="6" fillId="0" borderId="6" xfId="0" applyFont="1" applyBorder="1" applyAlignment="1" applyProtection="1">
      <alignment horizontal="center" vertical="center" wrapText="1"/>
      <protection locked="0"/>
    </xf>
    <xf numFmtId="2" fontId="6" fillId="0" borderId="13" xfId="0" applyFont="1" applyBorder="1" applyAlignment="1" applyProtection="1">
      <alignment vertical="center" wrapText="1"/>
    </xf>
    <xf numFmtId="0" fontId="2" fillId="0" borderId="0" xfId="3" applyFont="1" applyAlignment="1">
      <alignment horizontal="left" vertical="center"/>
    </xf>
    <xf numFmtId="0" fontId="2" fillId="0" borderId="0" xfId="3" applyFont="1" applyAlignment="1"/>
    <xf numFmtId="2" fontId="5" fillId="3" borderId="6" xfId="0" applyFont="1" applyFill="1" applyBorder="1" applyProtection="1"/>
    <xf numFmtId="2" fontId="6" fillId="4" borderId="6" xfId="0" applyFont="1" applyFill="1" applyBorder="1" applyAlignment="1" applyProtection="1">
      <alignment horizontal="center" vertical="center"/>
    </xf>
    <xf numFmtId="2" fontId="6" fillId="4" borderId="6" xfId="0" applyFont="1" applyFill="1" applyBorder="1" applyAlignment="1" applyProtection="1">
      <alignment horizontal="center" wrapText="1"/>
    </xf>
    <xf numFmtId="1" fontId="32" fillId="0" borderId="6" xfId="0" applyNumberFormat="1" applyFont="1" applyFill="1" applyBorder="1" applyAlignment="1" applyProtection="1">
      <alignment horizontal="left"/>
    </xf>
    <xf numFmtId="2" fontId="32" fillId="0" borderId="12" xfId="0" applyNumberFormat="1" applyFont="1" applyFill="1" applyBorder="1" applyAlignment="1" applyProtection="1">
      <alignment horizontal="left"/>
    </xf>
    <xf numFmtId="2" fontId="32" fillId="0" borderId="25" xfId="0" applyNumberFormat="1" applyFont="1" applyFill="1" applyBorder="1" applyAlignment="1" applyProtection="1">
      <alignment horizontal="left"/>
    </xf>
    <xf numFmtId="1" fontId="32" fillId="0" borderId="7" xfId="0" applyNumberFormat="1" applyFont="1" applyFill="1" applyBorder="1" applyAlignment="1" applyProtection="1">
      <alignment horizontal="left"/>
    </xf>
    <xf numFmtId="2" fontId="5" fillId="4" borderId="8" xfId="0" applyFont="1" applyFill="1" applyBorder="1" applyAlignment="1" applyProtection="1">
      <alignment horizontal="center" vertical="center"/>
    </xf>
    <xf numFmtId="2" fontId="32" fillId="4" borderId="6" xfId="0" applyNumberFormat="1" applyFont="1" applyFill="1" applyBorder="1" applyAlignment="1" applyProtection="1">
      <alignment horizontal="center"/>
    </xf>
    <xf numFmtId="166" fontId="32" fillId="0" borderId="46" xfId="0" applyNumberFormat="1" applyFont="1" applyFill="1" applyBorder="1" applyAlignment="1">
      <alignment horizontal="right"/>
    </xf>
    <xf numFmtId="166" fontId="32" fillId="0" borderId="6" xfId="0" applyNumberFormat="1" applyFont="1" applyFill="1" applyBorder="1" applyAlignment="1">
      <alignment horizontal="right"/>
    </xf>
    <xf numFmtId="166" fontId="32" fillId="0" borderId="7" xfId="0" applyNumberFormat="1" applyFont="1" applyFill="1" applyBorder="1" applyAlignment="1">
      <alignment horizontal="right"/>
    </xf>
    <xf numFmtId="166" fontId="32" fillId="0" borderId="50" xfId="0" applyNumberFormat="1" applyFont="1" applyFill="1" applyBorder="1" applyAlignment="1">
      <alignment horizontal="right"/>
    </xf>
    <xf numFmtId="2" fontId="5" fillId="3" borderId="6" xfId="0" applyFont="1" applyFill="1" applyBorder="1" applyAlignment="1" applyProtection="1">
      <alignment horizontal="center" vertical="center"/>
    </xf>
    <xf numFmtId="2" fontId="0" fillId="3" borderId="6" xfId="0" applyFill="1" applyBorder="1" applyAlignment="1" applyProtection="1">
      <alignment horizontal="center"/>
    </xf>
    <xf numFmtId="2" fontId="5" fillId="0" borderId="0" xfId="0" applyFont="1" applyFill="1" applyBorder="1" applyAlignment="1" applyProtection="1">
      <alignment horizontal="center" vertical="center" wrapText="1"/>
    </xf>
    <xf numFmtId="166" fontId="0" fillId="4" borderId="6" xfId="0" applyNumberFormat="1" applyFill="1" applyBorder="1" applyProtection="1"/>
    <xf numFmtId="4" fontId="31" fillId="4" borderId="18" xfId="0" applyNumberFormat="1" applyFont="1" applyFill="1" applyBorder="1" applyAlignment="1" applyProtection="1">
      <alignment horizontal="center"/>
    </xf>
    <xf numFmtId="4" fontId="31" fillId="4" borderId="55" xfId="0" applyNumberFormat="1" applyFont="1" applyFill="1" applyBorder="1" applyAlignment="1" applyProtection="1">
      <alignment horizontal="center"/>
    </xf>
    <xf numFmtId="4" fontId="32" fillId="0" borderId="7" xfId="0" applyNumberFormat="1" applyFont="1" applyBorder="1" applyAlignment="1" applyProtection="1">
      <alignment horizontal="center"/>
    </xf>
    <xf numFmtId="4" fontId="32" fillId="0" borderId="9" xfId="0" applyNumberFormat="1" applyFont="1" applyBorder="1" applyAlignment="1" applyProtection="1">
      <alignment horizontal="center"/>
    </xf>
    <xf numFmtId="166" fontId="31" fillId="4" borderId="18" xfId="0" applyNumberFormat="1" applyFont="1" applyFill="1" applyBorder="1" applyAlignment="1">
      <alignment horizontal="center"/>
    </xf>
    <xf numFmtId="166" fontId="31" fillId="4" borderId="55" xfId="0" applyNumberFormat="1" applyFont="1" applyFill="1" applyBorder="1" applyAlignment="1">
      <alignment horizontal="center"/>
    </xf>
    <xf numFmtId="2" fontId="5" fillId="4" borderId="51" xfId="0" applyFont="1" applyFill="1" applyBorder="1" applyAlignment="1" applyProtection="1">
      <alignment horizontal="center" vertical="center" wrapText="1"/>
    </xf>
    <xf numFmtId="2" fontId="5" fillId="4" borderId="50" xfId="0" applyFont="1" applyFill="1" applyBorder="1" applyAlignment="1" applyProtection="1">
      <alignment horizontal="center" vertical="center" wrapText="1"/>
    </xf>
    <xf numFmtId="2" fontId="0" fillId="4" borderId="50" xfId="0" applyFill="1" applyBorder="1" applyProtection="1"/>
    <xf numFmtId="2" fontId="5" fillId="4" borderId="20" xfId="0" applyFont="1" applyFill="1" applyBorder="1" applyAlignment="1" applyProtection="1">
      <alignment horizontal="center" vertical="center" wrapText="1"/>
    </xf>
    <xf numFmtId="49" fontId="20" fillId="0" borderId="38" xfId="0" applyNumberFormat="1" applyFont="1" applyBorder="1" applyProtection="1">
      <protection locked="0"/>
    </xf>
    <xf numFmtId="2" fontId="20" fillId="0" borderId="39" xfId="0" applyFont="1" applyBorder="1" applyProtection="1">
      <protection locked="0"/>
    </xf>
    <xf numFmtId="2" fontId="20" fillId="0" borderId="39" xfId="0" applyFont="1" applyBorder="1" applyAlignment="1" applyProtection="1">
      <alignment horizontal="center"/>
      <protection locked="0"/>
    </xf>
    <xf numFmtId="2" fontId="20" fillId="0" borderId="49" xfId="0" applyFont="1" applyBorder="1" applyProtection="1">
      <protection locked="0"/>
    </xf>
    <xf numFmtId="2" fontId="20" fillId="0" borderId="27" xfId="0" applyFont="1" applyBorder="1" applyProtection="1">
      <protection locked="0"/>
    </xf>
    <xf numFmtId="2" fontId="20" fillId="0" borderId="29" xfId="0" applyFont="1" applyBorder="1" applyProtection="1">
      <protection locked="0"/>
    </xf>
    <xf numFmtId="1" fontId="20" fillId="0" borderId="38" xfId="0" applyNumberFormat="1" applyFont="1" applyBorder="1" applyAlignment="1" applyProtection="1">
      <alignment horizontal="left"/>
      <protection locked="0"/>
    </xf>
    <xf numFmtId="1" fontId="20" fillId="0" borderId="12" xfId="0" applyNumberFormat="1" applyFont="1" applyBorder="1" applyAlignment="1" applyProtection="1">
      <alignment horizontal="left"/>
      <protection locked="0"/>
    </xf>
    <xf numFmtId="1" fontId="20" fillId="0" borderId="25" xfId="0" applyNumberFormat="1" applyFont="1" applyBorder="1" applyAlignment="1" applyProtection="1">
      <alignment horizontal="left"/>
      <protection locked="0"/>
    </xf>
    <xf numFmtId="2" fontId="6" fillId="0" borderId="0" xfId="0" applyFont="1" applyAlignment="1" applyProtection="1">
      <alignment horizontal="left" vertical="center" wrapText="1"/>
    </xf>
    <xf numFmtId="2" fontId="19" fillId="0" borderId="0" xfId="0" applyFont="1" applyAlignment="1" applyProtection="1">
      <alignment horizontal="left" vertical="top"/>
    </xf>
    <xf numFmtId="2" fontId="5" fillId="4" borderId="11" xfId="0" applyFont="1" applyFill="1" applyBorder="1" applyAlignment="1" applyProtection="1">
      <alignment horizontal="left"/>
    </xf>
    <xf numFmtId="2" fontId="5" fillId="4" borderId="22" xfId="0" applyFont="1" applyFill="1" applyBorder="1" applyAlignment="1" applyProtection="1">
      <alignment horizontal="left"/>
    </xf>
    <xf numFmtId="2" fontId="5" fillId="4" borderId="10" xfId="0" applyFont="1" applyFill="1" applyBorder="1" applyAlignment="1" applyProtection="1">
      <alignment horizontal="left"/>
    </xf>
    <xf numFmtId="2" fontId="6" fillId="0" borderId="13" xfId="0" applyFont="1" applyBorder="1" applyAlignment="1" applyProtection="1"/>
    <xf numFmtId="2" fontId="6" fillId="0" borderId="67" xfId="0" applyFont="1" applyBorder="1" applyAlignment="1" applyProtection="1">
      <alignment horizontal="left"/>
    </xf>
    <xf numFmtId="2" fontId="0" fillId="0" borderId="24" xfId="0" applyBorder="1" applyAlignment="1" applyProtection="1">
      <alignment horizontal="left"/>
    </xf>
    <xf numFmtId="2" fontId="5" fillId="4" borderId="46" xfId="0" applyNumberFormat="1" applyFont="1" applyFill="1" applyBorder="1" applyAlignment="1" applyProtection="1">
      <alignment horizontal="center" vertical="center" wrapText="1"/>
    </xf>
    <xf numFmtId="2" fontId="5" fillId="4" borderId="18" xfId="0" applyNumberFormat="1" applyFont="1" applyFill="1" applyBorder="1" applyAlignment="1" applyProtection="1">
      <alignment horizontal="center" vertical="center" wrapText="1"/>
    </xf>
    <xf numFmtId="1" fontId="5" fillId="4" borderId="46" xfId="0" applyNumberFormat="1" applyFont="1" applyFill="1" applyBorder="1" applyAlignment="1" applyProtection="1">
      <alignment horizontal="center" vertical="center"/>
    </xf>
    <xf numFmtId="1" fontId="5" fillId="4" borderId="18" xfId="0" applyNumberFormat="1" applyFont="1" applyFill="1" applyBorder="1" applyAlignment="1" applyProtection="1">
      <alignment horizontal="center" vertical="center"/>
    </xf>
    <xf numFmtId="2" fontId="5" fillId="4" borderId="6" xfId="0" applyFont="1" applyFill="1" applyBorder="1" applyAlignment="1" applyProtection="1">
      <alignment horizontal="center" vertical="center"/>
    </xf>
    <xf numFmtId="2" fontId="5" fillId="0" borderId="4" xfId="0" applyFont="1" applyBorder="1" applyAlignment="1" applyProtection="1">
      <alignment horizontal="center"/>
    </xf>
    <xf numFmtId="2" fontId="20" fillId="0" borderId="0" xfId="0" applyFont="1" applyBorder="1" applyProtection="1"/>
    <xf numFmtId="1" fontId="20" fillId="0" borderId="39" xfId="0" applyNumberFormat="1" applyFont="1" applyBorder="1" applyAlignment="1" applyProtection="1">
      <alignment horizontal="left"/>
    </xf>
    <xf numFmtId="1" fontId="20" fillId="0" borderId="17" xfId="0" applyNumberFormat="1" applyFont="1" applyBorder="1" applyAlignment="1" applyProtection="1">
      <alignment horizontal="left"/>
    </xf>
    <xf numFmtId="1" fontId="20" fillId="0" borderId="18" xfId="0" applyNumberFormat="1" applyFont="1" applyBorder="1" applyAlignment="1" applyProtection="1">
      <alignment horizontal="left"/>
    </xf>
    <xf numFmtId="2" fontId="0" fillId="0" borderId="39" xfId="0" applyBorder="1" applyProtection="1">
      <protection locked="0"/>
    </xf>
    <xf numFmtId="2" fontId="0" fillId="0" borderId="6" xfId="0" applyBorder="1" applyProtection="1">
      <protection locked="0"/>
    </xf>
    <xf numFmtId="2" fontId="0" fillId="0" borderId="7" xfId="0" applyBorder="1" applyProtection="1">
      <protection locked="0"/>
    </xf>
    <xf numFmtId="2" fontId="38" fillId="0" borderId="6" xfId="0" applyFont="1" applyBorder="1" applyAlignment="1" applyProtection="1">
      <alignment horizontal="center" vertical="center" wrapText="1"/>
      <protection locked="0"/>
    </xf>
    <xf numFmtId="2" fontId="38" fillId="0" borderId="8" xfId="0" applyFont="1" applyBorder="1" applyAlignment="1" applyProtection="1">
      <alignment horizontal="center" vertical="center" wrapText="1"/>
      <protection locked="0"/>
    </xf>
    <xf numFmtId="0" fontId="1" fillId="0" borderId="0" xfId="3" applyFont="1" applyAlignment="1"/>
    <xf numFmtId="2" fontId="5" fillId="0" borderId="0" xfId="0" applyFont="1" applyAlignment="1" applyProtection="1">
      <alignment horizontal="left" vertical="center" wrapText="1"/>
    </xf>
    <xf numFmtId="2" fontId="6" fillId="0" borderId="0" xfId="0" applyFont="1" applyAlignment="1" applyProtection="1">
      <alignment horizontal="left" vertical="center" wrapText="1"/>
    </xf>
    <xf numFmtId="2" fontId="6" fillId="0" borderId="0" xfId="0" applyFont="1" applyAlignment="1" applyProtection="1">
      <alignment horizontal="left" wrapText="1"/>
    </xf>
    <xf numFmtId="2" fontId="22" fillId="0" borderId="0" xfId="1" applyAlignment="1" applyProtection="1">
      <alignment horizontal="left" vertical="center" wrapText="1"/>
    </xf>
    <xf numFmtId="2" fontId="17" fillId="0" borderId="0" xfId="0" applyFont="1" applyAlignment="1" applyProtection="1">
      <alignment horizontal="left" vertical="center" wrapText="1"/>
    </xf>
    <xf numFmtId="2" fontId="35" fillId="0" borderId="0" xfId="0" applyFont="1" applyAlignment="1" applyProtection="1">
      <alignment horizontal="left" vertical="center" wrapText="1"/>
    </xf>
    <xf numFmtId="2" fontId="6" fillId="0" borderId="64" xfId="2" applyFont="1" applyBorder="1" applyAlignment="1" applyProtection="1">
      <alignment horizontal="left" vertical="center" wrapText="1"/>
    </xf>
    <xf numFmtId="2" fontId="6" fillId="0" borderId="40" xfId="2" applyFont="1" applyBorder="1" applyAlignment="1" applyProtection="1">
      <alignment horizontal="left" vertical="center" wrapText="1"/>
    </xf>
    <xf numFmtId="49" fontId="6" fillId="0" borderId="52" xfId="0" applyNumberFormat="1" applyFont="1" applyBorder="1" applyAlignment="1" applyProtection="1">
      <alignment horizontal="left" vertical="top"/>
    </xf>
    <xf numFmtId="49" fontId="6" fillId="0" borderId="69" xfId="0" applyNumberFormat="1" applyFont="1" applyBorder="1" applyAlignment="1" applyProtection="1">
      <alignment horizontal="left" vertical="top"/>
    </xf>
    <xf numFmtId="49" fontId="6" fillId="0" borderId="36" xfId="0" applyNumberFormat="1" applyFont="1" applyBorder="1" applyAlignment="1" applyProtection="1">
      <alignment horizontal="left" vertical="top"/>
    </xf>
    <xf numFmtId="49" fontId="6" fillId="0" borderId="72" xfId="0" applyNumberFormat="1" applyFont="1" applyBorder="1" applyAlignment="1" applyProtection="1">
      <alignment horizontal="left" vertical="top"/>
    </xf>
    <xf numFmtId="2" fontId="6" fillId="0" borderId="70" xfId="0" applyFont="1" applyBorder="1" applyAlignment="1" applyProtection="1">
      <alignment horizontal="left" vertical="top" wrapText="1"/>
    </xf>
    <xf numFmtId="2" fontId="6" fillId="0" borderId="71" xfId="0" applyFont="1" applyBorder="1" applyAlignment="1" applyProtection="1">
      <alignment horizontal="left" vertical="top" wrapText="1"/>
    </xf>
    <xf numFmtId="2" fontId="22" fillId="0" borderId="73" xfId="1" applyBorder="1" applyAlignment="1" applyProtection="1">
      <alignment horizontal="center" vertical="center" wrapText="1"/>
    </xf>
    <xf numFmtId="2" fontId="6" fillId="0" borderId="56" xfId="2" applyFont="1" applyBorder="1" applyAlignment="1" applyProtection="1">
      <alignment horizontal="center" vertical="center" wrapText="1"/>
    </xf>
    <xf numFmtId="2" fontId="0" fillId="0" borderId="68" xfId="0" applyBorder="1" applyAlignment="1" applyProtection="1">
      <alignment horizontal="left"/>
    </xf>
    <xf numFmtId="2" fontId="0" fillId="0" borderId="29" xfId="0" applyBorder="1" applyAlignment="1" applyProtection="1">
      <alignment horizontal="left"/>
    </xf>
    <xf numFmtId="2" fontId="6" fillId="0" borderId="67" xfId="0" applyFont="1" applyBorder="1" applyAlignment="1" applyProtection="1">
      <alignment horizontal="left"/>
    </xf>
    <xf numFmtId="2" fontId="0" fillId="0" borderId="24" xfId="0" applyBorder="1" applyAlignment="1" applyProtection="1">
      <alignment horizontal="left"/>
    </xf>
    <xf numFmtId="2" fontId="5" fillId="4" borderId="34" xfId="0" applyFont="1" applyFill="1" applyBorder="1" applyAlignment="1" applyProtection="1"/>
    <xf numFmtId="2" fontId="7" fillId="4" borderId="15" xfId="0" applyFont="1" applyFill="1" applyBorder="1" applyAlignment="1" applyProtection="1"/>
    <xf numFmtId="2" fontId="7" fillId="4" borderId="30" xfId="0" applyFont="1" applyFill="1" applyBorder="1" applyAlignment="1" applyProtection="1"/>
    <xf numFmtId="2" fontId="6" fillId="4" borderId="34" xfId="0" applyFont="1" applyFill="1" applyBorder="1" applyAlignment="1" applyProtection="1">
      <alignment horizontal="left"/>
    </xf>
    <xf numFmtId="2" fontId="6" fillId="4" borderId="15" xfId="0" applyFont="1" applyFill="1" applyBorder="1" applyAlignment="1" applyProtection="1">
      <alignment horizontal="left"/>
    </xf>
    <xf numFmtId="2" fontId="6" fillId="4" borderId="30" xfId="0" applyFont="1" applyFill="1" applyBorder="1" applyAlignment="1" applyProtection="1">
      <alignment horizontal="left"/>
    </xf>
    <xf numFmtId="2" fontId="6" fillId="0" borderId="65" xfId="0" applyFont="1" applyBorder="1" applyAlignment="1" applyProtection="1">
      <alignment horizontal="left" vertical="center" wrapText="1"/>
    </xf>
    <xf numFmtId="2" fontId="0" fillId="0" borderId="27" xfId="0" applyBorder="1" applyAlignment="1">
      <alignment horizontal="left" vertical="center" wrapText="1"/>
    </xf>
    <xf numFmtId="2" fontId="6" fillId="0" borderId="39" xfId="0" applyFont="1" applyBorder="1" applyAlignment="1" applyProtection="1">
      <alignment horizontal="left" vertical="top" wrapText="1"/>
    </xf>
    <xf numFmtId="2" fontId="0" fillId="0" borderId="40" xfId="0" applyBorder="1" applyAlignment="1" applyProtection="1">
      <alignment horizontal="left" vertical="top" wrapText="1"/>
    </xf>
    <xf numFmtId="2" fontId="19" fillId="0" borderId="0" xfId="0" applyFont="1" applyAlignment="1" applyProtection="1">
      <alignment horizontal="left" vertical="top"/>
    </xf>
    <xf numFmtId="2" fontId="6" fillId="0" borderId="0" xfId="0" applyFont="1" applyAlignment="1" applyProtection="1">
      <alignment horizontal="left" vertical="top" wrapText="1"/>
    </xf>
    <xf numFmtId="2" fontId="9" fillId="0" borderId="0" xfId="0" applyFont="1" applyAlignment="1" applyProtection="1">
      <alignment horizontal="left" vertical="top" wrapText="1"/>
    </xf>
    <xf numFmtId="2" fontId="5" fillId="4" borderId="11" xfId="0" applyFont="1" applyFill="1" applyBorder="1" applyAlignment="1" applyProtection="1">
      <alignment horizontal="left"/>
    </xf>
    <xf numFmtId="2" fontId="5" fillId="4" borderId="22" xfId="0" applyFont="1" applyFill="1" applyBorder="1" applyAlignment="1" applyProtection="1">
      <alignment horizontal="left"/>
    </xf>
    <xf numFmtId="2" fontId="5" fillId="4" borderId="10" xfId="0" applyFont="1" applyFill="1" applyBorder="1" applyAlignment="1" applyProtection="1">
      <alignment horizontal="left"/>
    </xf>
    <xf numFmtId="2" fontId="6" fillId="0" borderId="0" xfId="2" applyFont="1" applyAlignment="1" applyProtection="1">
      <alignment horizontal="left" vertical="center" wrapText="1"/>
    </xf>
    <xf numFmtId="2" fontId="6" fillId="0" borderId="14" xfId="0" applyFont="1" applyBorder="1" applyAlignment="1" applyProtection="1"/>
    <xf numFmtId="2" fontId="0" fillId="0" borderId="17" xfId="0" applyBorder="1" applyAlignment="1" applyProtection="1"/>
    <xf numFmtId="2" fontId="0" fillId="0" borderId="21" xfId="0" applyBorder="1" applyAlignment="1" applyProtection="1"/>
    <xf numFmtId="2" fontId="6" fillId="0" borderId="12" xfId="0" applyFont="1" applyBorder="1" applyAlignment="1" applyProtection="1"/>
    <xf numFmtId="2" fontId="0" fillId="0" borderId="6" xfId="0" applyBorder="1" applyAlignment="1" applyProtection="1"/>
    <xf numFmtId="2" fontId="0" fillId="0" borderId="8" xfId="0" applyBorder="1" applyAlignment="1" applyProtection="1"/>
    <xf numFmtId="2" fontId="6" fillId="6" borderId="25" xfId="0" applyFont="1" applyFill="1" applyBorder="1" applyAlignment="1" applyProtection="1"/>
    <xf numFmtId="2" fontId="0" fillId="6" borderId="7" xfId="0" applyFill="1" applyBorder="1" applyAlignment="1" applyProtection="1"/>
    <xf numFmtId="2" fontId="0" fillId="6" borderId="9" xfId="0" applyFill="1" applyBorder="1" applyAlignment="1" applyProtection="1"/>
    <xf numFmtId="2" fontId="24" fillId="0" borderId="0" xfId="0" applyFont="1" applyAlignment="1" applyProtection="1">
      <alignment horizontal="left" vertical="center" wrapText="1"/>
    </xf>
    <xf numFmtId="2" fontId="6" fillId="0" borderId="13" xfId="0" applyFont="1" applyBorder="1" applyAlignment="1" applyProtection="1"/>
    <xf numFmtId="2" fontId="0" fillId="0" borderId="26" xfId="0" applyBorder="1" applyAlignment="1" applyProtection="1"/>
    <xf numFmtId="2" fontId="0" fillId="0" borderId="27" xfId="0" applyBorder="1" applyAlignment="1" applyProtection="1"/>
    <xf numFmtId="2" fontId="6" fillId="0" borderId="6" xfId="0" applyFont="1" applyBorder="1" applyAlignment="1" applyProtection="1">
      <alignment horizontal="left" vertical="top" wrapText="1"/>
    </xf>
    <xf numFmtId="2" fontId="0" fillId="0" borderId="8" xfId="0" applyBorder="1" applyAlignment="1" applyProtection="1">
      <alignment horizontal="left" vertical="top" wrapText="1"/>
    </xf>
    <xf numFmtId="2" fontId="6" fillId="0" borderId="7" xfId="0" applyFont="1" applyBorder="1" applyAlignment="1" applyProtection="1">
      <alignment horizontal="left" vertical="top" wrapText="1"/>
    </xf>
    <xf numFmtId="2" fontId="6" fillId="0" borderId="9" xfId="0" applyFont="1" applyBorder="1" applyAlignment="1" applyProtection="1">
      <alignment horizontal="left" vertical="top" wrapText="1"/>
    </xf>
    <xf numFmtId="49" fontId="6" fillId="0" borderId="38" xfId="0" applyNumberFormat="1" applyFont="1" applyBorder="1" applyAlignment="1" applyProtection="1">
      <alignment horizontal="left" vertical="top"/>
    </xf>
    <xf numFmtId="49" fontId="6" fillId="0" borderId="39" xfId="0" applyNumberFormat="1" applyFont="1" applyBorder="1" applyAlignment="1" applyProtection="1">
      <alignment horizontal="left" vertical="top"/>
    </xf>
    <xf numFmtId="49" fontId="6" fillId="0" borderId="12" xfId="0" applyNumberFormat="1" applyFont="1" applyBorder="1" applyAlignment="1" applyProtection="1">
      <alignment horizontal="left" vertical="top"/>
    </xf>
    <xf numFmtId="49" fontId="6" fillId="0" borderId="6" xfId="0" applyNumberFormat="1" applyFont="1" applyBorder="1" applyAlignment="1" applyProtection="1">
      <alignment horizontal="left" vertical="top"/>
    </xf>
    <xf numFmtId="49" fontId="6" fillId="0" borderId="25" xfId="0" applyNumberFormat="1" applyFont="1" applyBorder="1" applyAlignment="1" applyProtection="1">
      <alignment horizontal="left" vertical="top"/>
    </xf>
    <xf numFmtId="49" fontId="6" fillId="0" borderId="7" xfId="0" applyNumberFormat="1" applyFont="1" applyBorder="1" applyAlignment="1" applyProtection="1">
      <alignment horizontal="left" vertical="top"/>
    </xf>
    <xf numFmtId="2" fontId="6" fillId="0" borderId="60" xfId="0" applyFont="1" applyBorder="1" applyAlignment="1" applyProtection="1">
      <alignment horizontal="left" vertical="top"/>
    </xf>
    <xf numFmtId="2" fontId="0" fillId="0" borderId="27" xfId="0" applyBorder="1" applyAlignment="1" applyProtection="1">
      <alignment horizontal="left" vertical="top"/>
    </xf>
    <xf numFmtId="49" fontId="6" fillId="0" borderId="12" xfId="0" applyNumberFormat="1" applyFont="1" applyBorder="1" applyAlignment="1" applyProtection="1">
      <alignment horizontal="left" vertical="top" wrapText="1"/>
    </xf>
    <xf numFmtId="2" fontId="6" fillId="0" borderId="8" xfId="0" applyFont="1" applyBorder="1" applyAlignment="1" applyProtection="1">
      <alignment horizontal="left" vertical="top" wrapText="1"/>
    </xf>
    <xf numFmtId="1" fontId="5" fillId="4" borderId="46" xfId="0" applyNumberFormat="1" applyFont="1" applyFill="1" applyBorder="1" applyAlignment="1" applyProtection="1">
      <alignment horizontal="center" vertical="center"/>
    </xf>
    <xf numFmtId="1" fontId="5" fillId="4" borderId="18" xfId="0" applyNumberFormat="1" applyFont="1" applyFill="1" applyBorder="1" applyAlignment="1" applyProtection="1">
      <alignment horizontal="center" vertical="center"/>
    </xf>
    <xf numFmtId="2" fontId="5" fillId="4" borderId="46" xfId="0" applyNumberFormat="1" applyFont="1" applyFill="1" applyBorder="1" applyAlignment="1" applyProtection="1">
      <alignment horizontal="center" vertical="center" wrapText="1"/>
    </xf>
    <xf numFmtId="2" fontId="5" fillId="4" borderId="18" xfId="0" applyNumberFormat="1" applyFont="1" applyFill="1" applyBorder="1" applyAlignment="1" applyProtection="1">
      <alignment horizontal="center" vertical="center" wrapText="1"/>
    </xf>
    <xf numFmtId="2" fontId="7" fillId="4" borderId="11" xfId="0" applyFont="1" applyFill="1" applyBorder="1" applyAlignment="1" applyProtection="1">
      <alignment horizontal="left"/>
    </xf>
    <xf numFmtId="2" fontId="7" fillId="4" borderId="10" xfId="0" applyFont="1" applyFill="1" applyBorder="1" applyAlignment="1" applyProtection="1">
      <alignment horizontal="left"/>
    </xf>
    <xf numFmtId="2" fontId="5" fillId="4" borderId="57" xfId="0" applyFont="1" applyFill="1" applyBorder="1" applyAlignment="1" applyProtection="1">
      <alignment horizontal="left"/>
    </xf>
    <xf numFmtId="2" fontId="7" fillId="4" borderId="59" xfId="0" applyFont="1" applyFill="1" applyBorder="1" applyAlignment="1" applyProtection="1">
      <alignment horizontal="left"/>
    </xf>
    <xf numFmtId="2" fontId="5" fillId="4" borderId="45" xfId="0" applyFont="1" applyFill="1" applyBorder="1" applyAlignment="1" applyProtection="1">
      <alignment horizontal="center" vertical="center"/>
    </xf>
    <xf numFmtId="2" fontId="5" fillId="4" borderId="32" xfId="0" applyFont="1" applyFill="1" applyBorder="1" applyAlignment="1" applyProtection="1">
      <alignment horizontal="center" vertical="center"/>
    </xf>
    <xf numFmtId="2" fontId="5" fillId="4" borderId="11" xfId="2" applyFont="1" applyFill="1" applyBorder="1" applyAlignment="1" applyProtection="1">
      <alignment horizontal="left"/>
    </xf>
    <xf numFmtId="2" fontId="5" fillId="4" borderId="10" xfId="2" applyFont="1" applyFill="1" applyBorder="1" applyAlignment="1" applyProtection="1">
      <alignment horizontal="left"/>
    </xf>
    <xf numFmtId="2" fontId="6" fillId="4" borderId="11" xfId="0" applyFont="1" applyFill="1" applyBorder="1" applyAlignment="1" applyProtection="1">
      <alignment horizontal="left" vertical="center" wrapText="1"/>
    </xf>
    <xf numFmtId="2" fontId="6" fillId="4" borderId="22" xfId="0" applyFont="1" applyFill="1" applyBorder="1" applyAlignment="1" applyProtection="1">
      <alignment horizontal="left" vertical="center" wrapText="1"/>
    </xf>
    <xf numFmtId="2" fontId="6" fillId="4" borderId="10" xfId="0" applyFont="1" applyFill="1" applyBorder="1" applyAlignment="1" applyProtection="1">
      <alignment horizontal="left" vertical="center" wrapText="1"/>
    </xf>
    <xf numFmtId="2" fontId="5" fillId="3" borderId="6" xfId="0" applyFont="1" applyFill="1" applyBorder="1" applyAlignment="1" applyProtection="1">
      <alignment horizontal="center"/>
    </xf>
    <xf numFmtId="1" fontId="5" fillId="4" borderId="46" xfId="0" applyNumberFormat="1" applyFont="1" applyFill="1" applyBorder="1" applyAlignment="1" applyProtection="1">
      <alignment horizontal="center" vertical="center" wrapText="1"/>
    </xf>
    <xf numFmtId="1" fontId="5" fillId="4" borderId="18" xfId="0" applyNumberFormat="1" applyFont="1" applyFill="1" applyBorder="1" applyAlignment="1" applyProtection="1">
      <alignment horizontal="center" vertical="center" wrapText="1"/>
    </xf>
    <xf numFmtId="166" fontId="5" fillId="4" borderId="54" xfId="0" applyNumberFormat="1" applyFont="1" applyFill="1" applyBorder="1" applyAlignment="1" applyProtection="1">
      <alignment horizontal="center" vertical="center" wrapText="1"/>
    </xf>
    <xf numFmtId="166" fontId="5" fillId="4" borderId="55" xfId="0" applyNumberFormat="1" applyFont="1" applyFill="1" applyBorder="1" applyAlignment="1" applyProtection="1">
      <alignment horizontal="center" vertical="center" wrapText="1"/>
    </xf>
    <xf numFmtId="2" fontId="5" fillId="4" borderId="38" xfId="0" applyFont="1" applyFill="1" applyBorder="1" applyAlignment="1" applyProtection="1">
      <alignment horizontal="center" vertical="center"/>
    </xf>
    <xf numFmtId="2" fontId="5" fillId="4" borderId="12" xfId="0" applyFont="1" applyFill="1" applyBorder="1" applyAlignment="1" applyProtection="1">
      <alignment horizontal="center" vertical="center"/>
    </xf>
    <xf numFmtId="2" fontId="5" fillId="4" borderId="39" xfId="0" applyFont="1" applyFill="1" applyBorder="1" applyAlignment="1" applyProtection="1">
      <alignment horizontal="center" vertical="center"/>
    </xf>
    <xf numFmtId="2" fontId="5" fillId="4" borderId="6" xfId="0" applyFont="1" applyFill="1" applyBorder="1" applyAlignment="1" applyProtection="1">
      <alignment horizontal="center" vertical="center"/>
    </xf>
    <xf numFmtId="2" fontId="5" fillId="4" borderId="12" xfId="0" applyFont="1" applyFill="1" applyBorder="1" applyAlignment="1" applyProtection="1">
      <alignment horizontal="right" vertical="center"/>
    </xf>
    <xf numFmtId="2" fontId="5" fillId="4" borderId="6" xfId="0" applyFont="1" applyFill="1" applyBorder="1" applyAlignment="1" applyProtection="1">
      <alignment horizontal="right" vertical="center"/>
    </xf>
    <xf numFmtId="2" fontId="5" fillId="4" borderId="39" xfId="0" applyFont="1" applyFill="1" applyBorder="1" applyAlignment="1" applyProtection="1">
      <alignment horizontal="center"/>
    </xf>
    <xf numFmtId="2" fontId="5" fillId="4" borderId="40" xfId="0" applyFont="1" applyFill="1" applyBorder="1" applyAlignment="1" applyProtection="1">
      <alignment horizontal="center"/>
    </xf>
    <xf numFmtId="2" fontId="0" fillId="4" borderId="22" xfId="0" applyFill="1" applyBorder="1" applyAlignment="1" applyProtection="1">
      <alignment horizontal="left" vertical="center" wrapText="1"/>
    </xf>
    <xf numFmtId="2" fontId="0" fillId="4" borderId="10" xfId="0" applyFill="1" applyBorder="1" applyAlignment="1" applyProtection="1">
      <alignment horizontal="left" vertical="center" wrapText="1"/>
    </xf>
    <xf numFmtId="2" fontId="31" fillId="4" borderId="32" xfId="0" applyNumberFormat="1" applyFont="1" applyFill="1" applyBorder="1" applyAlignment="1">
      <alignment horizontal="right"/>
    </xf>
    <xf numFmtId="2" fontId="31" fillId="4" borderId="18" xfId="0" applyNumberFormat="1" applyFont="1" applyFill="1" applyBorder="1" applyAlignment="1">
      <alignment horizontal="right"/>
    </xf>
    <xf numFmtId="2" fontId="5" fillId="5" borderId="11" xfId="0" applyFont="1" applyFill="1" applyBorder="1" applyAlignment="1" applyProtection="1">
      <alignment horizontal="center"/>
    </xf>
    <xf numFmtId="2" fontId="5" fillId="5" borderId="22" xfId="0" applyFont="1" applyFill="1" applyBorder="1" applyAlignment="1" applyProtection="1">
      <alignment horizontal="center"/>
    </xf>
    <xf numFmtId="2" fontId="0" fillId="0" borderId="10" xfId="0" applyBorder="1" applyAlignment="1"/>
    <xf numFmtId="2" fontId="5" fillId="4" borderId="51" xfId="0" applyFont="1" applyFill="1" applyBorder="1" applyAlignment="1" applyProtection="1">
      <alignment horizontal="center" vertical="center"/>
    </xf>
    <xf numFmtId="2" fontId="5" fillId="4" borderId="46" xfId="0" applyFont="1" applyFill="1" applyBorder="1" applyAlignment="1" applyProtection="1">
      <alignment horizontal="center" vertical="center"/>
    </xf>
    <xf numFmtId="2" fontId="5" fillId="4" borderId="50" xfId="0" applyFont="1" applyFill="1" applyBorder="1" applyAlignment="1" applyProtection="1">
      <alignment horizontal="center" vertical="center"/>
    </xf>
    <xf numFmtId="2" fontId="5" fillId="4" borderId="78" xfId="0" applyFont="1" applyFill="1" applyBorder="1" applyAlignment="1" applyProtection="1">
      <alignment horizontal="center" vertical="center"/>
    </xf>
    <xf numFmtId="2" fontId="5" fillId="4" borderId="79" xfId="0" applyFont="1" applyFill="1" applyBorder="1" applyAlignment="1" applyProtection="1">
      <alignment horizontal="center" vertical="center"/>
    </xf>
    <xf numFmtId="2" fontId="5" fillId="4" borderId="24" xfId="0" applyFont="1" applyFill="1" applyBorder="1" applyAlignment="1" applyProtection="1">
      <alignment horizontal="center" vertical="center"/>
    </xf>
    <xf numFmtId="2" fontId="31" fillId="4" borderId="32" xfId="0" applyNumberFormat="1" applyFont="1" applyFill="1" applyBorder="1" applyAlignment="1" applyProtection="1">
      <alignment horizontal="right"/>
    </xf>
    <xf numFmtId="2" fontId="31" fillId="4" borderId="18" xfId="0" applyNumberFormat="1" applyFont="1" applyFill="1" applyBorder="1" applyAlignment="1" applyProtection="1">
      <alignment horizontal="right"/>
    </xf>
    <xf numFmtId="2" fontId="5" fillId="4" borderId="45" xfId="0" applyFont="1" applyFill="1" applyBorder="1" applyAlignment="1">
      <alignment horizontal="center" vertical="center"/>
    </xf>
    <xf numFmtId="2" fontId="5" fillId="4" borderId="51" xfId="0" applyFont="1" applyFill="1" applyBorder="1" applyAlignment="1">
      <alignment horizontal="center" vertical="center"/>
    </xf>
    <xf numFmtId="2" fontId="5" fillId="4" borderId="46" xfId="0" applyFont="1" applyFill="1" applyBorder="1" applyAlignment="1">
      <alignment horizontal="center" vertical="center"/>
    </xf>
    <xf numFmtId="2" fontId="5" fillId="4" borderId="50" xfId="0" applyFont="1" applyFill="1" applyBorder="1" applyAlignment="1">
      <alignment horizontal="center" vertical="center"/>
    </xf>
    <xf numFmtId="2" fontId="5" fillId="4" borderId="78" xfId="0" applyFont="1" applyFill="1" applyBorder="1" applyAlignment="1">
      <alignment horizontal="center" vertical="center"/>
    </xf>
    <xf numFmtId="2" fontId="5" fillId="4" borderId="79" xfId="0" applyFont="1" applyFill="1" applyBorder="1" applyAlignment="1">
      <alignment horizontal="center" vertical="center"/>
    </xf>
    <xf numFmtId="2" fontId="5" fillId="4" borderId="24" xfId="0" applyFont="1" applyFill="1" applyBorder="1" applyAlignment="1">
      <alignment horizontal="center" vertical="center"/>
    </xf>
    <xf numFmtId="2" fontId="5" fillId="0" borderId="13" xfId="0" applyFont="1" applyBorder="1" applyAlignment="1" applyProtection="1">
      <alignment horizontal="center" vertical="center"/>
    </xf>
    <xf numFmtId="2" fontId="5" fillId="0" borderId="26" xfId="0" applyFont="1" applyBorder="1" applyAlignment="1" applyProtection="1">
      <alignment horizontal="center" vertical="center"/>
    </xf>
    <xf numFmtId="2" fontId="5" fillId="0" borderId="27" xfId="0" applyFont="1" applyBorder="1" applyAlignment="1" applyProtection="1">
      <alignment horizontal="center" vertical="center"/>
    </xf>
    <xf numFmtId="2" fontId="33" fillId="7" borderId="11" xfId="2" applyFont="1" applyFill="1" applyBorder="1" applyAlignment="1" applyProtection="1">
      <alignment horizontal="center" vertical="center"/>
    </xf>
    <xf numFmtId="2" fontId="33" fillId="7" borderId="22" xfId="2" applyFont="1" applyFill="1" applyBorder="1" applyAlignment="1" applyProtection="1">
      <alignment horizontal="center" vertical="center"/>
    </xf>
    <xf numFmtId="2" fontId="33" fillId="7" borderId="10" xfId="2" applyFont="1" applyFill="1" applyBorder="1" applyAlignment="1" applyProtection="1">
      <alignment horizontal="center" vertical="center"/>
    </xf>
    <xf numFmtId="2" fontId="33" fillId="0" borderId="2" xfId="2" applyFont="1" applyBorder="1" applyAlignment="1" applyProtection="1">
      <alignment horizontal="justify" vertical="top" wrapText="1"/>
    </xf>
    <xf numFmtId="2" fontId="33" fillId="0" borderId="1" xfId="2" applyFont="1" applyBorder="1" applyAlignment="1" applyProtection="1">
      <alignment horizontal="justify" vertical="top" wrapText="1"/>
    </xf>
    <xf numFmtId="2" fontId="33" fillId="0" borderId="33" xfId="2" applyFont="1" applyBorder="1" applyAlignment="1" applyProtection="1">
      <alignment horizontal="justify" vertical="top" wrapText="1"/>
    </xf>
    <xf numFmtId="2" fontId="34" fillId="8" borderId="11" xfId="2" applyFont="1" applyFill="1" applyBorder="1" applyAlignment="1" applyProtection="1">
      <alignment horizontal="center" vertical="top" wrapText="1"/>
    </xf>
    <xf numFmtId="2" fontId="34" fillId="8" borderId="22" xfId="2" applyFont="1" applyFill="1" applyBorder="1" applyAlignment="1" applyProtection="1">
      <alignment horizontal="center" vertical="top" wrapText="1"/>
    </xf>
    <xf numFmtId="2" fontId="34" fillId="8" borderId="10" xfId="2" applyFont="1" applyFill="1" applyBorder="1" applyAlignment="1" applyProtection="1">
      <alignment horizontal="center" vertical="top" wrapText="1"/>
    </xf>
    <xf numFmtId="2" fontId="10" fillId="2" borderId="2" xfId="0" applyFont="1" applyFill="1" applyBorder="1" applyAlignment="1" applyProtection="1">
      <alignment horizontal="center" vertical="center"/>
    </xf>
    <xf numFmtId="2" fontId="10" fillId="2" borderId="1" xfId="0" applyFont="1" applyFill="1" applyBorder="1" applyAlignment="1" applyProtection="1">
      <alignment horizontal="center" vertical="center"/>
    </xf>
    <xf numFmtId="2" fontId="10" fillId="2" borderId="33" xfId="0" applyFont="1" applyFill="1" applyBorder="1" applyAlignment="1" applyProtection="1">
      <alignment horizontal="center" vertical="center"/>
    </xf>
    <xf numFmtId="2" fontId="5" fillId="0" borderId="75" xfId="0" applyFont="1" applyBorder="1" applyAlignment="1" applyProtection="1">
      <alignment horizontal="center" vertical="center"/>
    </xf>
    <xf numFmtId="2" fontId="5" fillId="0" borderId="76" xfId="0" applyFont="1" applyBorder="1" applyAlignment="1" applyProtection="1">
      <alignment horizontal="center" vertical="center"/>
    </xf>
    <xf numFmtId="2" fontId="5" fillId="0" borderId="77" xfId="0" applyFont="1" applyBorder="1" applyAlignment="1" applyProtection="1">
      <alignment horizontal="center" vertical="center"/>
    </xf>
    <xf numFmtId="2" fontId="5" fillId="0" borderId="37" xfId="0" applyFont="1" applyBorder="1" applyAlignment="1" applyProtection="1">
      <alignment horizontal="center" wrapText="1"/>
    </xf>
    <xf numFmtId="2" fontId="5" fillId="0" borderId="4" xfId="0" applyFont="1" applyBorder="1" applyAlignment="1" applyProtection="1">
      <alignment horizontal="center" wrapText="1"/>
    </xf>
    <xf numFmtId="2" fontId="5" fillId="0" borderId="0" xfId="0" applyFont="1" applyAlignment="1" applyProtection="1">
      <alignment horizontal="center" vertical="center" wrapText="1"/>
    </xf>
    <xf numFmtId="2" fontId="5" fillId="0" borderId="0" xfId="0" applyFont="1" applyAlignment="1" applyProtection="1">
      <alignment horizontal="center" wrapText="1"/>
    </xf>
    <xf numFmtId="2" fontId="5" fillId="0" borderId="37" xfId="0" applyFont="1" applyBorder="1" applyAlignment="1" applyProtection="1">
      <alignment horizontal="center"/>
    </xf>
    <xf numFmtId="2" fontId="5" fillId="0" borderId="4" xfId="0" applyFont="1" applyBorder="1" applyAlignment="1" applyProtection="1">
      <alignment horizontal="center"/>
    </xf>
    <xf numFmtId="2" fontId="6" fillId="0" borderId="62" xfId="0" applyFont="1" applyBorder="1" applyAlignment="1" applyProtection="1">
      <alignment horizontal="center"/>
    </xf>
    <xf numFmtId="2" fontId="6" fillId="0" borderId="5" xfId="0" applyFont="1" applyBorder="1" applyAlignment="1" applyProtection="1">
      <alignment horizontal="center"/>
    </xf>
    <xf numFmtId="2" fontId="0" fillId="0" borderId="62" xfId="0" applyBorder="1" applyAlignment="1" applyProtection="1">
      <alignment horizontal="center"/>
    </xf>
    <xf numFmtId="2" fontId="0" fillId="0" borderId="5" xfId="0" applyBorder="1" applyAlignment="1" applyProtection="1">
      <alignment horizontal="center"/>
    </xf>
    <xf numFmtId="2" fontId="19" fillId="0" borderId="0" xfId="0" applyFont="1" applyAlignment="1">
      <alignment horizontal="left" vertical="top"/>
    </xf>
    <xf numFmtId="2" fontId="17" fillId="0" borderId="0" xfId="0" applyFont="1" applyAlignment="1">
      <alignment horizontal="left"/>
    </xf>
    <xf numFmtId="2" fontId="5" fillId="0" borderId="38" xfId="0" applyFont="1" applyBorder="1" applyAlignment="1">
      <alignment horizontal="center" vertical="center"/>
    </xf>
    <xf numFmtId="2" fontId="5" fillId="0" borderId="31" xfId="0" applyFont="1" applyBorder="1" applyAlignment="1">
      <alignment horizontal="center" vertical="center"/>
    </xf>
    <xf numFmtId="2" fontId="5" fillId="0" borderId="39" xfId="0" applyFont="1" applyBorder="1" applyAlignment="1">
      <alignment horizontal="center" vertical="center"/>
    </xf>
    <xf numFmtId="2" fontId="5" fillId="0" borderId="19" xfId="0" applyFont="1" applyBorder="1" applyAlignment="1">
      <alignment horizontal="center" vertical="center"/>
    </xf>
    <xf numFmtId="2" fontId="6" fillId="0" borderId="23" xfId="0" applyFont="1" applyBorder="1" applyAlignment="1">
      <alignment horizontal="center" vertical="center"/>
    </xf>
    <xf numFmtId="2" fontId="0" fillId="0" borderId="28" xfId="0" applyBorder="1" applyAlignment="1">
      <alignment horizontal="center" vertical="center"/>
    </xf>
    <xf numFmtId="2" fontId="0" fillId="0" borderId="29" xfId="0" applyBorder="1" applyAlignment="1">
      <alignment horizontal="center" vertical="center"/>
    </xf>
    <xf numFmtId="2" fontId="5" fillId="0" borderId="46" xfId="0" applyFont="1" applyBorder="1" applyAlignment="1">
      <alignment horizontal="center" vertical="center"/>
    </xf>
    <xf numFmtId="2" fontId="5" fillId="0" borderId="18" xfId="0" applyFont="1" applyBorder="1" applyAlignment="1">
      <alignment horizontal="center" vertical="center"/>
    </xf>
    <xf numFmtId="2" fontId="5" fillId="0" borderId="46" xfId="0" applyFont="1" applyBorder="1" applyAlignment="1">
      <alignment horizontal="center" vertical="center" wrapText="1"/>
    </xf>
    <xf numFmtId="2" fontId="5" fillId="0" borderId="18" xfId="0" applyFont="1" applyBorder="1" applyAlignment="1">
      <alignment horizontal="center" vertical="center" wrapText="1"/>
    </xf>
    <xf numFmtId="2" fontId="5" fillId="5" borderId="47" xfId="0" applyFont="1" applyFill="1" applyBorder="1" applyAlignment="1">
      <alignment horizontal="left"/>
    </xf>
    <xf numFmtId="2" fontId="5" fillId="5" borderId="48" xfId="0" applyFont="1" applyFill="1" applyBorder="1" applyAlignment="1">
      <alignment horizontal="left"/>
    </xf>
    <xf numFmtId="2" fontId="5" fillId="5" borderId="49" xfId="0" applyFont="1" applyFill="1" applyBorder="1" applyAlignment="1">
      <alignment horizontal="left"/>
    </xf>
    <xf numFmtId="0" fontId="26" fillId="4" borderId="6" xfId="3" applyFont="1" applyFill="1" applyBorder="1" applyAlignment="1">
      <alignment horizontal="center"/>
    </xf>
  </cellXfs>
  <cellStyles count="9">
    <cellStyle name="Hyperlink" xfId="1" builtinId="8"/>
    <cellStyle name="Hyperlink 2" xfId="4"/>
    <cellStyle name="Normal" xfId="0" builtinId="0"/>
    <cellStyle name="Normal 2" xfId="2"/>
    <cellStyle name="Normal 2 2" xfId="5"/>
    <cellStyle name="Normal 2 3" xfId="6"/>
    <cellStyle name="Normal 3" xfId="3"/>
    <cellStyle name="Normal 4" xfId="7"/>
    <cellStyle name="Percent 2" xfId="8"/>
  </cellStyles>
  <dxfs count="12">
    <dxf>
      <font>
        <color rgb="FFFF0000"/>
      </font>
    </dxf>
    <dxf>
      <font>
        <color rgb="FFFF0000"/>
      </font>
    </dxf>
    <dxf>
      <font>
        <color rgb="FFFF0000"/>
      </font>
    </dxf>
    <dxf>
      <font>
        <color rgb="FFFF0000"/>
      </font>
    </dxf>
    <dxf>
      <font>
        <color rgb="FFFF0000"/>
      </font>
    </dxf>
    <dxf>
      <font>
        <color rgb="FFFF0000"/>
      </font>
    </dxf>
    <dxf>
      <fill>
        <patternFill>
          <bgColor rgb="FFFFFF99"/>
        </patternFill>
      </fill>
    </dxf>
    <dxf>
      <font>
        <color auto="1"/>
      </font>
    </dxf>
    <dxf>
      <font>
        <color theme="0" tint="-0.24994659260841701"/>
      </font>
      <fill>
        <patternFill>
          <bgColor theme="0" tint="-0.24994659260841701"/>
        </patternFill>
      </fill>
    </dxf>
    <dxf>
      <font>
        <color theme="0" tint="-0.1499679555650502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CC6600"/>
      <color rgb="FFFF0000"/>
      <color rgb="FFCC3300"/>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a.gov/air/tribal/pdfs/existing_source_registration_rev.pdf" TargetMode="External"/><Relationship Id="rId1" Type="http://schemas.openxmlformats.org/officeDocument/2006/relationships/hyperlink" Target="http://www.epa.gov/air/tribal/tribalnsr.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3" Type="http://schemas.openxmlformats.org/officeDocument/2006/relationships/hyperlink" Target="mailto:gupta.kaushal@epa.gov" TargetMode="External"/><Relationship Id="rId18" Type="http://schemas.openxmlformats.org/officeDocument/2006/relationships/hyperlink" Target="mailto:smith.claudia@epa.gov" TargetMode="External"/><Relationship Id="rId26" Type="http://schemas.openxmlformats.org/officeDocument/2006/relationships/hyperlink" Target="mailto:paser.kathleen@epa.gov" TargetMode="External"/><Relationship Id="rId39" Type="http://schemas.openxmlformats.org/officeDocument/2006/relationships/hyperlink" Target="mailto:oquendo.ana@epa.gov" TargetMode="External"/><Relationship Id="rId21" Type="http://schemas.openxmlformats.org/officeDocument/2006/relationships/hyperlink" Target="mailto:smith.claudia@epa.gov" TargetMode="External"/><Relationship Id="rId34" Type="http://schemas.openxmlformats.org/officeDocument/2006/relationships/hyperlink" Target="mailto:gupta.kaushal@epa.gov" TargetMode="External"/><Relationship Id="rId42" Type="http://schemas.openxmlformats.org/officeDocument/2006/relationships/hyperlink" Target="mailto:shepherd.lorinda@epa.gov" TargetMode="External"/><Relationship Id="rId47" Type="http://schemas.openxmlformats.org/officeDocument/2006/relationships/hyperlink" Target="mailto:shepherd.lorinda@epa.gov" TargetMode="External"/><Relationship Id="rId50" Type="http://schemas.openxmlformats.org/officeDocument/2006/relationships/hyperlink" Target="mailto:Gutierrez.roberto@epa.gov" TargetMode="External"/><Relationship Id="rId55" Type="http://schemas.openxmlformats.org/officeDocument/2006/relationships/hyperlink" Target="mailto:Gutierrez.roberto@epa.gov" TargetMode="External"/><Relationship Id="rId63" Type="http://schemas.openxmlformats.org/officeDocument/2006/relationships/hyperlink" Target="mailto:braganza.bonnie@epa.gov" TargetMode="External"/><Relationship Id="rId7" Type="http://schemas.openxmlformats.org/officeDocument/2006/relationships/hyperlink" Target="mailto:lau.gavin@epa.gov" TargetMode="External"/><Relationship Id="rId2" Type="http://schemas.openxmlformats.org/officeDocument/2006/relationships/hyperlink" Target="mailto:McCahill.brendan@epa.gov" TargetMode="External"/><Relationship Id="rId16" Type="http://schemas.openxmlformats.org/officeDocument/2006/relationships/hyperlink" Target="mailto:paser.kathleen@epa.gov" TargetMode="External"/><Relationship Id="rId20" Type="http://schemas.openxmlformats.org/officeDocument/2006/relationships/hyperlink" Target="mailto:smith.claudia@epa.gov" TargetMode="External"/><Relationship Id="rId29" Type="http://schemas.openxmlformats.org/officeDocument/2006/relationships/hyperlink" Target="mailto:webber.robert@epa.gov" TargetMode="External"/><Relationship Id="rId41" Type="http://schemas.openxmlformats.org/officeDocument/2006/relationships/hyperlink" Target="mailto:oquendo.ana@epa.gov" TargetMode="External"/><Relationship Id="rId54" Type="http://schemas.openxmlformats.org/officeDocument/2006/relationships/hyperlink" Target="mailto:Gutierrez.roberto@epa.gov" TargetMode="External"/><Relationship Id="rId62" Type="http://schemas.openxmlformats.org/officeDocument/2006/relationships/hyperlink" Target="mailto:braganza.bonnie@epa.gov" TargetMode="External"/><Relationship Id="rId1" Type="http://schemas.openxmlformats.org/officeDocument/2006/relationships/hyperlink" Target="mailto:McCahill.brendan@epa.gov" TargetMode="External"/><Relationship Id="rId6" Type="http://schemas.openxmlformats.org/officeDocument/2006/relationships/hyperlink" Target="mailto:McCahill.brendan@epa.gov" TargetMode="External"/><Relationship Id="rId11" Type="http://schemas.openxmlformats.org/officeDocument/2006/relationships/hyperlink" Target="mailto:oquendo.ana@epa.gov" TargetMode="External"/><Relationship Id="rId24" Type="http://schemas.openxmlformats.org/officeDocument/2006/relationships/hyperlink" Target="mailto:paser.kathleen@epa.gov" TargetMode="External"/><Relationship Id="rId32" Type="http://schemas.openxmlformats.org/officeDocument/2006/relationships/hyperlink" Target="mailto:gupta.kaushal@epa.gov" TargetMode="External"/><Relationship Id="rId37" Type="http://schemas.openxmlformats.org/officeDocument/2006/relationships/hyperlink" Target="mailto:oquendo.ana@epa.gov" TargetMode="External"/><Relationship Id="rId40" Type="http://schemas.openxmlformats.org/officeDocument/2006/relationships/hyperlink" Target="mailto:oquendo.ana@epa.gov" TargetMode="External"/><Relationship Id="rId45" Type="http://schemas.openxmlformats.org/officeDocument/2006/relationships/hyperlink" Target="mailto:shepherd.lorinda@epa.gov" TargetMode="External"/><Relationship Id="rId53" Type="http://schemas.openxmlformats.org/officeDocument/2006/relationships/hyperlink" Target="mailto:glass.geoffrey@epa.gov" TargetMode="External"/><Relationship Id="rId58" Type="http://schemas.openxmlformats.org/officeDocument/2006/relationships/hyperlink" Target="mailto:todd.bill@epa.gov" TargetMode="External"/><Relationship Id="rId66" Type="http://schemas.openxmlformats.org/officeDocument/2006/relationships/printerSettings" Target="../printerSettings/printerSettings14.bin"/><Relationship Id="rId5" Type="http://schemas.openxmlformats.org/officeDocument/2006/relationships/hyperlink" Target="mailto:McCahill.brendan@epa.gov" TargetMode="External"/><Relationship Id="rId15" Type="http://schemas.openxmlformats.org/officeDocument/2006/relationships/hyperlink" Target="mailto:smith.claudia@epa.gov" TargetMode="External"/><Relationship Id="rId23" Type="http://schemas.openxmlformats.org/officeDocument/2006/relationships/hyperlink" Target="mailto:paser.kathleen@epa.gov" TargetMode="External"/><Relationship Id="rId28" Type="http://schemas.openxmlformats.org/officeDocument/2006/relationships/hyperlink" Target="mailto:webber.robert@epa.gov" TargetMode="External"/><Relationship Id="rId36" Type="http://schemas.openxmlformats.org/officeDocument/2006/relationships/hyperlink" Target="mailto:oquendo.ana@epa.gov" TargetMode="External"/><Relationship Id="rId49" Type="http://schemas.openxmlformats.org/officeDocument/2006/relationships/hyperlink" Target="mailto:glass.geoffrey@epa.gov" TargetMode="External"/><Relationship Id="rId57" Type="http://schemas.openxmlformats.org/officeDocument/2006/relationships/hyperlink" Target="mailto:todd.bill@epa.gov" TargetMode="External"/><Relationship Id="rId61" Type="http://schemas.openxmlformats.org/officeDocument/2006/relationships/hyperlink" Target="mailto:braganza.bonnie@epa.gov" TargetMode="External"/><Relationship Id="rId10" Type="http://schemas.openxmlformats.org/officeDocument/2006/relationships/hyperlink" Target="mailto:Dholakia.umesh@epa.gov" TargetMode="External"/><Relationship Id="rId19" Type="http://schemas.openxmlformats.org/officeDocument/2006/relationships/hyperlink" Target="mailto:smith.claudia@epa.gov" TargetMode="External"/><Relationship Id="rId31" Type="http://schemas.openxmlformats.org/officeDocument/2006/relationships/hyperlink" Target="mailto:gupta.kaushal@epa.gov" TargetMode="External"/><Relationship Id="rId44" Type="http://schemas.openxmlformats.org/officeDocument/2006/relationships/hyperlink" Target="mailto:shepherd.lorinda@epa.gov" TargetMode="External"/><Relationship Id="rId52" Type="http://schemas.openxmlformats.org/officeDocument/2006/relationships/hyperlink" Target="mailto:glass.geoffrey@epa.gov" TargetMode="External"/><Relationship Id="rId60" Type="http://schemas.openxmlformats.org/officeDocument/2006/relationships/hyperlink" Target="mailto:todd.bill@epa.gov" TargetMode="External"/><Relationship Id="rId65" Type="http://schemas.openxmlformats.org/officeDocument/2006/relationships/hyperlink" Target="mailto:braganza.bonnie@epa.gov" TargetMode="External"/><Relationship Id="rId4" Type="http://schemas.openxmlformats.org/officeDocument/2006/relationships/hyperlink" Target="mailto:McCahill.brendan@epa.gov" TargetMode="External"/><Relationship Id="rId9" Type="http://schemas.openxmlformats.org/officeDocument/2006/relationships/hyperlink" Target="mailto:lau.gavin@epa.gov" TargetMode="External"/><Relationship Id="rId14" Type="http://schemas.openxmlformats.org/officeDocument/2006/relationships/hyperlink" Target="mailto:webber.robert@epa.gov" TargetMode="External"/><Relationship Id="rId22" Type="http://schemas.openxmlformats.org/officeDocument/2006/relationships/hyperlink" Target="mailto:paser.kathleen@epa.gov" TargetMode="External"/><Relationship Id="rId27" Type="http://schemas.openxmlformats.org/officeDocument/2006/relationships/hyperlink" Target="mailto:webber.robert@epa.gov" TargetMode="External"/><Relationship Id="rId30" Type="http://schemas.openxmlformats.org/officeDocument/2006/relationships/hyperlink" Target="mailto:gupta.kaushal@epa.gov" TargetMode="External"/><Relationship Id="rId35" Type="http://schemas.openxmlformats.org/officeDocument/2006/relationships/hyperlink" Target="mailto:oquendo.ana@epa.gov" TargetMode="External"/><Relationship Id="rId43" Type="http://schemas.openxmlformats.org/officeDocument/2006/relationships/hyperlink" Target="mailto:shepherd.lorinda@epa.gov" TargetMode="External"/><Relationship Id="rId48" Type="http://schemas.openxmlformats.org/officeDocument/2006/relationships/hyperlink" Target="mailto:shepherd.lorinda@epa.gov" TargetMode="External"/><Relationship Id="rId56" Type="http://schemas.openxmlformats.org/officeDocument/2006/relationships/hyperlink" Target="mailto:Gutierrez.roberto@epa.gov" TargetMode="External"/><Relationship Id="rId64" Type="http://schemas.openxmlformats.org/officeDocument/2006/relationships/hyperlink" Target="mailto:braganza.bonnie@epa.gov" TargetMode="External"/><Relationship Id="rId8" Type="http://schemas.openxmlformats.org/officeDocument/2006/relationships/hyperlink" Target="mailto:Dholakia.umesh@epa.gov" TargetMode="External"/><Relationship Id="rId51" Type="http://schemas.openxmlformats.org/officeDocument/2006/relationships/hyperlink" Target="mailto:glass.geoffrey@epa.gov" TargetMode="External"/><Relationship Id="rId3" Type="http://schemas.openxmlformats.org/officeDocument/2006/relationships/hyperlink" Target="mailto:McCahill.brendan@epa.gov" TargetMode="External"/><Relationship Id="rId12" Type="http://schemas.openxmlformats.org/officeDocument/2006/relationships/hyperlink" Target="mailto:shepherd.lorinda@epa.gov" TargetMode="External"/><Relationship Id="rId17" Type="http://schemas.openxmlformats.org/officeDocument/2006/relationships/hyperlink" Target="mailto:smith.claudia@epa.gov" TargetMode="External"/><Relationship Id="rId25" Type="http://schemas.openxmlformats.org/officeDocument/2006/relationships/hyperlink" Target="mailto:paser.kathleen@epa.gov" TargetMode="External"/><Relationship Id="rId33" Type="http://schemas.openxmlformats.org/officeDocument/2006/relationships/hyperlink" Target="mailto:gupta.kaushal@epa.gov" TargetMode="External"/><Relationship Id="rId38" Type="http://schemas.openxmlformats.org/officeDocument/2006/relationships/hyperlink" Target="mailto:oquendo.ana@epa.gov" TargetMode="External"/><Relationship Id="rId46" Type="http://schemas.openxmlformats.org/officeDocument/2006/relationships/hyperlink" Target="mailto:shepherd.lorinda@epa.gov" TargetMode="External"/><Relationship Id="rId59" Type="http://schemas.openxmlformats.org/officeDocument/2006/relationships/hyperlink" Target="mailto:todd.bill@epa.gov"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pa.gov/oar/oaqps/greenbk/ancl.html" TargetMode="Externa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hyperlink" Target="mailto:jonathan_dorn@abtassoc.com" TargetMode="External"/><Relationship Id="rId7" Type="http://schemas.openxmlformats.org/officeDocument/2006/relationships/printerSettings" Target="../printerSettings/printerSettings9.bin"/><Relationship Id="rId2" Type="http://schemas.openxmlformats.org/officeDocument/2006/relationships/hyperlink" Target="mailto:jonathan_dorn@abtassoc.com" TargetMode="External"/><Relationship Id="rId1" Type="http://schemas.openxmlformats.org/officeDocument/2006/relationships/hyperlink" Target="mailto:jonathan_dorn@abtassoc.com" TargetMode="External"/><Relationship Id="rId6" Type="http://schemas.openxmlformats.org/officeDocument/2006/relationships/hyperlink" Target="mailto:jonathan_dorn@abtassoc.com" TargetMode="External"/><Relationship Id="rId5" Type="http://schemas.openxmlformats.org/officeDocument/2006/relationships/hyperlink" Target="mailto:jonathan_dorn@abtassoc.com" TargetMode="External"/><Relationship Id="rId4" Type="http://schemas.openxmlformats.org/officeDocument/2006/relationships/hyperlink" Target="mailto:jonathan_dorn@abtassoc.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7"/>
  <sheetViews>
    <sheetView showGridLines="0" tabSelected="1" zoomScaleNormal="100" workbookViewId="0">
      <selection sqref="A1:XFD1"/>
    </sheetView>
  </sheetViews>
  <sheetFormatPr defaultColWidth="9.109375" defaultRowHeight="13.2" x14ac:dyDescent="0.25"/>
  <cols>
    <col min="1" max="1" width="2.109375" style="108" customWidth="1"/>
    <col min="2" max="2" width="5.88671875" style="268" customWidth="1"/>
    <col min="3" max="3" width="120.88671875" style="52" customWidth="1"/>
    <col min="4" max="16384" width="9.109375" style="108"/>
  </cols>
  <sheetData>
    <row r="1" spans="2:6" ht="17.399999999999999" x14ac:dyDescent="0.25">
      <c r="B1" s="370" t="s">
        <v>366</v>
      </c>
      <c r="C1" s="370"/>
    </row>
    <row r="2" spans="2:6" ht="15.6" x14ac:dyDescent="0.25">
      <c r="B2" s="371" t="s">
        <v>367</v>
      </c>
      <c r="C2" s="371"/>
    </row>
    <row r="3" spans="2:6" x14ac:dyDescent="0.25">
      <c r="B3" s="261"/>
      <c r="C3" s="108"/>
    </row>
    <row r="4" spans="2:6" x14ac:dyDescent="0.25">
      <c r="B4" s="366" t="s">
        <v>368</v>
      </c>
      <c r="C4" s="366"/>
    </row>
    <row r="5" spans="2:6" ht="75" customHeight="1" x14ac:dyDescent="0.25">
      <c r="B5" s="367" t="s">
        <v>467</v>
      </c>
      <c r="C5" s="367"/>
      <c r="F5" s="262"/>
    </row>
    <row r="6" spans="2:6" ht="18" customHeight="1" x14ac:dyDescent="0.25">
      <c r="B6" s="369" t="s">
        <v>369</v>
      </c>
      <c r="C6" s="369"/>
      <c r="F6" s="262"/>
    </row>
    <row r="7" spans="2:6" ht="15" customHeight="1" x14ac:dyDescent="0.25">
      <c r="B7" s="263"/>
      <c r="C7" s="108"/>
    </row>
    <row r="8" spans="2:6" x14ac:dyDescent="0.25">
      <c r="B8" s="366" t="s">
        <v>370</v>
      </c>
      <c r="C8" s="366"/>
    </row>
    <row r="9" spans="2:6" ht="97.5" customHeight="1" x14ac:dyDescent="0.25">
      <c r="B9" s="367" t="s">
        <v>371</v>
      </c>
      <c r="C9" s="367"/>
    </row>
    <row r="10" spans="2:6" ht="15" customHeight="1" x14ac:dyDescent="0.25">
      <c r="B10" s="263"/>
      <c r="C10" s="108"/>
    </row>
    <row r="11" spans="2:6" x14ac:dyDescent="0.25">
      <c r="B11" s="366" t="s">
        <v>372</v>
      </c>
      <c r="C11" s="366"/>
    </row>
    <row r="12" spans="2:6" ht="84" customHeight="1" x14ac:dyDescent="0.25">
      <c r="B12" s="367" t="s">
        <v>373</v>
      </c>
      <c r="C12" s="367"/>
    </row>
    <row r="13" spans="2:6" ht="15" customHeight="1" x14ac:dyDescent="0.25">
      <c r="B13" s="263"/>
      <c r="C13" s="108"/>
    </row>
    <row r="14" spans="2:6" x14ac:dyDescent="0.25">
      <c r="B14" s="366" t="s">
        <v>374</v>
      </c>
      <c r="C14" s="366"/>
    </row>
    <row r="15" spans="2:6" ht="18.75" customHeight="1" x14ac:dyDescent="0.25">
      <c r="B15" s="367" t="s">
        <v>375</v>
      </c>
      <c r="C15" s="367"/>
    </row>
    <row r="16" spans="2:6" ht="15.75" customHeight="1" x14ac:dyDescent="0.25">
      <c r="B16" s="264" t="s">
        <v>376</v>
      </c>
      <c r="C16" s="265" t="s">
        <v>377</v>
      </c>
    </row>
    <row r="17" spans="2:3" ht="27.75" customHeight="1" x14ac:dyDescent="0.25">
      <c r="B17" s="264" t="s">
        <v>378</v>
      </c>
      <c r="C17" s="265" t="s">
        <v>477</v>
      </c>
    </row>
    <row r="18" spans="2:3" ht="9" customHeight="1" x14ac:dyDescent="0.25">
      <c r="B18" s="342"/>
      <c r="C18" s="108"/>
    </row>
    <row r="19" spans="2:3" x14ac:dyDescent="0.25">
      <c r="B19" s="366" t="s">
        <v>379</v>
      </c>
      <c r="C19" s="366"/>
    </row>
    <row r="20" spans="2:3" ht="18" customHeight="1" x14ac:dyDescent="0.25">
      <c r="B20" s="367" t="s">
        <v>380</v>
      </c>
      <c r="C20" s="367"/>
    </row>
    <row r="21" spans="2:3" x14ac:dyDescent="0.25">
      <c r="B21" s="264" t="s">
        <v>376</v>
      </c>
      <c r="C21" s="266" t="s">
        <v>381</v>
      </c>
    </row>
    <row r="22" spans="2:3" x14ac:dyDescent="0.25">
      <c r="B22" s="264" t="s">
        <v>378</v>
      </c>
      <c r="C22" s="266" t="s">
        <v>382</v>
      </c>
    </row>
    <row r="23" spans="2:3" x14ac:dyDescent="0.25">
      <c r="B23" s="264" t="s">
        <v>383</v>
      </c>
      <c r="C23" s="266" t="s">
        <v>384</v>
      </c>
    </row>
    <row r="24" spans="2:3" x14ac:dyDescent="0.25">
      <c r="B24" s="108"/>
      <c r="C24" s="342"/>
    </row>
    <row r="25" spans="2:3" x14ac:dyDescent="0.25">
      <c r="B25" s="366" t="s">
        <v>385</v>
      </c>
      <c r="C25" s="366"/>
    </row>
    <row r="26" spans="2:3" ht="51" customHeight="1" x14ac:dyDescent="0.25">
      <c r="B26" s="368" t="s">
        <v>386</v>
      </c>
      <c r="C26" s="368"/>
    </row>
    <row r="27" spans="2:3" ht="24" customHeight="1" x14ac:dyDescent="0.25">
      <c r="B27" s="369" t="s">
        <v>387</v>
      </c>
      <c r="C27" s="367"/>
    </row>
    <row r="28" spans="2:3" x14ac:dyDescent="0.25">
      <c r="B28" s="267"/>
      <c r="C28" s="108"/>
    </row>
    <row r="29" spans="2:3" x14ac:dyDescent="0.25">
      <c r="B29" s="366" t="s">
        <v>388</v>
      </c>
      <c r="C29" s="366"/>
    </row>
    <row r="30" spans="2:3" ht="53.25" customHeight="1" x14ac:dyDescent="0.25">
      <c r="B30" s="367" t="s">
        <v>389</v>
      </c>
      <c r="C30" s="367"/>
    </row>
    <row r="31" spans="2:3" x14ac:dyDescent="0.25">
      <c r="B31" s="263"/>
      <c r="C31" s="108"/>
    </row>
    <row r="32" spans="2:3" x14ac:dyDescent="0.25">
      <c r="B32" s="366" t="s">
        <v>390</v>
      </c>
      <c r="C32" s="366"/>
    </row>
    <row r="33" spans="2:3" x14ac:dyDescent="0.25">
      <c r="B33" s="264" t="s">
        <v>376</v>
      </c>
      <c r="C33" s="265" t="s">
        <v>391</v>
      </c>
    </row>
    <row r="34" spans="2:3" x14ac:dyDescent="0.25">
      <c r="B34" s="264" t="s">
        <v>378</v>
      </c>
      <c r="C34" s="265" t="s">
        <v>392</v>
      </c>
    </row>
    <row r="35" spans="2:3" ht="26.4" x14ac:dyDescent="0.25">
      <c r="B35" s="264" t="s">
        <v>383</v>
      </c>
      <c r="C35" s="265" t="s">
        <v>478</v>
      </c>
    </row>
    <row r="36" spans="2:3" ht="26.4" x14ac:dyDescent="0.25">
      <c r="B36" s="264" t="s">
        <v>393</v>
      </c>
      <c r="C36" s="265" t="s">
        <v>476</v>
      </c>
    </row>
    <row r="37" spans="2:3" x14ac:dyDescent="0.25">
      <c r="B37" s="264" t="s">
        <v>394</v>
      </c>
      <c r="C37" s="265" t="s">
        <v>395</v>
      </c>
    </row>
  </sheetData>
  <sheetProtection password="C969" sheet="1" objects="1" scenarios="1"/>
  <mergeCells count="19">
    <mergeCell ref="B19:C19"/>
    <mergeCell ref="B1:C1"/>
    <mergeCell ref="B2:C2"/>
    <mergeCell ref="B4:C4"/>
    <mergeCell ref="B5:C5"/>
    <mergeCell ref="B6:C6"/>
    <mergeCell ref="B8:C8"/>
    <mergeCell ref="B9:C9"/>
    <mergeCell ref="B11:C11"/>
    <mergeCell ref="B12:C12"/>
    <mergeCell ref="B14:C14"/>
    <mergeCell ref="B15:C15"/>
    <mergeCell ref="B32:C32"/>
    <mergeCell ref="B20:C20"/>
    <mergeCell ref="B25:C25"/>
    <mergeCell ref="B26:C26"/>
    <mergeCell ref="B27:C27"/>
    <mergeCell ref="B29:C29"/>
    <mergeCell ref="B30:C30"/>
  </mergeCells>
  <hyperlinks>
    <hyperlink ref="B6:C6" r:id="rId1" display="Please visit http://www.epa.gov/air/tribal/tribalnsr.html for more information about the Tribal NSR Rule."/>
    <hyperlink ref="B27" r:id="rId2"/>
  </hyperlinks>
  <pageMargins left="0.7" right="0.7" top="0.75" bottom="0.75" header="0.3" footer="0.3"/>
  <pageSetup scale="72" orientation="portrait" r:id="rId3"/>
  <headerFooter>
    <oddFooter>&amp;LPage &amp;P of &amp;N&amp;C&amp;F&amp;RPrinted &amp;D</oddFooter>
  </headerFooter>
  <ignoredErrors>
    <ignoredError sqref="B16:B17 B21:B23 B33:B3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E21"/>
  <sheetViews>
    <sheetView workbookViewId="0"/>
  </sheetViews>
  <sheetFormatPr defaultRowHeight="13.2" x14ac:dyDescent="0.25"/>
  <cols>
    <col min="1" max="1" width="19.88671875" bestFit="1" customWidth="1"/>
    <col min="2" max="2" width="15" bestFit="1" customWidth="1"/>
    <col min="3" max="3" width="25.5546875" style="18" bestFit="1" customWidth="1"/>
    <col min="4" max="4" width="27.6640625" style="18" bestFit="1" customWidth="1"/>
    <col min="5" max="5" width="228.109375" bestFit="1" customWidth="1"/>
  </cols>
  <sheetData>
    <row r="1" spans="1:5" ht="17.399999999999999" x14ac:dyDescent="0.3">
      <c r="A1" s="6" t="s">
        <v>88</v>
      </c>
    </row>
    <row r="2" spans="1:5" ht="13.8" thickBot="1" x14ac:dyDescent="0.3"/>
    <row r="3" spans="1:5" x14ac:dyDescent="0.25">
      <c r="A3" s="521" t="s">
        <v>89</v>
      </c>
      <c r="B3" s="522"/>
      <c r="C3" s="522"/>
      <c r="D3" s="522"/>
      <c r="E3" s="523"/>
    </row>
    <row r="4" spans="1:5" x14ac:dyDescent="0.25">
      <c r="A4" s="27" t="s">
        <v>33</v>
      </c>
      <c r="B4" s="22" t="s">
        <v>64</v>
      </c>
      <c r="C4" s="23" t="s">
        <v>65</v>
      </c>
      <c r="D4" s="23" t="s">
        <v>66</v>
      </c>
      <c r="E4" s="35" t="s">
        <v>72</v>
      </c>
    </row>
    <row r="5" spans="1:5" x14ac:dyDescent="0.25">
      <c r="A5" s="29" t="s">
        <v>108</v>
      </c>
      <c r="B5" s="10">
        <v>19.832000000000001</v>
      </c>
      <c r="C5" s="24" t="s">
        <v>81</v>
      </c>
      <c r="D5" s="24" t="s">
        <v>69</v>
      </c>
      <c r="E5" s="46" t="s">
        <v>110</v>
      </c>
    </row>
    <row r="6" spans="1:5" x14ac:dyDescent="0.25">
      <c r="A6" s="29" t="s">
        <v>109</v>
      </c>
      <c r="B6" s="10">
        <v>19.832000000000001</v>
      </c>
      <c r="C6" s="24" t="s">
        <v>81</v>
      </c>
      <c r="D6" s="24" t="s">
        <v>69</v>
      </c>
      <c r="E6" s="46" t="s">
        <v>110</v>
      </c>
    </row>
    <row r="7" spans="1:5" x14ac:dyDescent="0.25">
      <c r="A7" s="29" t="s">
        <v>60</v>
      </c>
      <c r="B7" s="10">
        <v>5.67</v>
      </c>
      <c r="C7" s="24" t="s">
        <v>81</v>
      </c>
      <c r="D7" s="24" t="s">
        <v>70</v>
      </c>
      <c r="E7" s="46" t="s">
        <v>102</v>
      </c>
    </row>
    <row r="8" spans="1:5" x14ac:dyDescent="0.25">
      <c r="A8" s="29" t="s">
        <v>58</v>
      </c>
      <c r="B8" s="10">
        <v>3.8492000000000002</v>
      </c>
      <c r="C8" s="24" t="s">
        <v>81</v>
      </c>
      <c r="D8" s="24" t="s">
        <v>70</v>
      </c>
      <c r="E8" s="46" t="s">
        <v>101</v>
      </c>
    </row>
    <row r="9" spans="1:5" ht="15.6" x14ac:dyDescent="0.25">
      <c r="A9" s="29" t="s">
        <v>59</v>
      </c>
      <c r="B9" s="10">
        <v>1023</v>
      </c>
      <c r="C9" s="24" t="s">
        <v>67</v>
      </c>
      <c r="D9" s="24" t="s">
        <v>71</v>
      </c>
      <c r="E9" s="46" t="s">
        <v>103</v>
      </c>
    </row>
    <row r="10" spans="1:5" x14ac:dyDescent="0.25">
      <c r="A10" s="29" t="s">
        <v>56</v>
      </c>
      <c r="B10" s="10">
        <v>5.8250000000000002</v>
      </c>
      <c r="C10" s="24" t="s">
        <v>81</v>
      </c>
      <c r="D10" s="24" t="s">
        <v>70</v>
      </c>
      <c r="E10" s="46" t="s">
        <v>102</v>
      </c>
    </row>
    <row r="11" spans="1:5" ht="13.8" thickBot="1" x14ac:dyDescent="0.3">
      <c r="A11" s="31" t="s">
        <v>57</v>
      </c>
      <c r="B11" s="32">
        <v>6.2869999999999999</v>
      </c>
      <c r="C11" s="33" t="s">
        <v>81</v>
      </c>
      <c r="D11" s="33" t="s">
        <v>70</v>
      </c>
      <c r="E11" s="46" t="s">
        <v>102</v>
      </c>
    </row>
    <row r="12" spans="1:5" ht="13.8" thickBot="1" x14ac:dyDescent="0.3">
      <c r="A12" s="9"/>
    </row>
    <row r="13" spans="1:5" x14ac:dyDescent="0.25">
      <c r="A13" s="521" t="s">
        <v>90</v>
      </c>
      <c r="B13" s="522"/>
      <c r="C13" s="522"/>
      <c r="D13" s="523"/>
    </row>
    <row r="14" spans="1:5" x14ac:dyDescent="0.25">
      <c r="A14" s="27" t="s">
        <v>33</v>
      </c>
      <c r="B14" s="22" t="s">
        <v>64</v>
      </c>
      <c r="C14" s="23" t="s">
        <v>65</v>
      </c>
      <c r="D14" s="28" t="s">
        <v>66</v>
      </c>
      <c r="E14" s="25"/>
    </row>
    <row r="15" spans="1:5" x14ac:dyDescent="0.25">
      <c r="A15" s="29" t="s">
        <v>108</v>
      </c>
      <c r="B15" s="10">
        <f>B5</f>
        <v>19.832000000000001</v>
      </c>
      <c r="C15" s="24" t="s">
        <v>81</v>
      </c>
      <c r="D15" s="30" t="s">
        <v>82</v>
      </c>
    </row>
    <row r="16" spans="1:5" x14ac:dyDescent="0.25">
      <c r="A16" s="29" t="s">
        <v>109</v>
      </c>
      <c r="B16" s="10">
        <f>B5</f>
        <v>19.832000000000001</v>
      </c>
      <c r="C16" s="24" t="s">
        <v>81</v>
      </c>
      <c r="D16" s="30" t="s">
        <v>82</v>
      </c>
    </row>
    <row r="17" spans="1:4" x14ac:dyDescent="0.25">
      <c r="A17" s="29" t="s">
        <v>60</v>
      </c>
      <c r="B17" s="10">
        <f>5.67*1000/42</f>
        <v>135</v>
      </c>
      <c r="C17" s="24" t="s">
        <v>81</v>
      </c>
      <c r="D17" s="30" t="s">
        <v>79</v>
      </c>
    </row>
    <row r="18" spans="1:4" x14ac:dyDescent="0.25">
      <c r="A18" s="29" t="s">
        <v>58</v>
      </c>
      <c r="B18" s="10">
        <f>3.86*1000/42</f>
        <v>91.904761904761898</v>
      </c>
      <c r="C18" s="24" t="s">
        <v>81</v>
      </c>
      <c r="D18" s="30" t="s">
        <v>79</v>
      </c>
    </row>
    <row r="19" spans="1:4" x14ac:dyDescent="0.25">
      <c r="A19" s="29" t="s">
        <v>59</v>
      </c>
      <c r="B19" s="10">
        <f>B9</f>
        <v>1023</v>
      </c>
      <c r="C19" s="24" t="s">
        <v>81</v>
      </c>
      <c r="D19" s="30" t="s">
        <v>80</v>
      </c>
    </row>
    <row r="20" spans="1:4" x14ac:dyDescent="0.25">
      <c r="A20" s="29" t="s">
        <v>56</v>
      </c>
      <c r="B20" s="10">
        <f>B10*1000/42</f>
        <v>138.6904761904762</v>
      </c>
      <c r="C20" s="24" t="s">
        <v>81</v>
      </c>
      <c r="D20" s="30" t="s">
        <v>79</v>
      </c>
    </row>
    <row r="21" spans="1:4" ht="13.8" thickBot="1" x14ac:dyDescent="0.3">
      <c r="A21" s="31" t="s">
        <v>57</v>
      </c>
      <c r="B21" s="32">
        <f>B11*1000/42</f>
        <v>149.6904761904762</v>
      </c>
      <c r="C21" s="33" t="s">
        <v>81</v>
      </c>
      <c r="D21" s="34" t="s">
        <v>79</v>
      </c>
    </row>
  </sheetData>
  <mergeCells count="2">
    <mergeCell ref="A13:D13"/>
    <mergeCell ref="A3:E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7"/>
  <sheetViews>
    <sheetView workbookViewId="0"/>
  </sheetViews>
  <sheetFormatPr defaultRowHeight="13.2" x14ac:dyDescent="0.25"/>
  <cols>
    <col min="1" max="1" width="41.33203125" bestFit="1" customWidth="1"/>
    <col min="2" max="2" width="41.33203125" hidden="1" customWidth="1"/>
    <col min="3" max="4" width="20.6640625" style="18" customWidth="1"/>
    <col min="5" max="5" width="31.33203125" customWidth="1"/>
  </cols>
  <sheetData>
    <row r="1" spans="1:5" ht="17.399999999999999" x14ac:dyDescent="0.3">
      <c r="A1" s="6" t="s">
        <v>123</v>
      </c>
      <c r="B1" s="6"/>
      <c r="C1" s="119"/>
      <c r="D1" s="119"/>
    </row>
    <row r="2" spans="1:5" ht="12" customHeight="1" thickBot="1" x14ac:dyDescent="0.3">
      <c r="A2" s="9"/>
      <c r="B2" s="9"/>
      <c r="C2" s="118"/>
      <c r="D2" s="118"/>
    </row>
    <row r="3" spans="1:5" ht="13.5" customHeight="1" thickBot="1" x14ac:dyDescent="0.3">
      <c r="A3" s="232" t="s">
        <v>125</v>
      </c>
      <c r="B3" s="247"/>
      <c r="C3" s="233" t="s">
        <v>126</v>
      </c>
      <c r="D3" s="233" t="s">
        <v>363</v>
      </c>
      <c r="E3" s="234" t="s">
        <v>72</v>
      </c>
    </row>
    <row r="4" spans="1:5" x14ac:dyDescent="0.25">
      <c r="A4" s="29" t="s">
        <v>452</v>
      </c>
      <c r="B4" s="248"/>
      <c r="C4" s="24">
        <v>1</v>
      </c>
      <c r="D4" s="257" t="s">
        <v>364</v>
      </c>
      <c r="E4" s="46" t="s">
        <v>447</v>
      </c>
    </row>
    <row r="5" spans="1:5" x14ac:dyDescent="0.25">
      <c r="A5" s="29" t="s">
        <v>453</v>
      </c>
      <c r="B5" s="248"/>
      <c r="C5" s="24">
        <v>1</v>
      </c>
      <c r="D5" s="257" t="s">
        <v>364</v>
      </c>
      <c r="E5" s="46" t="s">
        <v>447</v>
      </c>
    </row>
    <row r="6" spans="1:5" x14ac:dyDescent="0.25">
      <c r="A6" s="29" t="s">
        <v>454</v>
      </c>
      <c r="B6" s="248"/>
      <c r="C6" s="24">
        <v>0.3</v>
      </c>
      <c r="D6" s="257" t="s">
        <v>364</v>
      </c>
      <c r="E6" s="46" t="s">
        <v>448</v>
      </c>
    </row>
    <row r="7" spans="1:5" x14ac:dyDescent="0.25">
      <c r="A7" s="29" t="s">
        <v>455</v>
      </c>
      <c r="B7" s="248"/>
      <c r="C7" s="24">
        <v>0.5</v>
      </c>
      <c r="D7" s="257" t="s">
        <v>364</v>
      </c>
      <c r="E7" s="46" t="s">
        <v>424</v>
      </c>
    </row>
    <row r="8" spans="1:5" x14ac:dyDescent="0.25">
      <c r="A8" s="29" t="s">
        <v>456</v>
      </c>
      <c r="B8" s="248"/>
      <c r="C8" s="24">
        <v>1.75</v>
      </c>
      <c r="D8" s="257" t="s">
        <v>364</v>
      </c>
      <c r="E8" s="46" t="s">
        <v>449</v>
      </c>
    </row>
    <row r="9" spans="1:5" x14ac:dyDescent="0.25">
      <c r="A9" s="228" t="s">
        <v>457</v>
      </c>
      <c r="B9" s="246"/>
      <c r="C9" s="141">
        <v>48</v>
      </c>
      <c r="D9" s="258" t="s">
        <v>365</v>
      </c>
      <c r="E9" s="46" t="s">
        <v>450</v>
      </c>
    </row>
    <row r="10" spans="1:5" x14ac:dyDescent="0.25">
      <c r="A10" s="228" t="s">
        <v>458</v>
      </c>
      <c r="B10" s="246"/>
      <c r="C10" s="141">
        <v>48</v>
      </c>
      <c r="D10" s="258" t="s">
        <v>365</v>
      </c>
      <c r="E10" s="46" t="s">
        <v>450</v>
      </c>
    </row>
    <row r="11" spans="1:5" x14ac:dyDescent="0.25">
      <c r="A11" s="140" t="s">
        <v>430</v>
      </c>
      <c r="B11" s="249" t="s">
        <v>108</v>
      </c>
      <c r="C11" s="244">
        <v>1</v>
      </c>
      <c r="D11" s="244" t="s">
        <v>364</v>
      </c>
      <c r="E11" s="46" t="s">
        <v>447</v>
      </c>
    </row>
    <row r="12" spans="1:5" x14ac:dyDescent="0.25">
      <c r="A12" s="140" t="s">
        <v>431</v>
      </c>
      <c r="B12" s="249" t="s">
        <v>109</v>
      </c>
      <c r="C12" s="244">
        <v>1</v>
      </c>
      <c r="D12" s="244" t="s">
        <v>364</v>
      </c>
      <c r="E12" s="46" t="s">
        <v>447</v>
      </c>
    </row>
    <row r="13" spans="1:5" x14ac:dyDescent="0.25">
      <c r="A13" s="140" t="s">
        <v>432</v>
      </c>
      <c r="B13" s="249" t="s">
        <v>60</v>
      </c>
      <c r="C13" s="244">
        <v>0.24</v>
      </c>
      <c r="D13" s="244" t="s">
        <v>364</v>
      </c>
      <c r="E13" s="120" t="s">
        <v>124</v>
      </c>
    </row>
    <row r="14" spans="1:5" x14ac:dyDescent="0.25">
      <c r="A14" s="140" t="s">
        <v>433</v>
      </c>
      <c r="B14" s="249" t="s">
        <v>56</v>
      </c>
      <c r="C14" s="244">
        <v>0.24</v>
      </c>
      <c r="D14" s="244" t="s">
        <v>364</v>
      </c>
      <c r="E14" s="140" t="s">
        <v>360</v>
      </c>
    </row>
    <row r="15" spans="1:5" x14ac:dyDescent="0.25">
      <c r="A15" s="140" t="s">
        <v>434</v>
      </c>
      <c r="B15" s="249" t="s">
        <v>57</v>
      </c>
      <c r="C15" s="244">
        <v>1</v>
      </c>
      <c r="D15" s="244" t="s">
        <v>364</v>
      </c>
      <c r="E15" s="140" t="s">
        <v>360</v>
      </c>
    </row>
    <row r="16" spans="1:5" x14ac:dyDescent="0.25">
      <c r="A16" s="228" t="s">
        <v>435</v>
      </c>
      <c r="B16" s="249" t="s">
        <v>59</v>
      </c>
      <c r="C16" s="141">
        <v>0.2</v>
      </c>
      <c r="D16" s="141" t="s">
        <v>365</v>
      </c>
      <c r="E16" s="245" t="s">
        <v>451</v>
      </c>
    </row>
    <row r="17" spans="1:5" ht="13.8" thickBot="1" x14ac:dyDescent="0.3">
      <c r="A17" s="229" t="s">
        <v>436</v>
      </c>
      <c r="B17" s="250" t="s">
        <v>58</v>
      </c>
      <c r="C17" s="230">
        <v>0.2</v>
      </c>
      <c r="D17" s="259" t="s">
        <v>365</v>
      </c>
      <c r="E17" s="231" t="s">
        <v>140</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5"/>
  <sheetViews>
    <sheetView workbookViewId="0"/>
  </sheetViews>
  <sheetFormatPr defaultColWidth="9.109375" defaultRowHeight="14.4" x14ac:dyDescent="0.3"/>
  <cols>
    <col min="1" max="1" width="47.33203125" style="159" bestFit="1" customWidth="1"/>
    <col min="2" max="2" width="17.88671875" style="158" bestFit="1" customWidth="1"/>
    <col min="3" max="3" width="11" style="158" bestFit="1" customWidth="1"/>
    <col min="4" max="4" width="19.44140625" style="159" bestFit="1" customWidth="1"/>
    <col min="5" max="5" width="14.33203125" style="159" bestFit="1" customWidth="1"/>
    <col min="6" max="6" width="26" style="159" bestFit="1" customWidth="1"/>
    <col min="7" max="7" width="18.6640625" style="159" bestFit="1" customWidth="1"/>
    <col min="8" max="8" width="14.33203125" style="159" bestFit="1" customWidth="1"/>
    <col min="9" max="10" width="26" style="159" bestFit="1" customWidth="1"/>
    <col min="11" max="11" width="18.6640625" style="159" bestFit="1" customWidth="1"/>
    <col min="12" max="12" width="13.44140625" style="159" bestFit="1" customWidth="1"/>
    <col min="13" max="13" width="5.5546875" style="158" bestFit="1" customWidth="1"/>
    <col min="14" max="14" width="12.109375" style="158" bestFit="1" customWidth="1"/>
    <col min="15" max="16384" width="9.109375" style="159"/>
  </cols>
  <sheetData>
    <row r="1" spans="1:14" ht="17.399999999999999" x14ac:dyDescent="0.3">
      <c r="A1" s="157" t="s">
        <v>141</v>
      </c>
    </row>
    <row r="3" spans="1:14" x14ac:dyDescent="0.3">
      <c r="D3" s="524" t="s">
        <v>142</v>
      </c>
      <c r="E3" s="524"/>
      <c r="F3" s="524"/>
      <c r="G3" s="524"/>
      <c r="H3" s="524"/>
      <c r="I3" s="524"/>
      <c r="J3" s="524"/>
      <c r="K3" s="524"/>
      <c r="L3" s="524"/>
      <c r="M3" s="524"/>
      <c r="N3" s="524"/>
    </row>
    <row r="4" spans="1:14" x14ac:dyDescent="0.3">
      <c r="A4" s="160" t="s">
        <v>143</v>
      </c>
      <c r="B4" s="161" t="s">
        <v>144</v>
      </c>
      <c r="C4" s="161" t="s">
        <v>145</v>
      </c>
      <c r="D4" s="160" t="s">
        <v>6</v>
      </c>
      <c r="E4" s="160" t="s">
        <v>8</v>
      </c>
      <c r="F4" s="160" t="s">
        <v>9</v>
      </c>
      <c r="G4" s="160" t="s">
        <v>146</v>
      </c>
      <c r="H4" s="160" t="s">
        <v>147</v>
      </c>
      <c r="I4" s="160" t="s">
        <v>148</v>
      </c>
      <c r="J4" s="160" t="s">
        <v>149</v>
      </c>
      <c r="K4" s="160" t="s">
        <v>150</v>
      </c>
      <c r="L4" s="160" t="s">
        <v>151</v>
      </c>
      <c r="M4" s="161" t="s">
        <v>143</v>
      </c>
      <c r="N4" s="161" t="s">
        <v>152</v>
      </c>
    </row>
    <row r="5" spans="1:14" x14ac:dyDescent="0.3">
      <c r="A5" s="159" t="s">
        <v>153</v>
      </c>
      <c r="B5" s="158" t="s">
        <v>154</v>
      </c>
      <c r="C5" s="158">
        <v>4</v>
      </c>
      <c r="D5" s="162" t="s">
        <v>155</v>
      </c>
      <c r="E5" s="163" t="s">
        <v>156</v>
      </c>
      <c r="F5" s="164" t="s">
        <v>157</v>
      </c>
      <c r="G5" s="163" t="s">
        <v>158</v>
      </c>
      <c r="H5" s="163" t="s">
        <v>159</v>
      </c>
      <c r="I5" s="165" t="s">
        <v>160</v>
      </c>
      <c r="J5" s="163" t="s">
        <v>161</v>
      </c>
      <c r="K5" s="162" t="s">
        <v>162</v>
      </c>
      <c r="L5" s="163" t="s">
        <v>163</v>
      </c>
      <c r="M5" s="166" t="s">
        <v>164</v>
      </c>
      <c r="N5" s="166" t="s">
        <v>165</v>
      </c>
    </row>
    <row r="6" spans="1:14" x14ac:dyDescent="0.3">
      <c r="A6" s="159" t="s">
        <v>166</v>
      </c>
      <c r="B6" s="158" t="s">
        <v>167</v>
      </c>
      <c r="C6" s="158">
        <v>10</v>
      </c>
      <c r="D6" s="162" t="s">
        <v>168</v>
      </c>
      <c r="E6" s="162" t="s">
        <v>169</v>
      </c>
      <c r="F6" s="165" t="s">
        <v>170</v>
      </c>
      <c r="G6" s="162" t="s">
        <v>171</v>
      </c>
      <c r="H6" s="163"/>
      <c r="I6" s="163"/>
      <c r="J6" s="163" t="s">
        <v>172</v>
      </c>
      <c r="K6" s="163" t="s">
        <v>173</v>
      </c>
      <c r="L6" s="163" t="s">
        <v>174</v>
      </c>
      <c r="M6" s="166" t="s">
        <v>175</v>
      </c>
      <c r="N6" s="166">
        <v>98101</v>
      </c>
    </row>
    <row r="7" spans="1:14" x14ac:dyDescent="0.3">
      <c r="A7" s="159" t="s">
        <v>176</v>
      </c>
      <c r="B7" s="158" t="s">
        <v>177</v>
      </c>
      <c r="C7" s="158">
        <v>9</v>
      </c>
      <c r="D7" s="162" t="s">
        <v>178</v>
      </c>
      <c r="E7" s="163" t="s">
        <v>179</v>
      </c>
      <c r="F7" s="164" t="s">
        <v>180</v>
      </c>
      <c r="G7" s="162" t="s">
        <v>181</v>
      </c>
      <c r="H7" s="163" t="s">
        <v>182</v>
      </c>
      <c r="I7" s="164" t="s">
        <v>183</v>
      </c>
      <c r="J7" s="163" t="s">
        <v>184</v>
      </c>
      <c r="K7" s="163" t="s">
        <v>185</v>
      </c>
      <c r="L7" s="163" t="s">
        <v>186</v>
      </c>
      <c r="M7" s="166" t="s">
        <v>187</v>
      </c>
      <c r="N7" s="166">
        <v>94105</v>
      </c>
    </row>
    <row r="8" spans="1:14" x14ac:dyDescent="0.3">
      <c r="A8" s="159" t="s">
        <v>188</v>
      </c>
      <c r="B8" s="158" t="s">
        <v>189</v>
      </c>
      <c r="C8" s="158">
        <v>6</v>
      </c>
      <c r="D8" s="162" t="s">
        <v>190</v>
      </c>
      <c r="E8" s="163" t="s">
        <v>191</v>
      </c>
      <c r="F8" s="167" t="s">
        <v>192</v>
      </c>
      <c r="G8" s="163" t="s">
        <v>171</v>
      </c>
      <c r="H8" s="163"/>
      <c r="I8" s="163"/>
      <c r="J8" s="162" t="s">
        <v>193</v>
      </c>
      <c r="K8" s="162" t="s">
        <v>194</v>
      </c>
      <c r="L8" s="163" t="s">
        <v>195</v>
      </c>
      <c r="M8" s="166" t="s">
        <v>196</v>
      </c>
      <c r="N8" s="166" t="s">
        <v>197</v>
      </c>
    </row>
    <row r="9" spans="1:14" x14ac:dyDescent="0.3">
      <c r="A9" s="159" t="s">
        <v>198</v>
      </c>
      <c r="B9" s="158" t="s">
        <v>187</v>
      </c>
      <c r="C9" s="158">
        <v>9</v>
      </c>
      <c r="D9" s="162" t="s">
        <v>178</v>
      </c>
      <c r="E9" s="163" t="s">
        <v>179</v>
      </c>
      <c r="F9" s="164" t="s">
        <v>180</v>
      </c>
      <c r="G9" s="162" t="s">
        <v>181</v>
      </c>
      <c r="H9" s="163" t="s">
        <v>182</v>
      </c>
      <c r="I9" s="164" t="s">
        <v>183</v>
      </c>
      <c r="J9" s="163" t="s">
        <v>184</v>
      </c>
      <c r="K9" s="163" t="s">
        <v>185</v>
      </c>
      <c r="L9" s="163" t="s">
        <v>186</v>
      </c>
      <c r="M9" s="166" t="s">
        <v>187</v>
      </c>
      <c r="N9" s="166">
        <v>94105</v>
      </c>
    </row>
    <row r="10" spans="1:14" x14ac:dyDescent="0.3">
      <c r="A10" s="159" t="s">
        <v>199</v>
      </c>
      <c r="B10" s="158" t="s">
        <v>49</v>
      </c>
      <c r="C10" s="158">
        <v>8</v>
      </c>
      <c r="D10" s="162" t="s">
        <v>200</v>
      </c>
      <c r="E10" s="163" t="s">
        <v>201</v>
      </c>
      <c r="F10" s="164" t="s">
        <v>202</v>
      </c>
      <c r="G10" s="162" t="s">
        <v>203</v>
      </c>
      <c r="H10" s="163" t="s">
        <v>204</v>
      </c>
      <c r="I10" s="165" t="s">
        <v>205</v>
      </c>
      <c r="J10" s="162" t="s">
        <v>206</v>
      </c>
      <c r="K10" s="162" t="s">
        <v>207</v>
      </c>
      <c r="L10" s="163" t="s">
        <v>208</v>
      </c>
      <c r="M10" s="166" t="s">
        <v>49</v>
      </c>
      <c r="N10" s="166" t="s">
        <v>209</v>
      </c>
    </row>
    <row r="11" spans="1:14" x14ac:dyDescent="0.3">
      <c r="A11" s="159" t="s">
        <v>210</v>
      </c>
      <c r="B11" s="158" t="s">
        <v>211</v>
      </c>
      <c r="C11" s="158">
        <v>1</v>
      </c>
      <c r="D11" s="163" t="s">
        <v>212</v>
      </c>
      <c r="E11" s="163" t="s">
        <v>213</v>
      </c>
      <c r="F11" s="165" t="s">
        <v>214</v>
      </c>
      <c r="G11" s="163" t="s">
        <v>171</v>
      </c>
      <c r="H11" s="163"/>
      <c r="I11" s="163"/>
      <c r="J11" s="162" t="s">
        <v>215</v>
      </c>
      <c r="K11" s="162" t="s">
        <v>216</v>
      </c>
      <c r="L11" s="163" t="s">
        <v>217</v>
      </c>
      <c r="M11" s="166" t="s">
        <v>218</v>
      </c>
      <c r="N11" s="166" t="s">
        <v>219</v>
      </c>
    </row>
    <row r="12" spans="1:14" x14ac:dyDescent="0.3">
      <c r="A12" s="159" t="s">
        <v>220</v>
      </c>
      <c r="B12" s="158" t="s">
        <v>221</v>
      </c>
      <c r="C12" s="158">
        <v>4</v>
      </c>
      <c r="D12" s="162" t="s">
        <v>155</v>
      </c>
      <c r="E12" s="163" t="s">
        <v>156</v>
      </c>
      <c r="F12" s="164" t="s">
        <v>157</v>
      </c>
      <c r="G12" s="163" t="s">
        <v>158</v>
      </c>
      <c r="H12" s="163" t="s">
        <v>159</v>
      </c>
      <c r="I12" s="165" t="s">
        <v>160</v>
      </c>
      <c r="J12" s="163" t="s">
        <v>161</v>
      </c>
      <c r="K12" s="162" t="s">
        <v>162</v>
      </c>
      <c r="L12" s="163" t="s">
        <v>163</v>
      </c>
      <c r="M12" s="166" t="s">
        <v>164</v>
      </c>
      <c r="N12" s="166" t="s">
        <v>165</v>
      </c>
    </row>
    <row r="13" spans="1:14" x14ac:dyDescent="0.3">
      <c r="A13" s="273" t="s">
        <v>398</v>
      </c>
      <c r="B13" s="158" t="s">
        <v>164</v>
      </c>
      <c r="C13" s="158">
        <v>4</v>
      </c>
      <c r="D13" s="162" t="s">
        <v>155</v>
      </c>
      <c r="E13" s="163" t="s">
        <v>156</v>
      </c>
      <c r="F13" s="164" t="s">
        <v>157</v>
      </c>
      <c r="G13" s="163" t="s">
        <v>158</v>
      </c>
      <c r="H13" s="163" t="s">
        <v>159</v>
      </c>
      <c r="I13" s="165" t="s">
        <v>160</v>
      </c>
      <c r="J13" s="163" t="s">
        <v>161</v>
      </c>
      <c r="K13" s="162" t="s">
        <v>162</v>
      </c>
      <c r="L13" s="163" t="s">
        <v>163</v>
      </c>
      <c r="M13" s="166" t="s">
        <v>164</v>
      </c>
      <c r="N13" s="166" t="s">
        <v>165</v>
      </c>
    </row>
    <row r="14" spans="1:14" x14ac:dyDescent="0.3">
      <c r="A14" s="159" t="s">
        <v>222</v>
      </c>
      <c r="B14" s="158" t="s">
        <v>223</v>
      </c>
      <c r="C14" s="158">
        <v>9</v>
      </c>
      <c r="D14" s="162" t="s">
        <v>178</v>
      </c>
      <c r="E14" s="163" t="s">
        <v>179</v>
      </c>
      <c r="F14" s="164" t="s">
        <v>180</v>
      </c>
      <c r="G14" s="162" t="s">
        <v>181</v>
      </c>
      <c r="H14" s="163" t="s">
        <v>182</v>
      </c>
      <c r="I14" s="164" t="s">
        <v>183</v>
      </c>
      <c r="J14" s="163" t="s">
        <v>184</v>
      </c>
      <c r="K14" s="163" t="s">
        <v>185</v>
      </c>
      <c r="L14" s="163" t="s">
        <v>186</v>
      </c>
      <c r="M14" s="166" t="s">
        <v>187</v>
      </c>
      <c r="N14" s="166">
        <v>94105</v>
      </c>
    </row>
    <row r="15" spans="1:14" x14ac:dyDescent="0.3">
      <c r="A15" s="159" t="s">
        <v>224</v>
      </c>
      <c r="B15" s="158" t="s">
        <v>225</v>
      </c>
      <c r="C15" s="158">
        <v>10</v>
      </c>
      <c r="D15" s="162" t="s">
        <v>168</v>
      </c>
      <c r="E15" s="162" t="s">
        <v>169</v>
      </c>
      <c r="F15" s="165" t="s">
        <v>170</v>
      </c>
      <c r="G15" s="162" t="s">
        <v>171</v>
      </c>
      <c r="H15" s="163"/>
      <c r="I15" s="163"/>
      <c r="J15" s="163" t="s">
        <v>172</v>
      </c>
      <c r="K15" s="163" t="s">
        <v>173</v>
      </c>
      <c r="L15" s="163" t="s">
        <v>174</v>
      </c>
      <c r="M15" s="166" t="s">
        <v>175</v>
      </c>
      <c r="N15" s="166">
        <v>98101</v>
      </c>
    </row>
    <row r="16" spans="1:14" x14ac:dyDescent="0.3">
      <c r="A16" s="159" t="s">
        <v>226</v>
      </c>
      <c r="B16" s="158" t="s">
        <v>227</v>
      </c>
      <c r="C16" s="158">
        <v>5</v>
      </c>
      <c r="D16" s="162" t="s">
        <v>228</v>
      </c>
      <c r="E16" s="163" t="s">
        <v>229</v>
      </c>
      <c r="F16" s="164" t="s">
        <v>230</v>
      </c>
      <c r="G16" s="163" t="s">
        <v>171</v>
      </c>
      <c r="H16" s="163"/>
      <c r="I16" s="163"/>
      <c r="J16" s="162" t="s">
        <v>231</v>
      </c>
      <c r="K16" s="162" t="s">
        <v>232</v>
      </c>
      <c r="L16" s="163" t="s">
        <v>233</v>
      </c>
      <c r="M16" s="166" t="s">
        <v>227</v>
      </c>
      <c r="N16" s="166" t="s">
        <v>234</v>
      </c>
    </row>
    <row r="17" spans="1:14" x14ac:dyDescent="0.3">
      <c r="A17" s="159" t="s">
        <v>235</v>
      </c>
      <c r="B17" s="158" t="s">
        <v>236</v>
      </c>
      <c r="C17" s="158">
        <v>5</v>
      </c>
      <c r="D17" s="162" t="s">
        <v>228</v>
      </c>
      <c r="E17" s="163" t="s">
        <v>229</v>
      </c>
      <c r="F17" s="164" t="s">
        <v>230</v>
      </c>
      <c r="G17" s="163" t="s">
        <v>171</v>
      </c>
      <c r="H17" s="163"/>
      <c r="I17" s="163"/>
      <c r="J17" s="162" t="s">
        <v>231</v>
      </c>
      <c r="K17" s="162" t="s">
        <v>232</v>
      </c>
      <c r="L17" s="163" t="s">
        <v>233</v>
      </c>
      <c r="M17" s="166" t="s">
        <v>227</v>
      </c>
      <c r="N17" s="166" t="s">
        <v>234</v>
      </c>
    </row>
    <row r="18" spans="1:14" x14ac:dyDescent="0.3">
      <c r="A18" s="159" t="s">
        <v>237</v>
      </c>
      <c r="B18" s="158" t="s">
        <v>238</v>
      </c>
      <c r="C18" s="158">
        <v>7</v>
      </c>
      <c r="D18" s="162" t="s">
        <v>239</v>
      </c>
      <c r="E18" s="163" t="s">
        <v>240</v>
      </c>
      <c r="F18" s="164" t="s">
        <v>241</v>
      </c>
      <c r="G18" s="163" t="s">
        <v>171</v>
      </c>
      <c r="H18" s="163"/>
      <c r="I18" s="163"/>
      <c r="J18" s="304" t="s">
        <v>427</v>
      </c>
      <c r="K18" s="304" t="s">
        <v>428</v>
      </c>
      <c r="L18" s="305" t="s">
        <v>429</v>
      </c>
      <c r="M18" s="166" t="s">
        <v>242</v>
      </c>
      <c r="N18" s="166">
        <v>66219</v>
      </c>
    </row>
    <row r="19" spans="1:14" x14ac:dyDescent="0.3">
      <c r="A19" s="159" t="s">
        <v>243</v>
      </c>
      <c r="B19" s="158" t="s">
        <v>244</v>
      </c>
      <c r="C19" s="158">
        <v>7</v>
      </c>
      <c r="D19" s="162" t="s">
        <v>239</v>
      </c>
      <c r="E19" s="163" t="s">
        <v>240</v>
      </c>
      <c r="F19" s="164" t="s">
        <v>241</v>
      </c>
      <c r="G19" s="163" t="s">
        <v>171</v>
      </c>
      <c r="H19" s="163"/>
      <c r="I19" s="163"/>
      <c r="J19" s="162" t="s">
        <v>427</v>
      </c>
      <c r="K19" s="162" t="s">
        <v>428</v>
      </c>
      <c r="L19" s="163" t="s">
        <v>429</v>
      </c>
      <c r="M19" s="166" t="s">
        <v>242</v>
      </c>
      <c r="N19" s="166">
        <v>66219</v>
      </c>
    </row>
    <row r="20" spans="1:14" x14ac:dyDescent="0.3">
      <c r="A20" s="159" t="s">
        <v>245</v>
      </c>
      <c r="B20" s="158" t="s">
        <v>246</v>
      </c>
      <c r="C20" s="158">
        <v>4</v>
      </c>
      <c r="D20" s="162" t="s">
        <v>155</v>
      </c>
      <c r="E20" s="163" t="s">
        <v>156</v>
      </c>
      <c r="F20" s="164" t="s">
        <v>157</v>
      </c>
      <c r="G20" s="163" t="s">
        <v>158</v>
      </c>
      <c r="H20" s="163" t="s">
        <v>159</v>
      </c>
      <c r="I20" s="165" t="s">
        <v>160</v>
      </c>
      <c r="J20" s="163" t="s">
        <v>161</v>
      </c>
      <c r="K20" s="162" t="s">
        <v>162</v>
      </c>
      <c r="L20" s="163" t="s">
        <v>163</v>
      </c>
      <c r="M20" s="166" t="s">
        <v>164</v>
      </c>
      <c r="N20" s="166" t="s">
        <v>165</v>
      </c>
    </row>
    <row r="21" spans="1:14" x14ac:dyDescent="0.3">
      <c r="A21" s="273" t="s">
        <v>399</v>
      </c>
      <c r="B21" s="158" t="s">
        <v>247</v>
      </c>
      <c r="C21" s="158">
        <v>6</v>
      </c>
      <c r="D21" s="162" t="s">
        <v>190</v>
      </c>
      <c r="E21" s="365" t="s">
        <v>191</v>
      </c>
      <c r="F21" s="167" t="s">
        <v>192</v>
      </c>
      <c r="G21" s="163" t="s">
        <v>171</v>
      </c>
      <c r="H21" s="163"/>
      <c r="I21" s="163"/>
      <c r="J21" s="162" t="s">
        <v>193</v>
      </c>
      <c r="K21" s="162" t="s">
        <v>194</v>
      </c>
      <c r="L21" s="163" t="s">
        <v>195</v>
      </c>
      <c r="M21" s="166" t="s">
        <v>196</v>
      </c>
      <c r="N21" s="166" t="s">
        <v>197</v>
      </c>
    </row>
    <row r="22" spans="1:14" x14ac:dyDescent="0.3">
      <c r="A22" s="159" t="s">
        <v>248</v>
      </c>
      <c r="B22" s="158" t="s">
        <v>249</v>
      </c>
      <c r="C22" s="158">
        <v>1</v>
      </c>
      <c r="D22" s="163" t="s">
        <v>212</v>
      </c>
      <c r="E22" s="163" t="s">
        <v>213</v>
      </c>
      <c r="F22" s="165" t="s">
        <v>214</v>
      </c>
      <c r="G22" s="163" t="s">
        <v>171</v>
      </c>
      <c r="H22" s="163"/>
      <c r="I22" s="163"/>
      <c r="J22" s="162" t="s">
        <v>215</v>
      </c>
      <c r="K22" s="162" t="s">
        <v>216</v>
      </c>
      <c r="L22" s="163" t="s">
        <v>217</v>
      </c>
      <c r="M22" s="166" t="s">
        <v>218</v>
      </c>
      <c r="N22" s="166" t="s">
        <v>219</v>
      </c>
    </row>
    <row r="23" spans="1:14" x14ac:dyDescent="0.3">
      <c r="A23" s="159" t="s">
        <v>250</v>
      </c>
      <c r="B23" s="158" t="s">
        <v>218</v>
      </c>
      <c r="C23" s="158">
        <v>1</v>
      </c>
      <c r="D23" s="163" t="s">
        <v>212</v>
      </c>
      <c r="E23" s="163" t="s">
        <v>213</v>
      </c>
      <c r="F23" s="165" t="s">
        <v>214</v>
      </c>
      <c r="G23" s="163" t="s">
        <v>171</v>
      </c>
      <c r="H23" s="163"/>
      <c r="I23" s="163"/>
      <c r="J23" s="162" t="s">
        <v>215</v>
      </c>
      <c r="K23" s="162" t="s">
        <v>216</v>
      </c>
      <c r="L23" s="163" t="s">
        <v>217</v>
      </c>
      <c r="M23" s="166" t="s">
        <v>218</v>
      </c>
      <c r="N23" s="166" t="s">
        <v>219</v>
      </c>
    </row>
    <row r="24" spans="1:14" x14ac:dyDescent="0.3">
      <c r="A24" s="159" t="s">
        <v>251</v>
      </c>
      <c r="B24" s="158" t="s">
        <v>252</v>
      </c>
      <c r="C24" s="158">
        <v>5</v>
      </c>
      <c r="D24" s="162" t="s">
        <v>228</v>
      </c>
      <c r="E24" s="163" t="s">
        <v>229</v>
      </c>
      <c r="F24" s="164" t="s">
        <v>230</v>
      </c>
      <c r="G24" s="163" t="s">
        <v>171</v>
      </c>
      <c r="H24" s="163"/>
      <c r="I24" s="163"/>
      <c r="J24" s="162" t="s">
        <v>231</v>
      </c>
      <c r="K24" s="162" t="s">
        <v>232</v>
      </c>
      <c r="L24" s="163" t="s">
        <v>233</v>
      </c>
      <c r="M24" s="166" t="s">
        <v>227</v>
      </c>
      <c r="N24" s="166" t="s">
        <v>234</v>
      </c>
    </row>
    <row r="25" spans="1:14" x14ac:dyDescent="0.3">
      <c r="A25" s="159" t="s">
        <v>253</v>
      </c>
      <c r="B25" s="158" t="s">
        <v>254</v>
      </c>
      <c r="C25" s="158">
        <v>5</v>
      </c>
      <c r="D25" s="162" t="s">
        <v>228</v>
      </c>
      <c r="E25" s="163" t="s">
        <v>229</v>
      </c>
      <c r="F25" s="164" t="s">
        <v>230</v>
      </c>
      <c r="G25" s="163" t="s">
        <v>171</v>
      </c>
      <c r="H25" s="163"/>
      <c r="I25" s="163"/>
      <c r="J25" s="162" t="s">
        <v>231</v>
      </c>
      <c r="K25" s="162" t="s">
        <v>232</v>
      </c>
      <c r="L25" s="163" t="s">
        <v>233</v>
      </c>
      <c r="M25" s="166" t="s">
        <v>227</v>
      </c>
      <c r="N25" s="166" t="s">
        <v>234</v>
      </c>
    </row>
    <row r="26" spans="1:14" x14ac:dyDescent="0.3">
      <c r="A26" s="159" t="s">
        <v>255</v>
      </c>
      <c r="B26" s="158" t="s">
        <v>256</v>
      </c>
      <c r="C26" s="158">
        <v>4</v>
      </c>
      <c r="D26" s="162" t="s">
        <v>155</v>
      </c>
      <c r="E26" s="163" t="s">
        <v>156</v>
      </c>
      <c r="F26" s="164" t="s">
        <v>157</v>
      </c>
      <c r="G26" s="163" t="s">
        <v>158</v>
      </c>
      <c r="H26" s="163" t="s">
        <v>159</v>
      </c>
      <c r="I26" s="165" t="s">
        <v>160</v>
      </c>
      <c r="J26" s="163" t="s">
        <v>161</v>
      </c>
      <c r="K26" s="162" t="s">
        <v>162</v>
      </c>
      <c r="L26" s="163" t="s">
        <v>163</v>
      </c>
      <c r="M26" s="166" t="s">
        <v>164</v>
      </c>
      <c r="N26" s="166" t="s">
        <v>165</v>
      </c>
    </row>
    <row r="27" spans="1:14" x14ac:dyDescent="0.3">
      <c r="A27" s="159" t="s">
        <v>257</v>
      </c>
      <c r="B27" s="158" t="s">
        <v>258</v>
      </c>
      <c r="C27" s="158">
        <v>7</v>
      </c>
      <c r="D27" s="162" t="s">
        <v>239</v>
      </c>
      <c r="E27" s="163" t="s">
        <v>240</v>
      </c>
      <c r="F27" s="164" t="s">
        <v>241</v>
      </c>
      <c r="G27" s="163" t="s">
        <v>171</v>
      </c>
      <c r="H27" s="163"/>
      <c r="I27" s="163"/>
      <c r="J27" s="162" t="s">
        <v>427</v>
      </c>
      <c r="K27" s="162" t="s">
        <v>428</v>
      </c>
      <c r="L27" s="163" t="s">
        <v>429</v>
      </c>
      <c r="M27" s="166" t="s">
        <v>242</v>
      </c>
      <c r="N27" s="166">
        <v>66219</v>
      </c>
    </row>
    <row r="28" spans="1:14" x14ac:dyDescent="0.3">
      <c r="A28" s="159" t="s">
        <v>259</v>
      </c>
      <c r="B28" s="158" t="s">
        <v>260</v>
      </c>
      <c r="C28" s="158">
        <v>8</v>
      </c>
      <c r="D28" s="162" t="s">
        <v>200</v>
      </c>
      <c r="E28" s="163" t="s">
        <v>201</v>
      </c>
      <c r="F28" s="164" t="s">
        <v>202</v>
      </c>
      <c r="G28" s="162" t="s">
        <v>203</v>
      </c>
      <c r="H28" s="163" t="s">
        <v>204</v>
      </c>
      <c r="I28" s="165" t="s">
        <v>205</v>
      </c>
      <c r="J28" s="162" t="s">
        <v>206</v>
      </c>
      <c r="K28" s="162" t="s">
        <v>207</v>
      </c>
      <c r="L28" s="163" t="s">
        <v>208</v>
      </c>
      <c r="M28" s="166" t="s">
        <v>49</v>
      </c>
      <c r="N28" s="166" t="s">
        <v>209</v>
      </c>
    </row>
    <row r="29" spans="1:14" x14ac:dyDescent="0.3">
      <c r="A29" s="159" t="s">
        <v>261</v>
      </c>
      <c r="B29" s="158" t="s">
        <v>262</v>
      </c>
      <c r="C29" s="158">
        <v>7</v>
      </c>
      <c r="D29" s="162" t="s">
        <v>239</v>
      </c>
      <c r="E29" s="163" t="s">
        <v>240</v>
      </c>
      <c r="F29" s="164" t="s">
        <v>241</v>
      </c>
      <c r="G29" s="163" t="s">
        <v>171</v>
      </c>
      <c r="H29" s="163"/>
      <c r="I29" s="163"/>
      <c r="J29" s="162" t="s">
        <v>427</v>
      </c>
      <c r="K29" s="162" t="s">
        <v>428</v>
      </c>
      <c r="L29" s="163" t="s">
        <v>429</v>
      </c>
      <c r="M29" s="166" t="s">
        <v>242</v>
      </c>
      <c r="N29" s="166">
        <v>66219</v>
      </c>
    </row>
    <row r="30" spans="1:14" x14ac:dyDescent="0.3">
      <c r="A30" s="159" t="s">
        <v>263</v>
      </c>
      <c r="B30" s="158" t="s">
        <v>264</v>
      </c>
      <c r="C30" s="158">
        <v>9</v>
      </c>
      <c r="D30" s="162" t="s">
        <v>178</v>
      </c>
      <c r="E30" s="163" t="s">
        <v>179</v>
      </c>
      <c r="F30" s="164" t="s">
        <v>180</v>
      </c>
      <c r="G30" s="162" t="s">
        <v>181</v>
      </c>
      <c r="H30" s="163" t="s">
        <v>182</v>
      </c>
      <c r="I30" s="164" t="s">
        <v>183</v>
      </c>
      <c r="J30" s="163" t="s">
        <v>184</v>
      </c>
      <c r="K30" s="163" t="s">
        <v>185</v>
      </c>
      <c r="L30" s="163" t="s">
        <v>186</v>
      </c>
      <c r="M30" s="166" t="s">
        <v>187</v>
      </c>
      <c r="N30" s="166">
        <v>94105</v>
      </c>
    </row>
    <row r="31" spans="1:14" x14ac:dyDescent="0.3">
      <c r="A31" s="159" t="s">
        <v>265</v>
      </c>
      <c r="B31" s="158" t="s">
        <v>266</v>
      </c>
      <c r="C31" s="158">
        <v>1</v>
      </c>
      <c r="D31" s="163" t="s">
        <v>212</v>
      </c>
      <c r="E31" s="163" t="s">
        <v>213</v>
      </c>
      <c r="F31" s="165" t="s">
        <v>214</v>
      </c>
      <c r="G31" s="163" t="s">
        <v>171</v>
      </c>
      <c r="H31" s="163"/>
      <c r="I31" s="163"/>
      <c r="J31" s="162" t="s">
        <v>215</v>
      </c>
      <c r="K31" s="162" t="s">
        <v>216</v>
      </c>
      <c r="L31" s="163" t="s">
        <v>217</v>
      </c>
      <c r="M31" s="166" t="s">
        <v>218</v>
      </c>
      <c r="N31" s="166" t="s">
        <v>219</v>
      </c>
    </row>
    <row r="32" spans="1:14" x14ac:dyDescent="0.3">
      <c r="A32" s="159" t="s">
        <v>267</v>
      </c>
      <c r="B32" s="158" t="s">
        <v>268</v>
      </c>
      <c r="C32" s="158">
        <v>2</v>
      </c>
      <c r="D32" s="163" t="s">
        <v>269</v>
      </c>
      <c r="E32" s="163" t="s">
        <v>270</v>
      </c>
      <c r="F32" s="165" t="s">
        <v>271</v>
      </c>
      <c r="G32" s="162" t="s">
        <v>272</v>
      </c>
      <c r="H32" s="163" t="s">
        <v>273</v>
      </c>
      <c r="I32" s="165" t="s">
        <v>274</v>
      </c>
      <c r="J32" s="162" t="s">
        <v>275</v>
      </c>
      <c r="K32" s="162" t="s">
        <v>276</v>
      </c>
      <c r="L32" s="163" t="s">
        <v>277</v>
      </c>
      <c r="M32" s="166" t="s">
        <v>278</v>
      </c>
      <c r="N32" s="166" t="s">
        <v>279</v>
      </c>
    </row>
    <row r="33" spans="1:14" x14ac:dyDescent="0.3">
      <c r="A33" s="159" t="s">
        <v>280</v>
      </c>
      <c r="B33" s="158" t="s">
        <v>281</v>
      </c>
      <c r="C33" s="158">
        <v>6</v>
      </c>
      <c r="D33" s="162" t="s">
        <v>190</v>
      </c>
      <c r="E33" s="365" t="s">
        <v>191</v>
      </c>
      <c r="F33" s="167" t="s">
        <v>192</v>
      </c>
      <c r="G33" s="163" t="s">
        <v>171</v>
      </c>
      <c r="H33" s="163"/>
      <c r="I33" s="163"/>
      <c r="J33" s="162" t="s">
        <v>193</v>
      </c>
      <c r="K33" s="162" t="s">
        <v>194</v>
      </c>
      <c r="L33" s="163" t="s">
        <v>195</v>
      </c>
      <c r="M33" s="166" t="s">
        <v>196</v>
      </c>
      <c r="N33" s="166" t="s">
        <v>197</v>
      </c>
    </row>
    <row r="34" spans="1:14" x14ac:dyDescent="0.3">
      <c r="A34" s="159" t="s">
        <v>277</v>
      </c>
      <c r="B34" s="158" t="s">
        <v>278</v>
      </c>
      <c r="C34" s="158">
        <v>2</v>
      </c>
      <c r="D34" s="163" t="s">
        <v>269</v>
      </c>
      <c r="E34" s="163" t="s">
        <v>270</v>
      </c>
      <c r="F34" s="165" t="s">
        <v>271</v>
      </c>
      <c r="G34" s="162" t="s">
        <v>272</v>
      </c>
      <c r="H34" s="163" t="s">
        <v>273</v>
      </c>
      <c r="I34" s="165" t="s">
        <v>274</v>
      </c>
      <c r="J34" s="162" t="s">
        <v>275</v>
      </c>
      <c r="K34" s="162" t="s">
        <v>276</v>
      </c>
      <c r="L34" s="163" t="s">
        <v>277</v>
      </c>
      <c r="M34" s="166" t="s">
        <v>278</v>
      </c>
      <c r="N34" s="166" t="s">
        <v>279</v>
      </c>
    </row>
    <row r="35" spans="1:14" x14ac:dyDescent="0.3">
      <c r="A35" s="159" t="s">
        <v>282</v>
      </c>
      <c r="B35" s="158" t="s">
        <v>283</v>
      </c>
      <c r="C35" s="158">
        <v>4</v>
      </c>
      <c r="D35" s="162" t="s">
        <v>155</v>
      </c>
      <c r="E35" s="163" t="s">
        <v>156</v>
      </c>
      <c r="F35" s="164" t="s">
        <v>157</v>
      </c>
      <c r="G35" s="163" t="s">
        <v>158</v>
      </c>
      <c r="H35" s="163" t="s">
        <v>159</v>
      </c>
      <c r="I35" s="165" t="s">
        <v>160</v>
      </c>
      <c r="J35" s="163" t="s">
        <v>161</v>
      </c>
      <c r="K35" s="162" t="s">
        <v>162</v>
      </c>
      <c r="L35" s="163" t="s">
        <v>163</v>
      </c>
      <c r="M35" s="166" t="s">
        <v>164</v>
      </c>
      <c r="N35" s="166" t="s">
        <v>165</v>
      </c>
    </row>
    <row r="36" spans="1:14" x14ac:dyDescent="0.3">
      <c r="A36" s="159" t="s">
        <v>284</v>
      </c>
      <c r="B36" s="158" t="s">
        <v>285</v>
      </c>
      <c r="C36" s="158">
        <v>8</v>
      </c>
      <c r="D36" s="162" t="s">
        <v>200</v>
      </c>
      <c r="E36" s="163" t="s">
        <v>201</v>
      </c>
      <c r="F36" s="164" t="s">
        <v>202</v>
      </c>
      <c r="G36" s="162" t="s">
        <v>203</v>
      </c>
      <c r="H36" s="163" t="s">
        <v>204</v>
      </c>
      <c r="I36" s="165" t="s">
        <v>205</v>
      </c>
      <c r="J36" s="162" t="s">
        <v>206</v>
      </c>
      <c r="K36" s="162" t="s">
        <v>207</v>
      </c>
      <c r="L36" s="163" t="s">
        <v>208</v>
      </c>
      <c r="M36" s="166" t="s">
        <v>49</v>
      </c>
      <c r="N36" s="166" t="s">
        <v>209</v>
      </c>
    </row>
    <row r="37" spans="1:14" x14ac:dyDescent="0.3">
      <c r="A37" s="159" t="s">
        <v>286</v>
      </c>
      <c r="B37" s="158" t="s">
        <v>287</v>
      </c>
      <c r="C37" s="158">
        <v>5</v>
      </c>
      <c r="D37" s="162" t="s">
        <v>228</v>
      </c>
      <c r="E37" s="163" t="s">
        <v>229</v>
      </c>
      <c r="F37" s="164" t="s">
        <v>230</v>
      </c>
      <c r="G37" s="163" t="s">
        <v>171</v>
      </c>
      <c r="H37" s="163"/>
      <c r="I37" s="163"/>
      <c r="J37" s="162" t="s">
        <v>231</v>
      </c>
      <c r="K37" s="162" t="s">
        <v>232</v>
      </c>
      <c r="L37" s="163" t="s">
        <v>233</v>
      </c>
      <c r="M37" s="166" t="s">
        <v>227</v>
      </c>
      <c r="N37" s="166" t="s">
        <v>234</v>
      </c>
    </row>
    <row r="38" spans="1:14" x14ac:dyDescent="0.3">
      <c r="A38" s="159" t="s">
        <v>288</v>
      </c>
      <c r="B38" s="158" t="s">
        <v>289</v>
      </c>
      <c r="C38" s="158">
        <v>6</v>
      </c>
      <c r="D38" s="162" t="s">
        <v>190</v>
      </c>
      <c r="E38" s="365" t="s">
        <v>191</v>
      </c>
      <c r="F38" s="167" t="s">
        <v>192</v>
      </c>
      <c r="G38" s="163" t="s">
        <v>171</v>
      </c>
      <c r="H38" s="163"/>
      <c r="I38" s="163"/>
      <c r="J38" s="162" t="s">
        <v>193</v>
      </c>
      <c r="K38" s="162" t="s">
        <v>194</v>
      </c>
      <c r="L38" s="163" t="s">
        <v>195</v>
      </c>
      <c r="M38" s="166" t="s">
        <v>196</v>
      </c>
      <c r="N38" s="166" t="s">
        <v>197</v>
      </c>
    </row>
    <row r="39" spans="1:14" x14ac:dyDescent="0.3">
      <c r="A39" s="159" t="s">
        <v>290</v>
      </c>
      <c r="B39" s="158" t="s">
        <v>291</v>
      </c>
      <c r="C39" s="158">
        <v>10</v>
      </c>
      <c r="D39" s="162" t="s">
        <v>168</v>
      </c>
      <c r="E39" s="162" t="s">
        <v>169</v>
      </c>
      <c r="F39" s="165" t="s">
        <v>170</v>
      </c>
      <c r="G39" s="162" t="s">
        <v>171</v>
      </c>
      <c r="H39" s="163"/>
      <c r="I39" s="163"/>
      <c r="J39" s="163" t="s">
        <v>172</v>
      </c>
      <c r="K39" s="163" t="s">
        <v>173</v>
      </c>
      <c r="L39" s="163" t="s">
        <v>174</v>
      </c>
      <c r="M39" s="166" t="s">
        <v>175</v>
      </c>
      <c r="N39" s="166">
        <v>98101</v>
      </c>
    </row>
    <row r="40" spans="1:14" x14ac:dyDescent="0.3">
      <c r="A40" s="159" t="s">
        <v>292</v>
      </c>
      <c r="B40" s="158" t="s">
        <v>293</v>
      </c>
      <c r="C40" s="158">
        <v>1</v>
      </c>
      <c r="D40" s="163" t="s">
        <v>212</v>
      </c>
      <c r="E40" s="163" t="s">
        <v>213</v>
      </c>
      <c r="F40" s="165" t="s">
        <v>214</v>
      </c>
      <c r="G40" s="163" t="s">
        <v>171</v>
      </c>
      <c r="H40" s="163"/>
      <c r="I40" s="163"/>
      <c r="J40" s="162" t="s">
        <v>215</v>
      </c>
      <c r="K40" s="162" t="s">
        <v>216</v>
      </c>
      <c r="L40" s="163" t="s">
        <v>217</v>
      </c>
      <c r="M40" s="166" t="s">
        <v>218</v>
      </c>
      <c r="N40" s="166" t="s">
        <v>219</v>
      </c>
    </row>
    <row r="41" spans="1:14" x14ac:dyDescent="0.3">
      <c r="A41" s="159" t="s">
        <v>294</v>
      </c>
      <c r="B41" s="158" t="s">
        <v>295</v>
      </c>
      <c r="C41" s="158">
        <v>4</v>
      </c>
      <c r="D41" s="162" t="s">
        <v>155</v>
      </c>
      <c r="E41" s="163" t="s">
        <v>156</v>
      </c>
      <c r="F41" s="164" t="s">
        <v>157</v>
      </c>
      <c r="G41" s="163" t="s">
        <v>158</v>
      </c>
      <c r="H41" s="163" t="s">
        <v>159</v>
      </c>
      <c r="I41" s="165" t="s">
        <v>160</v>
      </c>
      <c r="J41" s="163" t="s">
        <v>161</v>
      </c>
      <c r="K41" s="162" t="s">
        <v>162</v>
      </c>
      <c r="L41" s="163" t="s">
        <v>163</v>
      </c>
      <c r="M41" s="166" t="s">
        <v>164</v>
      </c>
      <c r="N41" s="166" t="s">
        <v>165</v>
      </c>
    </row>
    <row r="42" spans="1:14" x14ac:dyDescent="0.3">
      <c r="A42" s="159" t="s">
        <v>296</v>
      </c>
      <c r="B42" s="158" t="s">
        <v>297</v>
      </c>
      <c r="C42" s="158">
        <v>8</v>
      </c>
      <c r="D42" s="162" t="s">
        <v>200</v>
      </c>
      <c r="E42" s="163" t="s">
        <v>201</v>
      </c>
      <c r="F42" s="164" t="s">
        <v>202</v>
      </c>
      <c r="G42" s="162" t="s">
        <v>203</v>
      </c>
      <c r="H42" s="163" t="s">
        <v>204</v>
      </c>
      <c r="I42" s="165" t="s">
        <v>205</v>
      </c>
      <c r="J42" s="162" t="s">
        <v>206</v>
      </c>
      <c r="K42" s="162" t="s">
        <v>207</v>
      </c>
      <c r="L42" s="163" t="s">
        <v>208</v>
      </c>
      <c r="M42" s="166" t="s">
        <v>49</v>
      </c>
      <c r="N42" s="166" t="s">
        <v>209</v>
      </c>
    </row>
    <row r="43" spans="1:14" x14ac:dyDescent="0.3">
      <c r="A43" s="159" t="s">
        <v>298</v>
      </c>
      <c r="B43" s="158" t="s">
        <v>299</v>
      </c>
      <c r="C43" s="158">
        <v>4</v>
      </c>
      <c r="D43" s="162" t="s">
        <v>155</v>
      </c>
      <c r="E43" s="163" t="s">
        <v>156</v>
      </c>
      <c r="F43" s="164" t="s">
        <v>157</v>
      </c>
      <c r="G43" s="163" t="s">
        <v>158</v>
      </c>
      <c r="H43" s="163" t="s">
        <v>159</v>
      </c>
      <c r="I43" s="165" t="s">
        <v>160</v>
      </c>
      <c r="J43" s="163" t="s">
        <v>161</v>
      </c>
      <c r="K43" s="162" t="s">
        <v>162</v>
      </c>
      <c r="L43" s="163" t="s">
        <v>163</v>
      </c>
      <c r="M43" s="166" t="s">
        <v>164</v>
      </c>
      <c r="N43" s="166" t="s">
        <v>165</v>
      </c>
    </row>
    <row r="44" spans="1:14" x14ac:dyDescent="0.3">
      <c r="A44" s="159" t="s">
        <v>300</v>
      </c>
      <c r="B44" s="158" t="s">
        <v>196</v>
      </c>
      <c r="C44" s="158">
        <v>6</v>
      </c>
      <c r="D44" s="162" t="s">
        <v>190</v>
      </c>
      <c r="E44" s="365" t="s">
        <v>191</v>
      </c>
      <c r="F44" s="167" t="s">
        <v>192</v>
      </c>
      <c r="G44" s="163" t="s">
        <v>171</v>
      </c>
      <c r="H44" s="163"/>
      <c r="I44" s="163"/>
      <c r="J44" s="162" t="s">
        <v>193</v>
      </c>
      <c r="K44" s="162" t="s">
        <v>194</v>
      </c>
      <c r="L44" s="163" t="s">
        <v>195</v>
      </c>
      <c r="M44" s="166" t="s">
        <v>196</v>
      </c>
      <c r="N44" s="166" t="s">
        <v>197</v>
      </c>
    </row>
    <row r="45" spans="1:14" x14ac:dyDescent="0.3">
      <c r="A45" s="159" t="s">
        <v>301</v>
      </c>
      <c r="B45" s="158" t="s">
        <v>302</v>
      </c>
      <c r="C45" s="158">
        <v>8</v>
      </c>
      <c r="D45" s="162" t="s">
        <v>200</v>
      </c>
      <c r="E45" s="163" t="s">
        <v>201</v>
      </c>
      <c r="F45" s="164" t="s">
        <v>202</v>
      </c>
      <c r="G45" s="162" t="s">
        <v>203</v>
      </c>
      <c r="H45" s="163" t="s">
        <v>204</v>
      </c>
      <c r="I45" s="165" t="s">
        <v>205</v>
      </c>
      <c r="J45" s="162" t="s">
        <v>206</v>
      </c>
      <c r="K45" s="162" t="s">
        <v>207</v>
      </c>
      <c r="L45" s="163" t="s">
        <v>208</v>
      </c>
      <c r="M45" s="166" t="s">
        <v>49</v>
      </c>
      <c r="N45" s="166" t="s">
        <v>209</v>
      </c>
    </row>
    <row r="46" spans="1:14" x14ac:dyDescent="0.3">
      <c r="A46" s="159" t="s">
        <v>303</v>
      </c>
      <c r="B46" s="158" t="s">
        <v>304</v>
      </c>
      <c r="C46" s="158">
        <v>1</v>
      </c>
      <c r="D46" s="163" t="s">
        <v>212</v>
      </c>
      <c r="E46" s="163" t="s">
        <v>213</v>
      </c>
      <c r="F46" s="165" t="s">
        <v>214</v>
      </c>
      <c r="G46" s="163" t="s">
        <v>171</v>
      </c>
      <c r="H46" s="163"/>
      <c r="I46" s="163"/>
      <c r="J46" s="162" t="s">
        <v>215</v>
      </c>
      <c r="K46" s="162" t="s">
        <v>216</v>
      </c>
      <c r="L46" s="163" t="s">
        <v>217</v>
      </c>
      <c r="M46" s="166" t="s">
        <v>218</v>
      </c>
      <c r="N46" s="166" t="s">
        <v>219</v>
      </c>
    </row>
    <row r="47" spans="1:14" x14ac:dyDescent="0.3">
      <c r="A47" s="159" t="s">
        <v>305</v>
      </c>
      <c r="B47" s="158" t="s">
        <v>175</v>
      </c>
      <c r="C47" s="158">
        <v>10</v>
      </c>
      <c r="D47" s="162" t="s">
        <v>168</v>
      </c>
      <c r="E47" s="162" t="s">
        <v>169</v>
      </c>
      <c r="F47" s="165" t="s">
        <v>170</v>
      </c>
      <c r="G47" s="162" t="s">
        <v>171</v>
      </c>
      <c r="H47" s="163"/>
      <c r="I47" s="163"/>
      <c r="J47" s="163" t="s">
        <v>172</v>
      </c>
      <c r="K47" s="163" t="s">
        <v>173</v>
      </c>
      <c r="L47" s="163" t="s">
        <v>174</v>
      </c>
      <c r="M47" s="166" t="s">
        <v>175</v>
      </c>
      <c r="N47" s="166">
        <v>98101</v>
      </c>
    </row>
    <row r="48" spans="1:14" x14ac:dyDescent="0.3">
      <c r="A48" s="159" t="s">
        <v>306</v>
      </c>
      <c r="B48" s="158" t="s">
        <v>307</v>
      </c>
      <c r="C48" s="158">
        <v>5</v>
      </c>
      <c r="D48" s="162" t="s">
        <v>228</v>
      </c>
      <c r="E48" s="163" t="s">
        <v>229</v>
      </c>
      <c r="F48" s="164" t="s">
        <v>230</v>
      </c>
      <c r="G48" s="163" t="s">
        <v>171</v>
      </c>
      <c r="H48" s="163"/>
      <c r="I48" s="163"/>
      <c r="J48" s="162" t="s">
        <v>231</v>
      </c>
      <c r="K48" s="162" t="s">
        <v>232</v>
      </c>
      <c r="L48" s="163" t="s">
        <v>233</v>
      </c>
      <c r="M48" s="166" t="s">
        <v>227</v>
      </c>
      <c r="N48" s="166" t="s">
        <v>234</v>
      </c>
    </row>
    <row r="49" spans="1:14" x14ac:dyDescent="0.3">
      <c r="A49" s="159" t="s">
        <v>308</v>
      </c>
      <c r="B49" s="158" t="s">
        <v>309</v>
      </c>
      <c r="C49" s="158">
        <v>8</v>
      </c>
      <c r="D49" s="162" t="s">
        <v>200</v>
      </c>
      <c r="E49" s="163" t="s">
        <v>201</v>
      </c>
      <c r="F49" s="164" t="s">
        <v>202</v>
      </c>
      <c r="G49" s="162" t="s">
        <v>203</v>
      </c>
      <c r="H49" s="163" t="s">
        <v>204</v>
      </c>
      <c r="I49" s="165" t="s">
        <v>205</v>
      </c>
      <c r="J49" s="162" t="s">
        <v>206</v>
      </c>
      <c r="K49" s="162" t="s">
        <v>207</v>
      </c>
      <c r="L49" s="163" t="s">
        <v>208</v>
      </c>
      <c r="M49" s="166" t="s">
        <v>49</v>
      </c>
      <c r="N49" s="166" t="s">
        <v>209</v>
      </c>
    </row>
    <row r="50" spans="1:14" x14ac:dyDescent="0.3">
      <c r="A50" s="159" t="s">
        <v>310</v>
      </c>
      <c r="B50" s="158" t="s">
        <v>311</v>
      </c>
      <c r="C50" s="158">
        <v>3</v>
      </c>
      <c r="D50" s="162" t="s">
        <v>171</v>
      </c>
      <c r="E50" s="163"/>
      <c r="F50" s="163"/>
      <c r="G50" s="163"/>
      <c r="H50" s="163"/>
      <c r="I50" s="163"/>
      <c r="J50" s="163"/>
      <c r="K50" s="163"/>
      <c r="L50" s="163"/>
      <c r="M50" s="166"/>
      <c r="N50" s="166"/>
    </row>
    <row r="51" spans="1:14" x14ac:dyDescent="0.3">
      <c r="A51" s="159" t="s">
        <v>312</v>
      </c>
      <c r="B51" s="158" t="s">
        <v>313</v>
      </c>
      <c r="C51" s="158">
        <v>3</v>
      </c>
      <c r="D51" s="162" t="s">
        <v>171</v>
      </c>
      <c r="E51" s="163"/>
      <c r="F51" s="163"/>
      <c r="G51" s="163"/>
      <c r="H51" s="163"/>
      <c r="I51" s="163"/>
      <c r="J51" s="163"/>
      <c r="K51" s="163"/>
      <c r="L51" s="163"/>
      <c r="M51" s="166"/>
      <c r="N51" s="166"/>
    </row>
    <row r="52" spans="1:14" x14ac:dyDescent="0.3">
      <c r="A52" s="159" t="s">
        <v>314</v>
      </c>
      <c r="B52" s="158" t="s">
        <v>315</v>
      </c>
      <c r="C52" s="158">
        <v>3</v>
      </c>
      <c r="D52" s="162" t="s">
        <v>171</v>
      </c>
      <c r="E52" s="163"/>
      <c r="F52" s="163"/>
      <c r="G52" s="163"/>
      <c r="H52" s="163"/>
      <c r="I52" s="163"/>
      <c r="J52" s="163"/>
      <c r="K52" s="163"/>
      <c r="L52" s="163"/>
      <c r="M52" s="166"/>
      <c r="N52" s="166"/>
    </row>
    <row r="53" spans="1:14" x14ac:dyDescent="0.3">
      <c r="A53" s="159" t="s">
        <v>316</v>
      </c>
      <c r="B53" s="158" t="s">
        <v>317</v>
      </c>
      <c r="C53" s="158">
        <v>3</v>
      </c>
      <c r="D53" s="162" t="s">
        <v>171</v>
      </c>
      <c r="E53" s="163"/>
      <c r="F53" s="163"/>
      <c r="G53" s="163"/>
      <c r="H53" s="163"/>
      <c r="I53" s="163"/>
      <c r="J53" s="163"/>
      <c r="K53" s="163"/>
      <c r="L53" s="163"/>
      <c r="M53" s="166"/>
      <c r="N53" s="166"/>
    </row>
    <row r="54" spans="1:14" x14ac:dyDescent="0.3">
      <c r="A54" s="159" t="s">
        <v>318</v>
      </c>
      <c r="B54" s="158" t="s">
        <v>319</v>
      </c>
      <c r="C54" s="158">
        <v>3</v>
      </c>
      <c r="D54" s="162" t="s">
        <v>171</v>
      </c>
      <c r="E54" s="163"/>
      <c r="F54" s="163"/>
      <c r="G54" s="163"/>
      <c r="H54" s="163"/>
      <c r="I54" s="163"/>
      <c r="J54" s="163"/>
      <c r="K54" s="163"/>
      <c r="L54" s="163"/>
      <c r="M54" s="166"/>
      <c r="N54" s="166"/>
    </row>
    <row r="55" spans="1:14" x14ac:dyDescent="0.3">
      <c r="A55" s="159" t="s">
        <v>320</v>
      </c>
      <c r="B55" s="158" t="s">
        <v>321</v>
      </c>
      <c r="C55" s="158">
        <v>3</v>
      </c>
      <c r="D55" s="162" t="s">
        <v>171</v>
      </c>
      <c r="E55" s="163"/>
      <c r="F55" s="163"/>
      <c r="G55" s="163"/>
      <c r="H55" s="163"/>
      <c r="I55" s="163"/>
      <c r="J55" s="163"/>
      <c r="K55" s="163"/>
      <c r="L55" s="163"/>
      <c r="M55" s="166"/>
      <c r="N55" s="166"/>
    </row>
  </sheetData>
  <mergeCells count="1">
    <mergeCell ref="D3:N3"/>
  </mergeCells>
  <hyperlinks>
    <hyperlink ref="F11" r:id="rId1" display="mailto:McCahill.brendan@epa.gov"/>
    <hyperlink ref="F22" r:id="rId2" display="mailto:McCahill.brendan@epa.gov"/>
    <hyperlink ref="F23" r:id="rId3" display="mailto:McCahill.brendan@epa.gov"/>
    <hyperlink ref="F31" r:id="rId4" display="mailto:McCahill.brendan@epa.gov"/>
    <hyperlink ref="F40" r:id="rId5" display="mailto:McCahill.brendan@epa.gov"/>
    <hyperlink ref="F46" r:id="rId6" display="mailto:McCahill.brendan@epa.gov"/>
    <hyperlink ref="F32" r:id="rId7" display="mailto:lau.gavin@epa.gov"/>
    <hyperlink ref="I32" r:id="rId8" display="mailto:Dholakia.umesh@epa.gov"/>
    <hyperlink ref="F34" r:id="rId9" display="mailto:lau.gavin@epa.gov"/>
    <hyperlink ref="I34" r:id="rId10" display="mailto:Dholakia.umesh@epa.gov"/>
    <hyperlink ref="F5" r:id="rId11" display="mailto:oquendo.ana@epa.gov"/>
    <hyperlink ref="I5" r:id="rId12" display="mailto:shepherd.lorinda@epa.gov"/>
    <hyperlink ref="F16" r:id="rId13" display="mailto:gupta.kaushal@epa.gov"/>
    <hyperlink ref="F18" r:id="rId14" display="mailto:webber.robert@epa.gov"/>
    <hyperlink ref="F10" r:id="rId15" display="mailto:smith.claudia@epa.gov"/>
    <hyperlink ref="I10" r:id="rId16" display="mailto:paser.kathleen@epa.gov"/>
    <hyperlink ref="F28" r:id="rId17" display="mailto:smith.claudia@epa.gov"/>
    <hyperlink ref="F36" r:id="rId18" display="mailto:smith.claudia@epa.gov"/>
    <hyperlink ref="F42" r:id="rId19" display="mailto:smith.claudia@epa.gov"/>
    <hyperlink ref="F45" r:id="rId20" display="mailto:smith.claudia@epa.gov"/>
    <hyperlink ref="F49" r:id="rId21" display="mailto:smith.claudia@epa.gov"/>
    <hyperlink ref="I28" r:id="rId22" display="mailto:paser.kathleen@epa.gov"/>
    <hyperlink ref="I36" r:id="rId23" display="mailto:paser.kathleen@epa.gov"/>
    <hyperlink ref="I42" r:id="rId24" display="mailto:paser.kathleen@epa.gov"/>
    <hyperlink ref="I45" r:id="rId25" display="mailto:paser.kathleen@epa.gov"/>
    <hyperlink ref="I49" r:id="rId26" display="mailto:paser.kathleen@epa.gov"/>
    <hyperlink ref="F19" r:id="rId27" display="mailto:webber.robert@epa.gov"/>
    <hyperlink ref="F27" r:id="rId28" display="mailto:webber.robert@epa.gov"/>
    <hyperlink ref="F29" r:id="rId29" display="mailto:webber.robert@epa.gov"/>
    <hyperlink ref="F17" r:id="rId30" display="mailto:gupta.kaushal@epa.gov"/>
    <hyperlink ref="F24" r:id="rId31" display="mailto:gupta.kaushal@epa.gov"/>
    <hyperlink ref="F25" r:id="rId32" display="mailto:gupta.kaushal@epa.gov"/>
    <hyperlink ref="F37" r:id="rId33" display="mailto:gupta.kaushal@epa.gov"/>
    <hyperlink ref="F48" r:id="rId34" display="mailto:gupta.kaushal@epa.gov"/>
    <hyperlink ref="F12" r:id="rId35" display="mailto:oquendo.ana@epa.gov"/>
    <hyperlink ref="F13" r:id="rId36" display="mailto:oquendo.ana@epa.gov"/>
    <hyperlink ref="F20" r:id="rId37" display="mailto:oquendo.ana@epa.gov"/>
    <hyperlink ref="F26" r:id="rId38" display="mailto:oquendo.ana@epa.gov"/>
    <hyperlink ref="F35" r:id="rId39" display="mailto:oquendo.ana@epa.gov"/>
    <hyperlink ref="F41" r:id="rId40" display="mailto:oquendo.ana@epa.gov"/>
    <hyperlink ref="F43" r:id="rId41" display="mailto:oquendo.ana@epa.gov"/>
    <hyperlink ref="I12" r:id="rId42" display="mailto:shepherd.lorinda@epa.gov"/>
    <hyperlink ref="I13" r:id="rId43" display="mailto:shepherd.lorinda@epa.gov"/>
    <hyperlink ref="I20" r:id="rId44" display="mailto:shepherd.lorinda@epa.gov"/>
    <hyperlink ref="I26" r:id="rId45" display="mailto:shepherd.lorinda@epa.gov"/>
    <hyperlink ref="I35" r:id="rId46" display="mailto:shepherd.lorinda@epa.gov"/>
    <hyperlink ref="I41" r:id="rId47" display="mailto:shepherd.lorinda@epa.gov"/>
    <hyperlink ref="I43" r:id="rId48" display="mailto:shepherd.lorinda@epa.gov"/>
    <hyperlink ref="F7" r:id="rId49" display="mailto:glass.geoffrey@epa.gov"/>
    <hyperlink ref="I7" r:id="rId50" display="mailto:Gutierrez.roberto@epa.gov"/>
    <hyperlink ref="F9" r:id="rId51" display="mailto:glass.geoffrey@epa.gov"/>
    <hyperlink ref="F14" r:id="rId52" display="mailto:glass.geoffrey@epa.gov"/>
    <hyperlink ref="F30" r:id="rId53" display="mailto:glass.geoffrey@epa.gov"/>
    <hyperlink ref="I9" r:id="rId54" display="mailto:Gutierrez.roberto@epa.gov"/>
    <hyperlink ref="I14" r:id="rId55" display="mailto:Gutierrez.roberto@epa.gov"/>
    <hyperlink ref="I30" r:id="rId56" display="mailto:Gutierrez.roberto@epa.gov"/>
    <hyperlink ref="F6" r:id="rId57"/>
    <hyperlink ref="F15" r:id="rId58"/>
    <hyperlink ref="F39" r:id="rId59"/>
    <hyperlink ref="F47" r:id="rId60"/>
    <hyperlink ref="F8" r:id="rId61"/>
    <hyperlink ref="F21" r:id="rId62"/>
    <hyperlink ref="F33" r:id="rId63"/>
    <hyperlink ref="F38" r:id="rId64"/>
    <hyperlink ref="F44" r:id="rId65"/>
  </hyperlinks>
  <pageMargins left="0.7" right="0.7" top="0.75" bottom="0.75" header="0.3" footer="0.3"/>
  <pageSetup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46"/>
  <sheetViews>
    <sheetView showGridLines="0" zoomScaleNormal="100" workbookViewId="0"/>
  </sheetViews>
  <sheetFormatPr defaultColWidth="3.33203125" defaultRowHeight="13.2" x14ac:dyDescent="0.25"/>
  <cols>
    <col min="1" max="1" width="2" style="52" customWidth="1"/>
    <col min="2" max="2" width="11.109375" style="52" customWidth="1"/>
    <col min="3" max="3" width="18.109375" style="52" customWidth="1"/>
    <col min="4" max="4" width="53.33203125" style="52" customWidth="1"/>
    <col min="5" max="5" width="64.5546875" style="52" customWidth="1"/>
    <col min="6" max="27" width="1.6640625" style="52" customWidth="1"/>
    <col min="28" max="16384" width="3.33203125" style="52"/>
  </cols>
  <sheetData>
    <row r="1" spans="2:5" ht="17.399999999999999" x14ac:dyDescent="0.3">
      <c r="B1" s="50" t="str">
        <f>'Change Log'!A1</f>
        <v>Industrial Boilers Registration Calculator</v>
      </c>
    </row>
    <row r="2" spans="2:5" ht="15.75" customHeight="1" x14ac:dyDescent="0.25">
      <c r="B2" s="396" t="str">
        <f>'Change Log'!A2</f>
        <v>v1.5 (last updated 2013.02.21)</v>
      </c>
      <c r="C2" s="396"/>
      <c r="D2" s="396"/>
    </row>
    <row r="3" spans="2:5" ht="118.5" customHeight="1" x14ac:dyDescent="0.25">
      <c r="B3" s="412" t="s">
        <v>409</v>
      </c>
      <c r="C3" s="412"/>
      <c r="D3" s="412"/>
      <c r="E3" s="412"/>
    </row>
    <row r="4" spans="2:5" ht="7.5" customHeight="1" x14ac:dyDescent="0.25">
      <c r="B4" s="343"/>
      <c r="C4" s="343"/>
      <c r="D4" s="343"/>
    </row>
    <row r="5" spans="2:5" x14ac:dyDescent="0.25">
      <c r="B5" s="142" t="s">
        <v>4</v>
      </c>
    </row>
    <row r="6" spans="2:5" ht="27" customHeight="1" x14ac:dyDescent="0.25">
      <c r="B6" s="402" t="s">
        <v>410</v>
      </c>
      <c r="C6" s="402"/>
      <c r="D6" s="402"/>
      <c r="E6" s="402"/>
    </row>
    <row r="7" spans="2:5" ht="4.5" customHeight="1" x14ac:dyDescent="0.25">
      <c r="B7" s="143"/>
    </row>
    <row r="8" spans="2:5" ht="13.5" customHeight="1" x14ac:dyDescent="0.25">
      <c r="B8" s="142" t="s">
        <v>12</v>
      </c>
    </row>
    <row r="9" spans="2:5" ht="78.75" customHeight="1" x14ac:dyDescent="0.25">
      <c r="B9" s="397" t="s">
        <v>136</v>
      </c>
      <c r="C9" s="398"/>
      <c r="D9" s="398"/>
      <c r="E9" s="398"/>
    </row>
    <row r="10" spans="2:5" ht="4.5" customHeight="1" x14ac:dyDescent="0.25">
      <c r="B10" s="143"/>
    </row>
    <row r="11" spans="2:5" x14ac:dyDescent="0.25">
      <c r="B11" s="142" t="s">
        <v>27</v>
      </c>
    </row>
    <row r="12" spans="2:5" ht="74.25" customHeight="1" x14ac:dyDescent="0.25">
      <c r="B12" s="397" t="s">
        <v>322</v>
      </c>
      <c r="C12" s="398"/>
      <c r="D12" s="398"/>
      <c r="E12" s="398"/>
    </row>
    <row r="13" spans="2:5" ht="9" customHeight="1" thickBot="1" x14ac:dyDescent="0.3">
      <c r="B13" s="142"/>
    </row>
    <row r="14" spans="2:5" ht="13.8" thickBot="1" x14ac:dyDescent="0.3">
      <c r="B14" s="399" t="s">
        <v>408</v>
      </c>
      <c r="C14" s="400"/>
      <c r="D14" s="401"/>
    </row>
    <row r="15" spans="2:5" x14ac:dyDescent="0.25">
      <c r="B15" s="403" t="s">
        <v>411</v>
      </c>
      <c r="C15" s="404"/>
      <c r="D15" s="405"/>
    </row>
    <row r="16" spans="2:5" x14ac:dyDescent="0.25">
      <c r="B16" s="406" t="s">
        <v>412</v>
      </c>
      <c r="C16" s="407"/>
      <c r="D16" s="408"/>
    </row>
    <row r="17" spans="2:5" x14ac:dyDescent="0.25">
      <c r="B17" s="413" t="s">
        <v>413</v>
      </c>
      <c r="C17" s="414"/>
      <c r="D17" s="415"/>
    </row>
    <row r="18" spans="2:5" ht="13.8" thickBot="1" x14ac:dyDescent="0.3">
      <c r="B18" s="409" t="s">
        <v>137</v>
      </c>
      <c r="C18" s="410"/>
      <c r="D18" s="411"/>
    </row>
    <row r="19" spans="2:5" ht="10.5" customHeight="1" thickBot="1" x14ac:dyDescent="0.3">
      <c r="B19" s="144"/>
      <c r="C19" s="145"/>
      <c r="D19" s="144"/>
      <c r="E19" s="54"/>
    </row>
    <row r="20" spans="2:5" ht="13.8" thickBot="1" x14ac:dyDescent="0.3">
      <c r="B20" s="399" t="s">
        <v>323</v>
      </c>
      <c r="C20" s="400"/>
      <c r="D20" s="401"/>
    </row>
    <row r="21" spans="2:5" s="168" customFormat="1" ht="57" customHeight="1" x14ac:dyDescent="0.25">
      <c r="B21" s="169" t="s">
        <v>414</v>
      </c>
      <c r="C21" s="372" t="s">
        <v>415</v>
      </c>
      <c r="D21" s="373"/>
    </row>
    <row r="22" spans="2:5" x14ac:dyDescent="0.25">
      <c r="B22" s="347" t="s">
        <v>324</v>
      </c>
      <c r="C22" s="172" t="s">
        <v>98</v>
      </c>
      <c r="D22" s="148"/>
    </row>
    <row r="23" spans="2:5" ht="12.75" customHeight="1" x14ac:dyDescent="0.25">
      <c r="B23" s="146" t="s">
        <v>334</v>
      </c>
      <c r="C23" s="171" t="s">
        <v>335</v>
      </c>
      <c r="D23" s="147"/>
    </row>
    <row r="24" spans="2:5" x14ac:dyDescent="0.25">
      <c r="B24" s="174" t="s">
        <v>336</v>
      </c>
      <c r="C24" s="175" t="s">
        <v>337</v>
      </c>
      <c r="D24" s="176"/>
    </row>
    <row r="25" spans="2:5" ht="55.5" customHeight="1" x14ac:dyDescent="0.25">
      <c r="B25" s="303" t="s">
        <v>416</v>
      </c>
      <c r="C25" s="392" t="s">
        <v>417</v>
      </c>
      <c r="D25" s="393"/>
    </row>
    <row r="26" spans="2:5" x14ac:dyDescent="0.25">
      <c r="B26" s="347" t="s">
        <v>325</v>
      </c>
      <c r="C26" s="172" t="s">
        <v>131</v>
      </c>
      <c r="D26" s="148"/>
    </row>
    <row r="27" spans="2:5" x14ac:dyDescent="0.25">
      <c r="B27" s="149" t="s">
        <v>462</v>
      </c>
      <c r="C27" s="171" t="s">
        <v>463</v>
      </c>
      <c r="D27" s="147"/>
    </row>
    <row r="28" spans="2:5" ht="14.25" customHeight="1" x14ac:dyDescent="0.35">
      <c r="B28" s="347" t="s">
        <v>326</v>
      </c>
      <c r="C28" s="348" t="s">
        <v>99</v>
      </c>
      <c r="D28" s="349"/>
    </row>
    <row r="29" spans="2:5" ht="14.25" customHeight="1" x14ac:dyDescent="0.25">
      <c r="B29" s="347" t="s">
        <v>327</v>
      </c>
      <c r="C29" s="348" t="s">
        <v>128</v>
      </c>
      <c r="D29" s="349"/>
    </row>
    <row r="30" spans="2:5" ht="15.6" x14ac:dyDescent="0.35">
      <c r="B30" s="347" t="s">
        <v>328</v>
      </c>
      <c r="C30" s="384" t="s">
        <v>332</v>
      </c>
      <c r="D30" s="385"/>
    </row>
    <row r="31" spans="2:5" ht="19.5" customHeight="1" x14ac:dyDescent="0.35">
      <c r="B31" s="347" t="s">
        <v>329</v>
      </c>
      <c r="C31" s="348" t="s">
        <v>333</v>
      </c>
      <c r="D31" s="349"/>
    </row>
    <row r="32" spans="2:5" s="168" customFormat="1" ht="17.25" customHeight="1" x14ac:dyDescent="0.25">
      <c r="B32" s="254" t="s">
        <v>361</v>
      </c>
      <c r="C32" s="255" t="s">
        <v>362</v>
      </c>
      <c r="D32" s="256"/>
    </row>
    <row r="33" spans="2:13" ht="15.6" x14ac:dyDescent="0.25">
      <c r="B33" s="150" t="s">
        <v>330</v>
      </c>
      <c r="C33" s="173" t="s">
        <v>100</v>
      </c>
      <c r="D33" s="151"/>
    </row>
    <row r="34" spans="2:13" ht="13.8" thickBot="1" x14ac:dyDescent="0.3">
      <c r="B34" s="170" t="s">
        <v>331</v>
      </c>
      <c r="C34" s="382" t="s">
        <v>2</v>
      </c>
      <c r="D34" s="383"/>
      <c r="E34" s="54"/>
    </row>
    <row r="35" spans="2:13" ht="14.25" customHeight="1" thickBot="1" x14ac:dyDescent="0.3">
      <c r="B35" s="144"/>
      <c r="C35" s="144"/>
      <c r="D35" s="144"/>
      <c r="E35" s="54"/>
    </row>
    <row r="36" spans="2:13" ht="18" customHeight="1" thickBot="1" x14ac:dyDescent="0.3">
      <c r="B36" s="386" t="s">
        <v>119</v>
      </c>
      <c r="C36" s="387"/>
      <c r="D36" s="387"/>
      <c r="E36" s="388"/>
    </row>
    <row r="37" spans="2:13" ht="21.75" customHeight="1" thickBot="1" x14ac:dyDescent="0.3">
      <c r="B37" s="389" t="s">
        <v>418</v>
      </c>
      <c r="C37" s="390"/>
      <c r="D37" s="390"/>
      <c r="E37" s="391"/>
    </row>
    <row r="38" spans="2:13" ht="21" customHeight="1" x14ac:dyDescent="0.25">
      <c r="B38" s="420" t="s">
        <v>114</v>
      </c>
      <c r="C38" s="421"/>
      <c r="D38" s="394" t="s">
        <v>419</v>
      </c>
      <c r="E38" s="395"/>
    </row>
    <row r="39" spans="2:13" ht="19.5" customHeight="1" x14ac:dyDescent="0.25">
      <c r="B39" s="422" t="s">
        <v>115</v>
      </c>
      <c r="C39" s="423"/>
      <c r="D39" s="426" t="s">
        <v>120</v>
      </c>
      <c r="E39" s="427"/>
    </row>
    <row r="40" spans="2:13" ht="68.25" customHeight="1" x14ac:dyDescent="0.25">
      <c r="B40" s="374" t="s">
        <v>116</v>
      </c>
      <c r="C40" s="375"/>
      <c r="D40" s="378" t="s">
        <v>420</v>
      </c>
      <c r="E40" s="379"/>
    </row>
    <row r="41" spans="2:13" ht="21" customHeight="1" x14ac:dyDescent="0.25">
      <c r="B41" s="376"/>
      <c r="C41" s="377"/>
      <c r="D41" s="380" t="s">
        <v>338</v>
      </c>
      <c r="E41" s="381"/>
    </row>
    <row r="42" spans="2:13" ht="46.5" customHeight="1" x14ac:dyDescent="0.25">
      <c r="B42" s="422" t="s">
        <v>117</v>
      </c>
      <c r="C42" s="423"/>
      <c r="D42" s="416" t="s">
        <v>466</v>
      </c>
      <c r="E42" s="417"/>
      <c r="F42" s="54"/>
    </row>
    <row r="43" spans="2:13" ht="59.25" customHeight="1" x14ac:dyDescent="0.25">
      <c r="B43" s="422" t="s">
        <v>118</v>
      </c>
      <c r="C43" s="423"/>
      <c r="D43" s="416" t="s">
        <v>461</v>
      </c>
      <c r="E43" s="417"/>
      <c r="F43" s="54"/>
    </row>
    <row r="44" spans="2:13" ht="55.5" customHeight="1" x14ac:dyDescent="0.25">
      <c r="B44" s="428" t="s">
        <v>422</v>
      </c>
      <c r="C44" s="423"/>
      <c r="D44" s="416" t="s">
        <v>472</v>
      </c>
      <c r="E44" s="429"/>
      <c r="F44" s="54"/>
    </row>
    <row r="45" spans="2:13" ht="44.25" customHeight="1" thickBot="1" x14ac:dyDescent="0.3">
      <c r="B45" s="424" t="s">
        <v>421</v>
      </c>
      <c r="C45" s="425"/>
      <c r="D45" s="418" t="s">
        <v>423</v>
      </c>
      <c r="E45" s="419"/>
      <c r="M45" s="54"/>
    </row>
    <row r="46" spans="2:13" x14ac:dyDescent="0.25">
      <c r="B46" s="152"/>
      <c r="C46" s="153"/>
      <c r="D46" s="153"/>
      <c r="E46" s="153"/>
    </row>
  </sheetData>
  <sheetProtection password="C969" sheet="1" objects="1" scenarios="1"/>
  <customSheetViews>
    <customSheetView guid="{8C263A95-99F9-4260-B64A-0E771D03F536}" scale="106" showRuler="0">
      <selection activeCell="C14" sqref="C14"/>
      <pageMargins left="0.5" right="0.5" top="1" bottom="1" header="0.5" footer="0.5"/>
      <pageSetup orientation="landscape" r:id="rId1"/>
      <headerFooter alignWithMargins="0"/>
    </customSheetView>
  </customSheetViews>
  <mergeCells count="32">
    <mergeCell ref="D42:E42"/>
    <mergeCell ref="D43:E43"/>
    <mergeCell ref="D45:E45"/>
    <mergeCell ref="B38:C38"/>
    <mergeCell ref="B39:C39"/>
    <mergeCell ref="B42:C42"/>
    <mergeCell ref="B43:C43"/>
    <mergeCell ref="B45:C45"/>
    <mergeCell ref="D39:E39"/>
    <mergeCell ref="B44:C44"/>
    <mergeCell ref="D44:E44"/>
    <mergeCell ref="B2:D2"/>
    <mergeCell ref="B9:E9"/>
    <mergeCell ref="B20:D20"/>
    <mergeCell ref="B6:E6"/>
    <mergeCell ref="B14:D14"/>
    <mergeCell ref="B12:E12"/>
    <mergeCell ref="B15:D15"/>
    <mergeCell ref="B16:D16"/>
    <mergeCell ref="B18:D18"/>
    <mergeCell ref="B3:E3"/>
    <mergeCell ref="B17:D17"/>
    <mergeCell ref="C21:D21"/>
    <mergeCell ref="B40:C41"/>
    <mergeCell ref="D40:E40"/>
    <mergeCell ref="D41:E41"/>
    <mergeCell ref="C34:D34"/>
    <mergeCell ref="C30:D30"/>
    <mergeCell ref="B36:E36"/>
    <mergeCell ref="B37:E37"/>
    <mergeCell ref="C25:D25"/>
    <mergeCell ref="D38:E38"/>
  </mergeCells>
  <phoneticPr fontId="0" type="noConversion"/>
  <hyperlinks>
    <hyperlink ref="D41" r:id="rId2"/>
  </hyperlinks>
  <pageMargins left="0.2" right="0.2" top="0.5" bottom="0.8" header="0.5" footer="0.5"/>
  <pageSetup scale="69" orientation="landscape" r:id="rId3"/>
  <headerFooter alignWithMargins="0">
    <oddFooter>&amp;LPage &amp;P of &amp;N&amp;C&amp;F&amp;RPrinted &amp;D</oddFooter>
  </headerFooter>
  <rowBreaks count="1" manualBreakCount="1">
    <brk id="34"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M123"/>
  <sheetViews>
    <sheetView showGridLines="0" zoomScaleNormal="100" workbookViewId="0"/>
  </sheetViews>
  <sheetFormatPr defaultColWidth="9.109375" defaultRowHeight="13.2" x14ac:dyDescent="0.25"/>
  <cols>
    <col min="1" max="1" width="2.33203125" style="52" customWidth="1"/>
    <col min="2" max="2" width="41.5546875" style="52" customWidth="1"/>
    <col min="3" max="3" width="50.109375" style="52" customWidth="1"/>
    <col min="4" max="4" width="18.6640625" style="52" customWidth="1"/>
    <col min="5" max="5" width="15.44140625" style="52" hidden="1" customWidth="1"/>
    <col min="6" max="6" width="19.88671875" style="52" customWidth="1"/>
    <col min="7" max="7" width="20.6640625" style="52" customWidth="1"/>
    <col min="8" max="8" width="20" style="52" hidden="1" customWidth="1"/>
    <col min="9" max="9" width="20" style="52" customWidth="1"/>
    <col min="10" max="10" width="19.109375" style="52" customWidth="1"/>
    <col min="11" max="11" width="18.109375" style="52" customWidth="1"/>
    <col min="12" max="12" width="9.109375" style="52"/>
    <col min="13" max="13" width="97.44140625" style="52" hidden="1" customWidth="1"/>
    <col min="14" max="16384" width="9.109375" style="52"/>
  </cols>
  <sheetData>
    <row r="1" spans="2:13" ht="17.399999999999999" x14ac:dyDescent="0.3">
      <c r="B1" s="50" t="s">
        <v>134</v>
      </c>
    </row>
    <row r="2" spans="2:13" ht="16.2" thickBot="1" x14ac:dyDescent="0.4">
      <c r="M2" s="188" t="s">
        <v>349</v>
      </c>
    </row>
    <row r="3" spans="2:13" ht="13.8" thickBot="1" x14ac:dyDescent="0.3">
      <c r="B3" s="434" t="s">
        <v>5</v>
      </c>
      <c r="C3" s="435"/>
      <c r="M3" s="189" t="s">
        <v>11</v>
      </c>
    </row>
    <row r="4" spans="2:13" x14ac:dyDescent="0.25">
      <c r="B4" s="270" t="s">
        <v>6</v>
      </c>
      <c r="C4" s="271" t="s">
        <v>340</v>
      </c>
      <c r="M4" s="189" t="s">
        <v>350</v>
      </c>
    </row>
    <row r="5" spans="2:13" x14ac:dyDescent="0.25">
      <c r="B5" s="126" t="s">
        <v>7</v>
      </c>
      <c r="C5" s="82" t="s">
        <v>21</v>
      </c>
      <c r="M5" s="189" t="s">
        <v>17</v>
      </c>
    </row>
    <row r="6" spans="2:13" x14ac:dyDescent="0.25">
      <c r="B6" s="127" t="s">
        <v>151</v>
      </c>
      <c r="C6" s="82" t="s">
        <v>341</v>
      </c>
      <c r="M6" s="168"/>
    </row>
    <row r="7" spans="2:13" x14ac:dyDescent="0.25">
      <c r="B7" s="127" t="s">
        <v>143</v>
      </c>
      <c r="C7" s="177" t="s">
        <v>280</v>
      </c>
      <c r="M7" s="188" t="s">
        <v>351</v>
      </c>
    </row>
    <row r="8" spans="2:13" ht="13.8" thickBot="1" x14ac:dyDescent="0.3">
      <c r="B8" s="128" t="s">
        <v>339</v>
      </c>
      <c r="C8" s="272">
        <v>87101</v>
      </c>
      <c r="M8" s="189" t="s">
        <v>11</v>
      </c>
    </row>
    <row r="9" spans="2:13" ht="13.8" thickBot="1" x14ac:dyDescent="0.3">
      <c r="M9" s="189" t="s">
        <v>352</v>
      </c>
    </row>
    <row r="10" spans="2:13" ht="13.8" thickBot="1" x14ac:dyDescent="0.3">
      <c r="B10" s="434" t="s">
        <v>10</v>
      </c>
      <c r="C10" s="435"/>
      <c r="M10" s="189" t="s">
        <v>350</v>
      </c>
    </row>
    <row r="11" spans="2:13" x14ac:dyDescent="0.25">
      <c r="B11" s="125" t="s">
        <v>6</v>
      </c>
      <c r="C11" s="88" t="s">
        <v>18</v>
      </c>
      <c r="M11" s="189" t="s">
        <v>17</v>
      </c>
    </row>
    <row r="12" spans="2:13" x14ac:dyDescent="0.25">
      <c r="B12" s="126" t="s">
        <v>8</v>
      </c>
      <c r="C12" s="82" t="s">
        <v>19</v>
      </c>
      <c r="M12" s="189" t="s">
        <v>16</v>
      </c>
    </row>
    <row r="13" spans="2:13" ht="13.8" thickBot="1" x14ac:dyDescent="0.3">
      <c r="B13" s="130" t="s">
        <v>9</v>
      </c>
      <c r="C13" s="83" t="s">
        <v>20</v>
      </c>
      <c r="M13" s="189" t="s">
        <v>15</v>
      </c>
    </row>
    <row r="14" spans="2:13" ht="13.8" thickBot="1" x14ac:dyDescent="0.3"/>
    <row r="15" spans="2:13" ht="16.2" thickBot="1" x14ac:dyDescent="0.4">
      <c r="B15" s="440" t="str">
        <f>"U.S. Environmental Protection Agency Region "&amp;VLOOKUP(C7,'EPA Regional Contact Info'!$A$5:$C$49,3,FALSE)&amp;" Contact"</f>
        <v>U.S. Environmental Protection Agency Region 6 Contact</v>
      </c>
      <c r="C15" s="441"/>
      <c r="M15" s="188" t="s">
        <v>353</v>
      </c>
    </row>
    <row r="16" spans="2:13" x14ac:dyDescent="0.25">
      <c r="B16" s="178" t="s">
        <v>342</v>
      </c>
      <c r="C16" s="179" t="str">
        <f>VLOOKUP($C$7,'EPA Regional Contact Info'!$A$5:$N$49,4,FALSE)</f>
        <v>Bonnie Braganza</v>
      </c>
      <c r="M16" s="189" t="s">
        <v>11</v>
      </c>
    </row>
    <row r="17" spans="2:13" x14ac:dyDescent="0.25">
      <c r="B17" s="180" t="s">
        <v>343</v>
      </c>
      <c r="C17" s="181" t="str">
        <f>VLOOKUP($C$7,'EPA Regional Contact Info'!$A$5:$N$49,5,FALSE)</f>
        <v>214-665-7340</v>
      </c>
      <c r="M17" s="189" t="s">
        <v>354</v>
      </c>
    </row>
    <row r="18" spans="2:13" x14ac:dyDescent="0.25">
      <c r="B18" s="180" t="s">
        <v>344</v>
      </c>
      <c r="C18" s="181" t="str">
        <f>VLOOKUP($C$7,'EPA Regional Contact Info'!$A$5:$N$49,6,FALSE)</f>
        <v>braganza.bonnie@epa.gov</v>
      </c>
    </row>
    <row r="19" spans="2:13" x14ac:dyDescent="0.25">
      <c r="B19" s="180" t="s">
        <v>345</v>
      </c>
      <c r="C19" s="181" t="str">
        <f>VLOOKUP($C$7,'EPA Regional Contact Info'!$A$5:$N$49,7,FALSE)</f>
        <v>None</v>
      </c>
      <c r="M19" s="87" t="s">
        <v>39</v>
      </c>
    </row>
    <row r="20" spans="2:13" x14ac:dyDescent="0.25">
      <c r="B20" s="180" t="s">
        <v>346</v>
      </c>
      <c r="C20" s="181" t="str">
        <f>IF(VLOOKUP($C$7,'EPA Regional Contact Info'!$A$5:$N$49,8,FALSE)=0,"",VLOOKUP($C$7,'EPA Regional Contact Info'!$A$5:$N$49,8,FALSE))</f>
        <v/>
      </c>
      <c r="M20" s="86" t="s">
        <v>108</v>
      </c>
    </row>
    <row r="21" spans="2:13" ht="14.25" customHeight="1" x14ac:dyDescent="0.25">
      <c r="B21" s="180" t="s">
        <v>347</v>
      </c>
      <c r="C21" s="181" t="str">
        <f>IF(VLOOKUP($C$7,'EPA Regional Contact Info'!$A$5:$N$49,9,FALSE)=0,"",VLOOKUP($C$7,'EPA Regional Contact Info'!$A$5:$N$49,9,FALSE))</f>
        <v/>
      </c>
      <c r="M21" s="86" t="s">
        <v>109</v>
      </c>
    </row>
    <row r="22" spans="2:13" x14ac:dyDescent="0.25">
      <c r="B22" s="182" t="s">
        <v>7</v>
      </c>
      <c r="C22" s="183" t="str">
        <f>"U.S. Environmental Protection Agency Region "&amp;VLOOKUP($C$7,'EPA Regional Contact Info'!$A$5:$C$49,3,FALSE)</f>
        <v>U.S. Environmental Protection Agency Region 6</v>
      </c>
      <c r="M22" s="86" t="s">
        <v>60</v>
      </c>
    </row>
    <row r="23" spans="2:13" x14ac:dyDescent="0.25">
      <c r="B23" s="184"/>
      <c r="C23" s="185" t="str">
        <f>VLOOKUP($C$7,'EPA Regional Contact Info'!$A$5:$N$49,10,FALSE)</f>
        <v>1445 Ross Avenue, Suite 1200</v>
      </c>
      <c r="M23" s="86" t="s">
        <v>58</v>
      </c>
    </row>
    <row r="24" spans="2:13" x14ac:dyDescent="0.25">
      <c r="B24" s="184"/>
      <c r="C24" s="185" t="str">
        <f>VLOOKUP($C$7,'EPA Regional Contact Info'!$A$5:$N$49,11,FALSE)</f>
        <v>MC: 6PD</v>
      </c>
      <c r="M24" s="86" t="s">
        <v>59</v>
      </c>
    </row>
    <row r="25" spans="2:13" ht="13.8" thickBot="1" x14ac:dyDescent="0.3">
      <c r="B25" s="186"/>
      <c r="C25" s="187" t="str">
        <f>VLOOKUP($C$7,'EPA Regional Contact Info'!$A$5:$N$49,12,FALSE)&amp;", "&amp;VLOOKUP($C$7,'EPA Regional Contact Info'!$A$5:$N$49,13,FALSE)&amp;" "&amp;VLOOKUP($C$7,'EPA Regional Contact Info'!$A$5:$N$49,14,FALSE)</f>
        <v>Dallas, TX 75202-2733</v>
      </c>
      <c r="M25" s="86" t="s">
        <v>56</v>
      </c>
    </row>
    <row r="26" spans="2:13" ht="13.8" thickBot="1" x14ac:dyDescent="0.3">
      <c r="M26" s="86" t="s">
        <v>57</v>
      </c>
    </row>
    <row r="27" spans="2:13" ht="13.8" thickBot="1" x14ac:dyDescent="0.3">
      <c r="B27" s="436" t="s">
        <v>107</v>
      </c>
      <c r="C27" s="437"/>
      <c r="M27" s="86" t="s">
        <v>62</v>
      </c>
    </row>
    <row r="28" spans="2:13" x14ac:dyDescent="0.25">
      <c r="B28" s="235" t="s">
        <v>84</v>
      </c>
      <c r="C28" s="239" t="s">
        <v>11</v>
      </c>
    </row>
    <row r="29" spans="2:13" x14ac:dyDescent="0.25">
      <c r="B29" s="236"/>
      <c r="C29" s="240"/>
    </row>
    <row r="30" spans="2:13" x14ac:dyDescent="0.25">
      <c r="B30" s="236" t="s">
        <v>348</v>
      </c>
      <c r="C30" s="241" t="s">
        <v>11</v>
      </c>
      <c r="M30" s="129" t="str">
        <f>'EPA Regional Contact Info'!A4</f>
        <v>State</v>
      </c>
    </row>
    <row r="31" spans="2:13" x14ac:dyDescent="0.25">
      <c r="B31" s="237"/>
      <c r="C31" s="242"/>
      <c r="M31" s="131" t="str">
        <f>'EPA Regional Contact Info'!A5</f>
        <v>Alabama</v>
      </c>
    </row>
    <row r="32" spans="2:13" ht="15.6" x14ac:dyDescent="0.35">
      <c r="B32" s="236" t="s">
        <v>43</v>
      </c>
      <c r="C32" s="241" t="s">
        <v>11</v>
      </c>
      <c r="M32" s="86" t="str">
        <f>'EPA Regional Contact Info'!A6</f>
        <v>Alaska</v>
      </c>
    </row>
    <row r="33" spans="2:13" x14ac:dyDescent="0.25">
      <c r="B33" s="237"/>
      <c r="C33" s="242"/>
      <c r="M33" s="86" t="str">
        <f>'EPA Regional Contact Info'!A7</f>
        <v>Arizona</v>
      </c>
    </row>
    <row r="34" spans="2:13" ht="15.6" x14ac:dyDescent="0.35">
      <c r="B34" s="236" t="s">
        <v>44</v>
      </c>
      <c r="C34" s="241" t="s">
        <v>11</v>
      </c>
      <c r="M34" s="86" t="str">
        <f>'EPA Regional Contact Info'!A8</f>
        <v>Arkansas</v>
      </c>
    </row>
    <row r="35" spans="2:13" x14ac:dyDescent="0.25">
      <c r="B35" s="237"/>
      <c r="C35" s="242"/>
      <c r="M35" s="86" t="str">
        <f>'EPA Regional Contact Info'!A9</f>
        <v>California</v>
      </c>
    </row>
    <row r="36" spans="2:13" ht="15.6" x14ac:dyDescent="0.35">
      <c r="B36" s="236" t="s">
        <v>397</v>
      </c>
      <c r="C36" s="241" t="s">
        <v>11</v>
      </c>
      <c r="M36" s="86" t="str">
        <f>'EPA Regional Contact Info'!A10</f>
        <v>Colorado</v>
      </c>
    </row>
    <row r="37" spans="2:13" ht="13.8" thickBot="1" x14ac:dyDescent="0.3">
      <c r="B37" s="238"/>
      <c r="C37" s="243"/>
      <c r="M37" s="86" t="str">
        <f>'EPA Regional Contact Info'!A11</f>
        <v>Connecticut</v>
      </c>
    </row>
    <row r="38" spans="2:13" x14ac:dyDescent="0.25">
      <c r="B38" s="54"/>
      <c r="C38" s="280"/>
      <c r="M38" s="86" t="str">
        <f>'EPA Regional Contact Info'!A12</f>
        <v>Florida</v>
      </c>
    </row>
    <row r="39" spans="2:13" ht="13.8" thickBot="1" x14ac:dyDescent="0.3">
      <c r="M39" s="86" t="str">
        <f>'EPA Regional Contact Info'!A13</f>
        <v>Georgia</v>
      </c>
    </row>
    <row r="40" spans="2:13" ht="13.8" thickBot="1" x14ac:dyDescent="0.3">
      <c r="B40" s="154" t="s">
        <v>42</v>
      </c>
      <c r="C40" s="155"/>
      <c r="D40" s="155"/>
      <c r="E40" s="155"/>
      <c r="F40" s="156"/>
      <c r="G40" s="260"/>
      <c r="H40" s="260"/>
      <c r="I40" s="260"/>
      <c r="M40" s="86" t="str">
        <f>'EPA Regional Contact Info'!A14</f>
        <v>Hawaii</v>
      </c>
    </row>
    <row r="41" spans="2:13" ht="27" thickBot="1" x14ac:dyDescent="0.3">
      <c r="B41" s="329" t="s">
        <v>37</v>
      </c>
      <c r="C41" s="330" t="s">
        <v>38</v>
      </c>
      <c r="D41" s="330" t="s">
        <v>63</v>
      </c>
      <c r="E41" s="331"/>
      <c r="F41" s="332" t="s">
        <v>68</v>
      </c>
      <c r="G41" s="321"/>
      <c r="M41" s="86" t="str">
        <f>'EPA Regional Contact Info'!A15</f>
        <v>Idaho</v>
      </c>
    </row>
    <row r="42" spans="2:13" x14ac:dyDescent="0.25">
      <c r="B42" s="333" t="s">
        <v>85</v>
      </c>
      <c r="C42" s="334" t="s">
        <v>86</v>
      </c>
      <c r="D42" s="335">
        <v>0</v>
      </c>
      <c r="E42" s="360"/>
      <c r="F42" s="336" t="s">
        <v>108</v>
      </c>
      <c r="G42" s="356"/>
      <c r="M42" s="86" t="str">
        <f>'EPA Regional Contact Info'!A16</f>
        <v>Illinois</v>
      </c>
    </row>
    <row r="43" spans="2:13" x14ac:dyDescent="0.25">
      <c r="B43" s="121"/>
      <c r="C43" s="26"/>
      <c r="D43" s="81"/>
      <c r="E43" s="361"/>
      <c r="F43" s="337"/>
      <c r="G43" s="356"/>
      <c r="M43" s="86" t="str">
        <f>'EPA Regional Contact Info'!A17</f>
        <v>Indiana</v>
      </c>
    </row>
    <row r="44" spans="2:13" x14ac:dyDescent="0.25">
      <c r="B44" s="121"/>
      <c r="C44" s="26"/>
      <c r="D44" s="81"/>
      <c r="E44" s="361"/>
      <c r="F44" s="337"/>
      <c r="G44" s="356"/>
      <c r="M44" s="86" t="str">
        <f>'EPA Regional Contact Info'!A18</f>
        <v>Iowa</v>
      </c>
    </row>
    <row r="45" spans="2:13" x14ac:dyDescent="0.25">
      <c r="B45" s="121"/>
      <c r="C45" s="26"/>
      <c r="D45" s="81"/>
      <c r="E45" s="361"/>
      <c r="F45" s="337"/>
      <c r="G45" s="356"/>
      <c r="M45" s="86" t="str">
        <f>'EPA Regional Contact Info'!A19</f>
        <v>Kansas</v>
      </c>
    </row>
    <row r="46" spans="2:13" x14ac:dyDescent="0.25">
      <c r="B46" s="121"/>
      <c r="C46" s="26"/>
      <c r="D46" s="81"/>
      <c r="E46" s="361"/>
      <c r="F46" s="337"/>
      <c r="G46" s="356"/>
      <c r="M46" s="86" t="str">
        <f>'EPA Regional Contact Info'!A20</f>
        <v>Kentucky</v>
      </c>
    </row>
    <row r="47" spans="2:13" x14ac:dyDescent="0.25">
      <c r="B47" s="121"/>
      <c r="C47" s="26"/>
      <c r="D47" s="81"/>
      <c r="E47" s="361"/>
      <c r="F47" s="337"/>
      <c r="G47" s="356"/>
      <c r="M47" s="86" t="str">
        <f>'EPA Regional Contact Info'!A21</f>
        <v>Louisiana</v>
      </c>
    </row>
    <row r="48" spans="2:13" x14ac:dyDescent="0.25">
      <c r="B48" s="121"/>
      <c r="C48" s="26"/>
      <c r="D48" s="81"/>
      <c r="E48" s="361"/>
      <c r="F48" s="337"/>
      <c r="G48" s="356"/>
      <c r="M48" s="86" t="str">
        <f>'EPA Regional Contact Info'!A22</f>
        <v>Maine</v>
      </c>
    </row>
    <row r="49" spans="2:13" x14ac:dyDescent="0.25">
      <c r="B49" s="121"/>
      <c r="C49" s="26"/>
      <c r="D49" s="81"/>
      <c r="E49" s="361"/>
      <c r="F49" s="337"/>
      <c r="G49" s="356"/>
      <c r="M49" s="86" t="str">
        <f>'EPA Regional Contact Info'!A23</f>
        <v>Massachusetts</v>
      </c>
    </row>
    <row r="50" spans="2:13" x14ac:dyDescent="0.25">
      <c r="B50" s="121"/>
      <c r="C50" s="26"/>
      <c r="D50" s="81"/>
      <c r="E50" s="361"/>
      <c r="F50" s="337"/>
      <c r="G50" s="356"/>
      <c r="M50" s="86" t="str">
        <f>'EPA Regional Contact Info'!A24</f>
        <v>Michigan</v>
      </c>
    </row>
    <row r="51" spans="2:13" x14ac:dyDescent="0.25">
      <c r="B51" s="121"/>
      <c r="C51" s="26"/>
      <c r="D51" s="81"/>
      <c r="E51" s="361"/>
      <c r="F51" s="337"/>
      <c r="G51" s="356"/>
      <c r="M51" s="86" t="str">
        <f>'EPA Regional Contact Info'!A25</f>
        <v>Minnesota</v>
      </c>
    </row>
    <row r="52" spans="2:13" x14ac:dyDescent="0.25">
      <c r="B52" s="121"/>
      <c r="C52" s="26"/>
      <c r="D52" s="81"/>
      <c r="E52" s="361"/>
      <c r="F52" s="337"/>
      <c r="G52" s="356"/>
      <c r="M52" s="86" t="str">
        <f>'EPA Regional Contact Info'!A26</f>
        <v>Mississippi</v>
      </c>
    </row>
    <row r="53" spans="2:13" x14ac:dyDescent="0.25">
      <c r="B53" s="121"/>
      <c r="C53" s="26"/>
      <c r="D53" s="81"/>
      <c r="E53" s="361"/>
      <c r="F53" s="337"/>
      <c r="G53" s="356"/>
      <c r="M53" s="86" t="str">
        <f>'EPA Regional Contact Info'!A27</f>
        <v>Missouri</v>
      </c>
    </row>
    <row r="54" spans="2:13" x14ac:dyDescent="0.25">
      <c r="B54" s="121"/>
      <c r="C54" s="26"/>
      <c r="D54" s="81"/>
      <c r="E54" s="361"/>
      <c r="F54" s="337"/>
      <c r="G54" s="356"/>
      <c r="M54" s="86" t="str">
        <f>'EPA Regional Contact Info'!A28</f>
        <v>Montana</v>
      </c>
    </row>
    <row r="55" spans="2:13" x14ac:dyDescent="0.25">
      <c r="B55" s="121"/>
      <c r="C55" s="26"/>
      <c r="D55" s="81"/>
      <c r="E55" s="361"/>
      <c r="F55" s="337"/>
      <c r="G55" s="356"/>
      <c r="M55" s="86" t="str">
        <f>'EPA Regional Contact Info'!A29</f>
        <v>Nebraska</v>
      </c>
    </row>
    <row r="56" spans="2:13" x14ac:dyDescent="0.25">
      <c r="B56" s="121"/>
      <c r="C56" s="26"/>
      <c r="D56" s="81"/>
      <c r="E56" s="361"/>
      <c r="F56" s="337"/>
      <c r="G56" s="356"/>
      <c r="M56" s="86" t="str">
        <f>'EPA Regional Contact Info'!A30</f>
        <v>Nevada</v>
      </c>
    </row>
    <row r="57" spans="2:13" x14ac:dyDescent="0.25">
      <c r="B57" s="121"/>
      <c r="C57" s="26"/>
      <c r="D57" s="81"/>
      <c r="E57" s="361"/>
      <c r="F57" s="337"/>
      <c r="G57" s="356"/>
      <c r="M57" s="86" t="str">
        <f>'EPA Regional Contact Info'!A31</f>
        <v>New Hampshire</v>
      </c>
    </row>
    <row r="58" spans="2:13" x14ac:dyDescent="0.25">
      <c r="B58" s="121"/>
      <c r="C58" s="26"/>
      <c r="D58" s="81"/>
      <c r="E58" s="361"/>
      <c r="F58" s="337"/>
      <c r="G58" s="356"/>
      <c r="M58" s="86" t="str">
        <f>'EPA Regional Contact Info'!A32</f>
        <v>New Jersey</v>
      </c>
    </row>
    <row r="59" spans="2:13" x14ac:dyDescent="0.25">
      <c r="B59" s="121"/>
      <c r="C59" s="26"/>
      <c r="D59" s="81"/>
      <c r="E59" s="361"/>
      <c r="F59" s="337"/>
      <c r="G59" s="356"/>
      <c r="M59" s="86" t="str">
        <f>'EPA Regional Contact Info'!A33</f>
        <v>New Mexico</v>
      </c>
    </row>
    <row r="60" spans="2:13" x14ac:dyDescent="0.25">
      <c r="B60" s="121"/>
      <c r="C60" s="26"/>
      <c r="D60" s="81"/>
      <c r="E60" s="361"/>
      <c r="F60" s="337"/>
      <c r="G60" s="356"/>
      <c r="M60" s="86" t="str">
        <f>'EPA Regional Contact Info'!A34</f>
        <v>New York</v>
      </c>
    </row>
    <row r="61" spans="2:13" ht="13.8" thickBot="1" x14ac:dyDescent="0.3">
      <c r="B61" s="122"/>
      <c r="C61" s="84"/>
      <c r="D61" s="85"/>
      <c r="E61" s="362"/>
      <c r="F61" s="338"/>
      <c r="G61" s="356"/>
      <c r="M61" s="86" t="str">
        <f>'EPA Regional Contact Info'!A35</f>
        <v>North Carolina</v>
      </c>
    </row>
    <row r="62" spans="2:13" ht="13.8" thickBot="1" x14ac:dyDescent="0.3">
      <c r="M62" s="86" t="str">
        <f>'EPA Regional Contact Info'!A36</f>
        <v>North Dakota</v>
      </c>
    </row>
    <row r="63" spans="2:13" ht="13.8" thickBot="1" x14ac:dyDescent="0.3">
      <c r="B63" s="344" t="s">
        <v>92</v>
      </c>
      <c r="C63" s="345"/>
      <c r="D63" s="345"/>
      <c r="E63" s="345"/>
      <c r="F63" s="345"/>
      <c r="G63" s="345"/>
      <c r="H63" s="345"/>
      <c r="I63" s="345"/>
      <c r="J63" s="345"/>
      <c r="K63" s="346"/>
      <c r="M63" s="86" t="str">
        <f>'EPA Regional Contact Info'!A37</f>
        <v>Ohio</v>
      </c>
    </row>
    <row r="64" spans="2:13" ht="29.25" customHeight="1" thickBot="1" x14ac:dyDescent="0.3">
      <c r="B64" s="442" t="s">
        <v>468</v>
      </c>
      <c r="C64" s="443"/>
      <c r="D64" s="443"/>
      <c r="E64" s="443"/>
      <c r="F64" s="443"/>
      <c r="G64" s="443"/>
      <c r="H64" s="443"/>
      <c r="I64" s="443"/>
      <c r="J64" s="443"/>
      <c r="K64" s="444"/>
      <c r="M64" s="86" t="str">
        <f>'EPA Regional Contact Info'!A38</f>
        <v>Oklahoma</v>
      </c>
    </row>
    <row r="65" spans="2:13" x14ac:dyDescent="0.25">
      <c r="B65" s="438" t="s">
        <v>37</v>
      </c>
      <c r="C65" s="430" t="s">
        <v>38</v>
      </c>
      <c r="D65" s="430" t="s">
        <v>39</v>
      </c>
      <c r="E65" s="352"/>
      <c r="F65" s="432" t="s">
        <v>41</v>
      </c>
      <c r="G65" s="432" t="s">
        <v>469</v>
      </c>
      <c r="H65" s="350"/>
      <c r="I65" s="432" t="s">
        <v>437</v>
      </c>
      <c r="J65" s="446" t="s">
        <v>40</v>
      </c>
      <c r="K65" s="448" t="s">
        <v>464</v>
      </c>
      <c r="M65" s="86" t="str">
        <f>'EPA Regional Contact Info'!A39</f>
        <v>Oregon</v>
      </c>
    </row>
    <row r="66" spans="2:13" ht="18" customHeight="1" thickBot="1" x14ac:dyDescent="0.3">
      <c r="B66" s="439"/>
      <c r="C66" s="431"/>
      <c r="D66" s="431"/>
      <c r="E66" s="353"/>
      <c r="F66" s="433"/>
      <c r="G66" s="433"/>
      <c r="H66" s="351"/>
      <c r="I66" s="433"/>
      <c r="J66" s="447"/>
      <c r="K66" s="449"/>
      <c r="M66" s="86" t="str">
        <f>'EPA Regional Contact Info'!A40</f>
        <v>Rhode Island</v>
      </c>
    </row>
    <row r="67" spans="2:13" ht="18" customHeight="1" x14ac:dyDescent="0.25">
      <c r="B67" s="339" t="s">
        <v>85</v>
      </c>
      <c r="C67" s="203" t="str">
        <f>IF(ISERROR(VLOOKUP(B67,Inputs!$B$42:$C$61,2,FALSE)),"",VLOOKUP(B67,Inputs!$B$42:$C$61,2,FALSE))</f>
        <v>Acme Wet Bottom</v>
      </c>
      <c r="D67" s="95" t="s">
        <v>108</v>
      </c>
      <c r="E67" s="357">
        <f>IF($D67=Inputs!$M$20,0,IF($D67=Inputs!$M$21,0,IF($D67=Inputs!$M$22,0,IF($D67=Inputs!$M$25,0,IF($D67=Inputs!$M$26,0,IF($D67="",0,1))))))</f>
        <v>0</v>
      </c>
      <c r="F67" s="136">
        <v>0</v>
      </c>
      <c r="G67" s="251">
        <f>IF(D67="Wood","",IF(D67="","",IF(F67="",VLOOKUP(D67,'Additional References'!$B$11:$C$17,2,FALSE),IF(F67=0,VLOOKUP(D67,'Additional References'!$B$11:$C$17,2,FALSE),F67))))</f>
        <v>1</v>
      </c>
      <c r="H67" s="206">
        <f>IF(D67=Inputs!$M$20,'Additional References'!$C$4,IF(D67=Inputs!$M$21,'Additional References'!$C$5,IF(D67=Inputs!$M$26,'Additional References'!$C$8,IF(D67=Inputs!$M$25,'Additional References'!$C$7,IF(D67=Inputs!$M$22,'Additional References'!$C$6,IF(D67="","","---"))))))</f>
        <v>1</v>
      </c>
      <c r="I67" s="206">
        <f>IF(G67&gt;H67,G67,H67)</f>
        <v>1</v>
      </c>
      <c r="J67" s="209" t="str">
        <f>IF(D67="","",IF(OR(D67=Inputs!$M$20,D67=Inputs!$M$21),"Ton",IF(D67=Inputs!$M$24,"MMscf",IF(D67=Inputs!$M$27,"MMBtu","1000 gal"))))</f>
        <v>Ton</v>
      </c>
      <c r="K67" s="132">
        <v>0</v>
      </c>
      <c r="M67" s="86" t="str">
        <f>'EPA Regional Contact Info'!A41</f>
        <v>South Carolina</v>
      </c>
    </row>
    <row r="68" spans="2:13" x14ac:dyDescent="0.25">
      <c r="B68" s="340"/>
      <c r="C68" s="204" t="str">
        <f>IF(ISERROR(VLOOKUP(B68,Inputs!$B$42:$C$61,2,FALSE)),"",VLOOKUP(B68,Inputs!$B$42:$C$61,2,FALSE))</f>
        <v/>
      </c>
      <c r="D68" s="53"/>
      <c r="E68" s="358">
        <f>IF($D68=Inputs!$M$20,0,IF($D68=Inputs!$M$21,0,IF($D68=Inputs!$M$22,0,IF($D68=Inputs!$M$25,0,IF($D68=Inputs!$M$26,0,IF($D68="",0,1))))))</f>
        <v>0</v>
      </c>
      <c r="F68" s="137"/>
      <c r="G68" s="252" t="str">
        <f>IF(D68="Wood","",IF(D68="","",IF(F68="",VLOOKUP(D68,'Additional References'!$B$11:$C$17,2,FALSE),IF(F68=0,VLOOKUP(D68,'Additional References'!$B$11:$C$17,2,FALSE),F68))))</f>
        <v/>
      </c>
      <c r="H68" s="207" t="str">
        <f>IF(D68=Inputs!$M$20,'Additional References'!$C$4,IF(D68=Inputs!$M$21,'Additional References'!$C$5,IF(D68=Inputs!$M$26,'Additional References'!$C$8,IF(D68=Inputs!$M$25,'Additional References'!$C$7,IF(D68=Inputs!$M$22,'Additional References'!$C$6,IF(D68="","","---"))))))</f>
        <v/>
      </c>
      <c r="I68" s="207" t="str">
        <f t="shared" ref="I68:I116" si="0">IF(G68&gt;H68,G68,H68)</f>
        <v/>
      </c>
      <c r="J68" s="210" t="str">
        <f>IF(D68="","",IF(OR(D68=Inputs!$M$20,D68=Inputs!$M$21),"Ton",IF(D68=Inputs!$M$24,"MMscf",IF(D68=Inputs!$M$27,"MMBtu","1000 gal"))))</f>
        <v/>
      </c>
      <c r="K68" s="133"/>
      <c r="M68" s="86" t="str">
        <f>'EPA Regional Contact Info'!A42</f>
        <v>South Dakota</v>
      </c>
    </row>
    <row r="69" spans="2:13" x14ac:dyDescent="0.25">
      <c r="B69" s="340"/>
      <c r="C69" s="204" t="str">
        <f>IF(ISERROR(VLOOKUP(B69,Inputs!$B$42:$C$61,2,FALSE)),"",VLOOKUP(B69,Inputs!$B$42:$C$61,2,FALSE))</f>
        <v/>
      </c>
      <c r="D69" s="53"/>
      <c r="E69" s="358">
        <f>IF($D69=Inputs!$M$20,0,IF($D69=Inputs!$M$21,0,IF($D69=Inputs!$M$22,0,IF($D69=Inputs!$M$25,0,IF($D69=Inputs!$M$26,0,IF($D69="",0,1))))))</f>
        <v>0</v>
      </c>
      <c r="F69" s="137"/>
      <c r="G69" s="252" t="str">
        <f>IF(D69="Wood","",IF(D69="","",IF(F69="",VLOOKUP(D69,'Additional References'!$B$11:$C$17,2,FALSE),IF(F69=0,VLOOKUP(D69,'Additional References'!$B$11:$C$17,2,FALSE),F69))))</f>
        <v/>
      </c>
      <c r="H69" s="207" t="str">
        <f>IF(D69=Inputs!$M$20,'Additional References'!$C$4,IF(D69=Inputs!$M$21,'Additional References'!$C$5,IF(D69=Inputs!$M$26,'Additional References'!$C$8,IF(D69=Inputs!$M$25,'Additional References'!$C$7,IF(D69=Inputs!$M$22,'Additional References'!$C$6,IF(D69="","","---"))))))</f>
        <v/>
      </c>
      <c r="I69" s="207" t="str">
        <f t="shared" si="0"/>
        <v/>
      </c>
      <c r="J69" s="210" t="str">
        <f>IF(D69="","",IF(OR(D69=Inputs!$M$20,D69=Inputs!$M$21),"Ton",IF(D69=Inputs!$M$24,"MMscf",IF(D69=Inputs!$M$27,"MMBtu","1000 gal"))))</f>
        <v/>
      </c>
      <c r="K69" s="133"/>
      <c r="M69" s="86" t="str">
        <f>'EPA Regional Contact Info'!A43</f>
        <v>Tennessee</v>
      </c>
    </row>
    <row r="70" spans="2:13" x14ac:dyDescent="0.25">
      <c r="B70" s="340"/>
      <c r="C70" s="204" t="str">
        <f>IF(ISERROR(VLOOKUP(B70,Inputs!$B$42:$C$61,2,FALSE)),"",VLOOKUP(B70,Inputs!$B$42:$C$61,2,FALSE))</f>
        <v/>
      </c>
      <c r="D70" s="53"/>
      <c r="E70" s="358">
        <f>IF($D70=Inputs!$M$20,0,IF($D70=Inputs!$M$21,0,IF($D70=Inputs!$M$22,0,IF($D70=Inputs!$M$25,0,IF($D70=Inputs!$M$26,0,IF($D70="",0,1))))))</f>
        <v>0</v>
      </c>
      <c r="F70" s="137"/>
      <c r="G70" s="252" t="str">
        <f>IF(D70="Wood","",IF(D70="","",IF(F70="",VLOOKUP(D70,'Additional References'!$B$11:$C$17,2,FALSE),IF(F70=0,VLOOKUP(D70,'Additional References'!$B$11:$C$17,2,FALSE),F70))))</f>
        <v/>
      </c>
      <c r="H70" s="207" t="str">
        <f>IF(D70=Inputs!$M$20,'Additional References'!$C$4,IF(D70=Inputs!$M$21,'Additional References'!$C$5,IF(D70=Inputs!$M$26,'Additional References'!$C$8,IF(D70=Inputs!$M$25,'Additional References'!$C$7,IF(D70=Inputs!$M$22,'Additional References'!$C$6,IF(D70="","","---"))))))</f>
        <v/>
      </c>
      <c r="I70" s="207" t="str">
        <f t="shared" si="0"/>
        <v/>
      </c>
      <c r="J70" s="210" t="str">
        <f>IF(D70="","",IF(OR(D70=Inputs!$M$20,D70=Inputs!$M$21),"Ton",IF(D70=Inputs!$M$24,"MMscf",IF(D70=Inputs!$M$27,"MMBtu","1000 gal"))))</f>
        <v/>
      </c>
      <c r="K70" s="133"/>
      <c r="M70" s="86" t="str">
        <f>'EPA Regional Contact Info'!A44</f>
        <v>Texas</v>
      </c>
    </row>
    <row r="71" spans="2:13" x14ac:dyDescent="0.25">
      <c r="B71" s="340"/>
      <c r="C71" s="204" t="str">
        <f>IF(ISERROR(VLOOKUP(B71,Inputs!$B$42:$C$61,2,FALSE)),"",VLOOKUP(B71,Inputs!$B$42:$C$61,2,FALSE))</f>
        <v/>
      </c>
      <c r="D71" s="53"/>
      <c r="E71" s="358">
        <f>IF($D71=Inputs!$M$20,0,IF($D71=Inputs!$M$21,0,IF($D71=Inputs!$M$22,0,IF($D71=Inputs!$M$25,0,IF($D71=Inputs!$M$26,0,IF($D71="",0,1))))))</f>
        <v>0</v>
      </c>
      <c r="F71" s="137"/>
      <c r="G71" s="252" t="str">
        <f>IF(D71="Wood","",IF(D71="","",IF(F71="",VLOOKUP(D71,'Additional References'!$B$11:$C$17,2,FALSE),IF(F71=0,VLOOKUP(D71,'Additional References'!$B$11:$C$17,2,FALSE),F71))))</f>
        <v/>
      </c>
      <c r="H71" s="207" t="str">
        <f>IF(D71=Inputs!$M$20,'Additional References'!$C$4,IF(D71=Inputs!$M$21,'Additional References'!$C$5,IF(D71=Inputs!$M$26,'Additional References'!$C$8,IF(D71=Inputs!$M$25,'Additional References'!$C$7,IF(D71=Inputs!$M$22,'Additional References'!$C$6,IF(D71="","","---"))))))</f>
        <v/>
      </c>
      <c r="I71" s="207" t="str">
        <f t="shared" si="0"/>
        <v/>
      </c>
      <c r="J71" s="210" t="str">
        <f>IF(D71="","",IF(OR(D71=Inputs!$M$20,D71=Inputs!$M$21),"Ton",IF(D71=Inputs!$M$24,"MMscf",IF(D71=Inputs!$M$27,"MMBtu","1000 gal"))))</f>
        <v/>
      </c>
      <c r="K71" s="133"/>
      <c r="M71" s="86" t="str">
        <f>'EPA Regional Contact Info'!A45</f>
        <v>Utah</v>
      </c>
    </row>
    <row r="72" spans="2:13" x14ac:dyDescent="0.25">
      <c r="B72" s="340"/>
      <c r="C72" s="204" t="str">
        <f>IF(ISERROR(VLOOKUP(B72,Inputs!$B$42:$C$61,2,FALSE)),"",VLOOKUP(B72,Inputs!$B$42:$C$61,2,FALSE))</f>
        <v/>
      </c>
      <c r="D72" s="53"/>
      <c r="E72" s="358">
        <f>IF($D72=Inputs!$M$20,0,IF($D72=Inputs!$M$21,0,IF($D72=Inputs!$M$22,0,IF($D72=Inputs!$M$25,0,IF($D72=Inputs!$M$26,0,IF($D72="",0,1))))))</f>
        <v>0</v>
      </c>
      <c r="F72" s="137"/>
      <c r="G72" s="252" t="str">
        <f>IF(D72="Wood","",IF(D72="","",IF(F72="",VLOOKUP(D72,'Additional References'!$B$11:$C$17,2,FALSE),IF(F72=0,VLOOKUP(D72,'Additional References'!$B$11:$C$17,2,FALSE),F72))))</f>
        <v/>
      </c>
      <c r="H72" s="207" t="str">
        <f>IF(D72=Inputs!$M$20,'Additional References'!$C$4,IF(D72=Inputs!$M$21,'Additional References'!$C$5,IF(D72=Inputs!$M$26,'Additional References'!$C$8,IF(D72=Inputs!$M$25,'Additional References'!$C$7,IF(D72=Inputs!$M$22,'Additional References'!$C$6,IF(D72="","","---"))))))</f>
        <v/>
      </c>
      <c r="I72" s="207" t="str">
        <f t="shared" si="0"/>
        <v/>
      </c>
      <c r="J72" s="210" t="str">
        <f>IF(D72="","",IF(OR(D72=Inputs!$M$20,D72=Inputs!$M$21),"Ton",IF(D72=Inputs!$M$24,"MMscf",IF(D72=Inputs!$M$27,"MMBtu","1000 gal"))))</f>
        <v/>
      </c>
      <c r="K72" s="133"/>
      <c r="M72" s="86" t="str">
        <f>'EPA Regional Contact Info'!A46</f>
        <v>Vermont</v>
      </c>
    </row>
    <row r="73" spans="2:13" x14ac:dyDescent="0.25">
      <c r="B73" s="340"/>
      <c r="C73" s="204" t="str">
        <f>IF(ISERROR(VLOOKUP(B73,Inputs!$B$42:$C$61,2,FALSE)),"",VLOOKUP(B73,Inputs!$B$42:$C$61,2,FALSE))</f>
        <v/>
      </c>
      <c r="D73" s="53"/>
      <c r="E73" s="358">
        <f>IF($D73=Inputs!$M$20,0,IF($D73=Inputs!$M$21,0,IF($D73=Inputs!$M$22,0,IF($D73=Inputs!$M$25,0,IF($D73=Inputs!$M$26,0,IF($D73="",0,1))))))</f>
        <v>0</v>
      </c>
      <c r="F73" s="137"/>
      <c r="G73" s="252" t="str">
        <f>IF(D73="Wood","",IF(D73="","",IF(F73="",VLOOKUP(D73,'Additional References'!$B$11:$C$17,2,FALSE),IF(F73=0,VLOOKUP(D73,'Additional References'!$B$11:$C$17,2,FALSE),F73))))</f>
        <v/>
      </c>
      <c r="H73" s="207" t="str">
        <f>IF(D73=Inputs!$M$20,'Additional References'!$C$4,IF(D73=Inputs!$M$21,'Additional References'!$C$5,IF(D73=Inputs!$M$26,'Additional References'!$C$8,IF(D73=Inputs!$M$25,'Additional References'!$C$7,IF(D73=Inputs!$M$22,'Additional References'!$C$6,IF(D73="","","---"))))))</f>
        <v/>
      </c>
      <c r="I73" s="207" t="str">
        <f t="shared" si="0"/>
        <v/>
      </c>
      <c r="J73" s="210" t="str">
        <f>IF(D73="","",IF(OR(D73=Inputs!$M$20,D73=Inputs!$M$21),"Ton",IF(D73=Inputs!$M$24,"MMscf",IF(D73=Inputs!$M$27,"MMBtu","1000 gal"))))</f>
        <v/>
      </c>
      <c r="K73" s="133"/>
      <c r="M73" s="86" t="str">
        <f>'EPA Regional Contact Info'!A47</f>
        <v>Washington</v>
      </c>
    </row>
    <row r="74" spans="2:13" x14ac:dyDescent="0.25">
      <c r="B74" s="340"/>
      <c r="C74" s="204" t="str">
        <f>IF(ISERROR(VLOOKUP(B74,Inputs!$B$42:$C$61,2,FALSE)),"",VLOOKUP(B74,Inputs!$B$42:$C$61,2,FALSE))</f>
        <v/>
      </c>
      <c r="D74" s="53"/>
      <c r="E74" s="358">
        <f>IF($D74=Inputs!$M$20,0,IF($D74=Inputs!$M$21,0,IF($D74=Inputs!$M$22,0,IF($D74=Inputs!$M$25,0,IF($D74=Inputs!$M$26,0,IF($D74="",0,1))))))</f>
        <v>0</v>
      </c>
      <c r="F74" s="137"/>
      <c r="G74" s="252" t="str">
        <f>IF(D74="Wood","",IF(D74="","",IF(F74="",VLOOKUP(D74,'Additional References'!$B$11:$C$17,2,FALSE),IF(F74=0,VLOOKUP(D74,'Additional References'!$B$11:$C$17,2,FALSE),F74))))</f>
        <v/>
      </c>
      <c r="H74" s="207" t="str">
        <f>IF(D74=Inputs!$M$20,'Additional References'!$C$4,IF(D74=Inputs!$M$21,'Additional References'!$C$5,IF(D74=Inputs!$M$26,'Additional References'!$C$8,IF(D74=Inputs!$M$25,'Additional References'!$C$7,IF(D74=Inputs!$M$22,'Additional References'!$C$6,IF(D74="","","---"))))))</f>
        <v/>
      </c>
      <c r="I74" s="207" t="str">
        <f t="shared" si="0"/>
        <v/>
      </c>
      <c r="J74" s="210" t="str">
        <f>IF(D74="","",IF(OR(D74=Inputs!$M$20,D74=Inputs!$M$21),"Ton",IF(D74=Inputs!$M$24,"MMscf",IF(D74=Inputs!$M$27,"MMBtu","1000 gal"))))</f>
        <v/>
      </c>
      <c r="K74" s="133"/>
      <c r="M74" s="86" t="str">
        <f>'EPA Regional Contact Info'!A48</f>
        <v>Wisconsin</v>
      </c>
    </row>
    <row r="75" spans="2:13" x14ac:dyDescent="0.25">
      <c r="B75" s="340"/>
      <c r="C75" s="204" t="str">
        <f>IF(ISERROR(VLOOKUP(B75,Inputs!$B$42:$C$61,2,FALSE)),"",VLOOKUP(B75,Inputs!$B$42:$C$61,2,FALSE))</f>
        <v/>
      </c>
      <c r="D75" s="53"/>
      <c r="E75" s="358">
        <f>IF($D75=Inputs!$M$20,0,IF($D75=Inputs!$M$21,0,IF($D75=Inputs!$M$22,0,IF($D75=Inputs!$M$25,0,IF($D75=Inputs!$M$26,0,IF($D75="",0,1))))))</f>
        <v>0</v>
      </c>
      <c r="F75" s="137"/>
      <c r="G75" s="252" t="str">
        <f>IF(D75="Wood","",IF(D75="","",IF(F75="",VLOOKUP(D75,'Additional References'!$B$11:$C$17,2,FALSE),IF(F75=0,VLOOKUP(D75,'Additional References'!$B$11:$C$17,2,FALSE),F75))))</f>
        <v/>
      </c>
      <c r="H75" s="207" t="str">
        <f>IF(D75=Inputs!$M$20,'Additional References'!$C$4,IF(D75=Inputs!$M$21,'Additional References'!$C$5,IF(D75=Inputs!$M$26,'Additional References'!$C$8,IF(D75=Inputs!$M$25,'Additional References'!$C$7,IF(D75=Inputs!$M$22,'Additional References'!$C$6,IF(D75="","","---"))))))</f>
        <v/>
      </c>
      <c r="I75" s="207" t="str">
        <f t="shared" si="0"/>
        <v/>
      </c>
      <c r="J75" s="210" t="str">
        <f>IF(D75="","",IF(OR(D75=Inputs!$M$20,D75=Inputs!$M$21),"Ton",IF(D75=Inputs!$M$24,"MMscf",IF(D75=Inputs!$M$27,"MMBtu","1000 gal"))))</f>
        <v/>
      </c>
      <c r="K75" s="133"/>
      <c r="M75" s="86" t="str">
        <f>'EPA Regional Contact Info'!A49</f>
        <v>Wyoming</v>
      </c>
    </row>
    <row r="76" spans="2:13" x14ac:dyDescent="0.25">
      <c r="B76" s="340"/>
      <c r="C76" s="204" t="str">
        <f>IF(ISERROR(VLOOKUP(B76,Inputs!$B$42:$C$61,2,FALSE)),"",VLOOKUP(B76,Inputs!$B$42:$C$61,2,FALSE))</f>
        <v/>
      </c>
      <c r="D76" s="53"/>
      <c r="E76" s="358">
        <f>IF($D76=Inputs!$M$20,0,IF($D76=Inputs!$M$21,0,IF($D76=Inputs!$M$22,0,IF($D76=Inputs!$M$25,0,IF($D76=Inputs!$M$26,0,IF($D76="",0,1))))))</f>
        <v>0</v>
      </c>
      <c r="F76" s="137"/>
      <c r="G76" s="252" t="str">
        <f>IF(D76="Wood","",IF(D76="","",IF(F76="",VLOOKUP(D76,'Additional References'!$B$11:$C$17,2,FALSE),IF(F76=0,VLOOKUP(D76,'Additional References'!$B$11:$C$17,2,FALSE),F76))))</f>
        <v/>
      </c>
      <c r="H76" s="207" t="str">
        <f>IF(D76=Inputs!$M$20,'Additional References'!$C$4,IF(D76=Inputs!$M$21,'Additional References'!$C$5,IF(D76=Inputs!$M$26,'Additional References'!$C$8,IF(D76=Inputs!$M$25,'Additional References'!$C$7,IF(D76=Inputs!$M$22,'Additional References'!$C$6,IF(D76="","","---"))))))</f>
        <v/>
      </c>
      <c r="I76" s="207" t="str">
        <f t="shared" si="0"/>
        <v/>
      </c>
      <c r="J76" s="210" t="str">
        <f>IF(D76="","",IF(OR(D76=Inputs!$M$20,D76=Inputs!$M$21),"Ton",IF(D76=Inputs!$M$24,"MMscf",IF(D76=Inputs!$M$27,"MMBtu","1000 gal"))))</f>
        <v/>
      </c>
      <c r="K76" s="133"/>
    </row>
    <row r="77" spans="2:13" x14ac:dyDescent="0.25">
      <c r="B77" s="340"/>
      <c r="C77" s="204" t="str">
        <f>IF(ISERROR(VLOOKUP(B77,Inputs!$B$42:$C$61,2,FALSE)),"",VLOOKUP(B77,Inputs!$B$42:$C$61,2,FALSE))</f>
        <v/>
      </c>
      <c r="D77" s="53"/>
      <c r="E77" s="358">
        <f>IF($D77=Inputs!$M$20,0,IF($D77=Inputs!$M$21,0,IF($D77=Inputs!$M$22,0,IF($D77=Inputs!$M$25,0,IF($D77=Inputs!$M$26,0,IF($D77="",0,1))))))</f>
        <v>0</v>
      </c>
      <c r="F77" s="137"/>
      <c r="G77" s="252" t="str">
        <f>IF(D77="Wood","",IF(D77="","",IF(F77="",VLOOKUP(D77,'Additional References'!$B$11:$C$17,2,FALSE),IF(F77=0,VLOOKUP(D77,'Additional References'!$B$11:$C$17,2,FALSE),F77))))</f>
        <v/>
      </c>
      <c r="H77" s="207" t="str">
        <f>IF(D77=Inputs!$M$20,'Additional References'!$C$4,IF(D77=Inputs!$M$21,'Additional References'!$C$5,IF(D77=Inputs!$M$26,'Additional References'!$C$8,IF(D77=Inputs!$M$25,'Additional References'!$C$7,IF(D77=Inputs!$M$22,'Additional References'!$C$6,IF(D77="","","---"))))))</f>
        <v/>
      </c>
      <c r="I77" s="207" t="str">
        <f t="shared" si="0"/>
        <v/>
      </c>
      <c r="J77" s="210" t="str">
        <f>IF(D77="","",IF(OR(D77=Inputs!$M$20,D77=Inputs!$M$21),"Ton",IF(D77=Inputs!$M$24,"MMscf",IF(D77=Inputs!$M$27,"MMBtu","1000 gal"))))</f>
        <v/>
      </c>
      <c r="K77" s="133"/>
    </row>
    <row r="78" spans="2:13" x14ac:dyDescent="0.25">
      <c r="B78" s="340"/>
      <c r="C78" s="204" t="str">
        <f>IF(ISERROR(VLOOKUP(B78,Inputs!$B$42:$C$61,2,FALSE)),"",VLOOKUP(B78,Inputs!$B$42:$C$61,2,FALSE))</f>
        <v/>
      </c>
      <c r="D78" s="53"/>
      <c r="E78" s="358">
        <f>IF($D78=Inputs!$M$20,0,IF($D78=Inputs!$M$21,0,IF($D78=Inputs!$M$22,0,IF($D78=Inputs!$M$25,0,IF($D78=Inputs!$M$26,0,IF($D78="",0,1))))))</f>
        <v>0</v>
      </c>
      <c r="F78" s="137"/>
      <c r="G78" s="252" t="str">
        <f>IF(D78="Wood","",IF(D78="","",IF(F78="",VLOOKUP(D78,'Additional References'!$B$11:$C$17,2,FALSE),IF(F78=0,VLOOKUP(D78,'Additional References'!$B$11:$C$17,2,FALSE),F78))))</f>
        <v/>
      </c>
      <c r="H78" s="207" t="str">
        <f>IF(D78=Inputs!$M$20,'Additional References'!$C$4,IF(D78=Inputs!$M$21,'Additional References'!$C$5,IF(D78=Inputs!$M$26,'Additional References'!$C$8,IF(D78=Inputs!$M$25,'Additional References'!$C$7,IF(D78=Inputs!$M$22,'Additional References'!$C$6,IF(D78="","","---"))))))</f>
        <v/>
      </c>
      <c r="I78" s="207" t="str">
        <f t="shared" si="0"/>
        <v/>
      </c>
      <c r="J78" s="210" t="str">
        <f>IF(D78="","",IF(OR(D78=Inputs!$M$20,D78=Inputs!$M$21),"Ton",IF(D78=Inputs!$M$24,"MMscf",IF(D78=Inputs!$M$27,"MMBtu","1000 gal"))))</f>
        <v/>
      </c>
      <c r="K78" s="133"/>
    </row>
    <row r="79" spans="2:13" x14ac:dyDescent="0.25">
      <c r="B79" s="340"/>
      <c r="C79" s="204" t="str">
        <f>IF(ISERROR(VLOOKUP(B79,Inputs!$B$42:$C$61,2,FALSE)),"",VLOOKUP(B79,Inputs!$B$42:$C$61,2,FALSE))</f>
        <v/>
      </c>
      <c r="D79" s="53"/>
      <c r="E79" s="358">
        <f>IF($D79=Inputs!$M$20,0,IF($D79=Inputs!$M$21,0,IF($D79=Inputs!$M$22,0,IF($D79=Inputs!$M$25,0,IF($D79=Inputs!$M$26,0,IF($D79="",0,1))))))</f>
        <v>0</v>
      </c>
      <c r="F79" s="137"/>
      <c r="G79" s="252" t="str">
        <f>IF(D79="Wood","",IF(D79="","",IF(F79="",VLOOKUP(D79,'Additional References'!$B$11:$C$17,2,FALSE),IF(F79=0,VLOOKUP(D79,'Additional References'!$B$11:$C$17,2,FALSE),F79))))</f>
        <v/>
      </c>
      <c r="H79" s="207" t="str">
        <f>IF(D79=Inputs!$M$20,'Additional References'!$C$4,IF(D79=Inputs!$M$21,'Additional References'!$C$5,IF(D79=Inputs!$M$26,'Additional References'!$C$8,IF(D79=Inputs!$M$25,'Additional References'!$C$7,IF(D79=Inputs!$M$22,'Additional References'!$C$6,IF(D79="","","---"))))))</f>
        <v/>
      </c>
      <c r="I79" s="207" t="str">
        <f t="shared" si="0"/>
        <v/>
      </c>
      <c r="J79" s="210" t="str">
        <f>IF(D79="","",IF(OR(D79=Inputs!$M$20,D79=Inputs!$M$21),"Ton",IF(D79=Inputs!$M$24,"MMscf",IF(D79=Inputs!$M$27,"MMBtu","1000 gal"))))</f>
        <v/>
      </c>
      <c r="K79" s="133"/>
    </row>
    <row r="80" spans="2:13" x14ac:dyDescent="0.25">
      <c r="B80" s="340"/>
      <c r="C80" s="204" t="str">
        <f>IF(ISERROR(VLOOKUP(B80,Inputs!$B$42:$C$61,2,FALSE)),"",VLOOKUP(B80,Inputs!$B$42:$C$61,2,FALSE))</f>
        <v/>
      </c>
      <c r="D80" s="53"/>
      <c r="E80" s="358">
        <f>IF($D80=Inputs!$M$20,0,IF($D80=Inputs!$M$21,0,IF($D80=Inputs!$M$22,0,IF($D80=Inputs!$M$25,0,IF($D80=Inputs!$M$26,0,IF($D80="",0,1))))))</f>
        <v>0</v>
      </c>
      <c r="F80" s="137"/>
      <c r="G80" s="252" t="str">
        <f>IF(D80="Wood","",IF(D80="","",IF(F80="",VLOOKUP(D80,'Additional References'!$B$11:$C$17,2,FALSE),IF(F80=0,VLOOKUP(D80,'Additional References'!$B$11:$C$17,2,FALSE),F80))))</f>
        <v/>
      </c>
      <c r="H80" s="207" t="str">
        <f>IF(D80=Inputs!$M$20,'Additional References'!$C$4,IF(D80=Inputs!$M$21,'Additional References'!$C$5,IF(D80=Inputs!$M$26,'Additional References'!$C$8,IF(D80=Inputs!$M$25,'Additional References'!$C$7,IF(D80=Inputs!$M$22,'Additional References'!$C$6,IF(D80="","","---"))))))</f>
        <v/>
      </c>
      <c r="I80" s="207" t="str">
        <f t="shared" si="0"/>
        <v/>
      </c>
      <c r="J80" s="210" t="str">
        <f>IF(D80="","",IF(OR(D80=Inputs!$M$20,D80=Inputs!$M$21),"Ton",IF(D80=Inputs!$M$24,"MMscf",IF(D80=Inputs!$M$27,"MMBtu","1000 gal"))))</f>
        <v/>
      </c>
      <c r="K80" s="133"/>
    </row>
    <row r="81" spans="2:11" x14ac:dyDescent="0.25">
      <c r="B81" s="340"/>
      <c r="C81" s="204" t="str">
        <f>IF(ISERROR(VLOOKUP(B81,Inputs!$B$42:$C$61,2,FALSE)),"",VLOOKUP(B81,Inputs!$B$42:$C$61,2,FALSE))</f>
        <v/>
      </c>
      <c r="D81" s="53"/>
      <c r="E81" s="358">
        <f>IF($D81=Inputs!$M$20,0,IF($D81=Inputs!$M$21,0,IF($D81=Inputs!$M$22,0,IF($D81=Inputs!$M$25,0,IF($D81=Inputs!$M$26,0,IF($D81="",0,1))))))</f>
        <v>0</v>
      </c>
      <c r="F81" s="137"/>
      <c r="G81" s="252" t="str">
        <f>IF(D81="Wood","",IF(D81="","",IF(F81="",VLOOKUP(D81,'Additional References'!$B$11:$C$17,2,FALSE),IF(F81=0,VLOOKUP(D81,'Additional References'!$B$11:$C$17,2,FALSE),F81))))</f>
        <v/>
      </c>
      <c r="H81" s="207" t="str">
        <f>IF(D81=Inputs!$M$20,'Additional References'!$C$4,IF(D81=Inputs!$M$21,'Additional References'!$C$5,IF(D81=Inputs!$M$26,'Additional References'!$C$8,IF(D81=Inputs!$M$25,'Additional References'!$C$7,IF(D81=Inputs!$M$22,'Additional References'!$C$6,IF(D81="","","---"))))))</f>
        <v/>
      </c>
      <c r="I81" s="207" t="str">
        <f t="shared" si="0"/>
        <v/>
      </c>
      <c r="J81" s="210" t="str">
        <f>IF(D81="","",IF(OR(D81=Inputs!$M$20,D81=Inputs!$M$21),"Ton",IF(D81=Inputs!$M$24,"MMscf",IF(D81=Inputs!$M$27,"MMBtu","1000 gal"))))</f>
        <v/>
      </c>
      <c r="K81" s="133"/>
    </row>
    <row r="82" spans="2:11" x14ac:dyDescent="0.25">
      <c r="B82" s="340"/>
      <c r="C82" s="204" t="str">
        <f>IF(ISERROR(VLOOKUP(B82,Inputs!$B$42:$C$61,2,FALSE)),"",VLOOKUP(B82,Inputs!$B$42:$C$61,2,FALSE))</f>
        <v/>
      </c>
      <c r="D82" s="53"/>
      <c r="E82" s="358">
        <f>IF($D82=Inputs!$M$20,0,IF($D82=Inputs!$M$21,0,IF($D82=Inputs!$M$22,0,IF($D82=Inputs!$M$25,0,IF($D82=Inputs!$M$26,0,IF($D82="",0,1))))))</f>
        <v>0</v>
      </c>
      <c r="F82" s="137"/>
      <c r="G82" s="252" t="str">
        <f>IF(D82="Wood","",IF(D82="","",IF(F82="",VLOOKUP(D82,'Additional References'!$B$11:$C$17,2,FALSE),IF(F82=0,VLOOKUP(D82,'Additional References'!$B$11:$C$17,2,FALSE),F82))))</f>
        <v/>
      </c>
      <c r="H82" s="207" t="str">
        <f>IF(D82=Inputs!$M$20,'Additional References'!$C$4,IF(D82=Inputs!$M$21,'Additional References'!$C$5,IF(D82=Inputs!$M$26,'Additional References'!$C$8,IF(D82=Inputs!$M$25,'Additional References'!$C$7,IF(D82=Inputs!$M$22,'Additional References'!$C$6,IF(D82="","","---"))))))</f>
        <v/>
      </c>
      <c r="I82" s="207" t="str">
        <f t="shared" si="0"/>
        <v/>
      </c>
      <c r="J82" s="210" t="str">
        <f>IF(D82="","",IF(OR(D82=Inputs!$M$20,D82=Inputs!$M$21),"Ton",IF(D82=Inputs!$M$24,"MMscf",IF(D82=Inputs!$M$27,"MMBtu","1000 gal"))))</f>
        <v/>
      </c>
      <c r="K82" s="133"/>
    </row>
    <row r="83" spans="2:11" x14ac:dyDescent="0.25">
      <c r="B83" s="340"/>
      <c r="C83" s="204" t="str">
        <f>IF(ISERROR(VLOOKUP(B83,Inputs!$B$42:$C$61,2,FALSE)),"",VLOOKUP(B83,Inputs!$B$42:$C$61,2,FALSE))</f>
        <v/>
      </c>
      <c r="D83" s="53"/>
      <c r="E83" s="358">
        <f>IF($D83=Inputs!$M$20,0,IF($D83=Inputs!$M$21,0,IF($D83=Inputs!$M$22,0,IF($D83=Inputs!$M$25,0,IF($D83=Inputs!$M$26,0,IF($D83="",0,1))))))</f>
        <v>0</v>
      </c>
      <c r="F83" s="137"/>
      <c r="G83" s="252" t="str">
        <f>IF(D83="Wood","",IF(D83="","",IF(F83="",VLOOKUP(D83,'Additional References'!$B$11:$C$17,2,FALSE),IF(F83=0,VLOOKUP(D83,'Additional References'!$B$11:$C$17,2,FALSE),F83))))</f>
        <v/>
      </c>
      <c r="H83" s="207" t="str">
        <f>IF(D83=Inputs!$M$20,'Additional References'!$C$4,IF(D83=Inputs!$M$21,'Additional References'!$C$5,IF(D83=Inputs!$M$26,'Additional References'!$C$8,IF(D83=Inputs!$M$25,'Additional References'!$C$7,IF(D83=Inputs!$M$22,'Additional References'!$C$6,IF(D83="","","---"))))))</f>
        <v/>
      </c>
      <c r="I83" s="207" t="str">
        <f t="shared" si="0"/>
        <v/>
      </c>
      <c r="J83" s="210" t="str">
        <f>IF(D83="","",IF(OR(D83=Inputs!$M$20,D83=Inputs!$M$21),"Ton",IF(D83=Inputs!$M$24,"MMscf",IF(D83=Inputs!$M$27,"MMBtu","1000 gal"))))</f>
        <v/>
      </c>
      <c r="K83" s="133"/>
    </row>
    <row r="84" spans="2:11" x14ac:dyDescent="0.25">
      <c r="B84" s="340"/>
      <c r="C84" s="204" t="str">
        <f>IF(ISERROR(VLOOKUP(B84,Inputs!$B$42:$C$61,2,FALSE)),"",VLOOKUP(B84,Inputs!$B$42:$C$61,2,FALSE))</f>
        <v/>
      </c>
      <c r="D84" s="53"/>
      <c r="E84" s="358">
        <f>IF($D84=Inputs!$M$20,0,IF($D84=Inputs!$M$21,0,IF($D84=Inputs!$M$22,0,IF($D84=Inputs!$M$25,0,IF($D84=Inputs!$M$26,0,IF($D84="",0,1))))))</f>
        <v>0</v>
      </c>
      <c r="F84" s="137"/>
      <c r="G84" s="252" t="str">
        <f>IF(D84="Wood","",IF(D84="","",IF(F84="",VLOOKUP(D84,'Additional References'!$B$11:$C$17,2,FALSE),IF(F84=0,VLOOKUP(D84,'Additional References'!$B$11:$C$17,2,FALSE),F84))))</f>
        <v/>
      </c>
      <c r="H84" s="207" t="str">
        <f>IF(D84=Inputs!$M$20,'Additional References'!$C$4,IF(D84=Inputs!$M$21,'Additional References'!$C$5,IF(D84=Inputs!$M$26,'Additional References'!$C$8,IF(D84=Inputs!$M$25,'Additional References'!$C$7,IF(D84=Inputs!$M$22,'Additional References'!$C$6,IF(D84="","","---"))))))</f>
        <v/>
      </c>
      <c r="I84" s="207" t="str">
        <f t="shared" si="0"/>
        <v/>
      </c>
      <c r="J84" s="210" t="str">
        <f>IF(D84="","",IF(OR(D84=Inputs!$M$20,D84=Inputs!$M$21),"Ton",IF(D84=Inputs!$M$24,"MMscf",IF(D84=Inputs!$M$27,"MMBtu","1000 gal"))))</f>
        <v/>
      </c>
      <c r="K84" s="133"/>
    </row>
    <row r="85" spans="2:11" x14ac:dyDescent="0.25">
      <c r="B85" s="340"/>
      <c r="C85" s="204" t="str">
        <f>IF(ISERROR(VLOOKUP(B85,Inputs!$B$42:$C$61,2,FALSE)),"",VLOOKUP(B85,Inputs!$B$42:$C$61,2,FALSE))</f>
        <v/>
      </c>
      <c r="D85" s="53"/>
      <c r="E85" s="358">
        <f>IF($D85=Inputs!$M$20,0,IF($D85=Inputs!$M$21,0,IF($D85=Inputs!$M$22,0,IF($D85=Inputs!$M$25,0,IF($D85=Inputs!$M$26,0,IF($D85="",0,1))))))</f>
        <v>0</v>
      </c>
      <c r="F85" s="137"/>
      <c r="G85" s="252" t="str">
        <f>IF(D85="Wood","",IF(D85="","",IF(F85="",VLOOKUP(D85,'Additional References'!$B$11:$C$17,2,FALSE),IF(F85=0,VLOOKUP(D85,'Additional References'!$B$11:$C$17,2,FALSE),F85))))</f>
        <v/>
      </c>
      <c r="H85" s="207" t="str">
        <f>IF(D85=Inputs!$M$20,'Additional References'!$C$4,IF(D85=Inputs!$M$21,'Additional References'!$C$5,IF(D85=Inputs!$M$26,'Additional References'!$C$8,IF(D85=Inputs!$M$25,'Additional References'!$C$7,IF(D85=Inputs!$M$22,'Additional References'!$C$6,IF(D85="","","---"))))))</f>
        <v/>
      </c>
      <c r="I85" s="207" t="str">
        <f t="shared" si="0"/>
        <v/>
      </c>
      <c r="J85" s="210" t="str">
        <f>IF(D85="","",IF(OR(D85=Inputs!$M$20,D85=Inputs!$M$21),"Ton",IF(D85=Inputs!$M$24,"MMscf",IF(D85=Inputs!$M$27,"MMBtu","1000 gal"))))</f>
        <v/>
      </c>
      <c r="K85" s="133"/>
    </row>
    <row r="86" spans="2:11" x14ac:dyDescent="0.25">
      <c r="B86" s="340"/>
      <c r="C86" s="204" t="str">
        <f>IF(ISERROR(VLOOKUP(B86,Inputs!$B$42:$C$61,2,FALSE)),"",VLOOKUP(B86,Inputs!$B$42:$C$61,2,FALSE))</f>
        <v/>
      </c>
      <c r="D86" s="53"/>
      <c r="E86" s="358">
        <f>IF($D86=Inputs!$M$20,0,IF($D86=Inputs!$M$21,0,IF($D86=Inputs!$M$22,0,IF($D86=Inputs!$M$25,0,IF($D86=Inputs!$M$26,0,IF($D86="",0,1))))))</f>
        <v>0</v>
      </c>
      <c r="F86" s="137"/>
      <c r="G86" s="252" t="str">
        <f>IF(D86="Wood","",IF(D86="","",IF(F86="",VLOOKUP(D86,'Additional References'!$B$11:$C$17,2,FALSE),IF(F86=0,VLOOKUP(D86,'Additional References'!$B$11:$C$17,2,FALSE),F86))))</f>
        <v/>
      </c>
      <c r="H86" s="207" t="str">
        <f>IF(D86=Inputs!$M$20,'Additional References'!$C$4,IF(D86=Inputs!$M$21,'Additional References'!$C$5,IF(D86=Inputs!$M$26,'Additional References'!$C$8,IF(D86=Inputs!$M$25,'Additional References'!$C$7,IF(D86=Inputs!$M$22,'Additional References'!$C$6,IF(D86="","","---"))))))</f>
        <v/>
      </c>
      <c r="I86" s="207" t="str">
        <f t="shared" si="0"/>
        <v/>
      </c>
      <c r="J86" s="210" t="str">
        <f>IF(D86="","",IF(OR(D86=Inputs!$M$20,D86=Inputs!$M$21),"Ton",IF(D86=Inputs!$M$24,"MMscf",IF(D86=Inputs!$M$27,"MMBtu","1000 gal"))))</f>
        <v/>
      </c>
      <c r="K86" s="133"/>
    </row>
    <row r="87" spans="2:11" x14ac:dyDescent="0.25">
      <c r="B87" s="340"/>
      <c r="C87" s="204" t="str">
        <f>IF(ISERROR(VLOOKUP(B87,Inputs!$B$42:$C$61,2,FALSE)),"",VLOOKUP(B87,Inputs!$B$42:$C$61,2,FALSE))</f>
        <v/>
      </c>
      <c r="D87" s="53"/>
      <c r="E87" s="358">
        <f>IF($D87=Inputs!$M$20,0,IF($D87=Inputs!$M$21,0,IF($D87=Inputs!$M$22,0,IF($D87=Inputs!$M$25,0,IF($D87=Inputs!$M$26,0,IF($D87="",0,1))))))</f>
        <v>0</v>
      </c>
      <c r="F87" s="137"/>
      <c r="G87" s="252" t="str">
        <f>IF(D87="Wood","",IF(D87="","",IF(F87="",VLOOKUP(D87,'Additional References'!$B$11:$C$17,2,FALSE),IF(F87=0,VLOOKUP(D87,'Additional References'!$B$11:$C$17,2,FALSE),F87))))</f>
        <v/>
      </c>
      <c r="H87" s="207" t="str">
        <f>IF(D87=Inputs!$M$20,'Additional References'!$C$4,IF(D87=Inputs!$M$21,'Additional References'!$C$5,IF(D87=Inputs!$M$26,'Additional References'!$C$8,IF(D87=Inputs!$M$25,'Additional References'!$C$7,IF(D87=Inputs!$M$22,'Additional References'!$C$6,IF(D87="","","---"))))))</f>
        <v/>
      </c>
      <c r="I87" s="207" t="str">
        <f t="shared" si="0"/>
        <v/>
      </c>
      <c r="J87" s="210" t="str">
        <f>IF(D87="","",IF(OR(D87=Inputs!$M$20,D87=Inputs!$M$21),"Ton",IF(D87=Inputs!$M$24,"MMscf",IF(D87=Inputs!$M$27,"MMBtu","1000 gal"))))</f>
        <v/>
      </c>
      <c r="K87" s="133"/>
    </row>
    <row r="88" spans="2:11" x14ac:dyDescent="0.25">
      <c r="B88" s="340"/>
      <c r="C88" s="204" t="str">
        <f>IF(ISERROR(VLOOKUP(B88,Inputs!$B$42:$C$61,2,FALSE)),"",VLOOKUP(B88,Inputs!$B$42:$C$61,2,FALSE))</f>
        <v/>
      </c>
      <c r="D88" s="53"/>
      <c r="E88" s="358">
        <f>IF($D88=Inputs!$M$20,0,IF($D88=Inputs!$M$21,0,IF($D88=Inputs!$M$22,0,IF($D88=Inputs!$M$25,0,IF($D88=Inputs!$M$26,0,IF($D88="",0,1))))))</f>
        <v>0</v>
      </c>
      <c r="F88" s="137"/>
      <c r="G88" s="252" t="str">
        <f>IF(D88="Wood","",IF(D88="","",IF(F88="",VLOOKUP(D88,'Additional References'!$B$11:$C$17,2,FALSE),IF(F88=0,VLOOKUP(D88,'Additional References'!$B$11:$C$17,2,FALSE),F88))))</f>
        <v/>
      </c>
      <c r="H88" s="207" t="str">
        <f>IF(D88=Inputs!$M$20,'Additional References'!$C$4,IF(D88=Inputs!$M$21,'Additional References'!$C$5,IF(D88=Inputs!$M$26,'Additional References'!$C$8,IF(D88=Inputs!$M$25,'Additional References'!$C$7,IF(D88=Inputs!$M$22,'Additional References'!$C$6,IF(D88="","","---"))))))</f>
        <v/>
      </c>
      <c r="I88" s="207" t="str">
        <f t="shared" si="0"/>
        <v/>
      </c>
      <c r="J88" s="210" t="str">
        <f>IF(D88="","",IF(OR(D88=Inputs!$M$20,D88=Inputs!$M$21),"Ton",IF(D88=Inputs!$M$24,"MMscf",IF(D88=Inputs!$M$27,"MMBtu","1000 gal"))))</f>
        <v/>
      </c>
      <c r="K88" s="133"/>
    </row>
    <row r="89" spans="2:11" x14ac:dyDescent="0.25">
      <c r="B89" s="340"/>
      <c r="C89" s="204" t="str">
        <f>IF(ISERROR(VLOOKUP(B89,Inputs!$B$42:$C$61,2,FALSE)),"",VLOOKUP(B89,Inputs!$B$42:$C$61,2,FALSE))</f>
        <v/>
      </c>
      <c r="D89" s="53"/>
      <c r="E89" s="358">
        <f>IF($D89=Inputs!$M$20,0,IF($D89=Inputs!$M$21,0,IF($D89=Inputs!$M$22,0,IF($D89=Inputs!$M$25,0,IF($D89=Inputs!$M$26,0,IF($D89="",0,1))))))</f>
        <v>0</v>
      </c>
      <c r="F89" s="137"/>
      <c r="G89" s="252" t="str">
        <f>IF(D89="Wood","",IF(D89="","",IF(F89="",VLOOKUP(D89,'Additional References'!$B$11:$C$17,2,FALSE),IF(F89=0,VLOOKUP(D89,'Additional References'!$B$11:$C$17,2,FALSE),F89))))</f>
        <v/>
      </c>
      <c r="H89" s="207" t="str">
        <f>IF(D89=Inputs!$M$20,'Additional References'!$C$4,IF(D89=Inputs!$M$21,'Additional References'!$C$5,IF(D89=Inputs!$M$26,'Additional References'!$C$8,IF(D89=Inputs!$M$25,'Additional References'!$C$7,IF(D89=Inputs!$M$22,'Additional References'!$C$6,IF(D89="","","---"))))))</f>
        <v/>
      </c>
      <c r="I89" s="207" t="str">
        <f t="shared" si="0"/>
        <v/>
      </c>
      <c r="J89" s="210" t="str">
        <f>IF(D89="","",IF(OR(D89=Inputs!$M$20,D89=Inputs!$M$21),"Ton",IF(D89=Inputs!$M$24,"MMscf",IF(D89=Inputs!$M$27,"MMBtu","1000 gal"))))</f>
        <v/>
      </c>
      <c r="K89" s="133"/>
    </row>
    <row r="90" spans="2:11" x14ac:dyDescent="0.25">
      <c r="B90" s="340"/>
      <c r="C90" s="204" t="str">
        <f>IF(ISERROR(VLOOKUP(B90,Inputs!$B$42:$C$61,2,FALSE)),"",VLOOKUP(B90,Inputs!$B$42:$C$61,2,FALSE))</f>
        <v/>
      </c>
      <c r="D90" s="53"/>
      <c r="E90" s="358">
        <f>IF($D90=Inputs!$M$20,0,IF($D90=Inputs!$M$21,0,IF($D90=Inputs!$M$22,0,IF($D90=Inputs!$M$25,0,IF($D90=Inputs!$M$26,0,IF($D90="",0,1))))))</f>
        <v>0</v>
      </c>
      <c r="F90" s="137"/>
      <c r="G90" s="252" t="str">
        <f>IF(D90="Wood","",IF(D90="","",IF(F90="",VLOOKUP(D90,'Additional References'!$B$11:$C$17,2,FALSE),IF(F90=0,VLOOKUP(D90,'Additional References'!$B$11:$C$17,2,FALSE),F90))))</f>
        <v/>
      </c>
      <c r="H90" s="207" t="str">
        <f>IF(D90=Inputs!$M$20,'Additional References'!$C$4,IF(D90=Inputs!$M$21,'Additional References'!$C$5,IF(D90=Inputs!$M$26,'Additional References'!$C$8,IF(D90=Inputs!$M$25,'Additional References'!$C$7,IF(D90=Inputs!$M$22,'Additional References'!$C$6,IF(D90="","","---"))))))</f>
        <v/>
      </c>
      <c r="I90" s="207" t="str">
        <f t="shared" si="0"/>
        <v/>
      </c>
      <c r="J90" s="210" t="str">
        <f>IF(D90="","",IF(OR(D90=Inputs!$M$20,D90=Inputs!$M$21),"Ton",IF(D90=Inputs!$M$24,"MMscf",IF(D90=Inputs!$M$27,"MMBtu","1000 gal"))))</f>
        <v/>
      </c>
      <c r="K90" s="133"/>
    </row>
    <row r="91" spans="2:11" x14ac:dyDescent="0.25">
      <c r="B91" s="340"/>
      <c r="C91" s="204" t="str">
        <f>IF(ISERROR(VLOOKUP(B91,Inputs!$B$42:$C$61,2,FALSE)),"",VLOOKUP(B91,Inputs!$B$42:$C$61,2,FALSE))</f>
        <v/>
      </c>
      <c r="D91" s="53"/>
      <c r="E91" s="358">
        <f>IF($D91=Inputs!$M$20,0,IF($D91=Inputs!$M$21,0,IF($D91=Inputs!$M$22,0,IF($D91=Inputs!$M$25,0,IF($D91=Inputs!$M$26,0,IF($D91="",0,1))))))</f>
        <v>0</v>
      </c>
      <c r="F91" s="137"/>
      <c r="G91" s="252" t="str">
        <f>IF(D91="Wood","",IF(D91="","",IF(F91="",VLOOKUP(D91,'Additional References'!$B$11:$C$17,2,FALSE),IF(F91=0,VLOOKUP(D91,'Additional References'!$B$11:$C$17,2,FALSE),F91))))</f>
        <v/>
      </c>
      <c r="H91" s="207" t="str">
        <f>IF(D91=Inputs!$M$20,'Additional References'!$C$4,IF(D91=Inputs!$M$21,'Additional References'!$C$5,IF(D91=Inputs!$M$26,'Additional References'!$C$8,IF(D91=Inputs!$M$25,'Additional References'!$C$7,IF(D91=Inputs!$M$22,'Additional References'!$C$6,IF(D91="","","---"))))))</f>
        <v/>
      </c>
      <c r="I91" s="207" t="str">
        <f t="shared" si="0"/>
        <v/>
      </c>
      <c r="J91" s="210" t="str">
        <f>IF(D91="","",IF(OR(D91=Inputs!$M$20,D91=Inputs!$M$21),"Ton",IF(D91=Inputs!$M$24,"MMscf",IF(D91=Inputs!$M$27,"MMBtu","1000 gal"))))</f>
        <v/>
      </c>
      <c r="K91" s="133"/>
    </row>
    <row r="92" spans="2:11" x14ac:dyDescent="0.25">
      <c r="B92" s="340"/>
      <c r="C92" s="204" t="str">
        <f>IF(ISERROR(VLOOKUP(B92,Inputs!$B$42:$C$61,2,FALSE)),"",VLOOKUP(B92,Inputs!$B$42:$C$61,2,FALSE))</f>
        <v/>
      </c>
      <c r="D92" s="53"/>
      <c r="E92" s="358">
        <f>IF($D92=Inputs!$M$20,0,IF($D92=Inputs!$M$21,0,IF($D92=Inputs!$M$22,0,IF($D92=Inputs!$M$25,0,IF($D92=Inputs!$M$26,0,IF($D92="",0,1))))))</f>
        <v>0</v>
      </c>
      <c r="F92" s="137"/>
      <c r="G92" s="252" t="str">
        <f>IF(D92="Wood","",IF(D92="","",IF(F92="",VLOOKUP(D92,'Additional References'!$B$11:$C$17,2,FALSE),IF(F92=0,VLOOKUP(D92,'Additional References'!$B$11:$C$17,2,FALSE),F92))))</f>
        <v/>
      </c>
      <c r="H92" s="207" t="str">
        <f>IF(D92=Inputs!$M$20,'Additional References'!$C$4,IF(D92=Inputs!$M$21,'Additional References'!$C$5,IF(D92=Inputs!$M$26,'Additional References'!$C$8,IF(D92=Inputs!$M$25,'Additional References'!$C$7,IF(D92=Inputs!$M$22,'Additional References'!$C$6,IF(D92="","","---"))))))</f>
        <v/>
      </c>
      <c r="I92" s="207" t="str">
        <f t="shared" si="0"/>
        <v/>
      </c>
      <c r="J92" s="210" t="str">
        <f>IF(D92="","",IF(OR(D92=Inputs!$M$20,D92=Inputs!$M$21),"Ton",IF(D92=Inputs!$M$24,"MMscf",IF(D92=Inputs!$M$27,"MMBtu","1000 gal"))))</f>
        <v/>
      </c>
      <c r="K92" s="133"/>
    </row>
    <row r="93" spans="2:11" x14ac:dyDescent="0.25">
      <c r="B93" s="340"/>
      <c r="C93" s="204" t="str">
        <f>IF(ISERROR(VLOOKUP(B93,Inputs!$B$42:$C$61,2,FALSE)),"",VLOOKUP(B93,Inputs!$B$42:$C$61,2,FALSE))</f>
        <v/>
      </c>
      <c r="D93" s="53"/>
      <c r="E93" s="358">
        <f>IF($D93=Inputs!$M$20,0,IF($D93=Inputs!$M$21,0,IF($D93=Inputs!$M$22,0,IF($D93=Inputs!$M$25,0,IF($D93=Inputs!$M$26,0,IF($D93="",0,1))))))</f>
        <v>0</v>
      </c>
      <c r="F93" s="137"/>
      <c r="G93" s="252" t="str">
        <f>IF(D93="Wood","",IF(D93="","",IF(F93="",VLOOKUP(D93,'Additional References'!$B$11:$C$17,2,FALSE),IF(F93=0,VLOOKUP(D93,'Additional References'!$B$11:$C$17,2,FALSE),F93))))</f>
        <v/>
      </c>
      <c r="H93" s="207" t="str">
        <f>IF(D93=Inputs!$M$20,'Additional References'!$C$4,IF(D93=Inputs!$M$21,'Additional References'!$C$5,IF(D93=Inputs!$M$26,'Additional References'!$C$8,IF(D93=Inputs!$M$25,'Additional References'!$C$7,IF(D93=Inputs!$M$22,'Additional References'!$C$6,IF(D93="","","---"))))))</f>
        <v/>
      </c>
      <c r="I93" s="207" t="str">
        <f t="shared" si="0"/>
        <v/>
      </c>
      <c r="J93" s="210" t="str">
        <f>IF(D93="","",IF(OR(D93=Inputs!$M$20,D93=Inputs!$M$21),"Ton",IF(D93=Inputs!$M$24,"MMscf",IF(D93=Inputs!$M$27,"MMBtu","1000 gal"))))</f>
        <v/>
      </c>
      <c r="K93" s="133"/>
    </row>
    <row r="94" spans="2:11" x14ac:dyDescent="0.25">
      <c r="B94" s="340"/>
      <c r="C94" s="204" t="str">
        <f>IF(ISERROR(VLOOKUP(B94,Inputs!$B$42:$C$61,2,FALSE)),"",VLOOKUP(B94,Inputs!$B$42:$C$61,2,FALSE))</f>
        <v/>
      </c>
      <c r="D94" s="53"/>
      <c r="E94" s="358">
        <f>IF($D94=Inputs!$M$20,0,IF($D94=Inputs!$M$21,0,IF($D94=Inputs!$M$22,0,IF($D94=Inputs!$M$25,0,IF($D94=Inputs!$M$26,0,IF($D94="",0,1))))))</f>
        <v>0</v>
      </c>
      <c r="F94" s="137"/>
      <c r="G94" s="252" t="str">
        <f>IF(D94="Wood","",IF(D94="","",IF(F94="",VLOOKUP(D94,'Additional References'!$B$11:$C$17,2,FALSE),IF(F94=0,VLOOKUP(D94,'Additional References'!$B$11:$C$17,2,FALSE),F94))))</f>
        <v/>
      </c>
      <c r="H94" s="207" t="str">
        <f>IF(D94=Inputs!$M$20,'Additional References'!$C$4,IF(D94=Inputs!$M$21,'Additional References'!$C$5,IF(D94=Inputs!$M$26,'Additional References'!$C$8,IF(D94=Inputs!$M$25,'Additional References'!$C$7,IF(D94=Inputs!$M$22,'Additional References'!$C$6,IF(D94="","","---"))))))</f>
        <v/>
      </c>
      <c r="I94" s="207" t="str">
        <f t="shared" si="0"/>
        <v/>
      </c>
      <c r="J94" s="210" t="str">
        <f>IF(D94="","",IF(OR(D94=Inputs!$M$20,D94=Inputs!$M$21),"Ton",IF(D94=Inputs!$M$24,"MMscf",IF(D94=Inputs!$M$27,"MMBtu","1000 gal"))))</f>
        <v/>
      </c>
      <c r="K94" s="133"/>
    </row>
    <row r="95" spans="2:11" x14ac:dyDescent="0.25">
      <c r="B95" s="340"/>
      <c r="C95" s="204" t="str">
        <f>IF(ISERROR(VLOOKUP(B95,Inputs!$B$42:$C$61,2,FALSE)),"",VLOOKUP(B95,Inputs!$B$42:$C$61,2,FALSE))</f>
        <v/>
      </c>
      <c r="D95" s="53"/>
      <c r="E95" s="358">
        <f>IF($D95=Inputs!$M$20,0,IF($D95=Inputs!$M$21,0,IF($D95=Inputs!$M$22,0,IF($D95=Inputs!$M$25,0,IF($D95=Inputs!$M$26,0,IF($D95="",0,1))))))</f>
        <v>0</v>
      </c>
      <c r="F95" s="137"/>
      <c r="G95" s="252" t="str">
        <f>IF(D95="Wood","",IF(D95="","",IF(F95="",VLOOKUP(D95,'Additional References'!$B$11:$C$17,2,FALSE),IF(F95=0,VLOOKUP(D95,'Additional References'!$B$11:$C$17,2,FALSE),F95))))</f>
        <v/>
      </c>
      <c r="H95" s="207" t="str">
        <f>IF(D95=Inputs!$M$20,'Additional References'!$C$4,IF(D95=Inputs!$M$21,'Additional References'!$C$5,IF(D95=Inputs!$M$26,'Additional References'!$C$8,IF(D95=Inputs!$M$25,'Additional References'!$C$7,IF(D95=Inputs!$M$22,'Additional References'!$C$6,IF(D95="","","---"))))))</f>
        <v/>
      </c>
      <c r="I95" s="207" t="str">
        <f t="shared" si="0"/>
        <v/>
      </c>
      <c r="J95" s="210" t="str">
        <f>IF(D95="","",IF(OR(D95=Inputs!$M$20,D95=Inputs!$M$21),"Ton",IF(D95=Inputs!$M$24,"MMscf",IF(D95=Inputs!$M$27,"MMBtu","1000 gal"))))</f>
        <v/>
      </c>
      <c r="K95" s="133"/>
    </row>
    <row r="96" spans="2:11" x14ac:dyDescent="0.25">
      <c r="B96" s="340"/>
      <c r="C96" s="204" t="str">
        <f>IF(ISERROR(VLOOKUP(B96,Inputs!$B$42:$C$61,2,FALSE)),"",VLOOKUP(B96,Inputs!$B$42:$C$61,2,FALSE))</f>
        <v/>
      </c>
      <c r="D96" s="53"/>
      <c r="E96" s="358">
        <f>IF($D96=Inputs!$M$20,0,IF($D96=Inputs!$M$21,0,IF($D96=Inputs!$M$22,0,IF($D96=Inputs!$M$25,0,IF($D96=Inputs!$M$26,0,IF($D96="",0,1))))))</f>
        <v>0</v>
      </c>
      <c r="F96" s="137"/>
      <c r="G96" s="252" t="str">
        <f>IF(D96="Wood","",IF(D96="","",IF(F96="",VLOOKUP(D96,'Additional References'!$B$11:$C$17,2,FALSE),IF(F96=0,VLOOKUP(D96,'Additional References'!$B$11:$C$17,2,FALSE),F96))))</f>
        <v/>
      </c>
      <c r="H96" s="207" t="str">
        <f>IF(D96=Inputs!$M$20,'Additional References'!$C$4,IF(D96=Inputs!$M$21,'Additional References'!$C$5,IF(D96=Inputs!$M$26,'Additional References'!$C$8,IF(D96=Inputs!$M$25,'Additional References'!$C$7,IF(D96=Inputs!$M$22,'Additional References'!$C$6,IF(D96="","","---"))))))</f>
        <v/>
      </c>
      <c r="I96" s="207" t="str">
        <f t="shared" si="0"/>
        <v/>
      </c>
      <c r="J96" s="210" t="str">
        <f>IF(D96="","",IF(OR(D96=Inputs!$M$20,D96=Inputs!$M$21),"Ton",IF(D96=Inputs!$M$24,"MMscf",IF(D96=Inputs!$M$27,"MMBtu","1000 gal"))))</f>
        <v/>
      </c>
      <c r="K96" s="133"/>
    </row>
    <row r="97" spans="2:11" x14ac:dyDescent="0.25">
      <c r="B97" s="340"/>
      <c r="C97" s="204" t="str">
        <f>IF(ISERROR(VLOOKUP(B97,Inputs!$B$42:$C$61,2,FALSE)),"",VLOOKUP(B97,Inputs!$B$42:$C$61,2,FALSE))</f>
        <v/>
      </c>
      <c r="D97" s="53"/>
      <c r="E97" s="358">
        <f>IF($D97=Inputs!$M$20,0,IF($D97=Inputs!$M$21,0,IF($D97=Inputs!$M$22,0,IF($D97=Inputs!$M$25,0,IF($D97=Inputs!$M$26,0,IF($D97="",0,1))))))</f>
        <v>0</v>
      </c>
      <c r="F97" s="137"/>
      <c r="G97" s="252" t="str">
        <f>IF(D97="Wood","",IF(D97="","",IF(F97="",VLOOKUP(D97,'Additional References'!$B$11:$C$17,2,FALSE),IF(F97=0,VLOOKUP(D97,'Additional References'!$B$11:$C$17,2,FALSE),F97))))</f>
        <v/>
      </c>
      <c r="H97" s="207" t="str">
        <f>IF(D97=Inputs!$M$20,'Additional References'!$C$4,IF(D97=Inputs!$M$21,'Additional References'!$C$5,IF(D97=Inputs!$M$26,'Additional References'!$C$8,IF(D97=Inputs!$M$25,'Additional References'!$C$7,IF(D97=Inputs!$M$22,'Additional References'!$C$6,IF(D97="","","---"))))))</f>
        <v/>
      </c>
      <c r="I97" s="207" t="str">
        <f t="shared" si="0"/>
        <v/>
      </c>
      <c r="J97" s="210" t="str">
        <f>IF(D97="","",IF(OR(D97=Inputs!$M$20,D97=Inputs!$M$21),"Ton",IF(D97=Inputs!$M$24,"MMscf",IF(D97=Inputs!$M$27,"MMBtu","1000 gal"))))</f>
        <v/>
      </c>
      <c r="K97" s="133"/>
    </row>
    <row r="98" spans="2:11" x14ac:dyDescent="0.25">
      <c r="B98" s="340"/>
      <c r="C98" s="204" t="str">
        <f>IF(ISERROR(VLOOKUP(B98,Inputs!$B$42:$C$61,2,FALSE)),"",VLOOKUP(B98,Inputs!$B$42:$C$61,2,FALSE))</f>
        <v/>
      </c>
      <c r="D98" s="53"/>
      <c r="E98" s="358">
        <f>IF($D98=Inputs!$M$20,0,IF($D98=Inputs!$M$21,0,IF($D98=Inputs!$M$22,0,IF($D98=Inputs!$M$25,0,IF($D98=Inputs!$M$26,0,IF($D98="",0,1))))))</f>
        <v>0</v>
      </c>
      <c r="F98" s="137"/>
      <c r="G98" s="252" t="str">
        <f>IF(D98="Wood","",IF(D98="","",IF(F98="",VLOOKUP(D98,'Additional References'!$B$11:$C$17,2,FALSE),IF(F98=0,VLOOKUP(D98,'Additional References'!$B$11:$C$17,2,FALSE),F98))))</f>
        <v/>
      </c>
      <c r="H98" s="207" t="str">
        <f>IF(D98=Inputs!$M$20,'Additional References'!$C$4,IF(D98=Inputs!$M$21,'Additional References'!$C$5,IF(D98=Inputs!$M$26,'Additional References'!$C$8,IF(D98=Inputs!$M$25,'Additional References'!$C$7,IF(D98=Inputs!$M$22,'Additional References'!$C$6,IF(D98="","","---"))))))</f>
        <v/>
      </c>
      <c r="I98" s="207" t="str">
        <f t="shared" si="0"/>
        <v/>
      </c>
      <c r="J98" s="210" t="str">
        <f>IF(D98="","",IF(OR(D98=Inputs!$M$20,D98=Inputs!$M$21),"Ton",IF(D98=Inputs!$M$24,"MMscf",IF(D98=Inputs!$M$27,"MMBtu","1000 gal"))))</f>
        <v/>
      </c>
      <c r="K98" s="133"/>
    </row>
    <row r="99" spans="2:11" x14ac:dyDescent="0.25">
      <c r="B99" s="340"/>
      <c r="C99" s="204" t="str">
        <f>IF(ISERROR(VLOOKUP(B99,Inputs!$B$42:$C$61,2,FALSE)),"",VLOOKUP(B99,Inputs!$B$42:$C$61,2,FALSE))</f>
        <v/>
      </c>
      <c r="D99" s="53"/>
      <c r="E99" s="358">
        <f>IF($D99=Inputs!$M$20,0,IF($D99=Inputs!$M$21,0,IF($D99=Inputs!$M$22,0,IF($D99=Inputs!$M$25,0,IF($D99=Inputs!$M$26,0,IF($D99="",0,1))))))</f>
        <v>0</v>
      </c>
      <c r="F99" s="137"/>
      <c r="G99" s="252" t="str">
        <f>IF(D99="Wood","",IF(D99="","",IF(F99="",VLOOKUP(D99,'Additional References'!$B$11:$C$17,2,FALSE),IF(F99=0,VLOOKUP(D99,'Additional References'!$B$11:$C$17,2,FALSE),F99))))</f>
        <v/>
      </c>
      <c r="H99" s="207" t="str">
        <f>IF(D99=Inputs!$M$20,'Additional References'!$C$4,IF(D99=Inputs!$M$21,'Additional References'!$C$5,IF(D99=Inputs!$M$26,'Additional References'!$C$8,IF(D99=Inputs!$M$25,'Additional References'!$C$7,IF(D99=Inputs!$M$22,'Additional References'!$C$6,IF(D99="","","---"))))))</f>
        <v/>
      </c>
      <c r="I99" s="207" t="str">
        <f t="shared" si="0"/>
        <v/>
      </c>
      <c r="J99" s="210" t="str">
        <f>IF(D99="","",IF(OR(D99=Inputs!$M$20,D99=Inputs!$M$21),"Ton",IF(D99=Inputs!$M$24,"MMscf",IF(D99=Inputs!$M$27,"MMBtu","1000 gal"))))</f>
        <v/>
      </c>
      <c r="K99" s="133"/>
    </row>
    <row r="100" spans="2:11" x14ac:dyDescent="0.25">
      <c r="B100" s="340"/>
      <c r="C100" s="204" t="str">
        <f>IF(ISERROR(VLOOKUP(B100,Inputs!$B$42:$C$61,2,FALSE)),"",VLOOKUP(B100,Inputs!$B$42:$C$61,2,FALSE))</f>
        <v/>
      </c>
      <c r="D100" s="53"/>
      <c r="E100" s="358">
        <f>IF($D100=Inputs!$M$20,0,IF($D100=Inputs!$M$21,0,IF($D100=Inputs!$M$22,0,IF($D100=Inputs!$M$25,0,IF($D100=Inputs!$M$26,0,IF($D100="",0,1))))))</f>
        <v>0</v>
      </c>
      <c r="F100" s="137"/>
      <c r="G100" s="252" t="str">
        <f>IF(D100="Wood","",IF(D100="","",IF(F100="",VLOOKUP(D100,'Additional References'!$B$11:$C$17,2,FALSE),IF(F100=0,VLOOKUP(D100,'Additional References'!$B$11:$C$17,2,FALSE),F100))))</f>
        <v/>
      </c>
      <c r="H100" s="207" t="str">
        <f>IF(D100=Inputs!$M$20,'Additional References'!$C$4,IF(D100=Inputs!$M$21,'Additional References'!$C$5,IF(D100=Inputs!$M$26,'Additional References'!$C$8,IF(D100=Inputs!$M$25,'Additional References'!$C$7,IF(D100=Inputs!$M$22,'Additional References'!$C$6,IF(D100="","","---"))))))</f>
        <v/>
      </c>
      <c r="I100" s="207" t="str">
        <f t="shared" si="0"/>
        <v/>
      </c>
      <c r="J100" s="210" t="str">
        <f>IF(D100="","",IF(OR(D100=Inputs!$M$20,D100=Inputs!$M$21),"Ton",IF(D100=Inputs!$M$24,"MMscf",IF(D100=Inputs!$M$27,"MMBtu","1000 gal"))))</f>
        <v/>
      </c>
      <c r="K100" s="133"/>
    </row>
    <row r="101" spans="2:11" x14ac:dyDescent="0.25">
      <c r="B101" s="340"/>
      <c r="C101" s="204" t="str">
        <f>IF(ISERROR(VLOOKUP(B101,Inputs!$B$42:$C$61,2,FALSE)),"",VLOOKUP(B101,Inputs!$B$42:$C$61,2,FALSE))</f>
        <v/>
      </c>
      <c r="D101" s="53"/>
      <c r="E101" s="358">
        <f>IF($D101=Inputs!$M$20,0,IF($D101=Inputs!$M$21,0,IF($D101=Inputs!$M$22,0,IF($D101=Inputs!$M$25,0,IF($D101=Inputs!$M$26,0,IF($D101="",0,1))))))</f>
        <v>0</v>
      </c>
      <c r="F101" s="137"/>
      <c r="G101" s="252" t="str">
        <f>IF(D101="Wood","",IF(D101="","",IF(F101="",VLOOKUP(D101,'Additional References'!$B$11:$C$17,2,FALSE),IF(F101=0,VLOOKUP(D101,'Additional References'!$B$11:$C$17,2,FALSE),F101))))</f>
        <v/>
      </c>
      <c r="H101" s="207" t="str">
        <f>IF(D101=Inputs!$M$20,'Additional References'!$C$4,IF(D101=Inputs!$M$21,'Additional References'!$C$5,IF(D101=Inputs!$M$26,'Additional References'!$C$8,IF(D101=Inputs!$M$25,'Additional References'!$C$7,IF(D101=Inputs!$M$22,'Additional References'!$C$6,IF(D101="","","---"))))))</f>
        <v/>
      </c>
      <c r="I101" s="207" t="str">
        <f t="shared" si="0"/>
        <v/>
      </c>
      <c r="J101" s="210" t="str">
        <f>IF(D101="","",IF(OR(D101=Inputs!$M$20,D101=Inputs!$M$21),"Ton",IF(D101=Inputs!$M$24,"MMscf",IF(D101=Inputs!$M$27,"MMBtu","1000 gal"))))</f>
        <v/>
      </c>
      <c r="K101" s="133"/>
    </row>
    <row r="102" spans="2:11" x14ac:dyDescent="0.25">
      <c r="B102" s="340"/>
      <c r="C102" s="204" t="str">
        <f>IF(ISERROR(VLOOKUP(B102,Inputs!$B$42:$C$61,2,FALSE)),"",VLOOKUP(B102,Inputs!$B$42:$C$61,2,FALSE))</f>
        <v/>
      </c>
      <c r="D102" s="53"/>
      <c r="E102" s="358">
        <f>IF($D102=Inputs!$M$20,0,IF($D102=Inputs!$M$21,0,IF($D102=Inputs!$M$22,0,IF($D102=Inputs!$M$25,0,IF($D102=Inputs!$M$26,0,IF($D102="",0,1))))))</f>
        <v>0</v>
      </c>
      <c r="F102" s="137"/>
      <c r="G102" s="252" t="str">
        <f>IF(D102="Wood","",IF(D102="","",IF(F102="",VLOOKUP(D102,'Additional References'!$B$11:$C$17,2,FALSE),IF(F102=0,VLOOKUP(D102,'Additional References'!$B$11:$C$17,2,FALSE),F102))))</f>
        <v/>
      </c>
      <c r="H102" s="207" t="str">
        <f>IF(D102=Inputs!$M$20,'Additional References'!$C$4,IF(D102=Inputs!$M$21,'Additional References'!$C$5,IF(D102=Inputs!$M$26,'Additional References'!$C$8,IF(D102=Inputs!$M$25,'Additional References'!$C$7,IF(D102=Inputs!$M$22,'Additional References'!$C$6,IF(D102="","","---"))))))</f>
        <v/>
      </c>
      <c r="I102" s="207" t="str">
        <f t="shared" si="0"/>
        <v/>
      </c>
      <c r="J102" s="210" t="str">
        <f>IF(D102="","",IF(OR(D102=Inputs!$M$20,D102=Inputs!$M$21),"Ton",IF(D102=Inputs!$M$24,"MMscf",IF(D102=Inputs!$M$27,"MMBtu","1000 gal"))))</f>
        <v/>
      </c>
      <c r="K102" s="133"/>
    </row>
    <row r="103" spans="2:11" x14ac:dyDescent="0.25">
      <c r="B103" s="340"/>
      <c r="C103" s="204" t="str">
        <f>IF(ISERROR(VLOOKUP(B103,Inputs!$B$42:$C$61,2,FALSE)),"",VLOOKUP(B103,Inputs!$B$42:$C$61,2,FALSE))</f>
        <v/>
      </c>
      <c r="D103" s="53"/>
      <c r="E103" s="358">
        <f>IF($D103=Inputs!$M$20,0,IF($D103=Inputs!$M$21,0,IF($D103=Inputs!$M$22,0,IF($D103=Inputs!$M$25,0,IF($D103=Inputs!$M$26,0,IF($D103="",0,1))))))</f>
        <v>0</v>
      </c>
      <c r="F103" s="137"/>
      <c r="G103" s="252" t="str">
        <f>IF(D103="Wood","",IF(D103="","",IF(F103="",VLOOKUP(D103,'Additional References'!$B$11:$C$17,2,FALSE),IF(F103=0,VLOOKUP(D103,'Additional References'!$B$11:$C$17,2,FALSE),F103))))</f>
        <v/>
      </c>
      <c r="H103" s="207" t="str">
        <f>IF(D103=Inputs!$M$20,'Additional References'!$C$4,IF(D103=Inputs!$M$21,'Additional References'!$C$5,IF(D103=Inputs!$M$26,'Additional References'!$C$8,IF(D103=Inputs!$M$25,'Additional References'!$C$7,IF(D103=Inputs!$M$22,'Additional References'!$C$6,IF(D103="","","---"))))))</f>
        <v/>
      </c>
      <c r="I103" s="207" t="str">
        <f t="shared" si="0"/>
        <v/>
      </c>
      <c r="J103" s="210" t="str">
        <f>IF(D103="","",IF(OR(D103=Inputs!$M$20,D103=Inputs!$M$21),"Ton",IF(D103=Inputs!$M$24,"MMscf",IF(D103=Inputs!$M$27,"MMBtu","1000 gal"))))</f>
        <v/>
      </c>
      <c r="K103" s="133"/>
    </row>
    <row r="104" spans="2:11" x14ac:dyDescent="0.25">
      <c r="B104" s="340"/>
      <c r="C104" s="204" t="str">
        <f>IF(ISERROR(VLOOKUP(B104,Inputs!$B$42:$C$61,2,FALSE)),"",VLOOKUP(B104,Inputs!$B$42:$C$61,2,FALSE))</f>
        <v/>
      </c>
      <c r="D104" s="53"/>
      <c r="E104" s="358">
        <f>IF($D104=Inputs!$M$20,0,IF($D104=Inputs!$M$21,0,IF($D104=Inputs!$M$22,0,IF($D104=Inputs!$M$25,0,IF($D104=Inputs!$M$26,0,IF($D104="",0,1))))))</f>
        <v>0</v>
      </c>
      <c r="F104" s="137"/>
      <c r="G104" s="252" t="str">
        <f>IF(D104="Wood","",IF(D104="","",IF(F104="",VLOOKUP(D104,'Additional References'!$B$11:$C$17,2,FALSE),IF(F104=0,VLOOKUP(D104,'Additional References'!$B$11:$C$17,2,FALSE),F104))))</f>
        <v/>
      </c>
      <c r="H104" s="207" t="str">
        <f>IF(D104=Inputs!$M$20,'Additional References'!$C$4,IF(D104=Inputs!$M$21,'Additional References'!$C$5,IF(D104=Inputs!$M$26,'Additional References'!$C$8,IF(D104=Inputs!$M$25,'Additional References'!$C$7,IF(D104=Inputs!$M$22,'Additional References'!$C$6,IF(D104="","","---"))))))</f>
        <v/>
      </c>
      <c r="I104" s="207" t="str">
        <f t="shared" si="0"/>
        <v/>
      </c>
      <c r="J104" s="210" t="str">
        <f>IF(D104="","",IF(OR(D104=Inputs!$M$20,D104=Inputs!$M$21),"Ton",IF(D104=Inputs!$M$24,"MMscf",IF(D104=Inputs!$M$27,"MMBtu","1000 gal"))))</f>
        <v/>
      </c>
      <c r="K104" s="133"/>
    </row>
    <row r="105" spans="2:11" x14ac:dyDescent="0.25">
      <c r="B105" s="340"/>
      <c r="C105" s="204" t="str">
        <f>IF(ISERROR(VLOOKUP(B105,Inputs!$B$42:$C$61,2,FALSE)),"",VLOOKUP(B105,Inputs!$B$42:$C$61,2,FALSE))</f>
        <v/>
      </c>
      <c r="D105" s="53"/>
      <c r="E105" s="358">
        <f>IF($D105=Inputs!$M$20,0,IF($D105=Inputs!$M$21,0,IF($D105=Inputs!$M$22,0,IF($D105=Inputs!$M$25,0,IF($D105=Inputs!$M$26,0,IF($D105="",0,1))))))</f>
        <v>0</v>
      </c>
      <c r="F105" s="137"/>
      <c r="G105" s="252" t="str">
        <f>IF(D105="Wood","",IF(D105="","",IF(F105="",VLOOKUP(D105,'Additional References'!$B$11:$C$17,2,FALSE),IF(F105=0,VLOOKUP(D105,'Additional References'!$B$11:$C$17,2,FALSE),F105))))</f>
        <v/>
      </c>
      <c r="H105" s="207" t="str">
        <f>IF(D105=Inputs!$M$20,'Additional References'!$C$4,IF(D105=Inputs!$M$21,'Additional References'!$C$5,IF(D105=Inputs!$M$26,'Additional References'!$C$8,IF(D105=Inputs!$M$25,'Additional References'!$C$7,IF(D105=Inputs!$M$22,'Additional References'!$C$6,IF(D105="","","---"))))))</f>
        <v/>
      </c>
      <c r="I105" s="207" t="str">
        <f t="shared" si="0"/>
        <v/>
      </c>
      <c r="J105" s="210" t="str">
        <f>IF(D105="","",IF(OR(D105=Inputs!$M$20,D105=Inputs!$M$21),"Ton",IF(D105=Inputs!$M$24,"MMscf",IF(D105=Inputs!$M$27,"MMBtu","1000 gal"))))</f>
        <v/>
      </c>
      <c r="K105" s="133"/>
    </row>
    <row r="106" spans="2:11" x14ac:dyDescent="0.25">
      <c r="B106" s="340"/>
      <c r="C106" s="204" t="str">
        <f>IF(ISERROR(VLOOKUP(B106,Inputs!$B$42:$C$61,2,FALSE)),"",VLOOKUP(B106,Inputs!$B$42:$C$61,2,FALSE))</f>
        <v/>
      </c>
      <c r="D106" s="53"/>
      <c r="E106" s="358">
        <f>IF($D106=Inputs!$M$20,0,IF($D106=Inputs!$M$21,0,IF($D106=Inputs!$M$22,0,IF($D106=Inputs!$M$25,0,IF($D106=Inputs!$M$26,0,IF($D106="",0,1))))))</f>
        <v>0</v>
      </c>
      <c r="F106" s="137"/>
      <c r="G106" s="252" t="str">
        <f>IF(D106="Wood","",IF(D106="","",IF(F106="",VLOOKUP(D106,'Additional References'!$B$11:$C$17,2,FALSE),IF(F106=0,VLOOKUP(D106,'Additional References'!$B$11:$C$17,2,FALSE),F106))))</f>
        <v/>
      </c>
      <c r="H106" s="207" t="str">
        <f>IF(D106=Inputs!$M$20,'Additional References'!$C$4,IF(D106=Inputs!$M$21,'Additional References'!$C$5,IF(D106=Inputs!$M$26,'Additional References'!$C$8,IF(D106=Inputs!$M$25,'Additional References'!$C$7,IF(D106=Inputs!$M$22,'Additional References'!$C$6,IF(D106="","","---"))))))</f>
        <v/>
      </c>
      <c r="I106" s="207" t="str">
        <f t="shared" si="0"/>
        <v/>
      </c>
      <c r="J106" s="210" t="str">
        <f>IF(D106="","",IF(OR(D106=Inputs!$M$20,D106=Inputs!$M$21),"Ton",IF(D106=Inputs!$M$24,"MMscf",IF(D106=Inputs!$M$27,"MMBtu","1000 gal"))))</f>
        <v/>
      </c>
      <c r="K106" s="133"/>
    </row>
    <row r="107" spans="2:11" x14ac:dyDescent="0.25">
      <c r="B107" s="340"/>
      <c r="C107" s="204" t="str">
        <f>IF(ISERROR(VLOOKUP(B107,Inputs!$B$42:$C$61,2,FALSE)),"",VLOOKUP(B107,Inputs!$B$42:$C$61,2,FALSE))</f>
        <v/>
      </c>
      <c r="D107" s="53"/>
      <c r="E107" s="358">
        <f>IF($D107=Inputs!$M$20,0,IF($D107=Inputs!$M$21,0,IF($D107=Inputs!$M$22,0,IF($D107=Inputs!$M$25,0,IF($D107=Inputs!$M$26,0,IF($D107="",0,1))))))</f>
        <v>0</v>
      </c>
      <c r="F107" s="137"/>
      <c r="G107" s="252" t="str">
        <f>IF(D107="Wood","",IF(D107="","",IF(F107="",VLOOKUP(D107,'Additional References'!$B$11:$C$17,2,FALSE),IF(F107=0,VLOOKUP(D107,'Additional References'!$B$11:$C$17,2,FALSE),F107))))</f>
        <v/>
      </c>
      <c r="H107" s="207" t="str">
        <f>IF(D107=Inputs!$M$20,'Additional References'!$C$4,IF(D107=Inputs!$M$21,'Additional References'!$C$5,IF(D107=Inputs!$M$26,'Additional References'!$C$8,IF(D107=Inputs!$M$25,'Additional References'!$C$7,IF(D107=Inputs!$M$22,'Additional References'!$C$6,IF(D107="","","---"))))))</f>
        <v/>
      </c>
      <c r="I107" s="207" t="str">
        <f t="shared" si="0"/>
        <v/>
      </c>
      <c r="J107" s="210" t="str">
        <f>IF(D107="","",IF(OR(D107=Inputs!$M$20,D107=Inputs!$M$21),"Ton",IF(D107=Inputs!$M$24,"MMscf",IF(D107=Inputs!$M$27,"MMBtu","1000 gal"))))</f>
        <v/>
      </c>
      <c r="K107" s="133"/>
    </row>
    <row r="108" spans="2:11" x14ac:dyDescent="0.25">
      <c r="B108" s="340"/>
      <c r="C108" s="204" t="str">
        <f>IF(ISERROR(VLOOKUP(B108,Inputs!$B$42:$C$61,2,FALSE)),"",VLOOKUP(B108,Inputs!$B$42:$C$61,2,FALSE))</f>
        <v/>
      </c>
      <c r="D108" s="53"/>
      <c r="E108" s="358">
        <f>IF($D108=Inputs!$M$20,0,IF($D108=Inputs!$M$21,0,IF($D108=Inputs!$M$22,0,IF($D108=Inputs!$M$25,0,IF($D108=Inputs!$M$26,0,IF($D108="",0,1))))))</f>
        <v>0</v>
      </c>
      <c r="F108" s="137"/>
      <c r="G108" s="252" t="str">
        <f>IF(D108="Wood","",IF(D108="","",IF(F108="",VLOOKUP(D108,'Additional References'!$B$11:$C$17,2,FALSE),IF(F108=0,VLOOKUP(D108,'Additional References'!$B$11:$C$17,2,FALSE),F108))))</f>
        <v/>
      </c>
      <c r="H108" s="207" t="str">
        <f>IF(D108=Inputs!$M$20,'Additional References'!$C$4,IF(D108=Inputs!$M$21,'Additional References'!$C$5,IF(D108=Inputs!$M$26,'Additional References'!$C$8,IF(D108=Inputs!$M$25,'Additional References'!$C$7,IF(D108=Inputs!$M$22,'Additional References'!$C$6,IF(D108="","","---"))))))</f>
        <v/>
      </c>
      <c r="I108" s="207" t="str">
        <f t="shared" si="0"/>
        <v/>
      </c>
      <c r="J108" s="210" t="str">
        <f>IF(D108="","",IF(OR(D108=Inputs!$M$20,D108=Inputs!$M$21),"Ton",IF(D108=Inputs!$M$24,"MMscf",IF(D108=Inputs!$M$27,"MMBtu","1000 gal"))))</f>
        <v/>
      </c>
      <c r="K108" s="133"/>
    </row>
    <row r="109" spans="2:11" x14ac:dyDescent="0.25">
      <c r="B109" s="340"/>
      <c r="C109" s="204" t="str">
        <f>IF(ISERROR(VLOOKUP(B109,Inputs!$B$42:$C$61,2,FALSE)),"",VLOOKUP(B109,Inputs!$B$42:$C$61,2,FALSE))</f>
        <v/>
      </c>
      <c r="D109" s="53"/>
      <c r="E109" s="358">
        <f>IF($D109=Inputs!$M$20,0,IF($D109=Inputs!$M$21,0,IF($D109=Inputs!$M$22,0,IF($D109=Inputs!$M$25,0,IF($D109=Inputs!$M$26,0,IF($D109="",0,1))))))</f>
        <v>0</v>
      </c>
      <c r="F109" s="137"/>
      <c r="G109" s="252" t="str">
        <f>IF(D109="Wood","",IF(D109="","",IF(F109="",VLOOKUP(D109,'Additional References'!$B$11:$C$17,2,FALSE),IF(F109=0,VLOOKUP(D109,'Additional References'!$B$11:$C$17,2,FALSE),F109))))</f>
        <v/>
      </c>
      <c r="H109" s="207" t="str">
        <f>IF(D109=Inputs!$M$20,'Additional References'!$C$4,IF(D109=Inputs!$M$21,'Additional References'!$C$5,IF(D109=Inputs!$M$26,'Additional References'!$C$8,IF(D109=Inputs!$M$25,'Additional References'!$C$7,IF(D109=Inputs!$M$22,'Additional References'!$C$6,IF(D109="","","---"))))))</f>
        <v/>
      </c>
      <c r="I109" s="207" t="str">
        <f t="shared" si="0"/>
        <v/>
      </c>
      <c r="J109" s="210" t="str">
        <f>IF(D109="","",IF(OR(D109=Inputs!$M$20,D109=Inputs!$M$21),"Ton",IF(D109=Inputs!$M$24,"MMscf",IF(D109=Inputs!$M$27,"MMBtu","1000 gal"))))</f>
        <v/>
      </c>
      <c r="K109" s="133"/>
    </row>
    <row r="110" spans="2:11" x14ac:dyDescent="0.25">
      <c r="B110" s="340"/>
      <c r="C110" s="204" t="str">
        <f>IF(ISERROR(VLOOKUP(B110,Inputs!$B$42:$C$61,2,FALSE)),"",VLOOKUP(B110,Inputs!$B$42:$C$61,2,FALSE))</f>
        <v/>
      </c>
      <c r="D110" s="53"/>
      <c r="E110" s="358">
        <f>IF($D110=Inputs!$M$20,0,IF($D110=Inputs!$M$21,0,IF($D110=Inputs!$M$22,0,IF($D110=Inputs!$M$25,0,IF($D110=Inputs!$M$26,0,IF($D110="",0,1))))))</f>
        <v>0</v>
      </c>
      <c r="F110" s="137"/>
      <c r="G110" s="252" t="str">
        <f>IF(D110="Wood","",IF(D110="","",IF(F110="",VLOOKUP(D110,'Additional References'!$B$11:$C$17,2,FALSE),IF(F110=0,VLOOKUP(D110,'Additional References'!$B$11:$C$17,2,FALSE),F110))))</f>
        <v/>
      </c>
      <c r="H110" s="207" t="str">
        <f>IF(D110=Inputs!$M$20,'Additional References'!$C$4,IF(D110=Inputs!$M$21,'Additional References'!$C$5,IF(D110=Inputs!$M$26,'Additional References'!$C$8,IF(D110=Inputs!$M$25,'Additional References'!$C$7,IF(D110=Inputs!$M$22,'Additional References'!$C$6,IF(D110="","","---"))))))</f>
        <v/>
      </c>
      <c r="I110" s="207" t="str">
        <f t="shared" si="0"/>
        <v/>
      </c>
      <c r="J110" s="210" t="str">
        <f>IF(D110="","",IF(OR(D110=Inputs!$M$20,D110=Inputs!$M$21),"Ton",IF(D110=Inputs!$M$24,"MMscf",IF(D110=Inputs!$M$27,"MMBtu","1000 gal"))))</f>
        <v/>
      </c>
      <c r="K110" s="133"/>
    </row>
    <row r="111" spans="2:11" x14ac:dyDescent="0.25">
      <c r="B111" s="340"/>
      <c r="C111" s="204" t="str">
        <f>IF(ISERROR(VLOOKUP(B111,Inputs!$B$42:$C$61,2,FALSE)),"",VLOOKUP(B111,Inputs!$B$42:$C$61,2,FALSE))</f>
        <v/>
      </c>
      <c r="D111" s="53"/>
      <c r="E111" s="358">
        <f>IF($D111=Inputs!$M$20,0,IF($D111=Inputs!$M$21,0,IF($D111=Inputs!$M$22,0,IF($D111=Inputs!$M$25,0,IF($D111=Inputs!$M$26,0,IF($D111="",0,1))))))</f>
        <v>0</v>
      </c>
      <c r="F111" s="137"/>
      <c r="G111" s="252" t="str">
        <f>IF(D111="Wood","",IF(D111="","",IF(F111="",VLOOKUP(D111,'Additional References'!$B$11:$C$17,2,FALSE),IF(F111=0,VLOOKUP(D111,'Additional References'!$B$11:$C$17,2,FALSE),F111))))</f>
        <v/>
      </c>
      <c r="H111" s="207" t="str">
        <f>IF(D111=Inputs!$M$20,'Additional References'!$C$4,IF(D111=Inputs!$M$21,'Additional References'!$C$5,IF(D111=Inputs!$M$26,'Additional References'!$C$8,IF(D111=Inputs!$M$25,'Additional References'!$C$7,IF(D111=Inputs!$M$22,'Additional References'!$C$6,IF(D111="","","---"))))))</f>
        <v/>
      </c>
      <c r="I111" s="207" t="str">
        <f t="shared" si="0"/>
        <v/>
      </c>
      <c r="J111" s="210" t="str">
        <f>IF(D111="","",IF(OR(D111=Inputs!$M$20,D111=Inputs!$M$21),"Ton",IF(D111=Inputs!$M$24,"MMscf",IF(D111=Inputs!$M$27,"MMBtu","1000 gal"))))</f>
        <v/>
      </c>
      <c r="K111" s="133"/>
    </row>
    <row r="112" spans="2:11" x14ac:dyDescent="0.25">
      <c r="B112" s="340"/>
      <c r="C112" s="204" t="str">
        <f>IF(ISERROR(VLOOKUP(B112,Inputs!$B$42:$C$61,2,FALSE)),"",VLOOKUP(B112,Inputs!$B$42:$C$61,2,FALSE))</f>
        <v/>
      </c>
      <c r="D112" s="53"/>
      <c r="E112" s="358">
        <f>IF($D112=Inputs!$M$20,0,IF($D112=Inputs!$M$21,0,IF($D112=Inputs!$M$22,0,IF($D112=Inputs!$M$25,0,IF($D112=Inputs!$M$26,0,IF($D112="",0,1))))))</f>
        <v>0</v>
      </c>
      <c r="F112" s="137"/>
      <c r="G112" s="252" t="str">
        <f>IF(D112="Wood","",IF(D112="","",IF(F112="",VLOOKUP(D112,'Additional References'!$B$11:$C$17,2,FALSE),IF(F112=0,VLOOKUP(D112,'Additional References'!$B$11:$C$17,2,FALSE),F112))))</f>
        <v/>
      </c>
      <c r="H112" s="207" t="str">
        <f>IF(D112=Inputs!$M$20,'Additional References'!$C$4,IF(D112=Inputs!$M$21,'Additional References'!$C$5,IF(D112=Inputs!$M$26,'Additional References'!$C$8,IF(D112=Inputs!$M$25,'Additional References'!$C$7,IF(D112=Inputs!$M$22,'Additional References'!$C$6,IF(D112="","","---"))))))</f>
        <v/>
      </c>
      <c r="I112" s="207" t="str">
        <f t="shared" si="0"/>
        <v/>
      </c>
      <c r="J112" s="210" t="str">
        <f>IF(D112="","",IF(OR(D112=Inputs!$M$20,D112=Inputs!$M$21),"Ton",IF(D112=Inputs!$M$24,"MMscf",IF(D112=Inputs!$M$27,"MMBtu","1000 gal"))))</f>
        <v/>
      </c>
      <c r="K112" s="133"/>
    </row>
    <row r="113" spans="2:11" x14ac:dyDescent="0.25">
      <c r="B113" s="340"/>
      <c r="C113" s="204" t="str">
        <f>IF(ISERROR(VLOOKUP(B113,Inputs!$B$42:$C$61,2,FALSE)),"",VLOOKUP(B113,Inputs!$B$42:$C$61,2,FALSE))</f>
        <v/>
      </c>
      <c r="D113" s="53"/>
      <c r="E113" s="358">
        <f>IF($D113=Inputs!$M$20,0,IF($D113=Inputs!$M$21,0,IF($D113=Inputs!$M$22,0,IF($D113=Inputs!$M$25,0,IF($D113=Inputs!$M$26,0,IF($D113="",0,1))))))</f>
        <v>0</v>
      </c>
      <c r="F113" s="137"/>
      <c r="G113" s="252" t="str">
        <f>IF(D113="Wood","",IF(D113="","",IF(F113="",VLOOKUP(D113,'Additional References'!$B$11:$C$17,2,FALSE),IF(F113=0,VLOOKUP(D113,'Additional References'!$B$11:$C$17,2,FALSE),F113))))</f>
        <v/>
      </c>
      <c r="H113" s="207" t="str">
        <f>IF(D113=Inputs!$M$20,'Additional References'!$C$4,IF(D113=Inputs!$M$21,'Additional References'!$C$5,IF(D113=Inputs!$M$26,'Additional References'!$C$8,IF(D113=Inputs!$M$25,'Additional References'!$C$7,IF(D113=Inputs!$M$22,'Additional References'!$C$6,IF(D113="","","---"))))))</f>
        <v/>
      </c>
      <c r="I113" s="207" t="str">
        <f t="shared" si="0"/>
        <v/>
      </c>
      <c r="J113" s="210" t="str">
        <f>IF(D113="","",IF(OR(D113=Inputs!$M$20,D113=Inputs!$M$21),"Ton",IF(D113=Inputs!$M$24,"MMscf",IF(D113=Inputs!$M$27,"MMBtu","1000 gal"))))</f>
        <v/>
      </c>
      <c r="K113" s="133"/>
    </row>
    <row r="114" spans="2:11" x14ac:dyDescent="0.25">
      <c r="B114" s="340"/>
      <c r="C114" s="204" t="str">
        <f>IF(ISERROR(VLOOKUP(B114,Inputs!$B$42:$C$61,2,FALSE)),"",VLOOKUP(B114,Inputs!$B$42:$C$61,2,FALSE))</f>
        <v/>
      </c>
      <c r="D114" s="53"/>
      <c r="E114" s="358">
        <f>IF($D114=Inputs!$M$20,0,IF($D114=Inputs!$M$21,0,IF($D114=Inputs!$M$22,0,IF($D114=Inputs!$M$25,0,IF($D114=Inputs!$M$26,0,IF($D114="",0,1))))))</f>
        <v>0</v>
      </c>
      <c r="F114" s="137"/>
      <c r="G114" s="252" t="str">
        <f>IF(D114="Wood","",IF(D114="","",IF(F114="",VLOOKUP(D114,'Additional References'!$B$11:$C$17,2,FALSE),IF(F114=0,VLOOKUP(D114,'Additional References'!$B$11:$C$17,2,FALSE),F114))))</f>
        <v/>
      </c>
      <c r="H114" s="207" t="str">
        <f>IF(D114=Inputs!$M$20,'Additional References'!$C$4,IF(D114=Inputs!$M$21,'Additional References'!$C$5,IF(D114=Inputs!$M$26,'Additional References'!$C$8,IF(D114=Inputs!$M$25,'Additional References'!$C$7,IF(D114=Inputs!$M$22,'Additional References'!$C$6,IF(D114="","","---"))))))</f>
        <v/>
      </c>
      <c r="I114" s="207" t="str">
        <f t="shared" si="0"/>
        <v/>
      </c>
      <c r="J114" s="210" t="str">
        <f>IF(D114="","",IF(OR(D114=Inputs!$M$20,D114=Inputs!$M$21),"Ton",IF(D114=Inputs!$M$24,"MMscf",IF(D114=Inputs!$M$27,"MMBtu","1000 gal"))))</f>
        <v/>
      </c>
      <c r="K114" s="133"/>
    </row>
    <row r="115" spans="2:11" x14ac:dyDescent="0.25">
      <c r="B115" s="340"/>
      <c r="C115" s="204" t="str">
        <f>IF(ISERROR(VLOOKUP(B115,Inputs!$B$42:$C$61,2,FALSE)),"",VLOOKUP(B115,Inputs!$B$42:$C$61,2,FALSE))</f>
        <v/>
      </c>
      <c r="D115" s="53"/>
      <c r="E115" s="358">
        <f>IF($D115=Inputs!$M$20,0,IF($D115=Inputs!$M$21,0,IF($D115=Inputs!$M$22,0,IF($D115=Inputs!$M$25,0,IF($D115=Inputs!$M$26,0,IF($D115="",0,1))))))</f>
        <v>0</v>
      </c>
      <c r="F115" s="137"/>
      <c r="G115" s="252" t="str">
        <f>IF(D115="Wood","",IF(D115="","",IF(F115="",VLOOKUP(D115,'Additional References'!$B$11:$C$17,2,FALSE),IF(F115=0,VLOOKUP(D115,'Additional References'!$B$11:$C$17,2,FALSE),F115))))</f>
        <v/>
      </c>
      <c r="H115" s="207" t="str">
        <f>IF(D115=Inputs!$M$20,'Additional References'!$C$4,IF(D115=Inputs!$M$21,'Additional References'!$C$5,IF(D115=Inputs!$M$26,'Additional References'!$C$8,IF(D115=Inputs!$M$25,'Additional References'!$C$7,IF(D115=Inputs!$M$22,'Additional References'!$C$6,IF(D115="","","---"))))))</f>
        <v/>
      </c>
      <c r="I115" s="207" t="str">
        <f t="shared" si="0"/>
        <v/>
      </c>
      <c r="J115" s="210" t="str">
        <f>IF(D115="","",IF(OR(D115=Inputs!$M$20,D115=Inputs!$M$21),"Ton",IF(D115=Inputs!$M$24,"MMscf",IF(D115=Inputs!$M$27,"MMBtu","1000 gal"))))</f>
        <v/>
      </c>
      <c r="K115" s="133"/>
    </row>
    <row r="116" spans="2:11" ht="13.8" thickBot="1" x14ac:dyDescent="0.3">
      <c r="B116" s="341"/>
      <c r="C116" s="205" t="str">
        <f>IF(ISERROR(VLOOKUP(B116,Inputs!$B$42:$C$61,2,FALSE)),"",VLOOKUP(B116,Inputs!$B$42:$C$61,2,FALSE))</f>
        <v/>
      </c>
      <c r="D116" s="96"/>
      <c r="E116" s="359">
        <f>IF($D116=Inputs!$M$20,0,IF($D116=Inputs!$M$21,0,IF($D116=Inputs!$M$22,0,IF($D116=Inputs!$M$25,0,IF($D116=Inputs!$M$26,0,IF($D116="",0,1))))))</f>
        <v>0</v>
      </c>
      <c r="F116" s="138"/>
      <c r="G116" s="253" t="str">
        <f>IF(D116="Wood","",IF(D116="","",IF(F116="",VLOOKUP(D116,'Additional References'!$B$11:$C$17,2,FALSE),IF(F116=0,VLOOKUP(D116,'Additional References'!$B$11:$C$17,2,FALSE),F116))))</f>
        <v/>
      </c>
      <c r="H116" s="208" t="str">
        <f>IF(D116=Inputs!$M$20,'Additional References'!$C$4,IF(D116=Inputs!$M$21,'Additional References'!$C$5,IF(D116=Inputs!$M$26,'Additional References'!$C$8,IF(D116=Inputs!$M$25,'Additional References'!$C$7,IF(D116=Inputs!$M$22,'Additional References'!$C$6,IF(D116="","","---"))))))</f>
        <v/>
      </c>
      <c r="I116" s="208" t="str">
        <f t="shared" si="0"/>
        <v/>
      </c>
      <c r="J116" s="211" t="str">
        <f>IF(D116="","",IF(OR(D116=Inputs!$M$20,D116=Inputs!$M$21),"Ton",IF(D116=Inputs!$M$24,"MMscf",IF(D116=Inputs!$M$27,"MMBtu","1000 gal"))))</f>
        <v/>
      </c>
      <c r="K116" s="134"/>
    </row>
    <row r="118" spans="2:11" hidden="1" x14ac:dyDescent="0.25">
      <c r="G118" s="445" t="s">
        <v>442</v>
      </c>
      <c r="H118" s="445"/>
      <c r="I118" s="445"/>
    </row>
    <row r="119" spans="2:11" hidden="1" x14ac:dyDescent="0.25">
      <c r="G119" s="86" t="s">
        <v>108</v>
      </c>
      <c r="H119" s="131"/>
      <c r="I119" s="314">
        <f>IF(ISERROR(SUMIF($D$67:$D$116,G119,$I$67:$I$116)/COUNTIF($D$67:$D$116,G119)),Bituminous_Coal_Allowable_Sulfur_Content,SUMIF($D$67:$D$116,G119,$I$67:$I$116)/COUNTIF($D$67:$D$116,G119))</f>
        <v>1</v>
      </c>
    </row>
    <row r="120" spans="2:11" hidden="1" x14ac:dyDescent="0.25">
      <c r="G120" s="86" t="s">
        <v>109</v>
      </c>
      <c r="H120" s="131"/>
      <c r="I120" s="314">
        <f>IF(ISERROR(SUMIF($D$67:$D$116,G120,$I$67:$I$116)/COUNTIF($D$67:$D$116,G120)),Subbituminous_Coal_Allowable_Sulfur_Content,SUMIF($D$67:$D$116,G120,$I$67:$I$116)/COUNTIF($D$67:$D$116,G120))</f>
        <v>1</v>
      </c>
    </row>
    <row r="121" spans="2:11" hidden="1" x14ac:dyDescent="0.25">
      <c r="G121" s="86" t="s">
        <v>60</v>
      </c>
      <c r="H121" s="131"/>
      <c r="I121" s="314">
        <f>IF(ISERROR(SUMIF($D$67:$D$116,G121,$I$67:$I$116)/COUNTIF($D$67:$D$116,G121)),Kerosene_Allowable_Sulfur_Content,SUMIF($D$67:$D$116,G121,$I$67:$I$116)/COUNTIF($D$67:$D$116,G121))</f>
        <v>0.3</v>
      </c>
    </row>
    <row r="122" spans="2:11" hidden="1" x14ac:dyDescent="0.25">
      <c r="G122" s="86" t="s">
        <v>56</v>
      </c>
      <c r="H122" s="131"/>
      <c r="I122" s="314">
        <f>IF(ISERROR(SUMIF($D$67:$D$116,G122,$I$67:$I$116)/COUNTIF($D$67:$D$116,G122)),Oil_Distillate_Allowable_Sulfur_Content,SUMIF($D$67:$D$116,G122,$I$67:$I$116)/COUNTIF($D$67:$D$116,G122))</f>
        <v>0.5</v>
      </c>
    </row>
    <row r="123" spans="2:11" hidden="1" x14ac:dyDescent="0.25">
      <c r="G123" s="86" t="s">
        <v>57</v>
      </c>
      <c r="H123" s="131"/>
      <c r="I123" s="314">
        <f>IF(ISERROR(SUMIF($D$67:$D$116,G123,$I$67:$I$116)/COUNTIF($D$67:$D$116,G123)),Oil_Residual_Allowable_Sulfur_Content,SUMIF($D$67:$D$116,G123,$I$67:$I$116)/COUNTIF($D$67:$D$116,G123))</f>
        <v>1.75</v>
      </c>
    </row>
  </sheetData>
  <sheetProtection password="C969" sheet="1" objects="1" scenarios="1"/>
  <dataConsolidate/>
  <mergeCells count="14">
    <mergeCell ref="G118:I118"/>
    <mergeCell ref="J65:J66"/>
    <mergeCell ref="K65:K66"/>
    <mergeCell ref="G65:G66"/>
    <mergeCell ref="I65:I66"/>
    <mergeCell ref="D65:D66"/>
    <mergeCell ref="F65:F66"/>
    <mergeCell ref="B3:C3"/>
    <mergeCell ref="B10:C10"/>
    <mergeCell ref="B27:C27"/>
    <mergeCell ref="B65:B66"/>
    <mergeCell ref="C65:C66"/>
    <mergeCell ref="B15:C15"/>
    <mergeCell ref="B64:K64"/>
  </mergeCells>
  <conditionalFormatting sqref="F67:G116">
    <cfRule type="expression" dxfId="11" priority="1">
      <formula>$E67=1</formula>
    </cfRule>
  </conditionalFormatting>
  <dataValidations count="18">
    <dataValidation allowBlank="1" showInputMessage="1" showErrorMessage="1" promptTitle="Boiler Description" prompt="Enter a boiler description (e.g. spreader stoker, PC-fired wet bottom, etc.)" sqref="C42:C61"/>
    <dataValidation allowBlank="1" showInputMessage="1" showErrorMessage="1" promptTitle="Boiler ID" prompt="Enter a unique boiler ID." sqref="B42:B61"/>
    <dataValidation allowBlank="1" showInputMessage="1" showErrorMessage="1" promptTitle="Boiler Capacity" prompt="Enter the boiler capacity. The boiler capacity is the heat input rate, expressed as MMBtu/hr, and can usually be found on the manufacturer's spec sheet." sqref="D42:D61"/>
    <dataValidation type="list" allowBlank="1" showInputMessage="1" showErrorMessage="1" promptTitle="Boiler ID" prompt="Select the boiler ID from the list of boiler IDs entered in the Boiler Information table above." sqref="B67:B116">
      <formula1>OFFSET(Boiler_ID,0,0,20-COUNTIF(Boiler_ID,""),1)</formula1>
    </dataValidation>
    <dataValidation type="list" allowBlank="1" showInputMessage="1" showErrorMessage="1" promptTitle="SO2 Attainment Status" prompt="Select the SO2 attainment status of the air basin in which your facility is located." sqref="C32">
      <formula1>SO2_PM25_Attainment_List</formula1>
    </dataValidation>
    <dataValidation type="list" allowBlank="1" showInputMessage="1" showErrorMessage="1" promptTitle="PM10 Attainment Status" prompt="Select the PM10 attainment status of the air basin in which your facility is located." sqref="C34">
      <formula1>CO_PM10_Attainment_List</formula1>
    </dataValidation>
    <dataValidation type="list" allowBlank="1" showInputMessage="1" showErrorMessage="1" promptTitle="PM2.5 Attainment Status" prompt="Select the PM2.5 attainment status of the air basin in which your facility is located. If either the 1997 or 2006 PM2.5 standard is in nonattainment, select nonattainment. " sqref="C36">
      <formula1>SO2_PM25_Attainment_List</formula1>
    </dataValidation>
    <dataValidation type="list" allowBlank="1" showInputMessage="1" showErrorMessage="1" promptTitle="CO Attainment Status" prompt="Select the CO attainment status of the air basin in which your facility is located." sqref="C28">
      <formula1>CO_PM10_Attainment_List</formula1>
    </dataValidation>
    <dataValidation type="list" allowBlank="1" showInputMessage="1" showErrorMessage="1" promptTitle="Ozone Attainment Status" prompt="Select the 1997 8-hr ozone attainment status of the air basin in which your facility is located." sqref="C30">
      <formula1>Ozone_Attainment_List</formula1>
    </dataValidation>
    <dataValidation type="list" allowBlank="1" showInputMessage="1" showErrorMessage="1" promptTitle="Primary Fuel" prompt="Select the fuel that is combusted most frequently in the boiler. For example, if the boiler combusts bituminous coal for 10 months out of the year and natural gas for the remaining 2 months, select bituminous coal." sqref="G42:G61">
      <formula1>Fuel_Type</formula1>
    </dataValidation>
    <dataValidation type="list" allowBlank="1" showInputMessage="1" showErrorMessage="1" promptTitle="Fuel Type" prompt="Select the fuel type combusted in the boiler in calendar year 2012. If more than one fuel is combusted in the boiler throughout the year, use a separate row for each fuel." sqref="D67:D116">
      <formula1>Fuel_Type</formula1>
    </dataValidation>
    <dataValidation allowBlank="1" showInputMessage="1" showErrorMessage="1" promptTitle="Annual Fuel Consumption" prompt="Enter the annual fuel consumption for the selected boiler. The fuel units must match the units listed in the 'Fuel Consumption Units' column to the left." sqref="K68:K116"/>
    <dataValidation type="decimal" allowBlank="1" showInputMessage="1" showErrorMessage="1" errorTitle="Value - Out of Range" error="Value entered must be between 0 and 100." promptTitle="Sulfur Content of Fuel" prompt="Enter the sulfur content of the fuel as a weight percent. If unknown, please enter 0 and a default sulfur content will be used." sqref="F67:F116">
      <formula1>0</formula1>
      <formula2>100</formula2>
    </dataValidation>
    <dataValidation allowBlank="1" showErrorMessage="1" errorTitle="Value - Out of Range" error="Value entered must be between 0 and 100." promptTitle="Sulfur Content of Fuel" prompt="Enter the sulfur content of the fuel as a weight percent." sqref="G67:G116"/>
    <dataValidation type="list" allowBlank="1" showInputMessage="1" showErrorMessage="1" promptTitle="State Selection" prompt="Use the drop-down list to select the state in which your facility resides. To access the drop-down list, click on the small box to the right of the cell." sqref="C7">
      <formula1>State_List</formula1>
    </dataValidation>
    <dataValidation allowBlank="1" showInputMessage="1" showErrorMessage="1" promptTitle="Fuel Consumption Units" prompt="MMBtu = million British thermal units_x000a__x000a_1000 gal = thousand gallons; for example, if the boiler burned 1,000 gallons of fuel in calendar year 2012, you would enter 1." sqref="J67:J116"/>
    <dataValidation allowBlank="1" showInputMessage="1" showErrorMessage="1" promptTitle="Fuel Consumption in 2012" prompt="Enter the fuel consumption in calendar year 2012 for the selected boiler. The fuel units must match the units listed in the 'Fuel Consumption Units' column to the left." sqref="K67"/>
    <dataValidation type="list" allowBlank="1" showInputMessage="1" showErrorMessage="1" promptTitle="Primary Fuel" prompt="Select the fuel that was combusted most frequently in the boiler in calendar year 2012. For example, if the boiler combusted bituminous coal for 10 months out of the year and natural gas for the remaining 2 months, select bituminous coal." sqref="F42:F61">
      <formula1>Fuel_Type</formula1>
    </dataValidation>
  </dataValidations>
  <pageMargins left="0.7" right="0.7" top="0.75" bottom="0.75" header="0.3" footer="0.3"/>
  <pageSetup scale="50" fitToHeight="43" orientation="landscape" r:id="rId1"/>
  <headerFooter>
    <oddFooter>&amp;LPage &amp;P of &amp;N&amp;C&amp;F&amp;RPrinted &amp;D</oddFooter>
  </headerFooter>
  <rowBreaks count="1" manualBreakCount="1">
    <brk id="6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6"/>
  <sheetViews>
    <sheetView showGridLines="0" zoomScaleNormal="100" workbookViewId="0"/>
  </sheetViews>
  <sheetFormatPr defaultColWidth="9.109375" defaultRowHeight="13.2" x14ac:dyDescent="0.25"/>
  <cols>
    <col min="1" max="1" width="2.5546875" style="52" customWidth="1"/>
    <col min="2" max="2" width="16.109375" style="52" customWidth="1"/>
    <col min="3" max="3" width="27.109375" style="52" customWidth="1"/>
    <col min="4" max="9" width="12.6640625" style="52" customWidth="1"/>
    <col min="10" max="11" width="9.109375" style="52"/>
    <col min="12" max="12" width="19.5546875" style="52" hidden="1" customWidth="1"/>
    <col min="13" max="16384" width="9.109375" style="52"/>
  </cols>
  <sheetData>
    <row r="1" spans="2:12" ht="17.399999999999999" x14ac:dyDescent="0.3">
      <c r="B1" s="269" t="s">
        <v>396</v>
      </c>
    </row>
    <row r="2" spans="2:12" ht="13.8" thickBot="1" x14ac:dyDescent="0.3"/>
    <row r="3" spans="2:12" ht="57.75" customHeight="1" thickBot="1" x14ac:dyDescent="0.3">
      <c r="B3" s="442" t="s">
        <v>470</v>
      </c>
      <c r="C3" s="458"/>
      <c r="D3" s="458"/>
      <c r="E3" s="458"/>
      <c r="F3" s="458"/>
      <c r="G3" s="458"/>
      <c r="H3" s="458"/>
      <c r="I3" s="459"/>
    </row>
    <row r="4" spans="2:12" x14ac:dyDescent="0.25">
      <c r="B4" s="450" t="s">
        <v>45</v>
      </c>
      <c r="C4" s="452" t="s">
        <v>38</v>
      </c>
      <c r="D4" s="456" t="s">
        <v>439</v>
      </c>
      <c r="E4" s="456"/>
      <c r="F4" s="456"/>
      <c r="G4" s="456"/>
      <c r="H4" s="456"/>
      <c r="I4" s="457"/>
      <c r="L4" s="306" t="s">
        <v>440</v>
      </c>
    </row>
    <row r="5" spans="2:12" ht="15.6" x14ac:dyDescent="0.25">
      <c r="B5" s="451"/>
      <c r="C5" s="453"/>
      <c r="D5" s="354" t="s">
        <v>49</v>
      </c>
      <c r="E5" s="354" t="s">
        <v>50</v>
      </c>
      <c r="F5" s="354" t="s">
        <v>51</v>
      </c>
      <c r="G5" s="354" t="s">
        <v>3</v>
      </c>
      <c r="H5" s="354" t="s">
        <v>47</v>
      </c>
      <c r="I5" s="313" t="s">
        <v>48</v>
      </c>
      <c r="L5" s="307" t="s">
        <v>441</v>
      </c>
    </row>
    <row r="6" spans="2:12" ht="28.5" customHeight="1" x14ac:dyDescent="0.25">
      <c r="B6" s="454" t="s">
        <v>438</v>
      </c>
      <c r="C6" s="455"/>
      <c r="D6" s="363" t="s">
        <v>441</v>
      </c>
      <c r="E6" s="363" t="s">
        <v>441</v>
      </c>
      <c r="F6" s="363" t="s">
        <v>441</v>
      </c>
      <c r="G6" s="363" t="s">
        <v>441</v>
      </c>
      <c r="H6" s="363" t="s">
        <v>441</v>
      </c>
      <c r="I6" s="364" t="s">
        <v>441</v>
      </c>
      <c r="L6" s="308" t="s">
        <v>445</v>
      </c>
    </row>
    <row r="7" spans="2:12" x14ac:dyDescent="0.25">
      <c r="B7" s="310" t="str">
        <f>IF(Inputs!B42="","",Inputs!B42)</f>
        <v>123abc</v>
      </c>
      <c r="C7" s="309" t="str">
        <f>IF(Inputs!C42="","",Inputs!C42)</f>
        <v>Acme Wet Bottom</v>
      </c>
      <c r="D7" s="26">
        <v>0</v>
      </c>
      <c r="E7" s="26">
        <v>0</v>
      </c>
      <c r="F7" s="26">
        <v>0</v>
      </c>
      <c r="G7" s="26">
        <v>0</v>
      </c>
      <c r="H7" s="26">
        <v>0</v>
      </c>
      <c r="I7" s="82">
        <v>0</v>
      </c>
    </row>
    <row r="8" spans="2:12" x14ac:dyDescent="0.25">
      <c r="B8" s="310" t="str">
        <f>IF(Inputs!B43="","",Inputs!B43)</f>
        <v/>
      </c>
      <c r="C8" s="309" t="str">
        <f>IF(Inputs!C43="","",Inputs!C43)</f>
        <v/>
      </c>
      <c r="D8" s="26">
        <v>0</v>
      </c>
      <c r="E8" s="26">
        <v>0</v>
      </c>
      <c r="F8" s="26">
        <v>0</v>
      </c>
      <c r="G8" s="26">
        <v>0</v>
      </c>
      <c r="H8" s="26">
        <v>0</v>
      </c>
      <c r="I8" s="82">
        <v>0</v>
      </c>
    </row>
    <row r="9" spans="2:12" x14ac:dyDescent="0.25">
      <c r="B9" s="310" t="str">
        <f>IF(Inputs!B44="","",Inputs!B44)</f>
        <v/>
      </c>
      <c r="C9" s="309" t="str">
        <f>IF(Inputs!C44="","",Inputs!C44)</f>
        <v/>
      </c>
      <c r="D9" s="26">
        <v>0</v>
      </c>
      <c r="E9" s="26">
        <v>0</v>
      </c>
      <c r="F9" s="26">
        <v>0</v>
      </c>
      <c r="G9" s="26">
        <v>0</v>
      </c>
      <c r="H9" s="26">
        <v>0</v>
      </c>
      <c r="I9" s="82">
        <v>0</v>
      </c>
    </row>
    <row r="10" spans="2:12" x14ac:dyDescent="0.25">
      <c r="B10" s="310" t="str">
        <f>IF(Inputs!B45="","",Inputs!B45)</f>
        <v/>
      </c>
      <c r="C10" s="309" t="str">
        <f>IF(Inputs!C45="","",Inputs!C45)</f>
        <v/>
      </c>
      <c r="D10" s="26">
        <v>0</v>
      </c>
      <c r="E10" s="26">
        <v>0</v>
      </c>
      <c r="F10" s="26">
        <v>0</v>
      </c>
      <c r="G10" s="26">
        <v>0</v>
      </c>
      <c r="H10" s="26">
        <v>0</v>
      </c>
      <c r="I10" s="82">
        <v>0</v>
      </c>
    </row>
    <row r="11" spans="2:12" x14ac:dyDescent="0.25">
      <c r="B11" s="310" t="str">
        <f>IF(Inputs!B46="","",Inputs!B46)</f>
        <v/>
      </c>
      <c r="C11" s="309" t="str">
        <f>IF(Inputs!C46="","",Inputs!C46)</f>
        <v/>
      </c>
      <c r="D11" s="26">
        <v>0</v>
      </c>
      <c r="E11" s="26">
        <v>0</v>
      </c>
      <c r="F11" s="26">
        <v>0</v>
      </c>
      <c r="G11" s="26">
        <v>0</v>
      </c>
      <c r="H11" s="26">
        <v>0</v>
      </c>
      <c r="I11" s="82">
        <v>0</v>
      </c>
    </row>
    <row r="12" spans="2:12" x14ac:dyDescent="0.25">
      <c r="B12" s="310" t="str">
        <f>IF(Inputs!B47="","",Inputs!B47)</f>
        <v/>
      </c>
      <c r="C12" s="309" t="str">
        <f>IF(Inputs!C47="","",Inputs!C47)</f>
        <v/>
      </c>
      <c r="D12" s="26">
        <v>0</v>
      </c>
      <c r="E12" s="26">
        <v>0</v>
      </c>
      <c r="F12" s="26">
        <v>0</v>
      </c>
      <c r="G12" s="26">
        <v>0</v>
      </c>
      <c r="H12" s="26">
        <v>0</v>
      </c>
      <c r="I12" s="82">
        <v>0</v>
      </c>
    </row>
    <row r="13" spans="2:12" x14ac:dyDescent="0.25">
      <c r="B13" s="310" t="str">
        <f>IF(Inputs!B48="","",Inputs!B48)</f>
        <v/>
      </c>
      <c r="C13" s="309" t="str">
        <f>IF(Inputs!C48="","",Inputs!C48)</f>
        <v/>
      </c>
      <c r="D13" s="26">
        <v>0</v>
      </c>
      <c r="E13" s="26">
        <v>0</v>
      </c>
      <c r="F13" s="26">
        <v>0</v>
      </c>
      <c r="G13" s="26">
        <v>0</v>
      </c>
      <c r="H13" s="26">
        <v>0</v>
      </c>
      <c r="I13" s="82">
        <v>0</v>
      </c>
    </row>
    <row r="14" spans="2:12" x14ac:dyDescent="0.25">
      <c r="B14" s="310" t="str">
        <f>IF(Inputs!B49="","",Inputs!B49)</f>
        <v/>
      </c>
      <c r="C14" s="309" t="str">
        <f>IF(Inputs!C49="","",Inputs!C49)</f>
        <v/>
      </c>
      <c r="D14" s="26">
        <v>0</v>
      </c>
      <c r="E14" s="26">
        <v>0</v>
      </c>
      <c r="F14" s="26">
        <v>0</v>
      </c>
      <c r="G14" s="26">
        <v>0</v>
      </c>
      <c r="H14" s="26">
        <v>0</v>
      </c>
      <c r="I14" s="82">
        <v>0</v>
      </c>
    </row>
    <row r="15" spans="2:12" x14ac:dyDescent="0.25">
      <c r="B15" s="310" t="str">
        <f>IF(Inputs!B50="","",Inputs!B50)</f>
        <v/>
      </c>
      <c r="C15" s="309" t="str">
        <f>IF(Inputs!C50="","",Inputs!C50)</f>
        <v/>
      </c>
      <c r="D15" s="26">
        <v>0</v>
      </c>
      <c r="E15" s="26">
        <v>0</v>
      </c>
      <c r="F15" s="26">
        <v>0</v>
      </c>
      <c r="G15" s="26">
        <v>0</v>
      </c>
      <c r="H15" s="26">
        <v>0</v>
      </c>
      <c r="I15" s="82">
        <v>0</v>
      </c>
    </row>
    <row r="16" spans="2:12" x14ac:dyDescent="0.25">
      <c r="B16" s="310" t="str">
        <f>IF(Inputs!B51="","",Inputs!B51)</f>
        <v/>
      </c>
      <c r="C16" s="309" t="str">
        <f>IF(Inputs!C51="","",Inputs!C51)</f>
        <v/>
      </c>
      <c r="D16" s="26">
        <v>0</v>
      </c>
      <c r="E16" s="26">
        <v>0</v>
      </c>
      <c r="F16" s="26">
        <v>0</v>
      </c>
      <c r="G16" s="26">
        <v>0</v>
      </c>
      <c r="H16" s="26">
        <v>0</v>
      </c>
      <c r="I16" s="82">
        <v>0</v>
      </c>
    </row>
    <row r="17" spans="2:9" x14ac:dyDescent="0.25">
      <c r="B17" s="310" t="str">
        <f>IF(Inputs!B52="","",Inputs!B52)</f>
        <v/>
      </c>
      <c r="C17" s="309" t="str">
        <f>IF(Inputs!C52="","",Inputs!C52)</f>
        <v/>
      </c>
      <c r="D17" s="26">
        <v>0</v>
      </c>
      <c r="E17" s="26">
        <v>0</v>
      </c>
      <c r="F17" s="26">
        <v>0</v>
      </c>
      <c r="G17" s="26">
        <v>0</v>
      </c>
      <c r="H17" s="26">
        <v>0</v>
      </c>
      <c r="I17" s="82">
        <v>0</v>
      </c>
    </row>
    <row r="18" spans="2:9" x14ac:dyDescent="0.25">
      <c r="B18" s="310" t="str">
        <f>IF(Inputs!B53="","",Inputs!B53)</f>
        <v/>
      </c>
      <c r="C18" s="309" t="str">
        <f>IF(Inputs!C53="","",Inputs!C53)</f>
        <v/>
      </c>
      <c r="D18" s="26">
        <v>0</v>
      </c>
      <c r="E18" s="26">
        <v>0</v>
      </c>
      <c r="F18" s="26">
        <v>0</v>
      </c>
      <c r="G18" s="26">
        <v>0</v>
      </c>
      <c r="H18" s="26">
        <v>0</v>
      </c>
      <c r="I18" s="82">
        <v>0</v>
      </c>
    </row>
    <row r="19" spans="2:9" x14ac:dyDescent="0.25">
      <c r="B19" s="310" t="str">
        <f>IF(Inputs!B54="","",Inputs!B54)</f>
        <v/>
      </c>
      <c r="C19" s="309" t="str">
        <f>IF(Inputs!C54="","",Inputs!C54)</f>
        <v/>
      </c>
      <c r="D19" s="26">
        <v>0</v>
      </c>
      <c r="E19" s="26">
        <v>0</v>
      </c>
      <c r="F19" s="26">
        <v>0</v>
      </c>
      <c r="G19" s="26">
        <v>0</v>
      </c>
      <c r="H19" s="26">
        <v>0</v>
      </c>
      <c r="I19" s="82">
        <v>0</v>
      </c>
    </row>
    <row r="20" spans="2:9" x14ac:dyDescent="0.25">
      <c r="B20" s="310" t="str">
        <f>IF(Inputs!B55="","",Inputs!B55)</f>
        <v/>
      </c>
      <c r="C20" s="309" t="str">
        <f>IF(Inputs!C55="","",Inputs!C55)</f>
        <v/>
      </c>
      <c r="D20" s="26">
        <v>0</v>
      </c>
      <c r="E20" s="26">
        <v>0</v>
      </c>
      <c r="F20" s="26">
        <v>0</v>
      </c>
      <c r="G20" s="26">
        <v>0</v>
      </c>
      <c r="H20" s="26">
        <v>0</v>
      </c>
      <c r="I20" s="82">
        <v>0</v>
      </c>
    </row>
    <row r="21" spans="2:9" x14ac:dyDescent="0.25">
      <c r="B21" s="310" t="str">
        <f>IF(Inputs!B56="","",Inputs!B56)</f>
        <v/>
      </c>
      <c r="C21" s="309" t="str">
        <f>IF(Inputs!C56="","",Inputs!C56)</f>
        <v/>
      </c>
      <c r="D21" s="26">
        <v>0</v>
      </c>
      <c r="E21" s="26">
        <v>0</v>
      </c>
      <c r="F21" s="26">
        <v>0</v>
      </c>
      <c r="G21" s="26">
        <v>0</v>
      </c>
      <c r="H21" s="26">
        <v>0</v>
      </c>
      <c r="I21" s="82">
        <v>0</v>
      </c>
    </row>
    <row r="22" spans="2:9" x14ac:dyDescent="0.25">
      <c r="B22" s="310" t="str">
        <f>IF(Inputs!B57="","",Inputs!B57)</f>
        <v/>
      </c>
      <c r="C22" s="309" t="str">
        <f>IF(Inputs!C57="","",Inputs!C57)</f>
        <v/>
      </c>
      <c r="D22" s="26">
        <v>0</v>
      </c>
      <c r="E22" s="26">
        <v>0</v>
      </c>
      <c r="F22" s="26">
        <v>0</v>
      </c>
      <c r="G22" s="26">
        <v>0</v>
      </c>
      <c r="H22" s="26">
        <v>0</v>
      </c>
      <c r="I22" s="82">
        <v>0</v>
      </c>
    </row>
    <row r="23" spans="2:9" x14ac:dyDescent="0.25">
      <c r="B23" s="310" t="str">
        <f>IF(Inputs!B58="","",Inputs!B58)</f>
        <v/>
      </c>
      <c r="C23" s="309" t="str">
        <f>IF(Inputs!C58="","",Inputs!C58)</f>
        <v/>
      </c>
      <c r="D23" s="26">
        <v>0</v>
      </c>
      <c r="E23" s="26">
        <v>0</v>
      </c>
      <c r="F23" s="26">
        <v>0</v>
      </c>
      <c r="G23" s="26">
        <v>0</v>
      </c>
      <c r="H23" s="26">
        <v>0</v>
      </c>
      <c r="I23" s="82">
        <v>0</v>
      </c>
    </row>
    <row r="24" spans="2:9" x14ac:dyDescent="0.25">
      <c r="B24" s="310" t="str">
        <f>IF(Inputs!B59="","",Inputs!B59)</f>
        <v/>
      </c>
      <c r="C24" s="309" t="str">
        <f>IF(Inputs!C59="","",Inputs!C59)</f>
        <v/>
      </c>
      <c r="D24" s="26">
        <v>0</v>
      </c>
      <c r="E24" s="26">
        <v>0</v>
      </c>
      <c r="F24" s="26">
        <v>0</v>
      </c>
      <c r="G24" s="26">
        <v>0</v>
      </c>
      <c r="H24" s="26">
        <v>0</v>
      </c>
      <c r="I24" s="82">
        <v>0</v>
      </c>
    </row>
    <row r="25" spans="2:9" x14ac:dyDescent="0.25">
      <c r="B25" s="310" t="str">
        <f>IF(Inputs!B60="","",Inputs!B60)</f>
        <v/>
      </c>
      <c r="C25" s="309" t="str">
        <f>IF(Inputs!C60="","",Inputs!C60)</f>
        <v/>
      </c>
      <c r="D25" s="26">
        <v>0</v>
      </c>
      <c r="E25" s="26">
        <v>0</v>
      </c>
      <c r="F25" s="26">
        <v>0</v>
      </c>
      <c r="G25" s="26">
        <v>0</v>
      </c>
      <c r="H25" s="26">
        <v>0</v>
      </c>
      <c r="I25" s="82">
        <v>0</v>
      </c>
    </row>
    <row r="26" spans="2:9" ht="13.8" thickBot="1" x14ac:dyDescent="0.3">
      <c r="B26" s="311" t="str">
        <f>IF(Inputs!B61="","",Inputs!B61)</f>
        <v/>
      </c>
      <c r="C26" s="312" t="str">
        <f>IF(Inputs!C61="","",Inputs!C61)</f>
        <v/>
      </c>
      <c r="D26" s="84">
        <v>0</v>
      </c>
      <c r="E26" s="84">
        <v>0</v>
      </c>
      <c r="F26" s="84">
        <v>0</v>
      </c>
      <c r="G26" s="84">
        <v>0</v>
      </c>
      <c r="H26" s="84">
        <v>0</v>
      </c>
      <c r="I26" s="83">
        <v>0</v>
      </c>
    </row>
  </sheetData>
  <sheetProtection password="C969" sheet="1" objects="1" scenarios="1"/>
  <mergeCells count="5">
    <mergeCell ref="B4:B5"/>
    <mergeCell ref="C4:C5"/>
    <mergeCell ref="B6:C6"/>
    <mergeCell ref="D4:I4"/>
    <mergeCell ref="B3:I3"/>
  </mergeCells>
  <conditionalFormatting sqref="B7:I26">
    <cfRule type="expression" dxfId="10" priority="1">
      <formula>$B7=""</formula>
    </cfRule>
  </conditionalFormatting>
  <dataValidations count="1">
    <dataValidation type="list" allowBlank="1" showInputMessage="1" showErrorMessage="1" promptTitle="Emission Rate Units" prompt="If entering emissions rate data, select the emission rate units for the value being entered from the drop-down list." sqref="D6:I6">
      <formula1>Emission_Rate_Unit_List</formula1>
    </dataValidation>
  </dataValidations>
  <pageMargins left="0.7" right="0.7" top="0.75" bottom="0.75" header="0.3" footer="0.3"/>
  <pageSetup scale="85" orientation="landscape" r:id="rId1"/>
  <headerFooter>
    <oddFooter>&amp;LPage &amp;P of &amp;N&amp;C&amp;F&amp;RPrinted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194"/>
  <sheetViews>
    <sheetView showGridLines="0" zoomScaleNormal="100" workbookViewId="0"/>
  </sheetViews>
  <sheetFormatPr defaultColWidth="3.33203125" defaultRowHeight="13.2" x14ac:dyDescent="0.25"/>
  <cols>
    <col min="1" max="1" width="1.5546875" style="52" customWidth="1"/>
    <col min="2" max="2" width="26.5546875" style="52" customWidth="1"/>
    <col min="3" max="3" width="39.33203125" style="52" customWidth="1"/>
    <col min="4" max="9" width="12.109375" style="52" customWidth="1"/>
    <col min="10" max="10" width="6.6640625" style="52" customWidth="1"/>
    <col min="11" max="11" width="1.6640625" style="52" customWidth="1"/>
    <col min="12" max="12" width="39" style="52" hidden="1" customWidth="1"/>
    <col min="13" max="20" width="1.6640625" style="52" customWidth="1"/>
    <col min="21" max="16384" width="3.33203125" style="52"/>
  </cols>
  <sheetData>
    <row r="1" spans="1:12" ht="17.399999999999999" x14ac:dyDescent="0.3">
      <c r="B1" s="269" t="s">
        <v>460</v>
      </c>
    </row>
    <row r="2" spans="1:12" ht="13.8" thickBot="1" x14ac:dyDescent="0.3"/>
    <row r="3" spans="1:12" ht="13.8" thickBot="1" x14ac:dyDescent="0.3">
      <c r="B3" s="462" t="s">
        <v>406</v>
      </c>
      <c r="C3" s="463"/>
      <c r="D3" s="463"/>
      <c r="E3" s="463"/>
      <c r="F3" s="463"/>
      <c r="G3" s="463"/>
      <c r="H3" s="463"/>
      <c r="I3" s="464"/>
    </row>
    <row r="4" spans="1:12" ht="19.5" customHeight="1" x14ac:dyDescent="0.25">
      <c r="A4" s="54"/>
      <c r="B4" s="438" t="s">
        <v>45</v>
      </c>
      <c r="C4" s="466" t="s">
        <v>38</v>
      </c>
      <c r="D4" s="91" t="s">
        <v>49</v>
      </c>
      <c r="E4" s="91" t="s">
        <v>50</v>
      </c>
      <c r="F4" s="91" t="s">
        <v>51</v>
      </c>
      <c r="G4" s="91" t="s">
        <v>3</v>
      </c>
      <c r="H4" s="91" t="s">
        <v>47</v>
      </c>
      <c r="I4" s="92" t="s">
        <v>48</v>
      </c>
      <c r="L4" s="319" t="s">
        <v>444</v>
      </c>
    </row>
    <row r="5" spans="1:12" ht="16.5" customHeight="1" x14ac:dyDescent="0.25">
      <c r="A5" s="54"/>
      <c r="B5" s="465"/>
      <c r="C5" s="467"/>
      <c r="D5" s="468" t="s">
        <v>87</v>
      </c>
      <c r="E5" s="469"/>
      <c r="F5" s="469"/>
      <c r="G5" s="469"/>
      <c r="H5" s="469"/>
      <c r="I5" s="470"/>
      <c r="L5" s="320" t="s">
        <v>81</v>
      </c>
    </row>
    <row r="6" spans="1:12" x14ac:dyDescent="0.25">
      <c r="A6" s="54"/>
      <c r="B6" s="310" t="str">
        <f>IF(Inputs!B42="","",Inputs!B42)</f>
        <v>123abc</v>
      </c>
      <c r="C6" s="309" t="str">
        <f>IF(Inputs!C42="","",Inputs!C42)</f>
        <v>Acme Wet Bottom</v>
      </c>
      <c r="D6" s="212">
        <f>IF(D32&lt;IF('Controls and Restrictions'!D7=0,IF(B6="","",IF(ISERROR(SUMIF('Emissions Calculation - Annual'!$B$5:$B$54,'Total Emissions'!$B6,'Emissions Calculation - Annual'!F$5:F$54)),0,SUMIF('Emissions Calculation - Annual'!$B$5:$B$54,'Total Emissions'!$B6,'Emissions Calculation - Annual'!F$5:F$54))),IF('Controls and Restrictions'!$D$6="lb/hr",'Controls and Restrictions'!$D7*(L6/Inputs!D42)/2000,'Controls and Restrictions'!$D7*'Total Emissions'!L6/2000)),D32,IF('Controls and Restrictions'!D7=0,IF(B6="","",IF(ISERROR(SUMIF('Emissions Calculation - Annual'!$B$5:$B$54,'Total Emissions'!$B6,'Emissions Calculation - Annual'!F$5:F$54)),0,SUMIF('Emissions Calculation - Annual'!$B$5:$B$54,'Total Emissions'!$B6,'Emissions Calculation - Annual'!F$5:F$54))),IF('Controls and Restrictions'!$D$6="lb/hr",'Controls and Restrictions'!$D7*(L6/Inputs!D42)/2000,'Controls and Restrictions'!$D7*'Total Emissions'!L6/2000)))</f>
        <v>0</v>
      </c>
      <c r="E6" s="212">
        <f>IF(E32&lt;IF('Controls and Restrictions'!E7=0,IF(B6="","",IF(ISERROR(SUMIF('Emissions Calculation - Annual'!$B$5:$B$54,'Total Emissions'!$B6,'Emissions Calculation - Annual'!G$5:G$54)),0,SUMIF('Emissions Calculation - Annual'!$B$5:$B$54,'Total Emissions'!$B6,'Emissions Calculation - Annual'!G$5:G$54))),IF('Controls and Restrictions'!$E$6="lb/hr",'Controls and Restrictions'!$E7*(L6/Inputs!D42)/2000,'Controls and Restrictions'!$E7*'Total Emissions'!L6/2000)),E32,IF('Controls and Restrictions'!E7=0,IF(B6="","",IF(ISERROR(SUMIF('Emissions Calculation - Annual'!$B$5:$B$54,'Total Emissions'!$B6,'Emissions Calculation - Annual'!G$5:G$54)),0,SUMIF('Emissions Calculation - Annual'!$B$5:$B$54,'Total Emissions'!$B6,'Emissions Calculation - Annual'!G$5:G$54))),IF('Controls and Restrictions'!$E$6="lb/hr",'Controls and Restrictions'!$E7*(L6/Inputs!D42)/2000,'Controls and Restrictions'!$E7*'Total Emissions'!L6/2000)))</f>
        <v>0</v>
      </c>
      <c r="F6" s="212">
        <f>IF(F32&lt;IF('Controls and Restrictions'!F7=0,IF(B6="","",IF(ISERROR(SUMIF('Emissions Calculation - Annual'!$B$5:$B$54,'Total Emissions'!$B6,'Emissions Calculation - Annual'!H$5:H$54)),0,SUMIF('Emissions Calculation - Annual'!$B$5:$B$54,'Total Emissions'!$B6,'Emissions Calculation - Annual'!H$5:H$54))),IF('Controls and Restrictions'!$F$6="lb/hr",'Controls and Restrictions'!$F7*(L6/Inputs!D42)/2000,'Controls and Restrictions'!$F7*'Total Emissions'!L6/2000)),F32,IF('Controls and Restrictions'!F7=0,IF(B6="","",IF(ISERROR(SUMIF('Emissions Calculation - Annual'!$B$5:$B$54,'Total Emissions'!$B6,'Emissions Calculation - Annual'!H$5:H$54)),0,SUMIF('Emissions Calculation - Annual'!$B$5:$B$54,'Total Emissions'!$B6,'Emissions Calculation - Annual'!H$5:H$54))),IF('Controls and Restrictions'!$F$6="lb/hr",'Controls and Restrictions'!$F7*(L6/Inputs!D42)/2000,'Controls and Restrictions'!$F7*'Total Emissions'!L6/2000)))</f>
        <v>0</v>
      </c>
      <c r="G6" s="212">
        <f>IF(G32&lt;IF('Controls and Restrictions'!G7=0,IF(B6="","",IF(ISERROR(SUMIF('Emissions Calculation - Annual'!$B$5:$B$54,'Total Emissions'!$B6,'Emissions Calculation - Annual'!I$5:I$54)),0,SUMIF('Emissions Calculation - Annual'!$B$5:$B$54,'Total Emissions'!$B6,'Emissions Calculation - Annual'!I$5:I$54))),IF('Controls and Restrictions'!$G$6="lb/hr",'Controls and Restrictions'!$G7*(L6/Inputs!D42)/2000,'Controls and Restrictions'!$G7*'Total Emissions'!L6/2000)),G32,IF('Controls and Restrictions'!G7=0,IF(B6="","",IF(ISERROR(SUMIF('Emissions Calculation - Annual'!$B$5:$B$54,'Total Emissions'!$B6,'Emissions Calculation - Annual'!I$5:I$54)),0,SUMIF('Emissions Calculation - Annual'!$B$5:$B$54,'Total Emissions'!$B6,'Emissions Calculation - Annual'!I$5:I$54))),IF('Controls and Restrictions'!$G$6="lb/hr",'Controls and Restrictions'!$G7*(L6/Inputs!D42)/2000,'Controls and Restrictions'!$G7*'Total Emissions'!L6/2000)))</f>
        <v>0</v>
      </c>
      <c r="H6" s="212">
        <f>IF(H32&lt;IF('Controls and Restrictions'!H7=0,IF(B6="","",IF(ISERROR(SUMIF('Emissions Calculation - Annual'!$B$5:$B$54,'Total Emissions'!$B6,'Emissions Calculation - Annual'!K$5:K$54)),0,SUMIF('Emissions Calculation - Annual'!$B$5:$B$54,'Total Emissions'!$B6,'Emissions Calculation - Annual'!K$5:K$54))),IF('Controls and Restrictions'!$H$6="lb/hr",'Controls and Restrictions'!$H7*(L6/Inputs!D42)/2000,'Controls and Restrictions'!$H7*'Total Emissions'!L6/2000)),H32,IF('Controls and Restrictions'!H7=0,IF(B6="","",IF(ISERROR(SUMIF('Emissions Calculation - Annual'!$B$5:$B$54,'Total Emissions'!$B6,'Emissions Calculation - Annual'!K$5:K$54)),0,SUMIF('Emissions Calculation - Annual'!$B$5:$B$54,'Total Emissions'!$B6,'Emissions Calculation - Annual'!K$5:K$54))),IF('Controls and Restrictions'!$H$6="lb/hr",'Controls and Restrictions'!$H7*(L6/Inputs!D42)/2000,'Controls and Restrictions'!$H7*'Total Emissions'!L6/2000)))</f>
        <v>0</v>
      </c>
      <c r="I6" s="213">
        <f>IF(I32&lt;IF('Controls and Restrictions'!I7=0,IF(B6="","",IF(ISERROR(SUMIF('Emissions Calculation - Annual'!$B$5:$B$54,'Total Emissions'!$B6,'Emissions Calculation - Annual'!L$5:L$54)),0,SUMIF('Emissions Calculation - Annual'!$B$5:$B$54,'Total Emissions'!$B6,'Emissions Calculation - Annual'!L$5:L$54))),IF('Controls and Restrictions'!$I$6="lb/hr",'Controls and Restrictions'!$I7*(L6/Inputs!D42)/2000,'Controls and Restrictions'!$I7*'Total Emissions'!L6/2000)),I32,IF('Controls and Restrictions'!I7=0,IF(B6="","",IF(ISERROR(SUMIF('Emissions Calculation - Annual'!$B$5:$B$54,'Total Emissions'!$B6,'Emissions Calculation - Annual'!L$5:L$54)),0,SUMIF('Emissions Calculation - Annual'!$B$5:$B$54,'Total Emissions'!$B6,'Emissions Calculation - Annual'!L$5:L$54))),IF('Controls and Restrictions'!$I$6="lb/hr",'Controls and Restrictions'!$I7*(L6/Inputs!D42)/2000,'Controls and Restrictions'!$I7*'Total Emissions'!L6/2000)))</f>
        <v>0</v>
      </c>
      <c r="L6" s="322">
        <f>IF(B6="","",SUMIF('Emissions Calculation - Annual'!$B$5:$B$54,'Total Emissions'!$B6,'Emissions Calculation - Annual'!E$5:E$54))</f>
        <v>0</v>
      </c>
    </row>
    <row r="7" spans="1:12" x14ac:dyDescent="0.25">
      <c r="A7" s="54"/>
      <c r="B7" s="310" t="str">
        <f>IF(Inputs!B43="","",Inputs!B43)</f>
        <v/>
      </c>
      <c r="C7" s="309" t="str">
        <f>IF(Inputs!C43="","",Inputs!C43)</f>
        <v/>
      </c>
      <c r="D7" s="212" t="str">
        <f>IF(D33&lt;IF('Controls and Restrictions'!D8=0,IF(B7="","",IF(ISERROR(SUMIF('Emissions Calculation - Annual'!$B$5:$B$54,'Total Emissions'!$B7,'Emissions Calculation - Annual'!F$5:F$54)),0,SUMIF('Emissions Calculation - Annual'!$B$5:$B$54,'Total Emissions'!$B7,'Emissions Calculation - Annual'!F$5:F$54))),IF('Controls and Restrictions'!$D$6="lb/hr",'Controls and Restrictions'!$D8*(L7/Inputs!D43)/2000,'Controls and Restrictions'!$D8*'Total Emissions'!L7/2000)),D33,IF('Controls and Restrictions'!D8=0,IF(B7="","",IF(ISERROR(SUMIF('Emissions Calculation - Annual'!$B$5:$B$54,'Total Emissions'!$B7,'Emissions Calculation - Annual'!F$5:F$54)),0,SUMIF('Emissions Calculation - Annual'!$B$5:$B$54,'Total Emissions'!$B7,'Emissions Calculation - Annual'!F$5:F$54))),IF('Controls and Restrictions'!$D$6="lb/hr",'Controls and Restrictions'!$D8*(L7/Inputs!D43)/2000,'Controls and Restrictions'!$D8*'Total Emissions'!L7/2000)))</f>
        <v/>
      </c>
      <c r="E7" s="212" t="str">
        <f>IF(E33&lt;IF('Controls and Restrictions'!E8=0,IF(B7="","",IF(ISERROR(SUMIF('Emissions Calculation - Annual'!$B$5:$B$54,'Total Emissions'!$B7,'Emissions Calculation - Annual'!G$5:G$54)),0,SUMIF('Emissions Calculation - Annual'!$B$5:$B$54,'Total Emissions'!$B7,'Emissions Calculation - Annual'!G$5:G$54))),IF('Controls and Restrictions'!$E$6="lb/hr",'Controls and Restrictions'!$E8*(L7/Inputs!D43)/2000,'Controls and Restrictions'!$E8*'Total Emissions'!L7/2000)),E33,IF('Controls and Restrictions'!E8=0,IF(B7="","",IF(ISERROR(SUMIF('Emissions Calculation - Annual'!$B$5:$B$54,'Total Emissions'!$B7,'Emissions Calculation - Annual'!G$5:G$54)),0,SUMIF('Emissions Calculation - Annual'!$B$5:$B$54,'Total Emissions'!$B7,'Emissions Calculation - Annual'!G$5:G$54))),IF('Controls and Restrictions'!$E$6="lb/hr",'Controls and Restrictions'!$E8*(L7/Inputs!D43)/2000,'Controls and Restrictions'!$E8*'Total Emissions'!L7/2000)))</f>
        <v/>
      </c>
      <c r="F7" s="212" t="str">
        <f>IF(F33&lt;IF('Controls and Restrictions'!F8=0,IF(B7="","",IF(ISERROR(SUMIF('Emissions Calculation - Annual'!$B$5:$B$54,'Total Emissions'!$B7,'Emissions Calculation - Annual'!H$5:H$54)),0,SUMIF('Emissions Calculation - Annual'!$B$5:$B$54,'Total Emissions'!$B7,'Emissions Calculation - Annual'!H$5:H$54))),IF('Controls and Restrictions'!$F$6="lb/hr",'Controls and Restrictions'!$F8*(L7/Inputs!D43)/2000,'Controls and Restrictions'!$F8*'Total Emissions'!L7/2000)),F33,IF('Controls and Restrictions'!F8=0,IF(B7="","",IF(ISERROR(SUMIF('Emissions Calculation - Annual'!$B$5:$B$54,'Total Emissions'!$B7,'Emissions Calculation - Annual'!H$5:H$54)),0,SUMIF('Emissions Calculation - Annual'!$B$5:$B$54,'Total Emissions'!$B7,'Emissions Calculation - Annual'!H$5:H$54))),IF('Controls and Restrictions'!$F$6="lb/hr",'Controls and Restrictions'!$F8*(L7/Inputs!D43)/2000,'Controls and Restrictions'!$F8*'Total Emissions'!L7/2000)))</f>
        <v/>
      </c>
      <c r="G7" s="212" t="str">
        <f>IF(G33&lt;IF('Controls and Restrictions'!G8=0,IF(B7="","",IF(ISERROR(SUMIF('Emissions Calculation - Annual'!$B$5:$B$54,'Total Emissions'!$B7,'Emissions Calculation - Annual'!I$5:I$54)),0,SUMIF('Emissions Calculation - Annual'!$B$5:$B$54,'Total Emissions'!$B7,'Emissions Calculation - Annual'!I$5:I$54))),IF('Controls and Restrictions'!$G$6="lb/hr",'Controls and Restrictions'!$G8*(L7/Inputs!D43)/2000,'Controls and Restrictions'!$G8*'Total Emissions'!L7/2000)),G33,IF('Controls and Restrictions'!G8=0,IF(B7="","",IF(ISERROR(SUMIF('Emissions Calculation - Annual'!$B$5:$B$54,'Total Emissions'!$B7,'Emissions Calculation - Annual'!I$5:I$54)),0,SUMIF('Emissions Calculation - Annual'!$B$5:$B$54,'Total Emissions'!$B7,'Emissions Calculation - Annual'!I$5:I$54))),IF('Controls and Restrictions'!$G$6="lb/hr",'Controls and Restrictions'!$G8*(L7/Inputs!D43)/2000,'Controls and Restrictions'!$G8*'Total Emissions'!L7/2000)))</f>
        <v/>
      </c>
      <c r="H7" s="212" t="str">
        <f>IF(H33&lt;IF('Controls and Restrictions'!H8=0,IF(B7="","",IF(ISERROR(SUMIF('Emissions Calculation - Annual'!$B$5:$B$54,'Total Emissions'!$B7,'Emissions Calculation - Annual'!K$5:K$54)),0,SUMIF('Emissions Calculation - Annual'!$B$5:$B$54,'Total Emissions'!$B7,'Emissions Calculation - Annual'!K$5:K$54))),IF('Controls and Restrictions'!$H$6="lb/hr",'Controls and Restrictions'!$H8*(L7/Inputs!D43)/2000,'Controls and Restrictions'!$H8*'Total Emissions'!L7/2000)),H33,IF('Controls and Restrictions'!H8=0,IF(B7="","",IF(ISERROR(SUMIF('Emissions Calculation - Annual'!$B$5:$B$54,'Total Emissions'!$B7,'Emissions Calculation - Annual'!K$5:K$54)),0,SUMIF('Emissions Calculation - Annual'!$B$5:$B$54,'Total Emissions'!$B7,'Emissions Calculation - Annual'!K$5:K$54))),IF('Controls and Restrictions'!$H$6="lb/hr",'Controls and Restrictions'!$H8*(L7/Inputs!D43)/2000,'Controls and Restrictions'!$H8*'Total Emissions'!L7/2000)))</f>
        <v/>
      </c>
      <c r="I7" s="213" t="str">
        <f>IF(I33&lt;IF('Controls and Restrictions'!I8=0,IF(B7="","",IF(ISERROR(SUMIF('Emissions Calculation - Annual'!$B$5:$B$54,'Total Emissions'!$B7,'Emissions Calculation - Annual'!L$5:L$54)),0,SUMIF('Emissions Calculation - Annual'!$B$5:$B$54,'Total Emissions'!$B7,'Emissions Calculation - Annual'!L$5:L$54))),IF('Controls and Restrictions'!$I$6="lb/hr",'Controls and Restrictions'!$I8*(L7/Inputs!D43)/2000,'Controls and Restrictions'!$I8*'Total Emissions'!L7/2000)),I33,IF('Controls and Restrictions'!I8=0,IF(B7="","",IF(ISERROR(SUMIF('Emissions Calculation - Annual'!$B$5:$B$54,'Total Emissions'!$B7,'Emissions Calculation - Annual'!L$5:L$54)),0,SUMIF('Emissions Calculation - Annual'!$B$5:$B$54,'Total Emissions'!$B7,'Emissions Calculation - Annual'!L$5:L$54))),IF('Controls and Restrictions'!$I$6="lb/hr",'Controls and Restrictions'!$I8*(L7/Inputs!D43)/2000,'Controls and Restrictions'!$I8*'Total Emissions'!L7/2000)))</f>
        <v/>
      </c>
      <c r="L7" s="322" t="str">
        <f>IF(B7="","",SUMIF('Emissions Calculation - Annual'!$B$5:$B$54,'Total Emissions'!$B7,'Emissions Calculation - Annual'!E$5:E$54))</f>
        <v/>
      </c>
    </row>
    <row r="8" spans="1:12" x14ac:dyDescent="0.25">
      <c r="A8" s="54"/>
      <c r="B8" s="310" t="str">
        <f>IF(Inputs!B44="","",Inputs!B44)</f>
        <v/>
      </c>
      <c r="C8" s="309" t="str">
        <f>IF(Inputs!C44="","",Inputs!C44)</f>
        <v/>
      </c>
      <c r="D8" s="212" t="str">
        <f>IF(D34&lt;IF('Controls and Restrictions'!D9=0,IF(B8="","",IF(ISERROR(SUMIF('Emissions Calculation - Annual'!$B$5:$B$54,'Total Emissions'!$B8,'Emissions Calculation - Annual'!F$5:F$54)),0,SUMIF('Emissions Calculation - Annual'!$B$5:$B$54,'Total Emissions'!$B8,'Emissions Calculation - Annual'!F$5:F$54))),IF('Controls and Restrictions'!$D$6="lb/hr",'Controls and Restrictions'!$D9*(L8/Inputs!D44)/2000,'Controls and Restrictions'!$D9*'Total Emissions'!L8/2000)),D34,IF('Controls and Restrictions'!D9=0,IF(B8="","",IF(ISERROR(SUMIF('Emissions Calculation - Annual'!$B$5:$B$54,'Total Emissions'!$B8,'Emissions Calculation - Annual'!F$5:F$54)),0,SUMIF('Emissions Calculation - Annual'!$B$5:$B$54,'Total Emissions'!$B8,'Emissions Calculation - Annual'!F$5:F$54))),IF('Controls and Restrictions'!$D$6="lb/hr",'Controls and Restrictions'!$D9*(L8/Inputs!D44)/2000,'Controls and Restrictions'!$D9*'Total Emissions'!L8/2000)))</f>
        <v/>
      </c>
      <c r="E8" s="212" t="str">
        <f>IF(E34&lt;IF('Controls and Restrictions'!E9=0,IF(B8="","",IF(ISERROR(SUMIF('Emissions Calculation - Annual'!$B$5:$B$54,'Total Emissions'!$B8,'Emissions Calculation - Annual'!G$5:G$54)),0,SUMIF('Emissions Calculation - Annual'!$B$5:$B$54,'Total Emissions'!$B8,'Emissions Calculation - Annual'!G$5:G$54))),IF('Controls and Restrictions'!$E$6="lb/hr",'Controls and Restrictions'!$E9*(L8/Inputs!D44)/2000,'Controls and Restrictions'!$E9*'Total Emissions'!L8/2000)),E34,IF('Controls and Restrictions'!E9=0,IF(B8="","",IF(ISERROR(SUMIF('Emissions Calculation - Annual'!$B$5:$B$54,'Total Emissions'!$B8,'Emissions Calculation - Annual'!G$5:G$54)),0,SUMIF('Emissions Calculation - Annual'!$B$5:$B$54,'Total Emissions'!$B8,'Emissions Calculation - Annual'!G$5:G$54))),IF('Controls and Restrictions'!$E$6="lb/hr",'Controls and Restrictions'!$E9*(L8/Inputs!D44)/2000,'Controls and Restrictions'!$E9*'Total Emissions'!L8/2000)))</f>
        <v/>
      </c>
      <c r="F8" s="212" t="str">
        <f>IF(F34&lt;IF('Controls and Restrictions'!F9=0,IF(B8="","",IF(ISERROR(SUMIF('Emissions Calculation - Annual'!$B$5:$B$54,'Total Emissions'!$B8,'Emissions Calculation - Annual'!H$5:H$54)),0,SUMIF('Emissions Calculation - Annual'!$B$5:$B$54,'Total Emissions'!$B8,'Emissions Calculation - Annual'!H$5:H$54))),IF('Controls and Restrictions'!$F$6="lb/hr",'Controls and Restrictions'!$F9*(L8/Inputs!D44)/2000,'Controls and Restrictions'!$F9*'Total Emissions'!L8/2000)),F34,IF('Controls and Restrictions'!F9=0,IF(B8="","",IF(ISERROR(SUMIF('Emissions Calculation - Annual'!$B$5:$B$54,'Total Emissions'!$B8,'Emissions Calculation - Annual'!H$5:H$54)),0,SUMIF('Emissions Calculation - Annual'!$B$5:$B$54,'Total Emissions'!$B8,'Emissions Calculation - Annual'!H$5:H$54))),IF('Controls and Restrictions'!$F$6="lb/hr",'Controls and Restrictions'!$F9*(L8/Inputs!D44)/2000,'Controls and Restrictions'!$F9*'Total Emissions'!L8/2000)))</f>
        <v/>
      </c>
      <c r="G8" s="212" t="str">
        <f>IF(G34&lt;IF('Controls and Restrictions'!G9=0,IF(B8="","",IF(ISERROR(SUMIF('Emissions Calculation - Annual'!$B$5:$B$54,'Total Emissions'!$B8,'Emissions Calculation - Annual'!I$5:I$54)),0,SUMIF('Emissions Calculation - Annual'!$B$5:$B$54,'Total Emissions'!$B8,'Emissions Calculation - Annual'!I$5:I$54))),IF('Controls and Restrictions'!$G$6="lb/hr",'Controls and Restrictions'!$G9*(L8/Inputs!D44)/2000,'Controls and Restrictions'!$G9*'Total Emissions'!L8/2000)),G34,IF('Controls and Restrictions'!G9=0,IF(B8="","",IF(ISERROR(SUMIF('Emissions Calculation - Annual'!$B$5:$B$54,'Total Emissions'!$B8,'Emissions Calculation - Annual'!I$5:I$54)),0,SUMIF('Emissions Calculation - Annual'!$B$5:$B$54,'Total Emissions'!$B8,'Emissions Calculation - Annual'!I$5:I$54))),IF('Controls and Restrictions'!$G$6="lb/hr",'Controls and Restrictions'!$G9*(L8/Inputs!D44)/2000,'Controls and Restrictions'!$G9*'Total Emissions'!L8/2000)))</f>
        <v/>
      </c>
      <c r="H8" s="212" t="str">
        <f>IF(H34&lt;IF('Controls and Restrictions'!H9=0,IF(B8="","",IF(ISERROR(SUMIF('Emissions Calculation - Annual'!$B$5:$B$54,'Total Emissions'!$B8,'Emissions Calculation - Annual'!K$5:K$54)),0,SUMIF('Emissions Calculation - Annual'!$B$5:$B$54,'Total Emissions'!$B8,'Emissions Calculation - Annual'!K$5:K$54))),IF('Controls and Restrictions'!$H$6="lb/hr",'Controls and Restrictions'!$H9*(L8/Inputs!D44)/2000,'Controls and Restrictions'!$H9*'Total Emissions'!L8/2000)),H34,IF('Controls and Restrictions'!H9=0,IF(B8="","",IF(ISERROR(SUMIF('Emissions Calculation - Annual'!$B$5:$B$54,'Total Emissions'!$B8,'Emissions Calculation - Annual'!K$5:K$54)),0,SUMIF('Emissions Calculation - Annual'!$B$5:$B$54,'Total Emissions'!$B8,'Emissions Calculation - Annual'!K$5:K$54))),IF('Controls and Restrictions'!$H$6="lb/hr",'Controls and Restrictions'!$H9*(L8/Inputs!D44)/2000,'Controls and Restrictions'!$H9*'Total Emissions'!L8/2000)))</f>
        <v/>
      </c>
      <c r="I8" s="213" t="str">
        <f>IF(I34&lt;IF('Controls and Restrictions'!I9=0,IF(B8="","",IF(ISERROR(SUMIF('Emissions Calculation - Annual'!$B$5:$B$54,'Total Emissions'!$B8,'Emissions Calculation - Annual'!L$5:L$54)),0,SUMIF('Emissions Calculation - Annual'!$B$5:$B$54,'Total Emissions'!$B8,'Emissions Calculation - Annual'!L$5:L$54))),IF('Controls and Restrictions'!$I$6="lb/hr",'Controls and Restrictions'!$I9*(L8/Inputs!D44)/2000,'Controls and Restrictions'!$I9*'Total Emissions'!L8/2000)),I34,IF('Controls and Restrictions'!I9=0,IF(B8="","",IF(ISERROR(SUMIF('Emissions Calculation - Annual'!$B$5:$B$54,'Total Emissions'!$B8,'Emissions Calculation - Annual'!L$5:L$54)),0,SUMIF('Emissions Calculation - Annual'!$B$5:$B$54,'Total Emissions'!$B8,'Emissions Calculation - Annual'!L$5:L$54))),IF('Controls and Restrictions'!$I$6="lb/hr",'Controls and Restrictions'!$I9*(L8/Inputs!D44)/2000,'Controls and Restrictions'!$I9*'Total Emissions'!L8/2000)))</f>
        <v/>
      </c>
      <c r="L8" s="322" t="str">
        <f>IF(B8="","",SUMIF('Emissions Calculation - Annual'!$B$5:$B$54,'Total Emissions'!$B8,'Emissions Calculation - Annual'!E$5:E$54))</f>
        <v/>
      </c>
    </row>
    <row r="9" spans="1:12" x14ac:dyDescent="0.25">
      <c r="A9" s="54"/>
      <c r="B9" s="310" t="str">
        <f>IF(Inputs!B45="","",Inputs!B45)</f>
        <v/>
      </c>
      <c r="C9" s="309" t="str">
        <f>IF(Inputs!C45="","",Inputs!C45)</f>
        <v/>
      </c>
      <c r="D9" s="212" t="str">
        <f>IF(D35&lt;IF('Controls and Restrictions'!D10=0,IF(B9="","",IF(ISERROR(SUMIF('Emissions Calculation - Annual'!$B$5:$B$54,'Total Emissions'!$B9,'Emissions Calculation - Annual'!F$5:F$54)),0,SUMIF('Emissions Calculation - Annual'!$B$5:$B$54,'Total Emissions'!$B9,'Emissions Calculation - Annual'!F$5:F$54))),IF('Controls and Restrictions'!$D$6="lb/hr",'Controls and Restrictions'!$D10*(L9/Inputs!D45)/2000,'Controls and Restrictions'!$D10*'Total Emissions'!L9/2000)),D35,IF('Controls and Restrictions'!D10=0,IF(B9="","",IF(ISERROR(SUMIF('Emissions Calculation - Annual'!$B$5:$B$54,'Total Emissions'!$B9,'Emissions Calculation - Annual'!F$5:F$54)),0,SUMIF('Emissions Calculation - Annual'!$B$5:$B$54,'Total Emissions'!$B9,'Emissions Calculation - Annual'!F$5:F$54))),IF('Controls and Restrictions'!$D$6="lb/hr",'Controls and Restrictions'!$D10*(L9/Inputs!D45)/2000,'Controls and Restrictions'!$D10*'Total Emissions'!L9/2000)))</f>
        <v/>
      </c>
      <c r="E9" s="212" t="str">
        <f>IF(E35&lt;IF('Controls and Restrictions'!E10=0,IF(B9="","",IF(ISERROR(SUMIF('Emissions Calculation - Annual'!$B$5:$B$54,'Total Emissions'!$B9,'Emissions Calculation - Annual'!G$5:G$54)),0,SUMIF('Emissions Calculation - Annual'!$B$5:$B$54,'Total Emissions'!$B9,'Emissions Calculation - Annual'!G$5:G$54))),IF('Controls and Restrictions'!$E$6="lb/hr",'Controls and Restrictions'!$E10*(L9/Inputs!D45)/2000,'Controls and Restrictions'!$E10*'Total Emissions'!L9/2000)),E35,IF('Controls and Restrictions'!E10=0,IF(B9="","",IF(ISERROR(SUMIF('Emissions Calculation - Annual'!$B$5:$B$54,'Total Emissions'!$B9,'Emissions Calculation - Annual'!G$5:G$54)),0,SUMIF('Emissions Calculation - Annual'!$B$5:$B$54,'Total Emissions'!$B9,'Emissions Calculation - Annual'!G$5:G$54))),IF('Controls and Restrictions'!$E$6="lb/hr",'Controls and Restrictions'!$E10*(L9/Inputs!D45)/2000,'Controls and Restrictions'!$E10*'Total Emissions'!L9/2000)))</f>
        <v/>
      </c>
      <c r="F9" s="212" t="str">
        <f>IF(F35&lt;IF('Controls and Restrictions'!F10=0,IF(B9="","",IF(ISERROR(SUMIF('Emissions Calculation - Annual'!$B$5:$B$54,'Total Emissions'!$B9,'Emissions Calculation - Annual'!H$5:H$54)),0,SUMIF('Emissions Calculation - Annual'!$B$5:$B$54,'Total Emissions'!$B9,'Emissions Calculation - Annual'!H$5:H$54))),IF('Controls and Restrictions'!$F$6="lb/hr",'Controls and Restrictions'!$F10*(L9/Inputs!D45)/2000,'Controls and Restrictions'!$F10*'Total Emissions'!L9/2000)),F35,IF('Controls and Restrictions'!F10=0,IF(B9="","",IF(ISERROR(SUMIF('Emissions Calculation - Annual'!$B$5:$B$54,'Total Emissions'!$B9,'Emissions Calculation - Annual'!H$5:H$54)),0,SUMIF('Emissions Calculation - Annual'!$B$5:$B$54,'Total Emissions'!$B9,'Emissions Calculation - Annual'!H$5:H$54))),IF('Controls and Restrictions'!$F$6="lb/hr",'Controls and Restrictions'!$F10*(L9/Inputs!D45)/2000,'Controls and Restrictions'!$F10*'Total Emissions'!L9/2000)))</f>
        <v/>
      </c>
      <c r="G9" s="212" t="str">
        <f>IF(G35&lt;IF('Controls and Restrictions'!G10=0,IF(B9="","",IF(ISERROR(SUMIF('Emissions Calculation - Annual'!$B$5:$B$54,'Total Emissions'!$B9,'Emissions Calculation - Annual'!I$5:I$54)),0,SUMIF('Emissions Calculation - Annual'!$B$5:$B$54,'Total Emissions'!$B9,'Emissions Calculation - Annual'!I$5:I$54))),IF('Controls and Restrictions'!$G$6="lb/hr",'Controls and Restrictions'!$G10*(L9/Inputs!D45)/2000,'Controls and Restrictions'!$G10*'Total Emissions'!L9/2000)),G35,IF('Controls and Restrictions'!G10=0,IF(B9="","",IF(ISERROR(SUMIF('Emissions Calculation - Annual'!$B$5:$B$54,'Total Emissions'!$B9,'Emissions Calculation - Annual'!I$5:I$54)),0,SUMIF('Emissions Calculation - Annual'!$B$5:$B$54,'Total Emissions'!$B9,'Emissions Calculation - Annual'!I$5:I$54))),IF('Controls and Restrictions'!$G$6="lb/hr",'Controls and Restrictions'!$G10*(L9/Inputs!D45)/2000,'Controls and Restrictions'!$G10*'Total Emissions'!L9/2000)))</f>
        <v/>
      </c>
      <c r="H9" s="212" t="str">
        <f>IF(H35&lt;IF('Controls and Restrictions'!H10=0,IF(B9="","",IF(ISERROR(SUMIF('Emissions Calculation - Annual'!$B$5:$B$54,'Total Emissions'!$B9,'Emissions Calculation - Annual'!K$5:K$54)),0,SUMIF('Emissions Calculation - Annual'!$B$5:$B$54,'Total Emissions'!$B9,'Emissions Calculation - Annual'!K$5:K$54))),IF('Controls and Restrictions'!$H$6="lb/hr",'Controls and Restrictions'!$H10*(L9/Inputs!D45)/2000,'Controls and Restrictions'!$H10*'Total Emissions'!L9/2000)),H35,IF('Controls and Restrictions'!H10=0,IF(B9="","",IF(ISERROR(SUMIF('Emissions Calculation - Annual'!$B$5:$B$54,'Total Emissions'!$B9,'Emissions Calculation - Annual'!K$5:K$54)),0,SUMIF('Emissions Calculation - Annual'!$B$5:$B$54,'Total Emissions'!$B9,'Emissions Calculation - Annual'!K$5:K$54))),IF('Controls and Restrictions'!$H$6="lb/hr",'Controls and Restrictions'!$H10*(L9/Inputs!D45)/2000,'Controls and Restrictions'!$H10*'Total Emissions'!L9/2000)))</f>
        <v/>
      </c>
      <c r="I9" s="213" t="str">
        <f>IF(I35&lt;IF('Controls and Restrictions'!I10=0,IF(B9="","",IF(ISERROR(SUMIF('Emissions Calculation - Annual'!$B$5:$B$54,'Total Emissions'!$B9,'Emissions Calculation - Annual'!L$5:L$54)),0,SUMIF('Emissions Calculation - Annual'!$B$5:$B$54,'Total Emissions'!$B9,'Emissions Calculation - Annual'!L$5:L$54))),IF('Controls and Restrictions'!$I$6="lb/hr",'Controls and Restrictions'!$I10*(L9/Inputs!D45)/2000,'Controls and Restrictions'!$I10*'Total Emissions'!L9/2000)),I35,IF('Controls and Restrictions'!I10=0,IF(B9="","",IF(ISERROR(SUMIF('Emissions Calculation - Annual'!$B$5:$B$54,'Total Emissions'!$B9,'Emissions Calculation - Annual'!L$5:L$54)),0,SUMIF('Emissions Calculation - Annual'!$B$5:$B$54,'Total Emissions'!$B9,'Emissions Calculation - Annual'!L$5:L$54))),IF('Controls and Restrictions'!$I$6="lb/hr",'Controls and Restrictions'!$I10*(L9/Inputs!D45)/2000,'Controls and Restrictions'!$I10*'Total Emissions'!L9/2000)))</f>
        <v/>
      </c>
      <c r="L9" s="322" t="str">
        <f>IF(B9="","",SUMIF('Emissions Calculation - Annual'!$B$5:$B$54,'Total Emissions'!$B9,'Emissions Calculation - Annual'!E$5:E$54))</f>
        <v/>
      </c>
    </row>
    <row r="10" spans="1:12" x14ac:dyDescent="0.25">
      <c r="A10" s="54"/>
      <c r="B10" s="310" t="str">
        <f>IF(Inputs!B46="","",Inputs!B46)</f>
        <v/>
      </c>
      <c r="C10" s="309" t="str">
        <f>IF(Inputs!C46="","",Inputs!C46)</f>
        <v/>
      </c>
      <c r="D10" s="212" t="str">
        <f>IF(D36&lt;IF('Controls and Restrictions'!D11=0,IF(B10="","",IF(ISERROR(SUMIF('Emissions Calculation - Annual'!$B$5:$B$54,'Total Emissions'!$B10,'Emissions Calculation - Annual'!F$5:F$54)),0,SUMIF('Emissions Calculation - Annual'!$B$5:$B$54,'Total Emissions'!$B10,'Emissions Calculation - Annual'!F$5:F$54))),IF('Controls and Restrictions'!$D$6="lb/hr",'Controls and Restrictions'!$D11*(L10/Inputs!D46)/2000,'Controls and Restrictions'!$D11*'Total Emissions'!L10/2000)),D36,IF('Controls and Restrictions'!D11=0,IF(B10="","",IF(ISERROR(SUMIF('Emissions Calculation - Annual'!$B$5:$B$54,'Total Emissions'!$B10,'Emissions Calculation - Annual'!F$5:F$54)),0,SUMIF('Emissions Calculation - Annual'!$B$5:$B$54,'Total Emissions'!$B10,'Emissions Calculation - Annual'!F$5:F$54))),IF('Controls and Restrictions'!$D$6="lb/hr",'Controls and Restrictions'!$D11*(L10/Inputs!D46)/2000,'Controls and Restrictions'!$D11*'Total Emissions'!L10/2000)))</f>
        <v/>
      </c>
      <c r="E10" s="212" t="str">
        <f>IF(E36&lt;IF('Controls and Restrictions'!E11=0,IF(B10="","",IF(ISERROR(SUMIF('Emissions Calculation - Annual'!$B$5:$B$54,'Total Emissions'!$B10,'Emissions Calculation - Annual'!G$5:G$54)),0,SUMIF('Emissions Calculation - Annual'!$B$5:$B$54,'Total Emissions'!$B10,'Emissions Calculation - Annual'!G$5:G$54))),IF('Controls and Restrictions'!$E$6="lb/hr",'Controls and Restrictions'!$E11*(L10/Inputs!D46)/2000,'Controls and Restrictions'!$E11*'Total Emissions'!L10/2000)),E36,IF('Controls and Restrictions'!E11=0,IF(B10="","",IF(ISERROR(SUMIF('Emissions Calculation - Annual'!$B$5:$B$54,'Total Emissions'!$B10,'Emissions Calculation - Annual'!G$5:G$54)),0,SUMIF('Emissions Calculation - Annual'!$B$5:$B$54,'Total Emissions'!$B10,'Emissions Calculation - Annual'!G$5:G$54))),IF('Controls and Restrictions'!$E$6="lb/hr",'Controls and Restrictions'!$E11*(L10/Inputs!D46)/2000,'Controls and Restrictions'!$E11*'Total Emissions'!L10/2000)))</f>
        <v/>
      </c>
      <c r="F10" s="212" t="str">
        <f>IF(F36&lt;IF('Controls and Restrictions'!F11=0,IF(B10="","",IF(ISERROR(SUMIF('Emissions Calculation - Annual'!$B$5:$B$54,'Total Emissions'!$B10,'Emissions Calculation - Annual'!H$5:H$54)),0,SUMIF('Emissions Calculation - Annual'!$B$5:$B$54,'Total Emissions'!$B10,'Emissions Calculation - Annual'!H$5:H$54))),IF('Controls and Restrictions'!$F$6="lb/hr",'Controls and Restrictions'!$F11*(L10/Inputs!D46)/2000,'Controls and Restrictions'!$F11*'Total Emissions'!L10/2000)),F36,IF('Controls and Restrictions'!F11=0,IF(B10="","",IF(ISERROR(SUMIF('Emissions Calculation - Annual'!$B$5:$B$54,'Total Emissions'!$B10,'Emissions Calculation - Annual'!H$5:H$54)),0,SUMIF('Emissions Calculation - Annual'!$B$5:$B$54,'Total Emissions'!$B10,'Emissions Calculation - Annual'!H$5:H$54))),IF('Controls and Restrictions'!$F$6="lb/hr",'Controls and Restrictions'!$F11*(L10/Inputs!D46)/2000,'Controls and Restrictions'!$F11*'Total Emissions'!L10/2000)))</f>
        <v/>
      </c>
      <c r="G10" s="212" t="str">
        <f>IF(G36&lt;IF('Controls and Restrictions'!G11=0,IF(B10="","",IF(ISERROR(SUMIF('Emissions Calculation - Annual'!$B$5:$B$54,'Total Emissions'!$B10,'Emissions Calculation - Annual'!I$5:I$54)),0,SUMIF('Emissions Calculation - Annual'!$B$5:$B$54,'Total Emissions'!$B10,'Emissions Calculation - Annual'!I$5:I$54))),IF('Controls and Restrictions'!$G$6="lb/hr",'Controls and Restrictions'!$G11*(L10/Inputs!D46)/2000,'Controls and Restrictions'!$G11*'Total Emissions'!L10/2000)),G36,IF('Controls and Restrictions'!G11=0,IF(B10="","",IF(ISERROR(SUMIF('Emissions Calculation - Annual'!$B$5:$B$54,'Total Emissions'!$B10,'Emissions Calculation - Annual'!I$5:I$54)),0,SUMIF('Emissions Calculation - Annual'!$B$5:$B$54,'Total Emissions'!$B10,'Emissions Calculation - Annual'!I$5:I$54))),IF('Controls and Restrictions'!$G$6="lb/hr",'Controls and Restrictions'!$G11*(L10/Inputs!D46)/2000,'Controls and Restrictions'!$G11*'Total Emissions'!L10/2000)))</f>
        <v/>
      </c>
      <c r="H10" s="212" t="str">
        <f>IF(H36&lt;IF('Controls and Restrictions'!H11=0,IF(B10="","",IF(ISERROR(SUMIF('Emissions Calculation - Annual'!$B$5:$B$54,'Total Emissions'!$B10,'Emissions Calculation - Annual'!K$5:K$54)),0,SUMIF('Emissions Calculation - Annual'!$B$5:$B$54,'Total Emissions'!$B10,'Emissions Calculation - Annual'!K$5:K$54))),IF('Controls and Restrictions'!$H$6="lb/hr",'Controls and Restrictions'!$H11*(L10/Inputs!D46)/2000,'Controls and Restrictions'!$H11*'Total Emissions'!L10/2000)),H36,IF('Controls and Restrictions'!H11=0,IF(B10="","",IF(ISERROR(SUMIF('Emissions Calculation - Annual'!$B$5:$B$54,'Total Emissions'!$B10,'Emissions Calculation - Annual'!K$5:K$54)),0,SUMIF('Emissions Calculation - Annual'!$B$5:$B$54,'Total Emissions'!$B10,'Emissions Calculation - Annual'!K$5:K$54))),IF('Controls and Restrictions'!$H$6="lb/hr",'Controls and Restrictions'!$H11*(L10/Inputs!D46)/2000,'Controls and Restrictions'!$H11*'Total Emissions'!L10/2000)))</f>
        <v/>
      </c>
      <c r="I10" s="213" t="str">
        <f>IF(I36&lt;IF('Controls and Restrictions'!I11=0,IF(B10="","",IF(ISERROR(SUMIF('Emissions Calculation - Annual'!$B$5:$B$54,'Total Emissions'!$B10,'Emissions Calculation - Annual'!L$5:L$54)),0,SUMIF('Emissions Calculation - Annual'!$B$5:$B$54,'Total Emissions'!$B10,'Emissions Calculation - Annual'!L$5:L$54))),IF('Controls and Restrictions'!$I$6="lb/hr",'Controls and Restrictions'!$I11*(L10/Inputs!D46)/2000,'Controls and Restrictions'!$I11*'Total Emissions'!L10/2000)),I36,IF('Controls and Restrictions'!I11=0,IF(B10="","",IF(ISERROR(SUMIF('Emissions Calculation - Annual'!$B$5:$B$54,'Total Emissions'!$B10,'Emissions Calculation - Annual'!L$5:L$54)),0,SUMIF('Emissions Calculation - Annual'!$B$5:$B$54,'Total Emissions'!$B10,'Emissions Calculation - Annual'!L$5:L$54))),IF('Controls and Restrictions'!$I$6="lb/hr",'Controls and Restrictions'!$I11*(L10/Inputs!D46)/2000,'Controls and Restrictions'!$I11*'Total Emissions'!L10/2000)))</f>
        <v/>
      </c>
      <c r="L10" s="322" t="str">
        <f>IF(B10="","",SUMIF('Emissions Calculation - Annual'!$B$5:$B$54,'Total Emissions'!$B10,'Emissions Calculation - Annual'!E$5:E$54))</f>
        <v/>
      </c>
    </row>
    <row r="11" spans="1:12" x14ac:dyDescent="0.25">
      <c r="A11" s="54"/>
      <c r="B11" s="310" t="str">
        <f>IF(Inputs!B47="","",Inputs!B47)</f>
        <v/>
      </c>
      <c r="C11" s="309" t="str">
        <f>IF(Inputs!C47="","",Inputs!C47)</f>
        <v/>
      </c>
      <c r="D11" s="212" t="str">
        <f>IF(D37&lt;IF('Controls and Restrictions'!D12=0,IF(B11="","",IF(ISERROR(SUMIF('Emissions Calculation - Annual'!$B$5:$B$54,'Total Emissions'!$B11,'Emissions Calculation - Annual'!F$5:F$54)),0,SUMIF('Emissions Calculation - Annual'!$B$5:$B$54,'Total Emissions'!$B11,'Emissions Calculation - Annual'!F$5:F$54))),IF('Controls and Restrictions'!$D$6="lb/hr",'Controls and Restrictions'!$D12*(L11/Inputs!D47)/2000,'Controls and Restrictions'!$D12*'Total Emissions'!L11/2000)),D37,IF('Controls and Restrictions'!D12=0,IF(B11="","",IF(ISERROR(SUMIF('Emissions Calculation - Annual'!$B$5:$B$54,'Total Emissions'!$B11,'Emissions Calculation - Annual'!F$5:F$54)),0,SUMIF('Emissions Calculation - Annual'!$B$5:$B$54,'Total Emissions'!$B11,'Emissions Calculation - Annual'!F$5:F$54))),IF('Controls and Restrictions'!$D$6="lb/hr",'Controls and Restrictions'!$D12*(L11/Inputs!D47)/2000,'Controls and Restrictions'!$D12*'Total Emissions'!L11/2000)))</f>
        <v/>
      </c>
      <c r="E11" s="212" t="str">
        <f>IF(E37&lt;IF('Controls and Restrictions'!E12=0,IF(B11="","",IF(ISERROR(SUMIF('Emissions Calculation - Annual'!$B$5:$B$54,'Total Emissions'!$B11,'Emissions Calculation - Annual'!G$5:G$54)),0,SUMIF('Emissions Calculation - Annual'!$B$5:$B$54,'Total Emissions'!$B11,'Emissions Calculation - Annual'!G$5:G$54))),IF('Controls and Restrictions'!$E$6="lb/hr",'Controls and Restrictions'!$E12*(L11/Inputs!D47)/2000,'Controls and Restrictions'!$E12*'Total Emissions'!L11/2000)),E37,IF('Controls and Restrictions'!E12=0,IF(B11="","",IF(ISERROR(SUMIF('Emissions Calculation - Annual'!$B$5:$B$54,'Total Emissions'!$B11,'Emissions Calculation - Annual'!G$5:G$54)),0,SUMIF('Emissions Calculation - Annual'!$B$5:$B$54,'Total Emissions'!$B11,'Emissions Calculation - Annual'!G$5:G$54))),IF('Controls and Restrictions'!$E$6="lb/hr",'Controls and Restrictions'!$E12*(L11/Inputs!D47)/2000,'Controls and Restrictions'!$E12*'Total Emissions'!L11/2000)))</f>
        <v/>
      </c>
      <c r="F11" s="212" t="str">
        <f>IF(F37&lt;IF('Controls and Restrictions'!F12=0,IF(B11="","",IF(ISERROR(SUMIF('Emissions Calculation - Annual'!$B$5:$B$54,'Total Emissions'!$B11,'Emissions Calculation - Annual'!H$5:H$54)),0,SUMIF('Emissions Calculation - Annual'!$B$5:$B$54,'Total Emissions'!$B11,'Emissions Calculation - Annual'!H$5:H$54))),IF('Controls and Restrictions'!$F$6="lb/hr",'Controls and Restrictions'!$F12*(L11/Inputs!D47)/2000,'Controls and Restrictions'!$F12*'Total Emissions'!L11/2000)),F37,IF('Controls and Restrictions'!F12=0,IF(B11="","",IF(ISERROR(SUMIF('Emissions Calculation - Annual'!$B$5:$B$54,'Total Emissions'!$B11,'Emissions Calculation - Annual'!H$5:H$54)),0,SUMIF('Emissions Calculation - Annual'!$B$5:$B$54,'Total Emissions'!$B11,'Emissions Calculation - Annual'!H$5:H$54))),IF('Controls and Restrictions'!$F$6="lb/hr",'Controls and Restrictions'!$F12*(L11/Inputs!D47)/2000,'Controls and Restrictions'!$F12*'Total Emissions'!L11/2000)))</f>
        <v/>
      </c>
      <c r="G11" s="212" t="str">
        <f>IF(G37&lt;IF('Controls and Restrictions'!G12=0,IF(B11="","",IF(ISERROR(SUMIF('Emissions Calculation - Annual'!$B$5:$B$54,'Total Emissions'!$B11,'Emissions Calculation - Annual'!I$5:I$54)),0,SUMIF('Emissions Calculation - Annual'!$B$5:$B$54,'Total Emissions'!$B11,'Emissions Calculation - Annual'!I$5:I$54))),IF('Controls and Restrictions'!$G$6="lb/hr",'Controls and Restrictions'!$G12*(L11/Inputs!D47)/2000,'Controls and Restrictions'!$G12*'Total Emissions'!L11/2000)),G37,IF('Controls and Restrictions'!G12=0,IF(B11="","",IF(ISERROR(SUMIF('Emissions Calculation - Annual'!$B$5:$B$54,'Total Emissions'!$B11,'Emissions Calculation - Annual'!I$5:I$54)),0,SUMIF('Emissions Calculation - Annual'!$B$5:$B$54,'Total Emissions'!$B11,'Emissions Calculation - Annual'!I$5:I$54))),IF('Controls and Restrictions'!$G$6="lb/hr",'Controls and Restrictions'!$G12*(L11/Inputs!D47)/2000,'Controls and Restrictions'!$G12*'Total Emissions'!L11/2000)))</f>
        <v/>
      </c>
      <c r="H11" s="212" t="str">
        <f>IF(H37&lt;IF('Controls and Restrictions'!H12=0,IF(B11="","",IF(ISERROR(SUMIF('Emissions Calculation - Annual'!$B$5:$B$54,'Total Emissions'!$B11,'Emissions Calculation - Annual'!K$5:K$54)),0,SUMIF('Emissions Calculation - Annual'!$B$5:$B$54,'Total Emissions'!$B11,'Emissions Calculation - Annual'!K$5:K$54))),IF('Controls and Restrictions'!$H$6="lb/hr",'Controls and Restrictions'!$H12*(L11/Inputs!D47)/2000,'Controls and Restrictions'!$H12*'Total Emissions'!L11/2000)),H37,IF('Controls and Restrictions'!H12=0,IF(B11="","",IF(ISERROR(SUMIF('Emissions Calculation - Annual'!$B$5:$B$54,'Total Emissions'!$B11,'Emissions Calculation - Annual'!K$5:K$54)),0,SUMIF('Emissions Calculation - Annual'!$B$5:$B$54,'Total Emissions'!$B11,'Emissions Calculation - Annual'!K$5:K$54))),IF('Controls and Restrictions'!$H$6="lb/hr",'Controls and Restrictions'!$H12*(L11/Inputs!D47)/2000,'Controls and Restrictions'!$H12*'Total Emissions'!L11/2000)))</f>
        <v/>
      </c>
      <c r="I11" s="213" t="str">
        <f>IF(I37&lt;IF('Controls and Restrictions'!I12=0,IF(B11="","",IF(ISERROR(SUMIF('Emissions Calculation - Annual'!$B$5:$B$54,'Total Emissions'!$B11,'Emissions Calculation - Annual'!L$5:L$54)),0,SUMIF('Emissions Calculation - Annual'!$B$5:$B$54,'Total Emissions'!$B11,'Emissions Calculation - Annual'!L$5:L$54))),IF('Controls and Restrictions'!$I$6="lb/hr",'Controls and Restrictions'!$I12*(L11/Inputs!D47)/2000,'Controls and Restrictions'!$I12*'Total Emissions'!L11/2000)),I37,IF('Controls and Restrictions'!I12=0,IF(B11="","",IF(ISERROR(SUMIF('Emissions Calculation - Annual'!$B$5:$B$54,'Total Emissions'!$B11,'Emissions Calculation - Annual'!L$5:L$54)),0,SUMIF('Emissions Calculation - Annual'!$B$5:$B$54,'Total Emissions'!$B11,'Emissions Calculation - Annual'!L$5:L$54))),IF('Controls and Restrictions'!$I$6="lb/hr",'Controls and Restrictions'!$I12*(L11/Inputs!D47)/2000,'Controls and Restrictions'!$I12*'Total Emissions'!L11/2000)))</f>
        <v/>
      </c>
      <c r="L11" s="322" t="str">
        <f>IF(B11="","",SUMIF('Emissions Calculation - Annual'!$B$5:$B$54,'Total Emissions'!$B11,'Emissions Calculation - Annual'!E$5:E$54))</f>
        <v/>
      </c>
    </row>
    <row r="12" spans="1:12" x14ac:dyDescent="0.25">
      <c r="A12" s="54"/>
      <c r="B12" s="310" t="str">
        <f>IF(Inputs!B48="","",Inputs!B48)</f>
        <v/>
      </c>
      <c r="C12" s="309" t="str">
        <f>IF(Inputs!C48="","",Inputs!C48)</f>
        <v/>
      </c>
      <c r="D12" s="212" t="str">
        <f>IF(D38&lt;IF('Controls and Restrictions'!D13=0,IF(B12="","",IF(ISERROR(SUMIF('Emissions Calculation - Annual'!$B$5:$B$54,'Total Emissions'!$B12,'Emissions Calculation - Annual'!F$5:F$54)),0,SUMIF('Emissions Calculation - Annual'!$B$5:$B$54,'Total Emissions'!$B12,'Emissions Calculation - Annual'!F$5:F$54))),IF('Controls and Restrictions'!$D$6="lb/hr",'Controls and Restrictions'!$D13*(L12/Inputs!D48)/2000,'Controls and Restrictions'!$D13*'Total Emissions'!L12/2000)),D38,IF('Controls and Restrictions'!D13=0,IF(B12="","",IF(ISERROR(SUMIF('Emissions Calculation - Annual'!$B$5:$B$54,'Total Emissions'!$B12,'Emissions Calculation - Annual'!F$5:F$54)),0,SUMIF('Emissions Calculation - Annual'!$B$5:$B$54,'Total Emissions'!$B12,'Emissions Calculation - Annual'!F$5:F$54))),IF('Controls and Restrictions'!$D$6="lb/hr",'Controls and Restrictions'!$D13*(L12/Inputs!D48)/2000,'Controls and Restrictions'!$D13*'Total Emissions'!L12/2000)))</f>
        <v/>
      </c>
      <c r="E12" s="212" t="str">
        <f>IF(E38&lt;IF('Controls and Restrictions'!E13=0,IF(B12="","",IF(ISERROR(SUMIF('Emissions Calculation - Annual'!$B$5:$B$54,'Total Emissions'!$B12,'Emissions Calculation - Annual'!G$5:G$54)),0,SUMIF('Emissions Calculation - Annual'!$B$5:$B$54,'Total Emissions'!$B12,'Emissions Calculation - Annual'!G$5:G$54))),IF('Controls and Restrictions'!$E$6="lb/hr",'Controls and Restrictions'!$E13*(L12/Inputs!D48)/2000,'Controls and Restrictions'!$E13*'Total Emissions'!L12/2000)),E38,IF('Controls and Restrictions'!E13=0,IF(B12="","",IF(ISERROR(SUMIF('Emissions Calculation - Annual'!$B$5:$B$54,'Total Emissions'!$B12,'Emissions Calculation - Annual'!G$5:G$54)),0,SUMIF('Emissions Calculation - Annual'!$B$5:$B$54,'Total Emissions'!$B12,'Emissions Calculation - Annual'!G$5:G$54))),IF('Controls and Restrictions'!$E$6="lb/hr",'Controls and Restrictions'!$E13*(L12/Inputs!D48)/2000,'Controls and Restrictions'!$E13*'Total Emissions'!L12/2000)))</f>
        <v/>
      </c>
      <c r="F12" s="212" t="str">
        <f>IF(F38&lt;IF('Controls and Restrictions'!F13=0,IF(B12="","",IF(ISERROR(SUMIF('Emissions Calculation - Annual'!$B$5:$B$54,'Total Emissions'!$B12,'Emissions Calculation - Annual'!H$5:H$54)),0,SUMIF('Emissions Calculation - Annual'!$B$5:$B$54,'Total Emissions'!$B12,'Emissions Calculation - Annual'!H$5:H$54))),IF('Controls and Restrictions'!$F$6="lb/hr",'Controls and Restrictions'!$F13*(L12/Inputs!D48)/2000,'Controls and Restrictions'!$F13*'Total Emissions'!L12/2000)),F38,IF('Controls and Restrictions'!F13=0,IF(B12="","",IF(ISERROR(SUMIF('Emissions Calculation - Annual'!$B$5:$B$54,'Total Emissions'!$B12,'Emissions Calculation - Annual'!H$5:H$54)),0,SUMIF('Emissions Calculation - Annual'!$B$5:$B$54,'Total Emissions'!$B12,'Emissions Calculation - Annual'!H$5:H$54))),IF('Controls and Restrictions'!$F$6="lb/hr",'Controls and Restrictions'!$F13*(L12/Inputs!D48)/2000,'Controls and Restrictions'!$F13*'Total Emissions'!L12/2000)))</f>
        <v/>
      </c>
      <c r="G12" s="212" t="str">
        <f>IF(G38&lt;IF('Controls and Restrictions'!G13=0,IF(B12="","",IF(ISERROR(SUMIF('Emissions Calculation - Annual'!$B$5:$B$54,'Total Emissions'!$B12,'Emissions Calculation - Annual'!I$5:I$54)),0,SUMIF('Emissions Calculation - Annual'!$B$5:$B$54,'Total Emissions'!$B12,'Emissions Calculation - Annual'!I$5:I$54))),IF('Controls and Restrictions'!$G$6="lb/hr",'Controls and Restrictions'!$G13*(L12/Inputs!D48)/2000,'Controls and Restrictions'!$G13*'Total Emissions'!L12/2000)),G38,IF('Controls and Restrictions'!G13=0,IF(B12="","",IF(ISERROR(SUMIF('Emissions Calculation - Annual'!$B$5:$B$54,'Total Emissions'!$B12,'Emissions Calculation - Annual'!I$5:I$54)),0,SUMIF('Emissions Calculation - Annual'!$B$5:$B$54,'Total Emissions'!$B12,'Emissions Calculation - Annual'!I$5:I$54))),IF('Controls and Restrictions'!$G$6="lb/hr",'Controls and Restrictions'!$G13*(L12/Inputs!D48)/2000,'Controls and Restrictions'!$G13*'Total Emissions'!L12/2000)))</f>
        <v/>
      </c>
      <c r="H12" s="212" t="str">
        <f>IF(H38&lt;IF('Controls and Restrictions'!H13=0,IF(B12="","",IF(ISERROR(SUMIF('Emissions Calculation - Annual'!$B$5:$B$54,'Total Emissions'!$B12,'Emissions Calculation - Annual'!K$5:K$54)),0,SUMIF('Emissions Calculation - Annual'!$B$5:$B$54,'Total Emissions'!$B12,'Emissions Calculation - Annual'!K$5:K$54))),IF('Controls and Restrictions'!$H$6="lb/hr",'Controls and Restrictions'!$H13*(L12/Inputs!D48)/2000,'Controls and Restrictions'!$H13*'Total Emissions'!L12/2000)),H38,IF('Controls and Restrictions'!H13=0,IF(B12="","",IF(ISERROR(SUMIF('Emissions Calculation - Annual'!$B$5:$B$54,'Total Emissions'!$B12,'Emissions Calculation - Annual'!K$5:K$54)),0,SUMIF('Emissions Calculation - Annual'!$B$5:$B$54,'Total Emissions'!$B12,'Emissions Calculation - Annual'!K$5:K$54))),IF('Controls and Restrictions'!$H$6="lb/hr",'Controls and Restrictions'!$H13*(L12/Inputs!D48)/2000,'Controls and Restrictions'!$H13*'Total Emissions'!L12/2000)))</f>
        <v/>
      </c>
      <c r="I12" s="213" t="str">
        <f>IF(I38&lt;IF('Controls and Restrictions'!I13=0,IF(B12="","",IF(ISERROR(SUMIF('Emissions Calculation - Annual'!$B$5:$B$54,'Total Emissions'!$B12,'Emissions Calculation - Annual'!L$5:L$54)),0,SUMIF('Emissions Calculation - Annual'!$B$5:$B$54,'Total Emissions'!$B12,'Emissions Calculation - Annual'!L$5:L$54))),IF('Controls and Restrictions'!$I$6="lb/hr",'Controls and Restrictions'!$I13*(L12/Inputs!D48)/2000,'Controls and Restrictions'!$I13*'Total Emissions'!L12/2000)),I38,IF('Controls and Restrictions'!I13=0,IF(B12="","",IF(ISERROR(SUMIF('Emissions Calculation - Annual'!$B$5:$B$54,'Total Emissions'!$B12,'Emissions Calculation - Annual'!L$5:L$54)),0,SUMIF('Emissions Calculation - Annual'!$B$5:$B$54,'Total Emissions'!$B12,'Emissions Calculation - Annual'!L$5:L$54))),IF('Controls and Restrictions'!$I$6="lb/hr",'Controls and Restrictions'!$I13*(L12/Inputs!D48)/2000,'Controls and Restrictions'!$I13*'Total Emissions'!L12/2000)))</f>
        <v/>
      </c>
      <c r="L12" s="322" t="str">
        <f>IF(B12="","",SUMIF('Emissions Calculation - Annual'!$B$5:$B$54,'Total Emissions'!$B12,'Emissions Calculation - Annual'!E$5:E$54))</f>
        <v/>
      </c>
    </row>
    <row r="13" spans="1:12" x14ac:dyDescent="0.25">
      <c r="A13" s="54"/>
      <c r="B13" s="310" t="str">
        <f>IF(Inputs!B49="","",Inputs!B49)</f>
        <v/>
      </c>
      <c r="C13" s="309" t="str">
        <f>IF(Inputs!C49="","",Inputs!C49)</f>
        <v/>
      </c>
      <c r="D13" s="212" t="str">
        <f>IF(D39&lt;IF('Controls and Restrictions'!D14=0,IF(B13="","",IF(ISERROR(SUMIF('Emissions Calculation - Annual'!$B$5:$B$54,'Total Emissions'!$B13,'Emissions Calculation - Annual'!F$5:F$54)),0,SUMIF('Emissions Calculation - Annual'!$B$5:$B$54,'Total Emissions'!$B13,'Emissions Calculation - Annual'!F$5:F$54))),IF('Controls and Restrictions'!$D$6="lb/hr",'Controls and Restrictions'!$D14*(L13/Inputs!D49)/2000,'Controls and Restrictions'!$D14*'Total Emissions'!L13/2000)),D39,IF('Controls and Restrictions'!D14=0,IF(B13="","",IF(ISERROR(SUMIF('Emissions Calculation - Annual'!$B$5:$B$54,'Total Emissions'!$B13,'Emissions Calculation - Annual'!F$5:F$54)),0,SUMIF('Emissions Calculation - Annual'!$B$5:$B$54,'Total Emissions'!$B13,'Emissions Calculation - Annual'!F$5:F$54))),IF('Controls and Restrictions'!$D$6="lb/hr",'Controls and Restrictions'!$D14*(L13/Inputs!D49)/2000,'Controls and Restrictions'!$D14*'Total Emissions'!L13/2000)))</f>
        <v/>
      </c>
      <c r="E13" s="212" t="str">
        <f>IF(E39&lt;IF('Controls and Restrictions'!E14=0,IF(B13="","",IF(ISERROR(SUMIF('Emissions Calculation - Annual'!$B$5:$B$54,'Total Emissions'!$B13,'Emissions Calculation - Annual'!G$5:G$54)),0,SUMIF('Emissions Calculation - Annual'!$B$5:$B$54,'Total Emissions'!$B13,'Emissions Calculation - Annual'!G$5:G$54))),IF('Controls and Restrictions'!$E$6="lb/hr",'Controls and Restrictions'!$E14*(L13/Inputs!D49)/2000,'Controls and Restrictions'!$E14*'Total Emissions'!L13/2000)),E39,IF('Controls and Restrictions'!E14=0,IF(B13="","",IF(ISERROR(SUMIF('Emissions Calculation - Annual'!$B$5:$B$54,'Total Emissions'!$B13,'Emissions Calculation - Annual'!G$5:G$54)),0,SUMIF('Emissions Calculation - Annual'!$B$5:$B$54,'Total Emissions'!$B13,'Emissions Calculation - Annual'!G$5:G$54))),IF('Controls and Restrictions'!$E$6="lb/hr",'Controls and Restrictions'!$E14*(L13/Inputs!D49)/2000,'Controls and Restrictions'!$E14*'Total Emissions'!L13/2000)))</f>
        <v/>
      </c>
      <c r="F13" s="212" t="str">
        <f>IF(F39&lt;IF('Controls and Restrictions'!F14=0,IF(B13="","",IF(ISERROR(SUMIF('Emissions Calculation - Annual'!$B$5:$B$54,'Total Emissions'!$B13,'Emissions Calculation - Annual'!H$5:H$54)),0,SUMIF('Emissions Calculation - Annual'!$B$5:$B$54,'Total Emissions'!$B13,'Emissions Calculation - Annual'!H$5:H$54))),IF('Controls and Restrictions'!$F$6="lb/hr",'Controls and Restrictions'!$F14*(L13/Inputs!D49)/2000,'Controls and Restrictions'!$F14*'Total Emissions'!L13/2000)),F39,IF('Controls and Restrictions'!F14=0,IF(B13="","",IF(ISERROR(SUMIF('Emissions Calculation - Annual'!$B$5:$B$54,'Total Emissions'!$B13,'Emissions Calculation - Annual'!H$5:H$54)),0,SUMIF('Emissions Calculation - Annual'!$B$5:$B$54,'Total Emissions'!$B13,'Emissions Calculation - Annual'!H$5:H$54))),IF('Controls and Restrictions'!$F$6="lb/hr",'Controls and Restrictions'!$F14*(L13/Inputs!D49)/2000,'Controls and Restrictions'!$F14*'Total Emissions'!L13/2000)))</f>
        <v/>
      </c>
      <c r="G13" s="212" t="str">
        <f>IF(G39&lt;IF('Controls and Restrictions'!G14=0,IF(B13="","",IF(ISERROR(SUMIF('Emissions Calculation - Annual'!$B$5:$B$54,'Total Emissions'!$B13,'Emissions Calculation - Annual'!I$5:I$54)),0,SUMIF('Emissions Calculation - Annual'!$B$5:$B$54,'Total Emissions'!$B13,'Emissions Calculation - Annual'!I$5:I$54))),IF('Controls and Restrictions'!$G$6="lb/hr",'Controls and Restrictions'!$G14*(L13/Inputs!D49)/2000,'Controls and Restrictions'!$G14*'Total Emissions'!L13/2000)),G39,IF('Controls and Restrictions'!G14=0,IF(B13="","",IF(ISERROR(SUMIF('Emissions Calculation - Annual'!$B$5:$B$54,'Total Emissions'!$B13,'Emissions Calculation - Annual'!I$5:I$54)),0,SUMIF('Emissions Calculation - Annual'!$B$5:$B$54,'Total Emissions'!$B13,'Emissions Calculation - Annual'!I$5:I$54))),IF('Controls and Restrictions'!$G$6="lb/hr",'Controls and Restrictions'!$G14*(L13/Inputs!D49)/2000,'Controls and Restrictions'!$G14*'Total Emissions'!L13/2000)))</f>
        <v/>
      </c>
      <c r="H13" s="212" t="str">
        <f>IF(H39&lt;IF('Controls and Restrictions'!H14=0,IF(B13="","",IF(ISERROR(SUMIF('Emissions Calculation - Annual'!$B$5:$B$54,'Total Emissions'!$B13,'Emissions Calculation - Annual'!K$5:K$54)),0,SUMIF('Emissions Calculation - Annual'!$B$5:$B$54,'Total Emissions'!$B13,'Emissions Calculation - Annual'!K$5:K$54))),IF('Controls and Restrictions'!$H$6="lb/hr",'Controls and Restrictions'!$H14*(L13/Inputs!D49)/2000,'Controls and Restrictions'!$H14*'Total Emissions'!L13/2000)),H39,IF('Controls and Restrictions'!H14=0,IF(B13="","",IF(ISERROR(SUMIF('Emissions Calculation - Annual'!$B$5:$B$54,'Total Emissions'!$B13,'Emissions Calculation - Annual'!K$5:K$54)),0,SUMIF('Emissions Calculation - Annual'!$B$5:$B$54,'Total Emissions'!$B13,'Emissions Calculation - Annual'!K$5:K$54))),IF('Controls and Restrictions'!$H$6="lb/hr",'Controls and Restrictions'!$H14*(L13/Inputs!D49)/2000,'Controls and Restrictions'!$H14*'Total Emissions'!L13/2000)))</f>
        <v/>
      </c>
      <c r="I13" s="213" t="str">
        <f>IF(I39&lt;IF('Controls and Restrictions'!I14=0,IF(B13="","",IF(ISERROR(SUMIF('Emissions Calculation - Annual'!$B$5:$B$54,'Total Emissions'!$B13,'Emissions Calculation - Annual'!L$5:L$54)),0,SUMIF('Emissions Calculation - Annual'!$B$5:$B$54,'Total Emissions'!$B13,'Emissions Calculation - Annual'!L$5:L$54))),IF('Controls and Restrictions'!$I$6="lb/hr",'Controls and Restrictions'!$I14*(L13/Inputs!D49)/2000,'Controls and Restrictions'!$I14*'Total Emissions'!L13/2000)),I39,IF('Controls and Restrictions'!I14=0,IF(B13="","",IF(ISERROR(SUMIF('Emissions Calculation - Annual'!$B$5:$B$54,'Total Emissions'!$B13,'Emissions Calculation - Annual'!L$5:L$54)),0,SUMIF('Emissions Calculation - Annual'!$B$5:$B$54,'Total Emissions'!$B13,'Emissions Calculation - Annual'!L$5:L$54))),IF('Controls and Restrictions'!$I$6="lb/hr",'Controls and Restrictions'!$I14*(L13/Inputs!D49)/2000,'Controls and Restrictions'!$I14*'Total Emissions'!L13/2000)))</f>
        <v/>
      </c>
      <c r="L13" s="322" t="str">
        <f>IF(B13="","",SUMIF('Emissions Calculation - Annual'!$B$5:$B$54,'Total Emissions'!$B13,'Emissions Calculation - Annual'!E$5:E$54))</f>
        <v/>
      </c>
    </row>
    <row r="14" spans="1:12" x14ac:dyDescent="0.25">
      <c r="A14" s="54"/>
      <c r="B14" s="310" t="str">
        <f>IF(Inputs!B50="","",Inputs!B50)</f>
        <v/>
      </c>
      <c r="C14" s="309" t="str">
        <f>IF(Inputs!C50="","",Inputs!C50)</f>
        <v/>
      </c>
      <c r="D14" s="212" t="str">
        <f>IF(D40&lt;IF('Controls and Restrictions'!D15=0,IF(B14="","",IF(ISERROR(SUMIF('Emissions Calculation - Annual'!$B$5:$B$54,'Total Emissions'!$B14,'Emissions Calculation - Annual'!F$5:F$54)),0,SUMIF('Emissions Calculation - Annual'!$B$5:$B$54,'Total Emissions'!$B14,'Emissions Calculation - Annual'!F$5:F$54))),IF('Controls and Restrictions'!$D$6="lb/hr",'Controls and Restrictions'!$D15*(L14/Inputs!D50)/2000,'Controls and Restrictions'!$D15*'Total Emissions'!L14/2000)),D40,IF('Controls and Restrictions'!D15=0,IF(B14="","",IF(ISERROR(SUMIF('Emissions Calculation - Annual'!$B$5:$B$54,'Total Emissions'!$B14,'Emissions Calculation - Annual'!F$5:F$54)),0,SUMIF('Emissions Calculation - Annual'!$B$5:$B$54,'Total Emissions'!$B14,'Emissions Calculation - Annual'!F$5:F$54))),IF('Controls and Restrictions'!$D$6="lb/hr",'Controls and Restrictions'!$D15*(L14/Inputs!D50)/2000,'Controls and Restrictions'!$D15*'Total Emissions'!L14/2000)))</f>
        <v/>
      </c>
      <c r="E14" s="212" t="str">
        <f>IF(E40&lt;IF('Controls and Restrictions'!E15=0,IF(B14="","",IF(ISERROR(SUMIF('Emissions Calculation - Annual'!$B$5:$B$54,'Total Emissions'!$B14,'Emissions Calculation - Annual'!G$5:G$54)),0,SUMIF('Emissions Calculation - Annual'!$B$5:$B$54,'Total Emissions'!$B14,'Emissions Calculation - Annual'!G$5:G$54))),IF('Controls and Restrictions'!$E$6="lb/hr",'Controls and Restrictions'!$E15*(L14/Inputs!D50)/2000,'Controls and Restrictions'!$E15*'Total Emissions'!L14/2000)),E40,IF('Controls and Restrictions'!E15=0,IF(B14="","",IF(ISERROR(SUMIF('Emissions Calculation - Annual'!$B$5:$B$54,'Total Emissions'!$B14,'Emissions Calculation - Annual'!G$5:G$54)),0,SUMIF('Emissions Calculation - Annual'!$B$5:$B$54,'Total Emissions'!$B14,'Emissions Calculation - Annual'!G$5:G$54))),IF('Controls and Restrictions'!$E$6="lb/hr",'Controls and Restrictions'!$E15*(L14/Inputs!D50)/2000,'Controls and Restrictions'!$E15*'Total Emissions'!L14/2000)))</f>
        <v/>
      </c>
      <c r="F14" s="212" t="str">
        <f>IF(F40&lt;IF('Controls and Restrictions'!F15=0,IF(B14="","",IF(ISERROR(SUMIF('Emissions Calculation - Annual'!$B$5:$B$54,'Total Emissions'!$B14,'Emissions Calculation - Annual'!H$5:H$54)),0,SUMIF('Emissions Calculation - Annual'!$B$5:$B$54,'Total Emissions'!$B14,'Emissions Calculation - Annual'!H$5:H$54))),IF('Controls and Restrictions'!$F$6="lb/hr",'Controls and Restrictions'!$F15*(L14/Inputs!D50)/2000,'Controls and Restrictions'!$F15*'Total Emissions'!L14/2000)),F40,IF('Controls and Restrictions'!F15=0,IF(B14="","",IF(ISERROR(SUMIF('Emissions Calculation - Annual'!$B$5:$B$54,'Total Emissions'!$B14,'Emissions Calculation - Annual'!H$5:H$54)),0,SUMIF('Emissions Calculation - Annual'!$B$5:$B$54,'Total Emissions'!$B14,'Emissions Calculation - Annual'!H$5:H$54))),IF('Controls and Restrictions'!$F$6="lb/hr",'Controls and Restrictions'!$F15*(L14/Inputs!D50)/2000,'Controls and Restrictions'!$F15*'Total Emissions'!L14/2000)))</f>
        <v/>
      </c>
      <c r="G14" s="212" t="str">
        <f>IF(G40&lt;IF('Controls and Restrictions'!G15=0,IF(B14="","",IF(ISERROR(SUMIF('Emissions Calculation - Annual'!$B$5:$B$54,'Total Emissions'!$B14,'Emissions Calculation - Annual'!I$5:I$54)),0,SUMIF('Emissions Calculation - Annual'!$B$5:$B$54,'Total Emissions'!$B14,'Emissions Calculation - Annual'!I$5:I$54))),IF('Controls and Restrictions'!$G$6="lb/hr",'Controls and Restrictions'!$G15*(L14/Inputs!D50)/2000,'Controls and Restrictions'!$G15*'Total Emissions'!L14/2000)),G40,IF('Controls and Restrictions'!G15=0,IF(B14="","",IF(ISERROR(SUMIF('Emissions Calculation - Annual'!$B$5:$B$54,'Total Emissions'!$B14,'Emissions Calculation - Annual'!I$5:I$54)),0,SUMIF('Emissions Calculation - Annual'!$B$5:$B$54,'Total Emissions'!$B14,'Emissions Calculation - Annual'!I$5:I$54))),IF('Controls and Restrictions'!$G$6="lb/hr",'Controls and Restrictions'!$G15*(L14/Inputs!D50)/2000,'Controls and Restrictions'!$G15*'Total Emissions'!L14/2000)))</f>
        <v/>
      </c>
      <c r="H14" s="212" t="str">
        <f>IF(H40&lt;IF('Controls and Restrictions'!H15=0,IF(B14="","",IF(ISERROR(SUMIF('Emissions Calculation - Annual'!$B$5:$B$54,'Total Emissions'!$B14,'Emissions Calculation - Annual'!K$5:K$54)),0,SUMIF('Emissions Calculation - Annual'!$B$5:$B$54,'Total Emissions'!$B14,'Emissions Calculation - Annual'!K$5:K$54))),IF('Controls and Restrictions'!$H$6="lb/hr",'Controls and Restrictions'!$H15*(L14/Inputs!D50)/2000,'Controls and Restrictions'!$H15*'Total Emissions'!L14/2000)),H40,IF('Controls and Restrictions'!H15=0,IF(B14="","",IF(ISERROR(SUMIF('Emissions Calculation - Annual'!$B$5:$B$54,'Total Emissions'!$B14,'Emissions Calculation - Annual'!K$5:K$54)),0,SUMIF('Emissions Calculation - Annual'!$B$5:$B$54,'Total Emissions'!$B14,'Emissions Calculation - Annual'!K$5:K$54))),IF('Controls and Restrictions'!$H$6="lb/hr",'Controls and Restrictions'!$H15*(L14/Inputs!D50)/2000,'Controls and Restrictions'!$H15*'Total Emissions'!L14/2000)))</f>
        <v/>
      </c>
      <c r="I14" s="213" t="str">
        <f>IF(I40&lt;IF('Controls and Restrictions'!I15=0,IF(B14="","",IF(ISERROR(SUMIF('Emissions Calculation - Annual'!$B$5:$B$54,'Total Emissions'!$B14,'Emissions Calculation - Annual'!L$5:L$54)),0,SUMIF('Emissions Calculation - Annual'!$B$5:$B$54,'Total Emissions'!$B14,'Emissions Calculation - Annual'!L$5:L$54))),IF('Controls and Restrictions'!$I$6="lb/hr",'Controls and Restrictions'!$I15*(L14/Inputs!D50)/2000,'Controls and Restrictions'!$I15*'Total Emissions'!L14/2000)),I40,IF('Controls and Restrictions'!I15=0,IF(B14="","",IF(ISERROR(SUMIF('Emissions Calculation - Annual'!$B$5:$B$54,'Total Emissions'!$B14,'Emissions Calculation - Annual'!L$5:L$54)),0,SUMIF('Emissions Calculation - Annual'!$B$5:$B$54,'Total Emissions'!$B14,'Emissions Calculation - Annual'!L$5:L$54))),IF('Controls and Restrictions'!$I$6="lb/hr",'Controls and Restrictions'!$I15*(L14/Inputs!D50)/2000,'Controls and Restrictions'!$I15*'Total Emissions'!L14/2000)))</f>
        <v/>
      </c>
      <c r="L14" s="322" t="str">
        <f>IF(B14="","",SUMIF('Emissions Calculation - Annual'!$B$5:$B$54,'Total Emissions'!$B14,'Emissions Calculation - Annual'!E$5:E$54))</f>
        <v/>
      </c>
    </row>
    <row r="15" spans="1:12" x14ac:dyDescent="0.25">
      <c r="A15" s="54"/>
      <c r="B15" s="310" t="str">
        <f>IF(Inputs!B51="","",Inputs!B51)</f>
        <v/>
      </c>
      <c r="C15" s="309" t="str">
        <f>IF(Inputs!C51="","",Inputs!C51)</f>
        <v/>
      </c>
      <c r="D15" s="212" t="str">
        <f>IF(D41&lt;IF('Controls and Restrictions'!D16=0,IF(B15="","",IF(ISERROR(SUMIF('Emissions Calculation - Annual'!$B$5:$B$54,'Total Emissions'!$B15,'Emissions Calculation - Annual'!F$5:F$54)),0,SUMIF('Emissions Calculation - Annual'!$B$5:$B$54,'Total Emissions'!$B15,'Emissions Calculation - Annual'!F$5:F$54))),IF('Controls and Restrictions'!$D$6="lb/hr",'Controls and Restrictions'!$D16*(L15/Inputs!D51)/2000,'Controls and Restrictions'!$D16*'Total Emissions'!L15/2000)),D41,IF('Controls and Restrictions'!D16=0,IF(B15="","",IF(ISERROR(SUMIF('Emissions Calculation - Annual'!$B$5:$B$54,'Total Emissions'!$B15,'Emissions Calculation - Annual'!F$5:F$54)),0,SUMIF('Emissions Calculation - Annual'!$B$5:$B$54,'Total Emissions'!$B15,'Emissions Calculation - Annual'!F$5:F$54))),IF('Controls and Restrictions'!$D$6="lb/hr",'Controls and Restrictions'!$D16*(L15/Inputs!D51)/2000,'Controls and Restrictions'!$D16*'Total Emissions'!L15/2000)))</f>
        <v/>
      </c>
      <c r="E15" s="212" t="str">
        <f>IF(E41&lt;IF('Controls and Restrictions'!E16=0,IF(B15="","",IF(ISERROR(SUMIF('Emissions Calculation - Annual'!$B$5:$B$54,'Total Emissions'!$B15,'Emissions Calculation - Annual'!G$5:G$54)),0,SUMIF('Emissions Calculation - Annual'!$B$5:$B$54,'Total Emissions'!$B15,'Emissions Calculation - Annual'!G$5:G$54))),IF('Controls and Restrictions'!$E$6="lb/hr",'Controls and Restrictions'!$E16*(L15/Inputs!D51)/2000,'Controls and Restrictions'!$E16*'Total Emissions'!L15/2000)),E41,IF('Controls and Restrictions'!E16=0,IF(B15="","",IF(ISERROR(SUMIF('Emissions Calculation - Annual'!$B$5:$B$54,'Total Emissions'!$B15,'Emissions Calculation - Annual'!G$5:G$54)),0,SUMIF('Emissions Calculation - Annual'!$B$5:$B$54,'Total Emissions'!$B15,'Emissions Calculation - Annual'!G$5:G$54))),IF('Controls and Restrictions'!$E$6="lb/hr",'Controls and Restrictions'!$E16*(L15/Inputs!D51)/2000,'Controls and Restrictions'!$E16*'Total Emissions'!L15/2000)))</f>
        <v/>
      </c>
      <c r="F15" s="212" t="str">
        <f>IF(F41&lt;IF('Controls and Restrictions'!F16=0,IF(B15="","",IF(ISERROR(SUMIF('Emissions Calculation - Annual'!$B$5:$B$54,'Total Emissions'!$B15,'Emissions Calculation - Annual'!H$5:H$54)),0,SUMIF('Emissions Calculation - Annual'!$B$5:$B$54,'Total Emissions'!$B15,'Emissions Calculation - Annual'!H$5:H$54))),IF('Controls and Restrictions'!$F$6="lb/hr",'Controls and Restrictions'!$F16*(L15/Inputs!D51)/2000,'Controls and Restrictions'!$F16*'Total Emissions'!L15/2000)),F41,IF('Controls and Restrictions'!F16=0,IF(B15="","",IF(ISERROR(SUMIF('Emissions Calculation - Annual'!$B$5:$B$54,'Total Emissions'!$B15,'Emissions Calculation - Annual'!H$5:H$54)),0,SUMIF('Emissions Calculation - Annual'!$B$5:$B$54,'Total Emissions'!$B15,'Emissions Calculation - Annual'!H$5:H$54))),IF('Controls and Restrictions'!$F$6="lb/hr",'Controls and Restrictions'!$F16*(L15/Inputs!D51)/2000,'Controls and Restrictions'!$F16*'Total Emissions'!L15/2000)))</f>
        <v/>
      </c>
      <c r="G15" s="212" t="str">
        <f>IF(G41&lt;IF('Controls and Restrictions'!G16=0,IF(B15="","",IF(ISERROR(SUMIF('Emissions Calculation - Annual'!$B$5:$B$54,'Total Emissions'!$B15,'Emissions Calculation - Annual'!I$5:I$54)),0,SUMIF('Emissions Calculation - Annual'!$B$5:$B$54,'Total Emissions'!$B15,'Emissions Calculation - Annual'!I$5:I$54))),IF('Controls and Restrictions'!$G$6="lb/hr",'Controls and Restrictions'!$G16*(L15/Inputs!D51)/2000,'Controls and Restrictions'!$G16*'Total Emissions'!L15/2000)),G41,IF('Controls and Restrictions'!G16=0,IF(B15="","",IF(ISERROR(SUMIF('Emissions Calculation - Annual'!$B$5:$B$54,'Total Emissions'!$B15,'Emissions Calculation - Annual'!I$5:I$54)),0,SUMIF('Emissions Calculation - Annual'!$B$5:$B$54,'Total Emissions'!$B15,'Emissions Calculation - Annual'!I$5:I$54))),IF('Controls and Restrictions'!$G$6="lb/hr",'Controls and Restrictions'!$G16*(L15/Inputs!D51)/2000,'Controls and Restrictions'!$G16*'Total Emissions'!L15/2000)))</f>
        <v/>
      </c>
      <c r="H15" s="212" t="str">
        <f>IF(H41&lt;IF('Controls and Restrictions'!H16=0,IF(B15="","",IF(ISERROR(SUMIF('Emissions Calculation - Annual'!$B$5:$B$54,'Total Emissions'!$B15,'Emissions Calculation - Annual'!K$5:K$54)),0,SUMIF('Emissions Calculation - Annual'!$B$5:$B$54,'Total Emissions'!$B15,'Emissions Calculation - Annual'!K$5:K$54))),IF('Controls and Restrictions'!$H$6="lb/hr",'Controls and Restrictions'!$H16*(L15/Inputs!D51)/2000,'Controls and Restrictions'!$H16*'Total Emissions'!L15/2000)),H41,IF('Controls and Restrictions'!H16=0,IF(B15="","",IF(ISERROR(SUMIF('Emissions Calculation - Annual'!$B$5:$B$54,'Total Emissions'!$B15,'Emissions Calculation - Annual'!K$5:K$54)),0,SUMIF('Emissions Calculation - Annual'!$B$5:$B$54,'Total Emissions'!$B15,'Emissions Calculation - Annual'!K$5:K$54))),IF('Controls and Restrictions'!$H$6="lb/hr",'Controls and Restrictions'!$H16*(L15/Inputs!D51)/2000,'Controls and Restrictions'!$H16*'Total Emissions'!L15/2000)))</f>
        <v/>
      </c>
      <c r="I15" s="213" t="str">
        <f>IF(I41&lt;IF('Controls and Restrictions'!I16=0,IF(B15="","",IF(ISERROR(SUMIF('Emissions Calculation - Annual'!$B$5:$B$54,'Total Emissions'!$B15,'Emissions Calculation - Annual'!L$5:L$54)),0,SUMIF('Emissions Calculation - Annual'!$B$5:$B$54,'Total Emissions'!$B15,'Emissions Calculation - Annual'!L$5:L$54))),IF('Controls and Restrictions'!$I$6="lb/hr",'Controls and Restrictions'!$I16*(L15/Inputs!D51)/2000,'Controls and Restrictions'!$I16*'Total Emissions'!L15/2000)),I41,IF('Controls and Restrictions'!I16=0,IF(B15="","",IF(ISERROR(SUMIF('Emissions Calculation - Annual'!$B$5:$B$54,'Total Emissions'!$B15,'Emissions Calculation - Annual'!L$5:L$54)),0,SUMIF('Emissions Calculation - Annual'!$B$5:$B$54,'Total Emissions'!$B15,'Emissions Calculation - Annual'!L$5:L$54))),IF('Controls and Restrictions'!$I$6="lb/hr",'Controls and Restrictions'!$I16*(L15/Inputs!D51)/2000,'Controls and Restrictions'!$I16*'Total Emissions'!L15/2000)))</f>
        <v/>
      </c>
      <c r="L15" s="322" t="str">
        <f>IF(B15="","",SUMIF('Emissions Calculation - Annual'!$B$5:$B$54,'Total Emissions'!$B15,'Emissions Calculation - Annual'!E$5:E$54))</f>
        <v/>
      </c>
    </row>
    <row r="16" spans="1:12" x14ac:dyDescent="0.25">
      <c r="A16" s="54"/>
      <c r="B16" s="310" t="str">
        <f>IF(Inputs!B52="","",Inputs!B52)</f>
        <v/>
      </c>
      <c r="C16" s="309" t="str">
        <f>IF(Inputs!C52="","",Inputs!C52)</f>
        <v/>
      </c>
      <c r="D16" s="212" t="str">
        <f>IF(D42&lt;IF('Controls and Restrictions'!D17=0,IF(B16="","",IF(ISERROR(SUMIF('Emissions Calculation - Annual'!$B$5:$B$54,'Total Emissions'!$B16,'Emissions Calculation - Annual'!F$5:F$54)),0,SUMIF('Emissions Calculation - Annual'!$B$5:$B$54,'Total Emissions'!$B16,'Emissions Calculation - Annual'!F$5:F$54))),IF('Controls and Restrictions'!$D$6="lb/hr",'Controls and Restrictions'!$D17*(L16/Inputs!D52)/2000,'Controls and Restrictions'!$D17*'Total Emissions'!L16/2000)),D42,IF('Controls and Restrictions'!D17=0,IF(B16="","",IF(ISERROR(SUMIF('Emissions Calculation - Annual'!$B$5:$B$54,'Total Emissions'!$B16,'Emissions Calculation - Annual'!F$5:F$54)),0,SUMIF('Emissions Calculation - Annual'!$B$5:$B$54,'Total Emissions'!$B16,'Emissions Calculation - Annual'!F$5:F$54))),IF('Controls and Restrictions'!$D$6="lb/hr",'Controls and Restrictions'!$D17*(L16/Inputs!D52)/2000,'Controls and Restrictions'!$D17*'Total Emissions'!L16/2000)))</f>
        <v/>
      </c>
      <c r="E16" s="212" t="str">
        <f>IF(E42&lt;IF('Controls and Restrictions'!E17=0,IF(B16="","",IF(ISERROR(SUMIF('Emissions Calculation - Annual'!$B$5:$B$54,'Total Emissions'!$B16,'Emissions Calculation - Annual'!G$5:G$54)),0,SUMIF('Emissions Calculation - Annual'!$B$5:$B$54,'Total Emissions'!$B16,'Emissions Calculation - Annual'!G$5:G$54))),IF('Controls and Restrictions'!$E$6="lb/hr",'Controls and Restrictions'!$E17*(L16/Inputs!D52)/2000,'Controls and Restrictions'!$E17*'Total Emissions'!L16/2000)),E42,IF('Controls and Restrictions'!E17=0,IF(B16="","",IF(ISERROR(SUMIF('Emissions Calculation - Annual'!$B$5:$B$54,'Total Emissions'!$B16,'Emissions Calculation - Annual'!G$5:G$54)),0,SUMIF('Emissions Calculation - Annual'!$B$5:$B$54,'Total Emissions'!$B16,'Emissions Calculation - Annual'!G$5:G$54))),IF('Controls and Restrictions'!$E$6="lb/hr",'Controls and Restrictions'!$E17*(L16/Inputs!D52)/2000,'Controls and Restrictions'!$E17*'Total Emissions'!L16/2000)))</f>
        <v/>
      </c>
      <c r="F16" s="212" t="str">
        <f>IF(F42&lt;IF('Controls and Restrictions'!F17=0,IF(B16="","",IF(ISERROR(SUMIF('Emissions Calculation - Annual'!$B$5:$B$54,'Total Emissions'!$B16,'Emissions Calculation - Annual'!H$5:H$54)),0,SUMIF('Emissions Calculation - Annual'!$B$5:$B$54,'Total Emissions'!$B16,'Emissions Calculation - Annual'!H$5:H$54))),IF('Controls and Restrictions'!$F$6="lb/hr",'Controls and Restrictions'!$F17*(L16/Inputs!D52)/2000,'Controls and Restrictions'!$F17*'Total Emissions'!L16/2000)),F42,IF('Controls and Restrictions'!F17=0,IF(B16="","",IF(ISERROR(SUMIF('Emissions Calculation - Annual'!$B$5:$B$54,'Total Emissions'!$B16,'Emissions Calculation - Annual'!H$5:H$54)),0,SUMIF('Emissions Calculation - Annual'!$B$5:$B$54,'Total Emissions'!$B16,'Emissions Calculation - Annual'!H$5:H$54))),IF('Controls and Restrictions'!$F$6="lb/hr",'Controls and Restrictions'!$F17*(L16/Inputs!D52)/2000,'Controls and Restrictions'!$F17*'Total Emissions'!L16/2000)))</f>
        <v/>
      </c>
      <c r="G16" s="212" t="str">
        <f>IF(G42&lt;IF('Controls and Restrictions'!G17=0,IF(B16="","",IF(ISERROR(SUMIF('Emissions Calculation - Annual'!$B$5:$B$54,'Total Emissions'!$B16,'Emissions Calculation - Annual'!I$5:I$54)),0,SUMIF('Emissions Calculation - Annual'!$B$5:$B$54,'Total Emissions'!$B16,'Emissions Calculation - Annual'!I$5:I$54))),IF('Controls and Restrictions'!$G$6="lb/hr",'Controls and Restrictions'!$G17*(L16/Inputs!D52)/2000,'Controls and Restrictions'!$G17*'Total Emissions'!L16/2000)),G42,IF('Controls and Restrictions'!G17=0,IF(B16="","",IF(ISERROR(SUMIF('Emissions Calculation - Annual'!$B$5:$B$54,'Total Emissions'!$B16,'Emissions Calculation - Annual'!I$5:I$54)),0,SUMIF('Emissions Calculation - Annual'!$B$5:$B$54,'Total Emissions'!$B16,'Emissions Calculation - Annual'!I$5:I$54))),IF('Controls and Restrictions'!$G$6="lb/hr",'Controls and Restrictions'!$G17*(L16/Inputs!D52)/2000,'Controls and Restrictions'!$G17*'Total Emissions'!L16/2000)))</f>
        <v/>
      </c>
      <c r="H16" s="212" t="str">
        <f>IF(H42&lt;IF('Controls and Restrictions'!H17=0,IF(B16="","",IF(ISERROR(SUMIF('Emissions Calculation - Annual'!$B$5:$B$54,'Total Emissions'!$B16,'Emissions Calculation - Annual'!K$5:K$54)),0,SUMIF('Emissions Calculation - Annual'!$B$5:$B$54,'Total Emissions'!$B16,'Emissions Calculation - Annual'!K$5:K$54))),IF('Controls and Restrictions'!$H$6="lb/hr",'Controls and Restrictions'!$H17*(L16/Inputs!D52)/2000,'Controls and Restrictions'!$H17*'Total Emissions'!L16/2000)),H42,IF('Controls and Restrictions'!H17=0,IF(B16="","",IF(ISERROR(SUMIF('Emissions Calculation - Annual'!$B$5:$B$54,'Total Emissions'!$B16,'Emissions Calculation - Annual'!K$5:K$54)),0,SUMIF('Emissions Calculation - Annual'!$B$5:$B$54,'Total Emissions'!$B16,'Emissions Calculation - Annual'!K$5:K$54))),IF('Controls and Restrictions'!$H$6="lb/hr",'Controls and Restrictions'!$H17*(L16/Inputs!D52)/2000,'Controls and Restrictions'!$H17*'Total Emissions'!L16/2000)))</f>
        <v/>
      </c>
      <c r="I16" s="213" t="str">
        <f>IF(I42&lt;IF('Controls and Restrictions'!I17=0,IF(B16="","",IF(ISERROR(SUMIF('Emissions Calculation - Annual'!$B$5:$B$54,'Total Emissions'!$B16,'Emissions Calculation - Annual'!L$5:L$54)),0,SUMIF('Emissions Calculation - Annual'!$B$5:$B$54,'Total Emissions'!$B16,'Emissions Calculation - Annual'!L$5:L$54))),IF('Controls and Restrictions'!$I$6="lb/hr",'Controls and Restrictions'!$I17*(L16/Inputs!D52)/2000,'Controls and Restrictions'!$I17*'Total Emissions'!L16/2000)),I42,IF('Controls and Restrictions'!I17=0,IF(B16="","",IF(ISERROR(SUMIF('Emissions Calculation - Annual'!$B$5:$B$54,'Total Emissions'!$B16,'Emissions Calculation - Annual'!L$5:L$54)),0,SUMIF('Emissions Calculation - Annual'!$B$5:$B$54,'Total Emissions'!$B16,'Emissions Calculation - Annual'!L$5:L$54))),IF('Controls and Restrictions'!$I$6="lb/hr",'Controls and Restrictions'!$I17*(L16/Inputs!D52)/2000,'Controls and Restrictions'!$I17*'Total Emissions'!L16/2000)))</f>
        <v/>
      </c>
      <c r="L16" s="322" t="str">
        <f>IF(B16="","",SUMIF('Emissions Calculation - Annual'!$B$5:$B$54,'Total Emissions'!$B16,'Emissions Calculation - Annual'!E$5:E$54))</f>
        <v/>
      </c>
    </row>
    <row r="17" spans="1:12" x14ac:dyDescent="0.25">
      <c r="A17" s="54"/>
      <c r="B17" s="310" t="str">
        <f>IF(Inputs!B53="","",Inputs!B53)</f>
        <v/>
      </c>
      <c r="C17" s="309" t="str">
        <f>IF(Inputs!C53="","",Inputs!C53)</f>
        <v/>
      </c>
      <c r="D17" s="212" t="str">
        <f>IF(D43&lt;IF('Controls and Restrictions'!D18=0,IF(B17="","",IF(ISERROR(SUMIF('Emissions Calculation - Annual'!$B$5:$B$54,'Total Emissions'!$B17,'Emissions Calculation - Annual'!F$5:F$54)),0,SUMIF('Emissions Calculation - Annual'!$B$5:$B$54,'Total Emissions'!$B17,'Emissions Calculation - Annual'!F$5:F$54))),IF('Controls and Restrictions'!$D$6="lb/hr",'Controls and Restrictions'!$D18*(L17/Inputs!D53)/2000,'Controls and Restrictions'!$D18*'Total Emissions'!L17/2000)),D43,IF('Controls and Restrictions'!D18=0,IF(B17="","",IF(ISERROR(SUMIF('Emissions Calculation - Annual'!$B$5:$B$54,'Total Emissions'!$B17,'Emissions Calculation - Annual'!F$5:F$54)),0,SUMIF('Emissions Calculation - Annual'!$B$5:$B$54,'Total Emissions'!$B17,'Emissions Calculation - Annual'!F$5:F$54))),IF('Controls and Restrictions'!$D$6="lb/hr",'Controls and Restrictions'!$D18*(L17/Inputs!D53)/2000,'Controls and Restrictions'!$D18*'Total Emissions'!L17/2000)))</f>
        <v/>
      </c>
      <c r="E17" s="212" t="str">
        <f>IF(E43&lt;IF('Controls and Restrictions'!E18=0,IF(B17="","",IF(ISERROR(SUMIF('Emissions Calculation - Annual'!$B$5:$B$54,'Total Emissions'!$B17,'Emissions Calculation - Annual'!G$5:G$54)),0,SUMIF('Emissions Calculation - Annual'!$B$5:$B$54,'Total Emissions'!$B17,'Emissions Calculation - Annual'!G$5:G$54))),IF('Controls and Restrictions'!$E$6="lb/hr",'Controls and Restrictions'!$E18*(L17/Inputs!D53)/2000,'Controls and Restrictions'!$E18*'Total Emissions'!L17/2000)),E43,IF('Controls and Restrictions'!E18=0,IF(B17="","",IF(ISERROR(SUMIF('Emissions Calculation - Annual'!$B$5:$B$54,'Total Emissions'!$B17,'Emissions Calculation - Annual'!G$5:G$54)),0,SUMIF('Emissions Calculation - Annual'!$B$5:$B$54,'Total Emissions'!$B17,'Emissions Calculation - Annual'!G$5:G$54))),IF('Controls and Restrictions'!$E$6="lb/hr",'Controls and Restrictions'!$E18*(L17/Inputs!D53)/2000,'Controls and Restrictions'!$E18*'Total Emissions'!L17/2000)))</f>
        <v/>
      </c>
      <c r="F17" s="212" t="str">
        <f>IF(F43&lt;IF('Controls and Restrictions'!F18=0,IF(B17="","",IF(ISERROR(SUMIF('Emissions Calculation - Annual'!$B$5:$B$54,'Total Emissions'!$B17,'Emissions Calculation - Annual'!H$5:H$54)),0,SUMIF('Emissions Calculation - Annual'!$B$5:$B$54,'Total Emissions'!$B17,'Emissions Calculation - Annual'!H$5:H$54))),IF('Controls and Restrictions'!$F$6="lb/hr",'Controls and Restrictions'!$F18*(L17/Inputs!D53)/2000,'Controls and Restrictions'!$F18*'Total Emissions'!L17/2000)),F43,IF('Controls and Restrictions'!F18=0,IF(B17="","",IF(ISERROR(SUMIF('Emissions Calculation - Annual'!$B$5:$B$54,'Total Emissions'!$B17,'Emissions Calculation - Annual'!H$5:H$54)),0,SUMIF('Emissions Calculation - Annual'!$B$5:$B$54,'Total Emissions'!$B17,'Emissions Calculation - Annual'!H$5:H$54))),IF('Controls and Restrictions'!$F$6="lb/hr",'Controls and Restrictions'!$F18*(L17/Inputs!D53)/2000,'Controls and Restrictions'!$F18*'Total Emissions'!L17/2000)))</f>
        <v/>
      </c>
      <c r="G17" s="212" t="str">
        <f>IF(G43&lt;IF('Controls and Restrictions'!G18=0,IF(B17="","",IF(ISERROR(SUMIF('Emissions Calculation - Annual'!$B$5:$B$54,'Total Emissions'!$B17,'Emissions Calculation - Annual'!I$5:I$54)),0,SUMIF('Emissions Calculation - Annual'!$B$5:$B$54,'Total Emissions'!$B17,'Emissions Calculation - Annual'!I$5:I$54))),IF('Controls and Restrictions'!$G$6="lb/hr",'Controls and Restrictions'!$G18*(L17/Inputs!D53)/2000,'Controls and Restrictions'!$G18*'Total Emissions'!L17/2000)),G43,IF('Controls and Restrictions'!G18=0,IF(B17="","",IF(ISERROR(SUMIF('Emissions Calculation - Annual'!$B$5:$B$54,'Total Emissions'!$B17,'Emissions Calculation - Annual'!I$5:I$54)),0,SUMIF('Emissions Calculation - Annual'!$B$5:$B$54,'Total Emissions'!$B17,'Emissions Calculation - Annual'!I$5:I$54))),IF('Controls and Restrictions'!$G$6="lb/hr",'Controls and Restrictions'!$G18*(L17/Inputs!D53)/2000,'Controls and Restrictions'!$G18*'Total Emissions'!L17/2000)))</f>
        <v/>
      </c>
      <c r="H17" s="212" t="str">
        <f>IF(H43&lt;IF('Controls and Restrictions'!H18=0,IF(B17="","",IF(ISERROR(SUMIF('Emissions Calculation - Annual'!$B$5:$B$54,'Total Emissions'!$B17,'Emissions Calculation - Annual'!K$5:K$54)),0,SUMIF('Emissions Calculation - Annual'!$B$5:$B$54,'Total Emissions'!$B17,'Emissions Calculation - Annual'!K$5:K$54))),IF('Controls and Restrictions'!$H$6="lb/hr",'Controls and Restrictions'!$H18*(L17/Inputs!D53)/2000,'Controls and Restrictions'!$H18*'Total Emissions'!L17/2000)),H43,IF('Controls and Restrictions'!H18=0,IF(B17="","",IF(ISERROR(SUMIF('Emissions Calculation - Annual'!$B$5:$B$54,'Total Emissions'!$B17,'Emissions Calculation - Annual'!K$5:K$54)),0,SUMIF('Emissions Calculation - Annual'!$B$5:$B$54,'Total Emissions'!$B17,'Emissions Calculation - Annual'!K$5:K$54))),IF('Controls and Restrictions'!$H$6="lb/hr",'Controls and Restrictions'!$H18*(L17/Inputs!D53)/2000,'Controls and Restrictions'!$H18*'Total Emissions'!L17/2000)))</f>
        <v/>
      </c>
      <c r="I17" s="213" t="str">
        <f>IF(I43&lt;IF('Controls and Restrictions'!I18=0,IF(B17="","",IF(ISERROR(SUMIF('Emissions Calculation - Annual'!$B$5:$B$54,'Total Emissions'!$B17,'Emissions Calculation - Annual'!L$5:L$54)),0,SUMIF('Emissions Calculation - Annual'!$B$5:$B$54,'Total Emissions'!$B17,'Emissions Calculation - Annual'!L$5:L$54))),IF('Controls and Restrictions'!$I$6="lb/hr",'Controls and Restrictions'!$I18*(L17/Inputs!D53)/2000,'Controls and Restrictions'!$I18*'Total Emissions'!L17/2000)),I43,IF('Controls and Restrictions'!I18=0,IF(B17="","",IF(ISERROR(SUMIF('Emissions Calculation - Annual'!$B$5:$B$54,'Total Emissions'!$B17,'Emissions Calculation - Annual'!L$5:L$54)),0,SUMIF('Emissions Calculation - Annual'!$B$5:$B$54,'Total Emissions'!$B17,'Emissions Calculation - Annual'!L$5:L$54))),IF('Controls and Restrictions'!$I$6="lb/hr",'Controls and Restrictions'!$I18*(L17/Inputs!D53)/2000,'Controls and Restrictions'!$I18*'Total Emissions'!L17/2000)))</f>
        <v/>
      </c>
      <c r="L17" s="322" t="str">
        <f>IF(B17="","",SUMIF('Emissions Calculation - Annual'!$B$5:$B$54,'Total Emissions'!$B17,'Emissions Calculation - Annual'!E$5:E$54))</f>
        <v/>
      </c>
    </row>
    <row r="18" spans="1:12" x14ac:dyDescent="0.25">
      <c r="A18" s="54"/>
      <c r="B18" s="310" t="str">
        <f>IF(Inputs!B54="","",Inputs!B54)</f>
        <v/>
      </c>
      <c r="C18" s="309" t="str">
        <f>IF(Inputs!C54="","",Inputs!C54)</f>
        <v/>
      </c>
      <c r="D18" s="212" t="str">
        <f>IF(D44&lt;IF('Controls and Restrictions'!D19=0,IF(B18="","",IF(ISERROR(SUMIF('Emissions Calculation - Annual'!$B$5:$B$54,'Total Emissions'!$B18,'Emissions Calculation - Annual'!F$5:F$54)),0,SUMIF('Emissions Calculation - Annual'!$B$5:$B$54,'Total Emissions'!$B18,'Emissions Calculation - Annual'!F$5:F$54))),IF('Controls and Restrictions'!$D$6="lb/hr",'Controls and Restrictions'!$D19*(L18/Inputs!D54)/2000,'Controls and Restrictions'!$D19*'Total Emissions'!L18/2000)),D44,IF('Controls and Restrictions'!D19=0,IF(B18="","",IF(ISERROR(SUMIF('Emissions Calculation - Annual'!$B$5:$B$54,'Total Emissions'!$B18,'Emissions Calculation - Annual'!F$5:F$54)),0,SUMIF('Emissions Calculation - Annual'!$B$5:$B$54,'Total Emissions'!$B18,'Emissions Calculation - Annual'!F$5:F$54))),IF('Controls and Restrictions'!$D$6="lb/hr",'Controls and Restrictions'!$D19*(L18/Inputs!D54)/2000,'Controls and Restrictions'!$D19*'Total Emissions'!L18/2000)))</f>
        <v/>
      </c>
      <c r="E18" s="212" t="str">
        <f>IF(E44&lt;IF('Controls and Restrictions'!E19=0,IF(B18="","",IF(ISERROR(SUMIF('Emissions Calculation - Annual'!$B$5:$B$54,'Total Emissions'!$B18,'Emissions Calculation - Annual'!G$5:G$54)),0,SUMIF('Emissions Calculation - Annual'!$B$5:$B$54,'Total Emissions'!$B18,'Emissions Calculation - Annual'!G$5:G$54))),IF('Controls and Restrictions'!$E$6="lb/hr",'Controls and Restrictions'!$E19*(L18/Inputs!D54)/2000,'Controls and Restrictions'!$E19*'Total Emissions'!L18/2000)),E44,IF('Controls and Restrictions'!E19=0,IF(B18="","",IF(ISERROR(SUMIF('Emissions Calculation - Annual'!$B$5:$B$54,'Total Emissions'!$B18,'Emissions Calculation - Annual'!G$5:G$54)),0,SUMIF('Emissions Calculation - Annual'!$B$5:$B$54,'Total Emissions'!$B18,'Emissions Calculation - Annual'!G$5:G$54))),IF('Controls and Restrictions'!$E$6="lb/hr",'Controls and Restrictions'!$E19*(L18/Inputs!D54)/2000,'Controls and Restrictions'!$E19*'Total Emissions'!L18/2000)))</f>
        <v/>
      </c>
      <c r="F18" s="212" t="str">
        <f>IF(F44&lt;IF('Controls and Restrictions'!F19=0,IF(B18="","",IF(ISERROR(SUMIF('Emissions Calculation - Annual'!$B$5:$B$54,'Total Emissions'!$B18,'Emissions Calculation - Annual'!H$5:H$54)),0,SUMIF('Emissions Calculation - Annual'!$B$5:$B$54,'Total Emissions'!$B18,'Emissions Calculation - Annual'!H$5:H$54))),IF('Controls and Restrictions'!$F$6="lb/hr",'Controls and Restrictions'!$F19*(L18/Inputs!D54)/2000,'Controls and Restrictions'!$F19*'Total Emissions'!L18/2000)),F44,IF('Controls and Restrictions'!F19=0,IF(B18="","",IF(ISERROR(SUMIF('Emissions Calculation - Annual'!$B$5:$B$54,'Total Emissions'!$B18,'Emissions Calculation - Annual'!H$5:H$54)),0,SUMIF('Emissions Calculation - Annual'!$B$5:$B$54,'Total Emissions'!$B18,'Emissions Calculation - Annual'!H$5:H$54))),IF('Controls and Restrictions'!$F$6="lb/hr",'Controls and Restrictions'!$F19*(L18/Inputs!D54)/2000,'Controls and Restrictions'!$F19*'Total Emissions'!L18/2000)))</f>
        <v/>
      </c>
      <c r="G18" s="212" t="str">
        <f>IF(G44&lt;IF('Controls and Restrictions'!G19=0,IF(B18="","",IF(ISERROR(SUMIF('Emissions Calculation - Annual'!$B$5:$B$54,'Total Emissions'!$B18,'Emissions Calculation - Annual'!I$5:I$54)),0,SUMIF('Emissions Calculation - Annual'!$B$5:$B$54,'Total Emissions'!$B18,'Emissions Calculation - Annual'!I$5:I$54))),IF('Controls and Restrictions'!$G$6="lb/hr",'Controls and Restrictions'!$G19*(L18/Inputs!D54)/2000,'Controls and Restrictions'!$G19*'Total Emissions'!L18/2000)),G44,IF('Controls and Restrictions'!G19=0,IF(B18="","",IF(ISERROR(SUMIF('Emissions Calculation - Annual'!$B$5:$B$54,'Total Emissions'!$B18,'Emissions Calculation - Annual'!I$5:I$54)),0,SUMIF('Emissions Calculation - Annual'!$B$5:$B$54,'Total Emissions'!$B18,'Emissions Calculation - Annual'!I$5:I$54))),IF('Controls and Restrictions'!$G$6="lb/hr",'Controls and Restrictions'!$G19*(L18/Inputs!D54)/2000,'Controls and Restrictions'!$G19*'Total Emissions'!L18/2000)))</f>
        <v/>
      </c>
      <c r="H18" s="212" t="str">
        <f>IF(H44&lt;IF('Controls and Restrictions'!H19=0,IF(B18="","",IF(ISERROR(SUMIF('Emissions Calculation - Annual'!$B$5:$B$54,'Total Emissions'!$B18,'Emissions Calculation - Annual'!K$5:K$54)),0,SUMIF('Emissions Calculation - Annual'!$B$5:$B$54,'Total Emissions'!$B18,'Emissions Calculation - Annual'!K$5:K$54))),IF('Controls and Restrictions'!$H$6="lb/hr",'Controls and Restrictions'!$H19*(L18/Inputs!D54)/2000,'Controls and Restrictions'!$H19*'Total Emissions'!L18/2000)),H44,IF('Controls and Restrictions'!H19=0,IF(B18="","",IF(ISERROR(SUMIF('Emissions Calculation - Annual'!$B$5:$B$54,'Total Emissions'!$B18,'Emissions Calculation - Annual'!K$5:K$54)),0,SUMIF('Emissions Calculation - Annual'!$B$5:$B$54,'Total Emissions'!$B18,'Emissions Calculation - Annual'!K$5:K$54))),IF('Controls and Restrictions'!$H$6="lb/hr",'Controls and Restrictions'!$H19*(L18/Inputs!D54)/2000,'Controls and Restrictions'!$H19*'Total Emissions'!L18/2000)))</f>
        <v/>
      </c>
      <c r="I18" s="213" t="str">
        <f>IF(I44&lt;IF('Controls and Restrictions'!I19=0,IF(B18="","",IF(ISERROR(SUMIF('Emissions Calculation - Annual'!$B$5:$B$54,'Total Emissions'!$B18,'Emissions Calculation - Annual'!L$5:L$54)),0,SUMIF('Emissions Calculation - Annual'!$B$5:$B$54,'Total Emissions'!$B18,'Emissions Calculation - Annual'!L$5:L$54))),IF('Controls and Restrictions'!$I$6="lb/hr",'Controls and Restrictions'!$I19*(L18/Inputs!D54)/2000,'Controls and Restrictions'!$I19*'Total Emissions'!L18/2000)),I44,IF('Controls and Restrictions'!I19=0,IF(B18="","",IF(ISERROR(SUMIF('Emissions Calculation - Annual'!$B$5:$B$54,'Total Emissions'!$B18,'Emissions Calculation - Annual'!L$5:L$54)),0,SUMIF('Emissions Calculation - Annual'!$B$5:$B$54,'Total Emissions'!$B18,'Emissions Calculation - Annual'!L$5:L$54))),IF('Controls and Restrictions'!$I$6="lb/hr",'Controls and Restrictions'!$I19*(L18/Inputs!D54)/2000,'Controls and Restrictions'!$I19*'Total Emissions'!L18/2000)))</f>
        <v/>
      </c>
      <c r="L18" s="322" t="str">
        <f>IF(B18="","",SUMIF('Emissions Calculation - Annual'!$B$5:$B$54,'Total Emissions'!$B18,'Emissions Calculation - Annual'!E$5:E$54))</f>
        <v/>
      </c>
    </row>
    <row r="19" spans="1:12" x14ac:dyDescent="0.25">
      <c r="A19" s="54"/>
      <c r="B19" s="310" t="str">
        <f>IF(Inputs!B55="","",Inputs!B55)</f>
        <v/>
      </c>
      <c r="C19" s="309" t="str">
        <f>IF(Inputs!C55="","",Inputs!C55)</f>
        <v/>
      </c>
      <c r="D19" s="212" t="str">
        <f>IF(D45&lt;IF('Controls and Restrictions'!D20=0,IF(B19="","",IF(ISERROR(SUMIF('Emissions Calculation - Annual'!$B$5:$B$54,'Total Emissions'!$B19,'Emissions Calculation - Annual'!F$5:F$54)),0,SUMIF('Emissions Calculation - Annual'!$B$5:$B$54,'Total Emissions'!$B19,'Emissions Calculation - Annual'!F$5:F$54))),IF('Controls and Restrictions'!$D$6="lb/hr",'Controls and Restrictions'!$D20*(L19/Inputs!D55)/2000,'Controls and Restrictions'!$D20*'Total Emissions'!L19/2000)),D45,IF('Controls and Restrictions'!D20=0,IF(B19="","",IF(ISERROR(SUMIF('Emissions Calculation - Annual'!$B$5:$B$54,'Total Emissions'!$B19,'Emissions Calculation - Annual'!F$5:F$54)),0,SUMIF('Emissions Calculation - Annual'!$B$5:$B$54,'Total Emissions'!$B19,'Emissions Calculation - Annual'!F$5:F$54))),IF('Controls and Restrictions'!$D$6="lb/hr",'Controls and Restrictions'!$D20*(L19/Inputs!D55)/2000,'Controls and Restrictions'!$D20*'Total Emissions'!L19/2000)))</f>
        <v/>
      </c>
      <c r="E19" s="212" t="str">
        <f>IF(E45&lt;IF('Controls and Restrictions'!E20=0,IF(B19="","",IF(ISERROR(SUMIF('Emissions Calculation - Annual'!$B$5:$B$54,'Total Emissions'!$B19,'Emissions Calculation - Annual'!G$5:G$54)),0,SUMIF('Emissions Calculation - Annual'!$B$5:$B$54,'Total Emissions'!$B19,'Emissions Calculation - Annual'!G$5:G$54))),IF('Controls and Restrictions'!$E$6="lb/hr",'Controls and Restrictions'!$E20*(L19/Inputs!D55)/2000,'Controls and Restrictions'!$E20*'Total Emissions'!L19/2000)),E45,IF('Controls and Restrictions'!E20=0,IF(B19="","",IF(ISERROR(SUMIF('Emissions Calculation - Annual'!$B$5:$B$54,'Total Emissions'!$B19,'Emissions Calculation - Annual'!G$5:G$54)),0,SUMIF('Emissions Calculation - Annual'!$B$5:$B$54,'Total Emissions'!$B19,'Emissions Calculation - Annual'!G$5:G$54))),IF('Controls and Restrictions'!$E$6="lb/hr",'Controls and Restrictions'!$E20*(L19/Inputs!D55)/2000,'Controls and Restrictions'!$E20*'Total Emissions'!L19/2000)))</f>
        <v/>
      </c>
      <c r="F19" s="212" t="str">
        <f>IF(F45&lt;IF('Controls and Restrictions'!F20=0,IF(B19="","",IF(ISERROR(SUMIF('Emissions Calculation - Annual'!$B$5:$B$54,'Total Emissions'!$B19,'Emissions Calculation - Annual'!H$5:H$54)),0,SUMIF('Emissions Calculation - Annual'!$B$5:$B$54,'Total Emissions'!$B19,'Emissions Calculation - Annual'!H$5:H$54))),IF('Controls and Restrictions'!$F$6="lb/hr",'Controls and Restrictions'!$F20*(L19/Inputs!D55)/2000,'Controls and Restrictions'!$F20*'Total Emissions'!L19/2000)),F45,IF('Controls and Restrictions'!F20=0,IF(B19="","",IF(ISERROR(SUMIF('Emissions Calculation - Annual'!$B$5:$B$54,'Total Emissions'!$B19,'Emissions Calculation - Annual'!H$5:H$54)),0,SUMIF('Emissions Calculation - Annual'!$B$5:$B$54,'Total Emissions'!$B19,'Emissions Calculation - Annual'!H$5:H$54))),IF('Controls and Restrictions'!$F$6="lb/hr",'Controls and Restrictions'!$F20*(L19/Inputs!D55)/2000,'Controls and Restrictions'!$F20*'Total Emissions'!L19/2000)))</f>
        <v/>
      </c>
      <c r="G19" s="212" t="str">
        <f>IF(G45&lt;IF('Controls and Restrictions'!G20=0,IF(B19="","",IF(ISERROR(SUMIF('Emissions Calculation - Annual'!$B$5:$B$54,'Total Emissions'!$B19,'Emissions Calculation - Annual'!I$5:I$54)),0,SUMIF('Emissions Calculation - Annual'!$B$5:$B$54,'Total Emissions'!$B19,'Emissions Calculation - Annual'!I$5:I$54))),IF('Controls and Restrictions'!$G$6="lb/hr",'Controls and Restrictions'!$G20*(L19/Inputs!D55)/2000,'Controls and Restrictions'!$G20*'Total Emissions'!L19/2000)),G45,IF('Controls and Restrictions'!G20=0,IF(B19="","",IF(ISERROR(SUMIF('Emissions Calculation - Annual'!$B$5:$B$54,'Total Emissions'!$B19,'Emissions Calculation - Annual'!I$5:I$54)),0,SUMIF('Emissions Calculation - Annual'!$B$5:$B$54,'Total Emissions'!$B19,'Emissions Calculation - Annual'!I$5:I$54))),IF('Controls and Restrictions'!$G$6="lb/hr",'Controls and Restrictions'!$G20*(L19/Inputs!D55)/2000,'Controls and Restrictions'!$G20*'Total Emissions'!L19/2000)))</f>
        <v/>
      </c>
      <c r="H19" s="212" t="str">
        <f>IF(H45&lt;IF('Controls and Restrictions'!H20=0,IF(B19="","",IF(ISERROR(SUMIF('Emissions Calculation - Annual'!$B$5:$B$54,'Total Emissions'!$B19,'Emissions Calculation - Annual'!K$5:K$54)),0,SUMIF('Emissions Calculation - Annual'!$B$5:$B$54,'Total Emissions'!$B19,'Emissions Calculation - Annual'!K$5:K$54))),IF('Controls and Restrictions'!$H$6="lb/hr",'Controls and Restrictions'!$H20*(L19/Inputs!D55)/2000,'Controls and Restrictions'!$H20*'Total Emissions'!L19/2000)),H45,IF('Controls and Restrictions'!H20=0,IF(B19="","",IF(ISERROR(SUMIF('Emissions Calculation - Annual'!$B$5:$B$54,'Total Emissions'!$B19,'Emissions Calculation - Annual'!K$5:K$54)),0,SUMIF('Emissions Calculation - Annual'!$B$5:$B$54,'Total Emissions'!$B19,'Emissions Calculation - Annual'!K$5:K$54))),IF('Controls and Restrictions'!$H$6="lb/hr",'Controls and Restrictions'!$H20*(L19/Inputs!D55)/2000,'Controls and Restrictions'!$H20*'Total Emissions'!L19/2000)))</f>
        <v/>
      </c>
      <c r="I19" s="213" t="str">
        <f>IF(I45&lt;IF('Controls and Restrictions'!I20=0,IF(B19="","",IF(ISERROR(SUMIF('Emissions Calculation - Annual'!$B$5:$B$54,'Total Emissions'!$B19,'Emissions Calculation - Annual'!L$5:L$54)),0,SUMIF('Emissions Calculation - Annual'!$B$5:$B$54,'Total Emissions'!$B19,'Emissions Calculation - Annual'!L$5:L$54))),IF('Controls and Restrictions'!$I$6="lb/hr",'Controls and Restrictions'!$I20*(L19/Inputs!D55)/2000,'Controls and Restrictions'!$I20*'Total Emissions'!L19/2000)),I45,IF('Controls and Restrictions'!I20=0,IF(B19="","",IF(ISERROR(SUMIF('Emissions Calculation - Annual'!$B$5:$B$54,'Total Emissions'!$B19,'Emissions Calculation - Annual'!L$5:L$54)),0,SUMIF('Emissions Calculation - Annual'!$B$5:$B$54,'Total Emissions'!$B19,'Emissions Calculation - Annual'!L$5:L$54))),IF('Controls and Restrictions'!$I$6="lb/hr",'Controls and Restrictions'!$I20*(L19/Inputs!D55)/2000,'Controls and Restrictions'!$I20*'Total Emissions'!L19/2000)))</f>
        <v/>
      </c>
      <c r="L19" s="322" t="str">
        <f>IF(B19="","",SUMIF('Emissions Calculation - Annual'!$B$5:$B$54,'Total Emissions'!$B19,'Emissions Calculation - Annual'!E$5:E$54))</f>
        <v/>
      </c>
    </row>
    <row r="20" spans="1:12" x14ac:dyDescent="0.25">
      <c r="A20" s="54"/>
      <c r="B20" s="310" t="str">
        <f>IF(Inputs!B56="","",Inputs!B56)</f>
        <v/>
      </c>
      <c r="C20" s="309" t="str">
        <f>IF(Inputs!C56="","",Inputs!C56)</f>
        <v/>
      </c>
      <c r="D20" s="212" t="str">
        <f>IF(D46&lt;IF('Controls and Restrictions'!D21=0,IF(B20="","",IF(ISERROR(SUMIF('Emissions Calculation - Annual'!$B$5:$B$54,'Total Emissions'!$B20,'Emissions Calculation - Annual'!F$5:F$54)),0,SUMIF('Emissions Calculation - Annual'!$B$5:$B$54,'Total Emissions'!$B20,'Emissions Calculation - Annual'!F$5:F$54))),IF('Controls and Restrictions'!$D$6="lb/hr",'Controls and Restrictions'!$D21*(L20/Inputs!D56)/2000,'Controls and Restrictions'!$D21*'Total Emissions'!L20/2000)),D46,IF('Controls and Restrictions'!D21=0,IF(B20="","",IF(ISERROR(SUMIF('Emissions Calculation - Annual'!$B$5:$B$54,'Total Emissions'!$B20,'Emissions Calculation - Annual'!F$5:F$54)),0,SUMIF('Emissions Calculation - Annual'!$B$5:$B$54,'Total Emissions'!$B20,'Emissions Calculation - Annual'!F$5:F$54))),IF('Controls and Restrictions'!$D$6="lb/hr",'Controls and Restrictions'!$D21*(L20/Inputs!D56)/2000,'Controls and Restrictions'!$D21*'Total Emissions'!L20/2000)))</f>
        <v/>
      </c>
      <c r="E20" s="212" t="str">
        <f>IF(E46&lt;IF('Controls and Restrictions'!E21=0,IF(B20="","",IF(ISERROR(SUMIF('Emissions Calculation - Annual'!$B$5:$B$54,'Total Emissions'!$B20,'Emissions Calculation - Annual'!G$5:G$54)),0,SUMIF('Emissions Calculation - Annual'!$B$5:$B$54,'Total Emissions'!$B20,'Emissions Calculation - Annual'!G$5:G$54))),IF('Controls and Restrictions'!$E$6="lb/hr",'Controls and Restrictions'!$E21*(L20/Inputs!D56)/2000,'Controls and Restrictions'!$E21*'Total Emissions'!L20/2000)),E46,IF('Controls and Restrictions'!E21=0,IF(B20="","",IF(ISERROR(SUMIF('Emissions Calculation - Annual'!$B$5:$B$54,'Total Emissions'!$B20,'Emissions Calculation - Annual'!G$5:G$54)),0,SUMIF('Emissions Calculation - Annual'!$B$5:$B$54,'Total Emissions'!$B20,'Emissions Calculation - Annual'!G$5:G$54))),IF('Controls and Restrictions'!$E$6="lb/hr",'Controls and Restrictions'!$E21*(L20/Inputs!D56)/2000,'Controls and Restrictions'!$E21*'Total Emissions'!L20/2000)))</f>
        <v/>
      </c>
      <c r="F20" s="212" t="str">
        <f>IF(F46&lt;IF('Controls and Restrictions'!F21=0,IF(B20="","",IF(ISERROR(SUMIF('Emissions Calculation - Annual'!$B$5:$B$54,'Total Emissions'!$B20,'Emissions Calculation - Annual'!H$5:H$54)),0,SUMIF('Emissions Calculation - Annual'!$B$5:$B$54,'Total Emissions'!$B20,'Emissions Calculation - Annual'!H$5:H$54))),IF('Controls and Restrictions'!$F$6="lb/hr",'Controls and Restrictions'!$F21*(L20/Inputs!D56)/2000,'Controls and Restrictions'!$F21*'Total Emissions'!L20/2000)),F46,IF('Controls and Restrictions'!F21=0,IF(B20="","",IF(ISERROR(SUMIF('Emissions Calculation - Annual'!$B$5:$B$54,'Total Emissions'!$B20,'Emissions Calculation - Annual'!H$5:H$54)),0,SUMIF('Emissions Calculation - Annual'!$B$5:$B$54,'Total Emissions'!$B20,'Emissions Calculation - Annual'!H$5:H$54))),IF('Controls and Restrictions'!$F$6="lb/hr",'Controls and Restrictions'!$F21*(L20/Inputs!D56)/2000,'Controls and Restrictions'!$F21*'Total Emissions'!L20/2000)))</f>
        <v/>
      </c>
      <c r="G20" s="212" t="str">
        <f>IF(G46&lt;IF('Controls and Restrictions'!G21=0,IF(B20="","",IF(ISERROR(SUMIF('Emissions Calculation - Annual'!$B$5:$B$54,'Total Emissions'!$B20,'Emissions Calculation - Annual'!I$5:I$54)),0,SUMIF('Emissions Calculation - Annual'!$B$5:$B$54,'Total Emissions'!$B20,'Emissions Calculation - Annual'!I$5:I$54))),IF('Controls and Restrictions'!$G$6="lb/hr",'Controls and Restrictions'!$G21*(L20/Inputs!D56)/2000,'Controls and Restrictions'!$G21*'Total Emissions'!L20/2000)),G46,IF('Controls and Restrictions'!G21=0,IF(B20="","",IF(ISERROR(SUMIF('Emissions Calculation - Annual'!$B$5:$B$54,'Total Emissions'!$B20,'Emissions Calculation - Annual'!I$5:I$54)),0,SUMIF('Emissions Calculation - Annual'!$B$5:$B$54,'Total Emissions'!$B20,'Emissions Calculation - Annual'!I$5:I$54))),IF('Controls and Restrictions'!$G$6="lb/hr",'Controls and Restrictions'!$G21*(L20/Inputs!D56)/2000,'Controls and Restrictions'!$G21*'Total Emissions'!L20/2000)))</f>
        <v/>
      </c>
      <c r="H20" s="212" t="str">
        <f>IF(H46&lt;IF('Controls and Restrictions'!H21=0,IF(B20="","",IF(ISERROR(SUMIF('Emissions Calculation - Annual'!$B$5:$B$54,'Total Emissions'!$B20,'Emissions Calculation - Annual'!K$5:K$54)),0,SUMIF('Emissions Calculation - Annual'!$B$5:$B$54,'Total Emissions'!$B20,'Emissions Calculation - Annual'!K$5:K$54))),IF('Controls and Restrictions'!$H$6="lb/hr",'Controls and Restrictions'!$H21*(L20/Inputs!D56)/2000,'Controls and Restrictions'!$H21*'Total Emissions'!L20/2000)),H46,IF('Controls and Restrictions'!H21=0,IF(B20="","",IF(ISERROR(SUMIF('Emissions Calculation - Annual'!$B$5:$B$54,'Total Emissions'!$B20,'Emissions Calculation - Annual'!K$5:K$54)),0,SUMIF('Emissions Calculation - Annual'!$B$5:$B$54,'Total Emissions'!$B20,'Emissions Calculation - Annual'!K$5:K$54))),IF('Controls and Restrictions'!$H$6="lb/hr",'Controls and Restrictions'!$H21*(L20/Inputs!D56)/2000,'Controls and Restrictions'!$H21*'Total Emissions'!L20/2000)))</f>
        <v/>
      </c>
      <c r="I20" s="213" t="str">
        <f>IF(I46&lt;IF('Controls and Restrictions'!I21=0,IF(B20="","",IF(ISERROR(SUMIF('Emissions Calculation - Annual'!$B$5:$B$54,'Total Emissions'!$B20,'Emissions Calculation - Annual'!L$5:L$54)),0,SUMIF('Emissions Calculation - Annual'!$B$5:$B$54,'Total Emissions'!$B20,'Emissions Calculation - Annual'!L$5:L$54))),IF('Controls and Restrictions'!$I$6="lb/hr",'Controls and Restrictions'!$I21*(L20/Inputs!D56)/2000,'Controls and Restrictions'!$I21*'Total Emissions'!L20/2000)),I46,IF('Controls and Restrictions'!I21=0,IF(B20="","",IF(ISERROR(SUMIF('Emissions Calculation - Annual'!$B$5:$B$54,'Total Emissions'!$B20,'Emissions Calculation - Annual'!L$5:L$54)),0,SUMIF('Emissions Calculation - Annual'!$B$5:$B$54,'Total Emissions'!$B20,'Emissions Calculation - Annual'!L$5:L$54))),IF('Controls and Restrictions'!$I$6="lb/hr",'Controls and Restrictions'!$I21*(L20/Inputs!D56)/2000,'Controls and Restrictions'!$I21*'Total Emissions'!L20/2000)))</f>
        <v/>
      </c>
      <c r="L20" s="322" t="str">
        <f>IF(B20="","",SUMIF('Emissions Calculation - Annual'!$B$5:$B$54,'Total Emissions'!$B20,'Emissions Calculation - Annual'!E$5:E$54))</f>
        <v/>
      </c>
    </row>
    <row r="21" spans="1:12" x14ac:dyDescent="0.25">
      <c r="A21" s="54"/>
      <c r="B21" s="310" t="str">
        <f>IF(Inputs!B57="","",Inputs!B57)</f>
        <v/>
      </c>
      <c r="C21" s="309" t="str">
        <f>IF(Inputs!C57="","",Inputs!C57)</f>
        <v/>
      </c>
      <c r="D21" s="212" t="str">
        <f>IF(D47&lt;IF('Controls and Restrictions'!D22=0,IF(B21="","",IF(ISERROR(SUMIF('Emissions Calculation - Annual'!$B$5:$B$54,'Total Emissions'!$B21,'Emissions Calculation - Annual'!F$5:F$54)),0,SUMIF('Emissions Calculation - Annual'!$B$5:$B$54,'Total Emissions'!$B21,'Emissions Calculation - Annual'!F$5:F$54))),IF('Controls and Restrictions'!$D$6="lb/hr",'Controls and Restrictions'!$D22*(L21/Inputs!D57)/2000,'Controls and Restrictions'!$D22*'Total Emissions'!L21/2000)),D47,IF('Controls and Restrictions'!D22=0,IF(B21="","",IF(ISERROR(SUMIF('Emissions Calculation - Annual'!$B$5:$B$54,'Total Emissions'!$B21,'Emissions Calculation - Annual'!F$5:F$54)),0,SUMIF('Emissions Calculation - Annual'!$B$5:$B$54,'Total Emissions'!$B21,'Emissions Calculation - Annual'!F$5:F$54))),IF('Controls and Restrictions'!$D$6="lb/hr",'Controls and Restrictions'!$D22*(L21/Inputs!D57)/2000,'Controls and Restrictions'!$D22*'Total Emissions'!L21/2000)))</f>
        <v/>
      </c>
      <c r="E21" s="212" t="str">
        <f>IF(E47&lt;IF('Controls and Restrictions'!E22=0,IF(B21="","",IF(ISERROR(SUMIF('Emissions Calculation - Annual'!$B$5:$B$54,'Total Emissions'!$B21,'Emissions Calculation - Annual'!G$5:G$54)),0,SUMIF('Emissions Calculation - Annual'!$B$5:$B$54,'Total Emissions'!$B21,'Emissions Calculation - Annual'!G$5:G$54))),IF('Controls and Restrictions'!$E$6="lb/hr",'Controls and Restrictions'!$E22*(L21/Inputs!D57)/2000,'Controls and Restrictions'!$E22*'Total Emissions'!L21/2000)),E47,IF('Controls and Restrictions'!E22=0,IF(B21="","",IF(ISERROR(SUMIF('Emissions Calculation - Annual'!$B$5:$B$54,'Total Emissions'!$B21,'Emissions Calculation - Annual'!G$5:G$54)),0,SUMIF('Emissions Calculation - Annual'!$B$5:$B$54,'Total Emissions'!$B21,'Emissions Calculation - Annual'!G$5:G$54))),IF('Controls and Restrictions'!$E$6="lb/hr",'Controls and Restrictions'!$E22*(L21/Inputs!D57)/2000,'Controls and Restrictions'!$E22*'Total Emissions'!L21/2000)))</f>
        <v/>
      </c>
      <c r="F21" s="212" t="str">
        <f>IF(F47&lt;IF('Controls and Restrictions'!F22=0,IF(B21="","",IF(ISERROR(SUMIF('Emissions Calculation - Annual'!$B$5:$B$54,'Total Emissions'!$B21,'Emissions Calculation - Annual'!H$5:H$54)),0,SUMIF('Emissions Calculation - Annual'!$B$5:$B$54,'Total Emissions'!$B21,'Emissions Calculation - Annual'!H$5:H$54))),IF('Controls and Restrictions'!$F$6="lb/hr",'Controls and Restrictions'!$F22*(L21/Inputs!D57)/2000,'Controls and Restrictions'!$F22*'Total Emissions'!L21/2000)),F47,IF('Controls and Restrictions'!F22=0,IF(B21="","",IF(ISERROR(SUMIF('Emissions Calculation - Annual'!$B$5:$B$54,'Total Emissions'!$B21,'Emissions Calculation - Annual'!H$5:H$54)),0,SUMIF('Emissions Calculation - Annual'!$B$5:$B$54,'Total Emissions'!$B21,'Emissions Calculation - Annual'!H$5:H$54))),IF('Controls and Restrictions'!$F$6="lb/hr",'Controls and Restrictions'!$F22*(L21/Inputs!D57)/2000,'Controls and Restrictions'!$F22*'Total Emissions'!L21/2000)))</f>
        <v/>
      </c>
      <c r="G21" s="212" t="str">
        <f>IF(G47&lt;IF('Controls and Restrictions'!G22=0,IF(B21="","",IF(ISERROR(SUMIF('Emissions Calculation - Annual'!$B$5:$B$54,'Total Emissions'!$B21,'Emissions Calculation - Annual'!I$5:I$54)),0,SUMIF('Emissions Calculation - Annual'!$B$5:$B$54,'Total Emissions'!$B21,'Emissions Calculation - Annual'!I$5:I$54))),IF('Controls and Restrictions'!$G$6="lb/hr",'Controls and Restrictions'!$G22*(L21/Inputs!D57)/2000,'Controls and Restrictions'!$G22*'Total Emissions'!L21/2000)),G47,IF('Controls and Restrictions'!G22=0,IF(B21="","",IF(ISERROR(SUMIF('Emissions Calculation - Annual'!$B$5:$B$54,'Total Emissions'!$B21,'Emissions Calculation - Annual'!I$5:I$54)),0,SUMIF('Emissions Calculation - Annual'!$B$5:$B$54,'Total Emissions'!$B21,'Emissions Calculation - Annual'!I$5:I$54))),IF('Controls and Restrictions'!$G$6="lb/hr",'Controls and Restrictions'!$G22*(L21/Inputs!D57)/2000,'Controls and Restrictions'!$G22*'Total Emissions'!L21/2000)))</f>
        <v/>
      </c>
      <c r="H21" s="212" t="str">
        <f>IF(H47&lt;IF('Controls and Restrictions'!H22=0,IF(B21="","",IF(ISERROR(SUMIF('Emissions Calculation - Annual'!$B$5:$B$54,'Total Emissions'!$B21,'Emissions Calculation - Annual'!K$5:K$54)),0,SUMIF('Emissions Calculation - Annual'!$B$5:$B$54,'Total Emissions'!$B21,'Emissions Calculation - Annual'!K$5:K$54))),IF('Controls and Restrictions'!$H$6="lb/hr",'Controls and Restrictions'!$H22*(L21/Inputs!D57)/2000,'Controls and Restrictions'!$H22*'Total Emissions'!L21/2000)),H47,IF('Controls and Restrictions'!H22=0,IF(B21="","",IF(ISERROR(SUMIF('Emissions Calculation - Annual'!$B$5:$B$54,'Total Emissions'!$B21,'Emissions Calculation - Annual'!K$5:K$54)),0,SUMIF('Emissions Calculation - Annual'!$B$5:$B$54,'Total Emissions'!$B21,'Emissions Calculation - Annual'!K$5:K$54))),IF('Controls and Restrictions'!$H$6="lb/hr",'Controls and Restrictions'!$H22*(L21/Inputs!D57)/2000,'Controls and Restrictions'!$H22*'Total Emissions'!L21/2000)))</f>
        <v/>
      </c>
      <c r="I21" s="213" t="str">
        <f>IF(I47&lt;IF('Controls and Restrictions'!I22=0,IF(B21="","",IF(ISERROR(SUMIF('Emissions Calculation - Annual'!$B$5:$B$54,'Total Emissions'!$B21,'Emissions Calculation - Annual'!L$5:L$54)),0,SUMIF('Emissions Calculation - Annual'!$B$5:$B$54,'Total Emissions'!$B21,'Emissions Calculation - Annual'!L$5:L$54))),IF('Controls and Restrictions'!$I$6="lb/hr",'Controls and Restrictions'!$I22*(L21/Inputs!D57)/2000,'Controls and Restrictions'!$I22*'Total Emissions'!L21/2000)),I47,IF('Controls and Restrictions'!I22=0,IF(B21="","",IF(ISERROR(SUMIF('Emissions Calculation - Annual'!$B$5:$B$54,'Total Emissions'!$B21,'Emissions Calculation - Annual'!L$5:L$54)),0,SUMIF('Emissions Calculation - Annual'!$B$5:$B$54,'Total Emissions'!$B21,'Emissions Calculation - Annual'!L$5:L$54))),IF('Controls and Restrictions'!$I$6="lb/hr",'Controls and Restrictions'!$I22*(L21/Inputs!D57)/2000,'Controls and Restrictions'!$I22*'Total Emissions'!L21/2000)))</f>
        <v/>
      </c>
      <c r="L21" s="322" t="str">
        <f>IF(B21="","",SUMIF('Emissions Calculation - Annual'!$B$5:$B$54,'Total Emissions'!$B21,'Emissions Calculation - Annual'!E$5:E$54))</f>
        <v/>
      </c>
    </row>
    <row r="22" spans="1:12" x14ac:dyDescent="0.25">
      <c r="A22" s="54"/>
      <c r="B22" s="310" t="str">
        <f>IF(Inputs!B58="","",Inputs!B58)</f>
        <v/>
      </c>
      <c r="C22" s="309" t="str">
        <f>IF(Inputs!C58="","",Inputs!C58)</f>
        <v/>
      </c>
      <c r="D22" s="212" t="str">
        <f>IF(D48&lt;IF('Controls and Restrictions'!D23=0,IF(B22="","",IF(ISERROR(SUMIF('Emissions Calculation - Annual'!$B$5:$B$54,'Total Emissions'!$B22,'Emissions Calculation - Annual'!F$5:F$54)),0,SUMIF('Emissions Calculation - Annual'!$B$5:$B$54,'Total Emissions'!$B22,'Emissions Calculation - Annual'!F$5:F$54))),IF('Controls and Restrictions'!$D$6="lb/hr",'Controls and Restrictions'!$D23*(L22/Inputs!D58)/2000,'Controls and Restrictions'!$D23*'Total Emissions'!L22/2000)),D48,IF('Controls and Restrictions'!D23=0,IF(B22="","",IF(ISERROR(SUMIF('Emissions Calculation - Annual'!$B$5:$B$54,'Total Emissions'!$B22,'Emissions Calculation - Annual'!F$5:F$54)),0,SUMIF('Emissions Calculation - Annual'!$B$5:$B$54,'Total Emissions'!$B22,'Emissions Calculation - Annual'!F$5:F$54))),IF('Controls and Restrictions'!$D$6="lb/hr",'Controls and Restrictions'!$D23*(L22/Inputs!D58)/2000,'Controls and Restrictions'!$D23*'Total Emissions'!L22/2000)))</f>
        <v/>
      </c>
      <c r="E22" s="212" t="str">
        <f>IF(E48&lt;IF('Controls and Restrictions'!E23=0,IF(B22="","",IF(ISERROR(SUMIF('Emissions Calculation - Annual'!$B$5:$B$54,'Total Emissions'!$B22,'Emissions Calculation - Annual'!G$5:G$54)),0,SUMIF('Emissions Calculation - Annual'!$B$5:$B$54,'Total Emissions'!$B22,'Emissions Calculation - Annual'!G$5:G$54))),IF('Controls and Restrictions'!$E$6="lb/hr",'Controls and Restrictions'!$E23*(L22/Inputs!D58)/2000,'Controls and Restrictions'!$E23*'Total Emissions'!L22/2000)),E48,IF('Controls and Restrictions'!E23=0,IF(B22="","",IF(ISERROR(SUMIF('Emissions Calculation - Annual'!$B$5:$B$54,'Total Emissions'!$B22,'Emissions Calculation - Annual'!G$5:G$54)),0,SUMIF('Emissions Calculation - Annual'!$B$5:$B$54,'Total Emissions'!$B22,'Emissions Calculation - Annual'!G$5:G$54))),IF('Controls and Restrictions'!$E$6="lb/hr",'Controls and Restrictions'!$E23*(L22/Inputs!D58)/2000,'Controls and Restrictions'!$E23*'Total Emissions'!L22/2000)))</f>
        <v/>
      </c>
      <c r="F22" s="212" t="str">
        <f>IF(F48&lt;IF('Controls and Restrictions'!F23=0,IF(B22="","",IF(ISERROR(SUMIF('Emissions Calculation - Annual'!$B$5:$B$54,'Total Emissions'!$B22,'Emissions Calculation - Annual'!H$5:H$54)),0,SUMIF('Emissions Calculation - Annual'!$B$5:$B$54,'Total Emissions'!$B22,'Emissions Calculation - Annual'!H$5:H$54))),IF('Controls and Restrictions'!$F$6="lb/hr",'Controls and Restrictions'!$F23*(L22/Inputs!D58)/2000,'Controls and Restrictions'!$F23*'Total Emissions'!L22/2000)),F48,IF('Controls and Restrictions'!F23=0,IF(B22="","",IF(ISERROR(SUMIF('Emissions Calculation - Annual'!$B$5:$B$54,'Total Emissions'!$B22,'Emissions Calculation - Annual'!H$5:H$54)),0,SUMIF('Emissions Calculation - Annual'!$B$5:$B$54,'Total Emissions'!$B22,'Emissions Calculation - Annual'!H$5:H$54))),IF('Controls and Restrictions'!$F$6="lb/hr",'Controls and Restrictions'!$F23*(L22/Inputs!D58)/2000,'Controls and Restrictions'!$F23*'Total Emissions'!L22/2000)))</f>
        <v/>
      </c>
      <c r="G22" s="212" t="str">
        <f>IF(G48&lt;IF('Controls and Restrictions'!G23=0,IF(B22="","",IF(ISERROR(SUMIF('Emissions Calculation - Annual'!$B$5:$B$54,'Total Emissions'!$B22,'Emissions Calculation - Annual'!I$5:I$54)),0,SUMIF('Emissions Calculation - Annual'!$B$5:$B$54,'Total Emissions'!$B22,'Emissions Calculation - Annual'!I$5:I$54))),IF('Controls and Restrictions'!$G$6="lb/hr",'Controls and Restrictions'!$G23*(L22/Inputs!D58)/2000,'Controls and Restrictions'!$G23*'Total Emissions'!L22/2000)),G48,IF('Controls and Restrictions'!G23=0,IF(B22="","",IF(ISERROR(SUMIF('Emissions Calculation - Annual'!$B$5:$B$54,'Total Emissions'!$B22,'Emissions Calculation - Annual'!I$5:I$54)),0,SUMIF('Emissions Calculation - Annual'!$B$5:$B$54,'Total Emissions'!$B22,'Emissions Calculation - Annual'!I$5:I$54))),IF('Controls and Restrictions'!$G$6="lb/hr",'Controls and Restrictions'!$G23*(L22/Inputs!D58)/2000,'Controls and Restrictions'!$G23*'Total Emissions'!L22/2000)))</f>
        <v/>
      </c>
      <c r="H22" s="212" t="str">
        <f>IF(H48&lt;IF('Controls and Restrictions'!H23=0,IF(B22="","",IF(ISERROR(SUMIF('Emissions Calculation - Annual'!$B$5:$B$54,'Total Emissions'!$B22,'Emissions Calculation - Annual'!K$5:K$54)),0,SUMIF('Emissions Calculation - Annual'!$B$5:$B$54,'Total Emissions'!$B22,'Emissions Calculation - Annual'!K$5:K$54))),IF('Controls and Restrictions'!$H$6="lb/hr",'Controls and Restrictions'!$H23*(L22/Inputs!D58)/2000,'Controls and Restrictions'!$H23*'Total Emissions'!L22/2000)),H48,IF('Controls and Restrictions'!H23=0,IF(B22="","",IF(ISERROR(SUMIF('Emissions Calculation - Annual'!$B$5:$B$54,'Total Emissions'!$B22,'Emissions Calculation - Annual'!K$5:K$54)),0,SUMIF('Emissions Calculation - Annual'!$B$5:$B$54,'Total Emissions'!$B22,'Emissions Calculation - Annual'!K$5:K$54))),IF('Controls and Restrictions'!$H$6="lb/hr",'Controls and Restrictions'!$H23*(L22/Inputs!D58)/2000,'Controls and Restrictions'!$H23*'Total Emissions'!L22/2000)))</f>
        <v/>
      </c>
      <c r="I22" s="213" t="str">
        <f>IF(I48&lt;IF('Controls and Restrictions'!I23=0,IF(B22="","",IF(ISERROR(SUMIF('Emissions Calculation - Annual'!$B$5:$B$54,'Total Emissions'!$B22,'Emissions Calculation - Annual'!L$5:L$54)),0,SUMIF('Emissions Calculation - Annual'!$B$5:$B$54,'Total Emissions'!$B22,'Emissions Calculation - Annual'!L$5:L$54))),IF('Controls and Restrictions'!$I$6="lb/hr",'Controls and Restrictions'!$I23*(L22/Inputs!D58)/2000,'Controls and Restrictions'!$I23*'Total Emissions'!L22/2000)),I48,IF('Controls and Restrictions'!I23=0,IF(B22="","",IF(ISERROR(SUMIF('Emissions Calculation - Annual'!$B$5:$B$54,'Total Emissions'!$B22,'Emissions Calculation - Annual'!L$5:L$54)),0,SUMIF('Emissions Calculation - Annual'!$B$5:$B$54,'Total Emissions'!$B22,'Emissions Calculation - Annual'!L$5:L$54))),IF('Controls and Restrictions'!$I$6="lb/hr",'Controls and Restrictions'!$I23*(L22/Inputs!D58)/2000,'Controls and Restrictions'!$I23*'Total Emissions'!L22/2000)))</f>
        <v/>
      </c>
      <c r="L22" s="322" t="str">
        <f>IF(B22="","",SUMIF('Emissions Calculation - Annual'!$B$5:$B$54,'Total Emissions'!$B22,'Emissions Calculation - Annual'!E$5:E$54))</f>
        <v/>
      </c>
    </row>
    <row r="23" spans="1:12" x14ac:dyDescent="0.25">
      <c r="A23" s="54"/>
      <c r="B23" s="310" t="str">
        <f>IF(Inputs!B59="","",Inputs!B59)</f>
        <v/>
      </c>
      <c r="C23" s="309" t="str">
        <f>IF(Inputs!C59="","",Inputs!C59)</f>
        <v/>
      </c>
      <c r="D23" s="212" t="str">
        <f>IF(D49&lt;IF('Controls and Restrictions'!D24=0,IF(B23="","",IF(ISERROR(SUMIF('Emissions Calculation - Annual'!$B$5:$B$54,'Total Emissions'!$B23,'Emissions Calculation - Annual'!F$5:F$54)),0,SUMIF('Emissions Calculation - Annual'!$B$5:$B$54,'Total Emissions'!$B23,'Emissions Calculation - Annual'!F$5:F$54))),IF('Controls and Restrictions'!$D$6="lb/hr",'Controls and Restrictions'!$D24*(L23/Inputs!D59)/2000,'Controls and Restrictions'!$D24*'Total Emissions'!L23/2000)),D49,IF('Controls and Restrictions'!D24=0,IF(B23="","",IF(ISERROR(SUMIF('Emissions Calculation - Annual'!$B$5:$B$54,'Total Emissions'!$B23,'Emissions Calculation - Annual'!F$5:F$54)),0,SUMIF('Emissions Calculation - Annual'!$B$5:$B$54,'Total Emissions'!$B23,'Emissions Calculation - Annual'!F$5:F$54))),IF('Controls and Restrictions'!$D$6="lb/hr",'Controls and Restrictions'!$D24*(L23/Inputs!D59)/2000,'Controls and Restrictions'!$D24*'Total Emissions'!L23/2000)))</f>
        <v/>
      </c>
      <c r="E23" s="212" t="str">
        <f>IF(E49&lt;IF('Controls and Restrictions'!E24=0,IF(B23="","",IF(ISERROR(SUMIF('Emissions Calculation - Annual'!$B$5:$B$54,'Total Emissions'!$B23,'Emissions Calculation - Annual'!G$5:G$54)),0,SUMIF('Emissions Calculation - Annual'!$B$5:$B$54,'Total Emissions'!$B23,'Emissions Calculation - Annual'!G$5:G$54))),IF('Controls and Restrictions'!$E$6="lb/hr",'Controls and Restrictions'!$E24*(L23/Inputs!D59)/2000,'Controls and Restrictions'!$E24*'Total Emissions'!L23/2000)),E49,IF('Controls and Restrictions'!E24=0,IF(B23="","",IF(ISERROR(SUMIF('Emissions Calculation - Annual'!$B$5:$B$54,'Total Emissions'!$B23,'Emissions Calculation - Annual'!G$5:G$54)),0,SUMIF('Emissions Calculation - Annual'!$B$5:$B$54,'Total Emissions'!$B23,'Emissions Calculation - Annual'!G$5:G$54))),IF('Controls and Restrictions'!$E$6="lb/hr",'Controls and Restrictions'!$E24*(L23/Inputs!D59)/2000,'Controls and Restrictions'!$E24*'Total Emissions'!L23/2000)))</f>
        <v/>
      </c>
      <c r="F23" s="212" t="str">
        <f>IF(F49&lt;IF('Controls and Restrictions'!F24=0,IF(B23="","",IF(ISERROR(SUMIF('Emissions Calculation - Annual'!$B$5:$B$54,'Total Emissions'!$B23,'Emissions Calculation - Annual'!H$5:H$54)),0,SUMIF('Emissions Calculation - Annual'!$B$5:$B$54,'Total Emissions'!$B23,'Emissions Calculation - Annual'!H$5:H$54))),IF('Controls and Restrictions'!$F$6="lb/hr",'Controls and Restrictions'!$F24*(L23/Inputs!D59)/2000,'Controls and Restrictions'!$F24*'Total Emissions'!L23/2000)),F49,IF('Controls and Restrictions'!F24=0,IF(B23="","",IF(ISERROR(SUMIF('Emissions Calculation - Annual'!$B$5:$B$54,'Total Emissions'!$B23,'Emissions Calculation - Annual'!H$5:H$54)),0,SUMIF('Emissions Calculation - Annual'!$B$5:$B$54,'Total Emissions'!$B23,'Emissions Calculation - Annual'!H$5:H$54))),IF('Controls and Restrictions'!$F$6="lb/hr",'Controls and Restrictions'!$F24*(L23/Inputs!D59)/2000,'Controls and Restrictions'!$F24*'Total Emissions'!L23/2000)))</f>
        <v/>
      </c>
      <c r="G23" s="212" t="str">
        <f>IF(G49&lt;IF('Controls and Restrictions'!G24=0,IF(B23="","",IF(ISERROR(SUMIF('Emissions Calculation - Annual'!$B$5:$B$54,'Total Emissions'!$B23,'Emissions Calculation - Annual'!I$5:I$54)),0,SUMIF('Emissions Calculation - Annual'!$B$5:$B$54,'Total Emissions'!$B23,'Emissions Calculation - Annual'!I$5:I$54))),IF('Controls and Restrictions'!$G$6="lb/hr",'Controls and Restrictions'!$G24*(L23/Inputs!D59)/2000,'Controls and Restrictions'!$G24*'Total Emissions'!L23/2000)),G49,IF('Controls and Restrictions'!G24=0,IF(B23="","",IF(ISERROR(SUMIF('Emissions Calculation - Annual'!$B$5:$B$54,'Total Emissions'!$B23,'Emissions Calculation - Annual'!I$5:I$54)),0,SUMIF('Emissions Calculation - Annual'!$B$5:$B$54,'Total Emissions'!$B23,'Emissions Calculation - Annual'!I$5:I$54))),IF('Controls and Restrictions'!$G$6="lb/hr",'Controls and Restrictions'!$G24*(L23/Inputs!D59)/2000,'Controls and Restrictions'!$G24*'Total Emissions'!L23/2000)))</f>
        <v/>
      </c>
      <c r="H23" s="212" t="str">
        <f>IF(H49&lt;IF('Controls and Restrictions'!H24=0,IF(B23="","",IF(ISERROR(SUMIF('Emissions Calculation - Annual'!$B$5:$B$54,'Total Emissions'!$B23,'Emissions Calculation - Annual'!K$5:K$54)),0,SUMIF('Emissions Calculation - Annual'!$B$5:$B$54,'Total Emissions'!$B23,'Emissions Calculation - Annual'!K$5:K$54))),IF('Controls and Restrictions'!$H$6="lb/hr",'Controls and Restrictions'!$H24*(L23/Inputs!D59)/2000,'Controls and Restrictions'!$H24*'Total Emissions'!L23/2000)),H49,IF('Controls and Restrictions'!H24=0,IF(B23="","",IF(ISERROR(SUMIF('Emissions Calculation - Annual'!$B$5:$B$54,'Total Emissions'!$B23,'Emissions Calculation - Annual'!K$5:K$54)),0,SUMIF('Emissions Calculation - Annual'!$B$5:$B$54,'Total Emissions'!$B23,'Emissions Calculation - Annual'!K$5:K$54))),IF('Controls and Restrictions'!$H$6="lb/hr",'Controls and Restrictions'!$H24*(L23/Inputs!D59)/2000,'Controls and Restrictions'!$H24*'Total Emissions'!L23/2000)))</f>
        <v/>
      </c>
      <c r="I23" s="213" t="str">
        <f>IF(I49&lt;IF('Controls and Restrictions'!I24=0,IF(B23="","",IF(ISERROR(SUMIF('Emissions Calculation - Annual'!$B$5:$B$54,'Total Emissions'!$B23,'Emissions Calculation - Annual'!L$5:L$54)),0,SUMIF('Emissions Calculation - Annual'!$B$5:$B$54,'Total Emissions'!$B23,'Emissions Calculation - Annual'!L$5:L$54))),IF('Controls and Restrictions'!$I$6="lb/hr",'Controls and Restrictions'!$I24*(L23/Inputs!D59)/2000,'Controls and Restrictions'!$I24*'Total Emissions'!L23/2000)),I49,IF('Controls and Restrictions'!I24=0,IF(B23="","",IF(ISERROR(SUMIF('Emissions Calculation - Annual'!$B$5:$B$54,'Total Emissions'!$B23,'Emissions Calculation - Annual'!L$5:L$54)),0,SUMIF('Emissions Calculation - Annual'!$B$5:$B$54,'Total Emissions'!$B23,'Emissions Calculation - Annual'!L$5:L$54))),IF('Controls and Restrictions'!$I$6="lb/hr",'Controls and Restrictions'!$I24*(L23/Inputs!D59)/2000,'Controls and Restrictions'!$I24*'Total Emissions'!L23/2000)))</f>
        <v/>
      </c>
      <c r="L23" s="322" t="str">
        <f>IF(B23="","",SUMIF('Emissions Calculation - Annual'!$B$5:$B$54,'Total Emissions'!$B23,'Emissions Calculation - Annual'!E$5:E$54))</f>
        <v/>
      </c>
    </row>
    <row r="24" spans="1:12" x14ac:dyDescent="0.25">
      <c r="A24" s="54"/>
      <c r="B24" s="310" t="str">
        <f>IF(Inputs!B60="","",Inputs!B60)</f>
        <v/>
      </c>
      <c r="C24" s="309" t="str">
        <f>IF(Inputs!C60="","",Inputs!C60)</f>
        <v/>
      </c>
      <c r="D24" s="212" t="str">
        <f>IF(D50&lt;IF('Controls and Restrictions'!D25=0,IF(B24="","",IF(ISERROR(SUMIF('Emissions Calculation - Annual'!$B$5:$B$54,'Total Emissions'!$B24,'Emissions Calculation - Annual'!F$5:F$54)),0,SUMIF('Emissions Calculation - Annual'!$B$5:$B$54,'Total Emissions'!$B24,'Emissions Calculation - Annual'!F$5:F$54))),IF('Controls and Restrictions'!$D$6="lb/hr",'Controls and Restrictions'!$D25*(L24/Inputs!D60)/2000,'Controls and Restrictions'!$D25*'Total Emissions'!L24/2000)),D50,IF('Controls and Restrictions'!D25=0,IF(B24="","",IF(ISERROR(SUMIF('Emissions Calculation - Annual'!$B$5:$B$54,'Total Emissions'!$B24,'Emissions Calculation - Annual'!F$5:F$54)),0,SUMIF('Emissions Calculation - Annual'!$B$5:$B$54,'Total Emissions'!$B24,'Emissions Calculation - Annual'!F$5:F$54))),IF('Controls and Restrictions'!$D$6="lb/hr",'Controls and Restrictions'!$D25*(L24/Inputs!D60)/2000,'Controls and Restrictions'!$D25*'Total Emissions'!L24/2000)))</f>
        <v/>
      </c>
      <c r="E24" s="212" t="str">
        <f>IF(E50&lt;IF('Controls and Restrictions'!E25=0,IF(B24="","",IF(ISERROR(SUMIF('Emissions Calculation - Annual'!$B$5:$B$54,'Total Emissions'!$B24,'Emissions Calculation - Annual'!G$5:G$54)),0,SUMIF('Emissions Calculation - Annual'!$B$5:$B$54,'Total Emissions'!$B24,'Emissions Calculation - Annual'!G$5:G$54))),IF('Controls and Restrictions'!$E$6="lb/hr",'Controls and Restrictions'!$E25*(L24/Inputs!D60)/2000,'Controls and Restrictions'!$E25*'Total Emissions'!L24/2000)),E50,IF('Controls and Restrictions'!E25=0,IF(B24="","",IF(ISERROR(SUMIF('Emissions Calculation - Annual'!$B$5:$B$54,'Total Emissions'!$B24,'Emissions Calculation - Annual'!G$5:G$54)),0,SUMIF('Emissions Calculation - Annual'!$B$5:$B$54,'Total Emissions'!$B24,'Emissions Calculation - Annual'!G$5:G$54))),IF('Controls and Restrictions'!$E$6="lb/hr",'Controls and Restrictions'!$E25*(L24/Inputs!D60)/2000,'Controls and Restrictions'!$E25*'Total Emissions'!L24/2000)))</f>
        <v/>
      </c>
      <c r="F24" s="212" t="str">
        <f>IF(F50&lt;IF('Controls and Restrictions'!F25=0,IF(B24="","",IF(ISERROR(SUMIF('Emissions Calculation - Annual'!$B$5:$B$54,'Total Emissions'!$B24,'Emissions Calculation - Annual'!H$5:H$54)),0,SUMIF('Emissions Calculation - Annual'!$B$5:$B$54,'Total Emissions'!$B24,'Emissions Calculation - Annual'!H$5:H$54))),IF('Controls and Restrictions'!$F$6="lb/hr",'Controls and Restrictions'!$F25*(L24/Inputs!D60)/2000,'Controls and Restrictions'!$F25*'Total Emissions'!L24/2000)),F50,IF('Controls and Restrictions'!F25=0,IF(B24="","",IF(ISERROR(SUMIF('Emissions Calculation - Annual'!$B$5:$B$54,'Total Emissions'!$B24,'Emissions Calculation - Annual'!H$5:H$54)),0,SUMIF('Emissions Calculation - Annual'!$B$5:$B$54,'Total Emissions'!$B24,'Emissions Calculation - Annual'!H$5:H$54))),IF('Controls and Restrictions'!$F$6="lb/hr",'Controls and Restrictions'!$F25*(L24/Inputs!D60)/2000,'Controls and Restrictions'!$F25*'Total Emissions'!L24/2000)))</f>
        <v/>
      </c>
      <c r="G24" s="212" t="str">
        <f>IF(G50&lt;IF('Controls and Restrictions'!G25=0,IF(B24="","",IF(ISERROR(SUMIF('Emissions Calculation - Annual'!$B$5:$B$54,'Total Emissions'!$B24,'Emissions Calculation - Annual'!I$5:I$54)),0,SUMIF('Emissions Calculation - Annual'!$B$5:$B$54,'Total Emissions'!$B24,'Emissions Calculation - Annual'!I$5:I$54))),IF('Controls and Restrictions'!$G$6="lb/hr",'Controls and Restrictions'!$G25*(L24/Inputs!D60)/2000,'Controls and Restrictions'!$G25*'Total Emissions'!L24/2000)),G50,IF('Controls and Restrictions'!G25=0,IF(B24="","",IF(ISERROR(SUMIF('Emissions Calculation - Annual'!$B$5:$B$54,'Total Emissions'!$B24,'Emissions Calculation - Annual'!I$5:I$54)),0,SUMIF('Emissions Calculation - Annual'!$B$5:$B$54,'Total Emissions'!$B24,'Emissions Calculation - Annual'!I$5:I$54))),IF('Controls and Restrictions'!$G$6="lb/hr",'Controls and Restrictions'!$G25*(L24/Inputs!D60)/2000,'Controls and Restrictions'!$G25*'Total Emissions'!L24/2000)))</f>
        <v/>
      </c>
      <c r="H24" s="212" t="str">
        <f>IF(H50&lt;IF('Controls and Restrictions'!H25=0,IF(B24="","",IF(ISERROR(SUMIF('Emissions Calculation - Annual'!$B$5:$B$54,'Total Emissions'!$B24,'Emissions Calculation - Annual'!K$5:K$54)),0,SUMIF('Emissions Calculation - Annual'!$B$5:$B$54,'Total Emissions'!$B24,'Emissions Calculation - Annual'!K$5:K$54))),IF('Controls and Restrictions'!$H$6="lb/hr",'Controls and Restrictions'!$H25*(L24/Inputs!D60)/2000,'Controls and Restrictions'!$H25*'Total Emissions'!L24/2000)),H50,IF('Controls and Restrictions'!H25=0,IF(B24="","",IF(ISERROR(SUMIF('Emissions Calculation - Annual'!$B$5:$B$54,'Total Emissions'!$B24,'Emissions Calculation - Annual'!K$5:K$54)),0,SUMIF('Emissions Calculation - Annual'!$B$5:$B$54,'Total Emissions'!$B24,'Emissions Calculation - Annual'!K$5:K$54))),IF('Controls and Restrictions'!$H$6="lb/hr",'Controls and Restrictions'!$H25*(L24/Inputs!D60)/2000,'Controls and Restrictions'!$H25*'Total Emissions'!L24/2000)))</f>
        <v/>
      </c>
      <c r="I24" s="213" t="str">
        <f>IF(I50&lt;IF('Controls and Restrictions'!I25=0,IF(B24="","",IF(ISERROR(SUMIF('Emissions Calculation - Annual'!$B$5:$B$54,'Total Emissions'!$B24,'Emissions Calculation - Annual'!L$5:L$54)),0,SUMIF('Emissions Calculation - Annual'!$B$5:$B$54,'Total Emissions'!$B24,'Emissions Calculation - Annual'!L$5:L$54))),IF('Controls and Restrictions'!$I$6="lb/hr",'Controls and Restrictions'!$I25*(L24/Inputs!D60)/2000,'Controls and Restrictions'!$I25*'Total Emissions'!L24/2000)),I50,IF('Controls and Restrictions'!I25=0,IF(B24="","",IF(ISERROR(SUMIF('Emissions Calculation - Annual'!$B$5:$B$54,'Total Emissions'!$B24,'Emissions Calculation - Annual'!L$5:L$54)),0,SUMIF('Emissions Calculation - Annual'!$B$5:$B$54,'Total Emissions'!$B24,'Emissions Calculation - Annual'!L$5:L$54))),IF('Controls and Restrictions'!$I$6="lb/hr",'Controls and Restrictions'!$I25*(L24/Inputs!D60)/2000,'Controls and Restrictions'!$I25*'Total Emissions'!L24/2000)))</f>
        <v/>
      </c>
      <c r="L24" s="322" t="str">
        <f>IF(B24="","",SUMIF('Emissions Calculation - Annual'!$B$5:$B$54,'Total Emissions'!$B24,'Emissions Calculation - Annual'!E$5:E$54))</f>
        <v/>
      </c>
    </row>
    <row r="25" spans="1:12" ht="13.8" thickBot="1" x14ac:dyDescent="0.3">
      <c r="A25" s="54"/>
      <c r="B25" s="311" t="str">
        <f>IF(Inputs!B61="","",Inputs!B61)</f>
        <v/>
      </c>
      <c r="C25" s="312" t="str">
        <f>IF(Inputs!C61="","",Inputs!C61)</f>
        <v/>
      </c>
      <c r="D25" s="325" t="str">
        <f>IF(D51&lt;IF('Controls and Restrictions'!D26=0,IF(B25="","",IF(ISERROR(SUMIF('Emissions Calculation - Annual'!$B$5:$B$54,'Total Emissions'!$B25,'Emissions Calculation - Annual'!F$5:F$54)),0,SUMIF('Emissions Calculation - Annual'!$B$5:$B$54,'Total Emissions'!$B25,'Emissions Calculation - Annual'!F$5:F$54))),IF('Controls and Restrictions'!$D$6="lb/hr",'Controls and Restrictions'!$D26*(L25/Inputs!D61)/2000,'Controls and Restrictions'!$D26*'Total Emissions'!L25/2000)),D51,IF('Controls and Restrictions'!D26=0,IF(B25="","",IF(ISERROR(SUMIF('Emissions Calculation - Annual'!$B$5:$B$54,'Total Emissions'!$B25,'Emissions Calculation - Annual'!F$5:F$54)),0,SUMIF('Emissions Calculation - Annual'!$B$5:$B$54,'Total Emissions'!$B25,'Emissions Calculation - Annual'!F$5:F$54))),IF('Controls and Restrictions'!$D$6="lb/hr",'Controls and Restrictions'!$D26*(L25/Inputs!D61)/2000,'Controls and Restrictions'!$D26*'Total Emissions'!L25/2000)))</f>
        <v/>
      </c>
      <c r="E25" s="325" t="str">
        <f>IF(E51&lt;IF('Controls and Restrictions'!E26=0,IF(B25="","",IF(ISERROR(SUMIF('Emissions Calculation - Annual'!$B$5:$B$54,'Total Emissions'!$B25,'Emissions Calculation - Annual'!G$5:G$54)),0,SUMIF('Emissions Calculation - Annual'!$B$5:$B$54,'Total Emissions'!$B25,'Emissions Calculation - Annual'!G$5:G$54))),IF('Controls and Restrictions'!$E$6="lb/hr",'Controls and Restrictions'!$E26*(L25/Inputs!D61)/2000,'Controls and Restrictions'!$E26*'Total Emissions'!L25/2000)),E51,IF('Controls and Restrictions'!E26=0,IF(B25="","",IF(ISERROR(SUMIF('Emissions Calculation - Annual'!$B$5:$B$54,'Total Emissions'!$B25,'Emissions Calculation - Annual'!G$5:G$54)),0,SUMIF('Emissions Calculation - Annual'!$B$5:$B$54,'Total Emissions'!$B25,'Emissions Calculation - Annual'!G$5:G$54))),IF('Controls and Restrictions'!$E$6="lb/hr",'Controls and Restrictions'!$E26*(L25/Inputs!D61)/2000,'Controls and Restrictions'!$E26*'Total Emissions'!L25/2000)))</f>
        <v/>
      </c>
      <c r="F25" s="325" t="str">
        <f>IF(F51&lt;IF('Controls and Restrictions'!F26=0,IF(B25="","",IF(ISERROR(SUMIF('Emissions Calculation - Annual'!$B$5:$B$54,'Total Emissions'!$B25,'Emissions Calculation - Annual'!H$5:H$54)),0,SUMIF('Emissions Calculation - Annual'!$B$5:$B$54,'Total Emissions'!$B25,'Emissions Calculation - Annual'!H$5:H$54))),IF('Controls and Restrictions'!$F$6="lb/hr",'Controls and Restrictions'!$F26*(L25/Inputs!D61)/2000,'Controls and Restrictions'!$F26*'Total Emissions'!L25/2000)),F51,IF('Controls and Restrictions'!F26=0,IF(B25="","",IF(ISERROR(SUMIF('Emissions Calculation - Annual'!$B$5:$B$54,'Total Emissions'!$B25,'Emissions Calculation - Annual'!H$5:H$54)),0,SUMIF('Emissions Calculation - Annual'!$B$5:$B$54,'Total Emissions'!$B25,'Emissions Calculation - Annual'!H$5:H$54))),IF('Controls and Restrictions'!$F$6="lb/hr",'Controls and Restrictions'!$F26*(L25/Inputs!D61)/2000,'Controls and Restrictions'!$F26*'Total Emissions'!L25/2000)))</f>
        <v/>
      </c>
      <c r="G25" s="325" t="str">
        <f>IF(G51&lt;IF('Controls and Restrictions'!G26=0,IF(B25="","",IF(ISERROR(SUMIF('Emissions Calculation - Annual'!$B$5:$B$54,'Total Emissions'!$B25,'Emissions Calculation - Annual'!I$5:I$54)),0,SUMIF('Emissions Calculation - Annual'!$B$5:$B$54,'Total Emissions'!$B25,'Emissions Calculation - Annual'!I$5:I$54))),IF('Controls and Restrictions'!$G$6="lb/hr",'Controls and Restrictions'!$G26*(L25/Inputs!D61)/2000,'Controls and Restrictions'!$G26*'Total Emissions'!L25/2000)),G51,IF('Controls and Restrictions'!G26=0,IF(B25="","",IF(ISERROR(SUMIF('Emissions Calculation - Annual'!$B$5:$B$54,'Total Emissions'!$B25,'Emissions Calculation - Annual'!I$5:I$54)),0,SUMIF('Emissions Calculation - Annual'!$B$5:$B$54,'Total Emissions'!$B25,'Emissions Calculation - Annual'!I$5:I$54))),IF('Controls and Restrictions'!$G$6="lb/hr",'Controls and Restrictions'!$G26*(L25/Inputs!D61)/2000,'Controls and Restrictions'!$G26*'Total Emissions'!L25/2000)))</f>
        <v/>
      </c>
      <c r="H25" s="325" t="str">
        <f>IF(H51&lt;IF('Controls and Restrictions'!H26=0,IF(B25="","",IF(ISERROR(SUMIF('Emissions Calculation - Annual'!$B$5:$B$54,'Total Emissions'!$B25,'Emissions Calculation - Annual'!K$5:K$54)),0,SUMIF('Emissions Calculation - Annual'!$B$5:$B$54,'Total Emissions'!$B25,'Emissions Calculation - Annual'!K$5:K$54))),IF('Controls and Restrictions'!$H$6="lb/hr",'Controls and Restrictions'!$H26*(L25/Inputs!D61)/2000,'Controls and Restrictions'!$H26*'Total Emissions'!L25/2000)),H51,IF('Controls and Restrictions'!H26=0,IF(B25="","",IF(ISERROR(SUMIF('Emissions Calculation - Annual'!$B$5:$B$54,'Total Emissions'!$B25,'Emissions Calculation - Annual'!K$5:K$54)),0,SUMIF('Emissions Calculation - Annual'!$B$5:$B$54,'Total Emissions'!$B25,'Emissions Calculation - Annual'!K$5:K$54))),IF('Controls and Restrictions'!$H$6="lb/hr",'Controls and Restrictions'!$H26*(L25/Inputs!D61)/2000,'Controls and Restrictions'!$H26*'Total Emissions'!L25/2000)))</f>
        <v/>
      </c>
      <c r="I25" s="326" t="str">
        <f>IF(I51&lt;IF('Controls and Restrictions'!I26=0,IF(B25="","",IF(ISERROR(SUMIF('Emissions Calculation - Annual'!$B$5:$B$54,'Total Emissions'!$B25,'Emissions Calculation - Annual'!L$5:L$54)),0,SUMIF('Emissions Calculation - Annual'!$B$5:$B$54,'Total Emissions'!$B25,'Emissions Calculation - Annual'!L$5:L$54))),IF('Controls and Restrictions'!$I$6="lb/hr",'Controls and Restrictions'!$I26*(L25/Inputs!D61)/2000,'Controls and Restrictions'!$I26*'Total Emissions'!L25/2000)),I51,IF('Controls and Restrictions'!I26=0,IF(B25="","",IF(ISERROR(SUMIF('Emissions Calculation - Annual'!$B$5:$B$54,'Total Emissions'!$B25,'Emissions Calculation - Annual'!L$5:L$54)),0,SUMIF('Emissions Calculation - Annual'!$B$5:$B$54,'Total Emissions'!$B25,'Emissions Calculation - Annual'!L$5:L$54))),IF('Controls and Restrictions'!$I$6="lb/hr",'Controls and Restrictions'!$I26*(L25/Inputs!D61)/2000,'Controls and Restrictions'!$I26*'Total Emissions'!L25/2000)))</f>
        <v/>
      </c>
      <c r="L25" s="322" t="str">
        <f>IF(B25="","",SUMIF('Emissions Calculation - Annual'!$B$5:$B$54,'Total Emissions'!$B25,'Emissions Calculation - Annual'!E$5:E$54))</f>
        <v/>
      </c>
    </row>
    <row r="26" spans="1:12" ht="13.8" thickBot="1" x14ac:dyDescent="0.3">
      <c r="A26" s="54"/>
      <c r="B26" s="471" t="s">
        <v>61</v>
      </c>
      <c r="C26" s="472"/>
      <c r="D26" s="323">
        <f>SUM(D6:D25)</f>
        <v>0</v>
      </c>
      <c r="E26" s="323">
        <f t="shared" ref="E26:I26" si="0">SUM(E6:E25)</f>
        <v>0</v>
      </c>
      <c r="F26" s="323">
        <f t="shared" si="0"/>
        <v>0</v>
      </c>
      <c r="G26" s="323">
        <f t="shared" si="0"/>
        <v>0</v>
      </c>
      <c r="H26" s="323">
        <f t="shared" si="0"/>
        <v>0</v>
      </c>
      <c r="I26" s="324">
        <f t="shared" si="0"/>
        <v>0</v>
      </c>
    </row>
    <row r="27" spans="1:12" x14ac:dyDescent="0.25">
      <c r="A27" s="54"/>
      <c r="B27" s="55"/>
      <c r="C27" s="56"/>
      <c r="D27" s="57"/>
      <c r="E27" s="57"/>
      <c r="F27" s="57"/>
      <c r="G27" s="57"/>
      <c r="H27" s="57"/>
      <c r="I27" s="57"/>
    </row>
    <row r="28" spans="1:12" ht="13.8" thickBot="1" x14ac:dyDescent="0.3">
      <c r="A28" s="54"/>
      <c r="B28" s="55"/>
      <c r="C28" s="56"/>
      <c r="D28" s="57"/>
      <c r="E28" s="57"/>
      <c r="F28" s="57"/>
      <c r="G28" s="57"/>
      <c r="H28" s="57"/>
      <c r="I28" s="57"/>
    </row>
    <row r="29" spans="1:12" ht="13.8" thickBot="1" x14ac:dyDescent="0.3">
      <c r="A29" s="54"/>
      <c r="B29" s="462" t="s">
        <v>407</v>
      </c>
      <c r="C29" s="463"/>
      <c r="D29" s="463"/>
      <c r="E29" s="463"/>
      <c r="F29" s="463"/>
      <c r="G29" s="463"/>
      <c r="H29" s="463"/>
      <c r="I29" s="464"/>
    </row>
    <row r="30" spans="1:12" ht="15.6" x14ac:dyDescent="0.25">
      <c r="A30" s="54"/>
      <c r="B30" s="473" t="s">
        <v>45</v>
      </c>
      <c r="C30" s="475" t="s">
        <v>38</v>
      </c>
      <c r="D30" s="93" t="s">
        <v>49</v>
      </c>
      <c r="E30" s="93" t="s">
        <v>50</v>
      </c>
      <c r="F30" s="93" t="s">
        <v>51</v>
      </c>
      <c r="G30" s="93" t="s">
        <v>3</v>
      </c>
      <c r="H30" s="93" t="s">
        <v>47</v>
      </c>
      <c r="I30" s="94" t="s">
        <v>48</v>
      </c>
      <c r="L30" s="319" t="s">
        <v>446</v>
      </c>
    </row>
    <row r="31" spans="1:12" ht="13.8" thickBot="1" x14ac:dyDescent="0.3">
      <c r="A31" s="54"/>
      <c r="B31" s="474"/>
      <c r="C31" s="476"/>
      <c r="D31" s="477" t="s">
        <v>87</v>
      </c>
      <c r="E31" s="478"/>
      <c r="F31" s="478"/>
      <c r="G31" s="478"/>
      <c r="H31" s="478"/>
      <c r="I31" s="479"/>
      <c r="L31" s="320" t="s">
        <v>81</v>
      </c>
    </row>
    <row r="32" spans="1:12" x14ac:dyDescent="0.25">
      <c r="A32" s="54"/>
      <c r="B32" s="214" t="str">
        <f>IF(Inputs!B42="","",Inputs!B42)</f>
        <v>123abc</v>
      </c>
      <c r="C32" s="215" t="str">
        <f>IF(Inputs!C42="","",Inputs!C42)</f>
        <v>Acme Wet Bottom</v>
      </c>
      <c r="D32" s="216">
        <f>IF('Controls and Restrictions'!D7=0,IF(B32="","",IF(ISERROR(((Inputs!$D42*365*24)/IF(Inputs!$F42="Wood",1,VLOOKUP(Inputs!$F42,'Fuel Energy Content'!$A$15:$B$21,2,FALSE)))*VLOOKUP(Inputs!$F42&amp;"CO",'Emission Factors'!$C$4:$E$59,3,FALSE)/2000),0,(((Inputs!$D42*365*24)/IF(Inputs!$F42="Wood",1,VLOOKUP(Inputs!$F42,'Fuel Energy Content'!$A$15:$B$21,2,FALSE)))*VLOOKUP(Inputs!$F42&amp;"CO",'Emission Factors'!$C$4:$E$59,3,FALSE)/2000))),IF('Controls and Restrictions'!$D$6="lb/hr",'Controls and Restrictions'!$D7*8760/2000,'Controls and Restrictions'!$D7*L32/2000))</f>
        <v>0</v>
      </c>
      <c r="E32" s="216">
        <f>IF('Controls and Restrictions'!E7=0,IF(B32="","",IF(ISERROR(((Inputs!$D42*365*24)/IF(Inputs!$F42="Wood",1,VLOOKUP(Inputs!$F42,'Fuel Energy Content'!$A$15:$B$21,2,FALSE)))*VLOOKUP(Inputs!$F42&amp;"NOX",'Emission Factors'!$C$4:$E$59,3,FALSE)/2000),0,(((Inputs!$D42*365*24)/IF(Inputs!$F42="Wood",1,VLOOKUP(Inputs!$F42,'Fuel Energy Content'!$A$15:$B$21,2,FALSE)))*VLOOKUP(Inputs!$F42&amp;"NOX",'Emission Factors'!$C$4:$E$59,3,FALSE)/2000))),IF('Controls and Restrictions'!$E$6="lb/hr",'Controls and Restrictions'!$E7*8760/2000,'Controls and Restrictions'!$E7*L32/2000))</f>
        <v>0</v>
      </c>
      <c r="F32" s="216">
        <f>IF('Controls and Restrictions'!F7=0,IF(B32="","",IF(ISERROR(((Inputs!$D42*365*24)/IF(Inputs!$F42="Wood",1,VLOOKUP(Inputs!$F42,'Fuel Energy Content'!$A$15:$B$21,2,FALSE)))*VLOOKUP(Inputs!$F42&amp;"SO2",'Emission Factors'!$C$4:$E$59,3,FALSE)/2000),0,(((Inputs!$D42*365*24)/IF(Inputs!$F42="Wood",1,VLOOKUP(Inputs!$F42,'Fuel Energy Content'!$A$15:$B$21,2,FALSE)))*VLOOKUP(Inputs!$F42&amp;"SO2",'Emission Factors'!$C$4:$E$59,3,FALSE)/2000))),IF('Controls and Restrictions'!$F$6="lb/hr",'Controls and Restrictions'!$F7*8760/2000,'Controls and Restrictions'!$F7*L32/2000))</f>
        <v>0</v>
      </c>
      <c r="G32" s="216">
        <f>IF('Controls and Restrictions'!G7=0,IF(B32="","",IF(ISERROR(((Inputs!$D42*365*24)/IF(Inputs!$F42="Wood",1,VLOOKUP(Inputs!$F42,'Fuel Energy Content'!$A$15:$B$21,2,FALSE)))*VLOOKUP(Inputs!$F42&amp;"VOC",'Emission Factors'!$C$4:$E$59,3,FALSE)/2000),0,(((Inputs!$D42*365*24)/IF(Inputs!$F42="Wood",1,VLOOKUP(Inputs!$F42,'Fuel Energy Content'!$A$15:$B$21,2,FALSE)))*VLOOKUP(Inputs!$F42&amp;"VOC",'Emission Factors'!$C$4:$E$59,3,FALSE)/2000))),IF('Controls and Restrictions'!$G$6="lb/hr",'Controls and Restrictions'!$G7*8760/2000,'Controls and Restrictions'!$G7*L32/2000))</f>
        <v>0</v>
      </c>
      <c r="H32" s="216">
        <f>IF('Controls and Restrictions'!H7=0,IF(B32="","",IF(ISERROR(((Inputs!$D42*365*24)/IF(Inputs!$F42="Wood",1,VLOOKUP(Inputs!$F42,'Fuel Energy Content'!$A$15:$B$21,2,FALSE)))*VLOOKUP(Inputs!$F42&amp;"PM10",'Emission Factors'!$C$4:$E$59,3,FALSE)/2000),0,(((Inputs!$D42*365*24)/IF(Inputs!$F42="Wood",1,VLOOKUP(Inputs!$F42,'Fuel Energy Content'!$A$15:$B$21,2,FALSE)))*VLOOKUP(Inputs!$F42&amp;"PM10",'Emission Factors'!$C$4:$E$59,3,FALSE)/2000))),IF('Controls and Restrictions'!$H$6="lb/hr",'Controls and Restrictions'!$H7*8760/2000,'Controls and Restrictions'!$H7*L32/2000))</f>
        <v>0</v>
      </c>
      <c r="I32" s="217">
        <f>IF('Controls and Restrictions'!I7=0,IF(B32="","",IF(ISERROR(((Inputs!$D42*365*24)/IF(Inputs!$F42="Wood",1,VLOOKUP(Inputs!$F42,'Fuel Energy Content'!$A$15:$B$21,2,FALSE)))*VLOOKUP(Inputs!$F42&amp;"PM2.5",'Emission Factors'!$C$4:$E$59,3,FALSE)/2000),0,(((Inputs!$D42*365*24)/IF(Inputs!$F42="Wood",1,VLOOKUP(Inputs!$F42,'Fuel Energy Content'!$A$15:$B$21,2,FALSE)))*VLOOKUP(Inputs!$F42&amp;"PM2.5",'Emission Factors'!$C$4:$E$59,3,FALSE)/2000))),IF('Controls and Restrictions'!$I$6="lb/hr",'Controls and Restrictions'!$I7*8760/2000,'Controls and Restrictions'!$I7*L32/2000))</f>
        <v>0</v>
      </c>
      <c r="L32" s="322">
        <f>IF(B32="","",Inputs!D42*8760)</f>
        <v>0</v>
      </c>
    </row>
    <row r="33" spans="1:12" x14ac:dyDescent="0.25">
      <c r="A33" s="54"/>
      <c r="B33" s="222" t="str">
        <f>IF(Inputs!B43="","",Inputs!B43)</f>
        <v/>
      </c>
      <c r="C33" s="223" t="str">
        <f>IF(Inputs!C43="","",Inputs!C43)</f>
        <v/>
      </c>
      <c r="D33" s="218" t="str">
        <f>IF('Controls and Restrictions'!D8=0,IF(B33="","",IF(ISERROR(((Inputs!$D43*365*24)/IF(Inputs!$F43="Wood",1,VLOOKUP(Inputs!$F43,'Fuel Energy Content'!$A$15:$B$21,2,FALSE)))*VLOOKUP(Inputs!$F43&amp;"CO",'Emission Factors'!$C$4:$E$59,3,FALSE)/2000),0,(((Inputs!$D43*365*24)/IF(Inputs!$F43="Wood",1,VLOOKUP(Inputs!$F43,'Fuel Energy Content'!$A$15:$B$21,2,FALSE)))*VLOOKUP(Inputs!$F43&amp;"CO",'Emission Factors'!$C$4:$E$59,3,FALSE)/2000))),IF('Controls and Restrictions'!$D$6="lb/hr",'Controls and Restrictions'!$D8*8760/2000,'Controls and Restrictions'!$D8*L33/2000))</f>
        <v/>
      </c>
      <c r="E33" s="218" t="str">
        <f>IF('Controls and Restrictions'!E8=0,IF(B33="","",IF(ISERROR(((Inputs!$D43*365*24)/IF(Inputs!$F43="Wood",1,VLOOKUP(Inputs!$F43,'Fuel Energy Content'!$A$15:$B$21,2,FALSE)))*VLOOKUP(Inputs!$F43&amp;"NOX",'Emission Factors'!$C$4:$E$59,3,FALSE)/2000),0,(((Inputs!$D43*365*24)/IF(Inputs!$F43="Wood",1,VLOOKUP(Inputs!$F43,'Fuel Energy Content'!$A$15:$B$21,2,FALSE)))*VLOOKUP(Inputs!$F43&amp;"NOX",'Emission Factors'!$C$4:$E$59,3,FALSE)/2000))),IF('Controls and Restrictions'!$E$6="lb/hr",'Controls and Restrictions'!$E8*8760/2000,'Controls and Restrictions'!$E8*L33/2000))</f>
        <v/>
      </c>
      <c r="F33" s="218" t="str">
        <f>IF('Controls and Restrictions'!F8=0,IF(B33="","",IF(ISERROR(((Inputs!$D43*365*24)/IF(Inputs!$F43="Wood",1,VLOOKUP(Inputs!$F43,'Fuel Energy Content'!$A$15:$B$21,2,FALSE)))*VLOOKUP(Inputs!$F43&amp;"SO2",'Emission Factors'!$C$4:$E$59,3,FALSE)/2000),0,(((Inputs!$D43*365*24)/IF(Inputs!$F43="Wood",1,VLOOKUP(Inputs!$F43,'Fuel Energy Content'!$A$15:$B$21,2,FALSE)))*VLOOKUP(Inputs!$F43&amp;"SO2",'Emission Factors'!$C$4:$E$59,3,FALSE)/2000))),IF('Controls and Restrictions'!$F$6="lb/hr",'Controls and Restrictions'!$F8*8760/2000,'Controls and Restrictions'!$F8*L33/2000))</f>
        <v/>
      </c>
      <c r="G33" s="218" t="str">
        <f>IF('Controls and Restrictions'!G8=0,IF(B33="","",IF(ISERROR(((Inputs!$D43*365*24)/IF(Inputs!$F43="Wood",1,VLOOKUP(Inputs!$F43,'Fuel Energy Content'!$A$15:$B$21,2,FALSE)))*VLOOKUP(Inputs!$F43&amp;"VOC",'Emission Factors'!$C$4:$E$59,3,FALSE)/2000),0,(((Inputs!$D43*365*24)/IF(Inputs!$F43="Wood",1,VLOOKUP(Inputs!$F43,'Fuel Energy Content'!$A$15:$B$21,2,FALSE)))*VLOOKUP(Inputs!$F43&amp;"VOC",'Emission Factors'!$C$4:$E$59,3,FALSE)/2000))),IF('Controls and Restrictions'!$G$6="lb/hr",'Controls and Restrictions'!$G8*8760/2000,'Controls and Restrictions'!$G8*L33/2000))</f>
        <v/>
      </c>
      <c r="H33" s="218" t="str">
        <f>IF('Controls and Restrictions'!H8=0,IF(B33="","",IF(ISERROR(((Inputs!$D43*365*24)/IF(Inputs!$F43="Wood",1,VLOOKUP(Inputs!$F43,'Fuel Energy Content'!$A$15:$B$21,2,FALSE)))*VLOOKUP(Inputs!$F43&amp;"PM10",'Emission Factors'!$C$4:$E$59,3,FALSE)/2000),0,(((Inputs!$D43*365*24)/IF(Inputs!$F43="Wood",1,VLOOKUP(Inputs!$F43,'Fuel Energy Content'!$A$15:$B$21,2,FALSE)))*VLOOKUP(Inputs!$F43&amp;"PM10",'Emission Factors'!$C$4:$E$59,3,FALSE)/2000))),IF('Controls and Restrictions'!$H$6="lb/hr",'Controls and Restrictions'!$H8*8760/2000,'Controls and Restrictions'!$H8*L33/2000))</f>
        <v/>
      </c>
      <c r="I33" s="219" t="str">
        <f>IF('Controls and Restrictions'!I8=0,IF(B33="","",IF(ISERROR(((Inputs!$D43*365*24)/IF(Inputs!$F43="Wood",1,VLOOKUP(Inputs!$F43,'Fuel Energy Content'!$A$15:$B$21,2,FALSE)))*VLOOKUP(Inputs!$F43&amp;"PM2.5",'Emission Factors'!$C$4:$E$59,3,FALSE)/2000),0,(((Inputs!$D43*365*24)/IF(Inputs!$F43="Wood",1,VLOOKUP(Inputs!$F43,'Fuel Energy Content'!$A$15:$B$21,2,FALSE)))*VLOOKUP(Inputs!$F43&amp;"PM2.5",'Emission Factors'!$C$4:$E$59,3,FALSE)/2000))),IF('Controls and Restrictions'!$I$6="lb/hr",'Controls and Restrictions'!$I8*8760/2000,'Controls and Restrictions'!$I8*L33/2000))</f>
        <v/>
      </c>
      <c r="L33" s="322" t="str">
        <f>IF(B33="","",Inputs!D43*8760)</f>
        <v/>
      </c>
    </row>
    <row r="34" spans="1:12" x14ac:dyDescent="0.25">
      <c r="A34" s="54"/>
      <c r="B34" s="222" t="str">
        <f>IF(Inputs!B44="","",Inputs!B44)</f>
        <v/>
      </c>
      <c r="C34" s="223" t="str">
        <f>IF(Inputs!C44="","",Inputs!C44)</f>
        <v/>
      </c>
      <c r="D34" s="218" t="str">
        <f>IF('Controls and Restrictions'!D9=0,IF(B34="","",IF(ISERROR(((Inputs!$D44*365*24)/IF(Inputs!$F44="Wood",1,VLOOKUP(Inputs!$F44,'Fuel Energy Content'!$A$15:$B$21,2,FALSE)))*VLOOKUP(Inputs!$F44&amp;"CO",'Emission Factors'!$C$4:$E$59,3,FALSE)/2000),0,(((Inputs!$D44*365*24)/IF(Inputs!$F44="Wood",1,VLOOKUP(Inputs!$F44,'Fuel Energy Content'!$A$15:$B$21,2,FALSE)))*VLOOKUP(Inputs!$F44&amp;"CO",'Emission Factors'!$C$4:$E$59,3,FALSE)/2000))),IF('Controls and Restrictions'!$D$6="lb/hr",'Controls and Restrictions'!$D9*8760/2000,'Controls and Restrictions'!$D9*L34/2000))</f>
        <v/>
      </c>
      <c r="E34" s="218" t="str">
        <f>IF('Controls and Restrictions'!E9=0,IF(B34="","",IF(ISERROR(((Inputs!$D44*365*24)/IF(Inputs!$F44="Wood",1,VLOOKUP(Inputs!$F44,'Fuel Energy Content'!$A$15:$B$21,2,FALSE)))*VLOOKUP(Inputs!$F44&amp;"NOX",'Emission Factors'!$C$4:$E$59,3,FALSE)/2000),0,(((Inputs!$D44*365*24)/IF(Inputs!$F44="Wood",1,VLOOKUP(Inputs!$F44,'Fuel Energy Content'!$A$15:$B$21,2,FALSE)))*VLOOKUP(Inputs!$F44&amp;"NOX",'Emission Factors'!$C$4:$E$59,3,FALSE)/2000))),IF('Controls and Restrictions'!$E$6="lb/hr",'Controls and Restrictions'!$E9*8760/2000,'Controls and Restrictions'!$E9*L34/2000))</f>
        <v/>
      </c>
      <c r="F34" s="218" t="str">
        <f>IF('Controls and Restrictions'!F9=0,IF(B34="","",IF(ISERROR(((Inputs!$D44*365*24)/IF(Inputs!$F44="Wood",1,VLOOKUP(Inputs!$F44,'Fuel Energy Content'!$A$15:$B$21,2,FALSE)))*VLOOKUP(Inputs!$F44&amp;"SO2",'Emission Factors'!$C$4:$E$59,3,FALSE)/2000),0,(((Inputs!$D44*365*24)/IF(Inputs!$F44="Wood",1,VLOOKUP(Inputs!$F44,'Fuel Energy Content'!$A$15:$B$21,2,FALSE)))*VLOOKUP(Inputs!$F44&amp;"SO2",'Emission Factors'!$C$4:$E$59,3,FALSE)/2000))),IF('Controls and Restrictions'!$F$6="lb/hr",'Controls and Restrictions'!$F9*8760/2000,'Controls and Restrictions'!$F9*L34/2000))</f>
        <v/>
      </c>
      <c r="G34" s="218" t="str">
        <f>IF('Controls and Restrictions'!G9=0,IF(B34="","",IF(ISERROR(((Inputs!$D44*365*24)/IF(Inputs!$F44="Wood",1,VLOOKUP(Inputs!$F44,'Fuel Energy Content'!$A$15:$B$21,2,FALSE)))*VLOOKUP(Inputs!$F44&amp;"VOC",'Emission Factors'!$C$4:$E$59,3,FALSE)/2000),0,(((Inputs!$D44*365*24)/IF(Inputs!$F44="Wood",1,VLOOKUP(Inputs!$F44,'Fuel Energy Content'!$A$15:$B$21,2,FALSE)))*VLOOKUP(Inputs!$F44&amp;"VOC",'Emission Factors'!$C$4:$E$59,3,FALSE)/2000))),IF('Controls and Restrictions'!$G$6="lb/hr",'Controls and Restrictions'!$G9*8760/2000,'Controls and Restrictions'!$G9*L34/2000))</f>
        <v/>
      </c>
      <c r="H34" s="218" t="str">
        <f>IF('Controls and Restrictions'!H9=0,IF(B34="","",IF(ISERROR(((Inputs!$D44*365*24)/IF(Inputs!$F44="Wood",1,VLOOKUP(Inputs!$F44,'Fuel Energy Content'!$A$15:$B$21,2,FALSE)))*VLOOKUP(Inputs!$F44&amp;"PM10",'Emission Factors'!$C$4:$E$59,3,FALSE)/2000),0,(((Inputs!$D44*365*24)/IF(Inputs!$F44="Wood",1,VLOOKUP(Inputs!$F44,'Fuel Energy Content'!$A$15:$B$21,2,FALSE)))*VLOOKUP(Inputs!$F44&amp;"PM10",'Emission Factors'!$C$4:$E$59,3,FALSE)/2000))),IF('Controls and Restrictions'!$H$6="lb/hr",'Controls and Restrictions'!$H9*8760/2000,'Controls and Restrictions'!$H9*L34/2000))</f>
        <v/>
      </c>
      <c r="I34" s="219" t="str">
        <f>IF('Controls and Restrictions'!I9=0,IF(B34="","",IF(ISERROR(((Inputs!$D44*365*24)/IF(Inputs!$F44="Wood",1,VLOOKUP(Inputs!$F44,'Fuel Energy Content'!$A$15:$B$21,2,FALSE)))*VLOOKUP(Inputs!$F44&amp;"PM2.5",'Emission Factors'!$C$4:$E$59,3,FALSE)/2000),0,(((Inputs!$D44*365*24)/IF(Inputs!$F44="Wood",1,VLOOKUP(Inputs!$F44,'Fuel Energy Content'!$A$15:$B$21,2,FALSE)))*VLOOKUP(Inputs!$F44&amp;"PM2.5",'Emission Factors'!$C$4:$E$59,3,FALSE)/2000))),IF('Controls and Restrictions'!$I$6="lb/hr",'Controls and Restrictions'!$I9*8760/2000,'Controls and Restrictions'!$I9*L34/2000))</f>
        <v/>
      </c>
      <c r="L34" s="322" t="str">
        <f>IF(B34="","",Inputs!D44*8760)</f>
        <v/>
      </c>
    </row>
    <row r="35" spans="1:12" x14ac:dyDescent="0.25">
      <c r="A35" s="54"/>
      <c r="B35" s="222" t="str">
        <f>IF(Inputs!B45="","",Inputs!B45)</f>
        <v/>
      </c>
      <c r="C35" s="223" t="str">
        <f>IF(Inputs!C45="","",Inputs!C45)</f>
        <v/>
      </c>
      <c r="D35" s="218" t="str">
        <f>IF('Controls and Restrictions'!D10=0,IF(B35="","",IF(ISERROR(((Inputs!$D45*365*24)/IF(Inputs!$F45="Wood",1,VLOOKUP(Inputs!$F45,'Fuel Energy Content'!$A$15:$B$21,2,FALSE)))*VLOOKUP(Inputs!$F45&amp;"CO",'Emission Factors'!$C$4:$E$59,3,FALSE)/2000),0,(((Inputs!$D45*365*24)/IF(Inputs!$F45="Wood",1,VLOOKUP(Inputs!$F45,'Fuel Energy Content'!$A$15:$B$21,2,FALSE)))*VLOOKUP(Inputs!$F45&amp;"CO",'Emission Factors'!$C$4:$E$59,3,FALSE)/2000))),IF('Controls and Restrictions'!$D$6="lb/hr",'Controls and Restrictions'!$D10*8760/2000,'Controls and Restrictions'!$D10*L35/2000))</f>
        <v/>
      </c>
      <c r="E35" s="218" t="str">
        <f>IF('Controls and Restrictions'!E10=0,IF(B35="","",IF(ISERROR(((Inputs!$D45*365*24)/IF(Inputs!$F45="Wood",1,VLOOKUP(Inputs!$F45,'Fuel Energy Content'!$A$15:$B$21,2,FALSE)))*VLOOKUP(Inputs!$F45&amp;"NOX",'Emission Factors'!$C$4:$E$59,3,FALSE)/2000),0,(((Inputs!$D45*365*24)/IF(Inputs!$F45="Wood",1,VLOOKUP(Inputs!$F45,'Fuel Energy Content'!$A$15:$B$21,2,FALSE)))*VLOOKUP(Inputs!$F45&amp;"NOX",'Emission Factors'!$C$4:$E$59,3,FALSE)/2000))),IF('Controls and Restrictions'!$E$6="lb/hr",'Controls and Restrictions'!$E10*8760/2000,'Controls and Restrictions'!$E10*L35/2000))</f>
        <v/>
      </c>
      <c r="F35" s="218" t="str">
        <f>IF('Controls and Restrictions'!F10=0,IF(B35="","",IF(ISERROR(((Inputs!$D45*365*24)/IF(Inputs!$F45="Wood",1,VLOOKUP(Inputs!$F45,'Fuel Energy Content'!$A$15:$B$21,2,FALSE)))*VLOOKUP(Inputs!$F45&amp;"SO2",'Emission Factors'!$C$4:$E$59,3,FALSE)/2000),0,(((Inputs!$D45*365*24)/IF(Inputs!$F45="Wood",1,VLOOKUP(Inputs!$F45,'Fuel Energy Content'!$A$15:$B$21,2,FALSE)))*VLOOKUP(Inputs!$F45&amp;"SO2",'Emission Factors'!$C$4:$E$59,3,FALSE)/2000))),IF('Controls and Restrictions'!$F$6="lb/hr",'Controls and Restrictions'!$F10*8760/2000,'Controls and Restrictions'!$F10*L35/2000))</f>
        <v/>
      </c>
      <c r="G35" s="218" t="str">
        <f>IF('Controls and Restrictions'!G10=0,IF(B35="","",IF(ISERROR(((Inputs!$D45*365*24)/IF(Inputs!$F45="Wood",1,VLOOKUP(Inputs!$F45,'Fuel Energy Content'!$A$15:$B$21,2,FALSE)))*VLOOKUP(Inputs!$F45&amp;"VOC",'Emission Factors'!$C$4:$E$59,3,FALSE)/2000),0,(((Inputs!$D45*365*24)/IF(Inputs!$F45="Wood",1,VLOOKUP(Inputs!$F45,'Fuel Energy Content'!$A$15:$B$21,2,FALSE)))*VLOOKUP(Inputs!$F45&amp;"VOC",'Emission Factors'!$C$4:$E$59,3,FALSE)/2000))),IF('Controls and Restrictions'!$G$6="lb/hr",'Controls and Restrictions'!$G10*8760/2000,'Controls and Restrictions'!$G10*L35/2000))</f>
        <v/>
      </c>
      <c r="H35" s="218" t="str">
        <f>IF('Controls and Restrictions'!H10=0,IF(B35="","",IF(ISERROR(((Inputs!$D45*365*24)/IF(Inputs!$F45="Wood",1,VLOOKUP(Inputs!$F45,'Fuel Energy Content'!$A$15:$B$21,2,FALSE)))*VLOOKUP(Inputs!$F45&amp;"PM10",'Emission Factors'!$C$4:$E$59,3,FALSE)/2000),0,(((Inputs!$D45*365*24)/IF(Inputs!$F45="Wood",1,VLOOKUP(Inputs!$F45,'Fuel Energy Content'!$A$15:$B$21,2,FALSE)))*VLOOKUP(Inputs!$F45&amp;"PM10",'Emission Factors'!$C$4:$E$59,3,FALSE)/2000))),IF('Controls and Restrictions'!$H$6="lb/hr",'Controls and Restrictions'!$H10*8760/2000,'Controls and Restrictions'!$H10*L35/2000))</f>
        <v/>
      </c>
      <c r="I35" s="219" t="str">
        <f>IF('Controls and Restrictions'!I10=0,IF(B35="","",IF(ISERROR(((Inputs!$D45*365*24)/IF(Inputs!$F45="Wood",1,VLOOKUP(Inputs!$F45,'Fuel Energy Content'!$A$15:$B$21,2,FALSE)))*VLOOKUP(Inputs!$F45&amp;"PM2.5",'Emission Factors'!$C$4:$E$59,3,FALSE)/2000),0,(((Inputs!$D45*365*24)/IF(Inputs!$F45="Wood",1,VLOOKUP(Inputs!$F45,'Fuel Energy Content'!$A$15:$B$21,2,FALSE)))*VLOOKUP(Inputs!$F45&amp;"PM2.5",'Emission Factors'!$C$4:$E$59,3,FALSE)/2000))),IF('Controls and Restrictions'!$I$6="lb/hr",'Controls and Restrictions'!$I10*8760/2000,'Controls and Restrictions'!$I10*L35/2000))</f>
        <v/>
      </c>
      <c r="L35" s="322" t="str">
        <f>IF(B35="","",Inputs!D45*8760)</f>
        <v/>
      </c>
    </row>
    <row r="36" spans="1:12" x14ac:dyDescent="0.25">
      <c r="A36" s="54"/>
      <c r="B36" s="222" t="str">
        <f>IF(Inputs!B46="","",Inputs!B46)</f>
        <v/>
      </c>
      <c r="C36" s="223" t="str">
        <f>IF(Inputs!C46="","",Inputs!C46)</f>
        <v/>
      </c>
      <c r="D36" s="218" t="str">
        <f>IF('Controls and Restrictions'!D11=0,IF(B36="","",IF(ISERROR(((Inputs!$D46*365*24)/IF(Inputs!$F46="Wood",1,VLOOKUP(Inputs!$F46,'Fuel Energy Content'!$A$15:$B$21,2,FALSE)))*VLOOKUP(Inputs!$F46&amp;"CO",'Emission Factors'!$C$4:$E$59,3,FALSE)/2000),0,(((Inputs!$D46*365*24)/IF(Inputs!$F46="Wood",1,VLOOKUP(Inputs!$F46,'Fuel Energy Content'!$A$15:$B$21,2,FALSE)))*VLOOKUP(Inputs!$F46&amp;"CO",'Emission Factors'!$C$4:$E$59,3,FALSE)/2000))),IF('Controls and Restrictions'!$D$6="lb/hr",'Controls and Restrictions'!$D11*8760/2000,'Controls and Restrictions'!$D11*L36/2000))</f>
        <v/>
      </c>
      <c r="E36" s="218" t="str">
        <f>IF('Controls and Restrictions'!E11=0,IF(B36="","",IF(ISERROR(((Inputs!$D46*365*24)/IF(Inputs!$F46="Wood",1,VLOOKUP(Inputs!$F46,'Fuel Energy Content'!$A$15:$B$21,2,FALSE)))*VLOOKUP(Inputs!$F46&amp;"NOX",'Emission Factors'!$C$4:$E$59,3,FALSE)/2000),0,(((Inputs!$D46*365*24)/IF(Inputs!$F46="Wood",1,VLOOKUP(Inputs!$F46,'Fuel Energy Content'!$A$15:$B$21,2,FALSE)))*VLOOKUP(Inputs!$F46&amp;"NOX",'Emission Factors'!$C$4:$E$59,3,FALSE)/2000))),IF('Controls and Restrictions'!$E$6="lb/hr",'Controls and Restrictions'!$E11*8760/2000,'Controls and Restrictions'!$E11*L36/2000))</f>
        <v/>
      </c>
      <c r="F36" s="218" t="str">
        <f>IF('Controls and Restrictions'!F11=0,IF(B36="","",IF(ISERROR(((Inputs!$D46*365*24)/IF(Inputs!$F46="Wood",1,VLOOKUP(Inputs!$F46,'Fuel Energy Content'!$A$15:$B$21,2,FALSE)))*VLOOKUP(Inputs!$F46&amp;"SO2",'Emission Factors'!$C$4:$E$59,3,FALSE)/2000),0,(((Inputs!$D46*365*24)/IF(Inputs!$F46="Wood",1,VLOOKUP(Inputs!$F46,'Fuel Energy Content'!$A$15:$B$21,2,FALSE)))*VLOOKUP(Inputs!$F46&amp;"SO2",'Emission Factors'!$C$4:$E$59,3,FALSE)/2000))),IF('Controls and Restrictions'!$F$6="lb/hr",'Controls and Restrictions'!$F11*8760/2000,'Controls and Restrictions'!$F11*L36/2000))</f>
        <v/>
      </c>
      <c r="G36" s="218" t="str">
        <f>IF('Controls and Restrictions'!G11=0,IF(B36="","",IF(ISERROR(((Inputs!$D46*365*24)/IF(Inputs!$F46="Wood",1,VLOOKUP(Inputs!$F46,'Fuel Energy Content'!$A$15:$B$21,2,FALSE)))*VLOOKUP(Inputs!$F46&amp;"VOC",'Emission Factors'!$C$4:$E$59,3,FALSE)/2000),0,(((Inputs!$D46*365*24)/IF(Inputs!$F46="Wood",1,VLOOKUP(Inputs!$F46,'Fuel Energy Content'!$A$15:$B$21,2,FALSE)))*VLOOKUP(Inputs!$F46&amp;"VOC",'Emission Factors'!$C$4:$E$59,3,FALSE)/2000))),IF('Controls and Restrictions'!$G$6="lb/hr",'Controls and Restrictions'!$G11*8760/2000,'Controls and Restrictions'!$G11*L36/2000))</f>
        <v/>
      </c>
      <c r="H36" s="218" t="str">
        <f>IF('Controls and Restrictions'!H11=0,IF(B36="","",IF(ISERROR(((Inputs!$D46*365*24)/IF(Inputs!$F46="Wood",1,VLOOKUP(Inputs!$F46,'Fuel Energy Content'!$A$15:$B$21,2,FALSE)))*VLOOKUP(Inputs!$F46&amp;"PM10",'Emission Factors'!$C$4:$E$59,3,FALSE)/2000),0,(((Inputs!$D46*365*24)/IF(Inputs!$F46="Wood",1,VLOOKUP(Inputs!$F46,'Fuel Energy Content'!$A$15:$B$21,2,FALSE)))*VLOOKUP(Inputs!$F46&amp;"PM10",'Emission Factors'!$C$4:$E$59,3,FALSE)/2000))),IF('Controls and Restrictions'!$H$6="lb/hr",'Controls and Restrictions'!$H11*8760/2000,'Controls and Restrictions'!$H11*L36/2000))</f>
        <v/>
      </c>
      <c r="I36" s="219" t="str">
        <f>IF('Controls and Restrictions'!I11=0,IF(B36="","",IF(ISERROR(((Inputs!$D46*365*24)/IF(Inputs!$F46="Wood",1,VLOOKUP(Inputs!$F46,'Fuel Energy Content'!$A$15:$B$21,2,FALSE)))*VLOOKUP(Inputs!$F46&amp;"PM2.5",'Emission Factors'!$C$4:$E$59,3,FALSE)/2000),0,(((Inputs!$D46*365*24)/IF(Inputs!$F46="Wood",1,VLOOKUP(Inputs!$F46,'Fuel Energy Content'!$A$15:$B$21,2,FALSE)))*VLOOKUP(Inputs!$F46&amp;"PM2.5",'Emission Factors'!$C$4:$E$59,3,FALSE)/2000))),IF('Controls and Restrictions'!$I$6="lb/hr",'Controls and Restrictions'!$I11*8760/2000,'Controls and Restrictions'!$I11*L36/2000))</f>
        <v/>
      </c>
      <c r="L36" s="322" t="str">
        <f>IF(B36="","",Inputs!D46*8760)</f>
        <v/>
      </c>
    </row>
    <row r="37" spans="1:12" x14ac:dyDescent="0.25">
      <c r="A37" s="54"/>
      <c r="B37" s="222" t="str">
        <f>IF(Inputs!B47="","",Inputs!B47)</f>
        <v/>
      </c>
      <c r="C37" s="223" t="str">
        <f>IF(Inputs!C47="","",Inputs!C47)</f>
        <v/>
      </c>
      <c r="D37" s="218" t="str">
        <f>IF('Controls and Restrictions'!D12=0,IF(B37="","",IF(ISERROR(((Inputs!$D47*365*24)/IF(Inputs!$F47="Wood",1,VLOOKUP(Inputs!$F47,'Fuel Energy Content'!$A$15:$B$21,2,FALSE)))*VLOOKUP(Inputs!$F47&amp;"CO",'Emission Factors'!$C$4:$E$59,3,FALSE)/2000),0,(((Inputs!$D47*365*24)/IF(Inputs!$F47="Wood",1,VLOOKUP(Inputs!$F47,'Fuel Energy Content'!$A$15:$B$21,2,FALSE)))*VLOOKUP(Inputs!$F47&amp;"CO",'Emission Factors'!$C$4:$E$59,3,FALSE)/2000))),IF('Controls and Restrictions'!$D$6="lb/hr",'Controls and Restrictions'!$D12*8760/2000,'Controls and Restrictions'!$D12*L37/2000))</f>
        <v/>
      </c>
      <c r="E37" s="218" t="str">
        <f>IF('Controls and Restrictions'!E12=0,IF(B37="","",IF(ISERROR(((Inputs!$D47*365*24)/IF(Inputs!$F47="Wood",1,VLOOKUP(Inputs!$F47,'Fuel Energy Content'!$A$15:$B$21,2,FALSE)))*VLOOKUP(Inputs!$F47&amp;"NOX",'Emission Factors'!$C$4:$E$59,3,FALSE)/2000),0,(((Inputs!$D47*365*24)/IF(Inputs!$F47="Wood",1,VLOOKUP(Inputs!$F47,'Fuel Energy Content'!$A$15:$B$21,2,FALSE)))*VLOOKUP(Inputs!$F47&amp;"NOX",'Emission Factors'!$C$4:$E$59,3,FALSE)/2000))),IF('Controls and Restrictions'!$E$6="lb/hr",'Controls and Restrictions'!$E12*8760/2000,'Controls and Restrictions'!$E12*L37/2000))</f>
        <v/>
      </c>
      <c r="F37" s="218" t="str">
        <f>IF('Controls and Restrictions'!F12=0,IF(B37="","",IF(ISERROR(((Inputs!$D47*365*24)/IF(Inputs!$F47="Wood",1,VLOOKUP(Inputs!$F47,'Fuel Energy Content'!$A$15:$B$21,2,FALSE)))*VLOOKUP(Inputs!$F47&amp;"SO2",'Emission Factors'!$C$4:$E$59,3,FALSE)/2000),0,(((Inputs!$D47*365*24)/IF(Inputs!$F47="Wood",1,VLOOKUP(Inputs!$F47,'Fuel Energy Content'!$A$15:$B$21,2,FALSE)))*VLOOKUP(Inputs!$F47&amp;"SO2",'Emission Factors'!$C$4:$E$59,3,FALSE)/2000))),IF('Controls and Restrictions'!$F$6="lb/hr",'Controls and Restrictions'!$F12*8760/2000,'Controls and Restrictions'!$F12*L37/2000))</f>
        <v/>
      </c>
      <c r="G37" s="218" t="str">
        <f>IF('Controls and Restrictions'!G12=0,IF(B37="","",IF(ISERROR(((Inputs!$D47*365*24)/IF(Inputs!$F47="Wood",1,VLOOKUP(Inputs!$F47,'Fuel Energy Content'!$A$15:$B$21,2,FALSE)))*VLOOKUP(Inputs!$F47&amp;"VOC",'Emission Factors'!$C$4:$E$59,3,FALSE)/2000),0,(((Inputs!$D47*365*24)/IF(Inputs!$F47="Wood",1,VLOOKUP(Inputs!$F47,'Fuel Energy Content'!$A$15:$B$21,2,FALSE)))*VLOOKUP(Inputs!$F47&amp;"VOC",'Emission Factors'!$C$4:$E$59,3,FALSE)/2000))),IF('Controls and Restrictions'!$G$6="lb/hr",'Controls and Restrictions'!$G12*8760/2000,'Controls and Restrictions'!$G12*L37/2000))</f>
        <v/>
      </c>
      <c r="H37" s="218" t="str">
        <f>IF('Controls and Restrictions'!H12=0,IF(B37="","",IF(ISERROR(((Inputs!$D47*365*24)/IF(Inputs!$F47="Wood",1,VLOOKUP(Inputs!$F47,'Fuel Energy Content'!$A$15:$B$21,2,FALSE)))*VLOOKUP(Inputs!$F47&amp;"PM10",'Emission Factors'!$C$4:$E$59,3,FALSE)/2000),0,(((Inputs!$D47*365*24)/IF(Inputs!$F47="Wood",1,VLOOKUP(Inputs!$F47,'Fuel Energy Content'!$A$15:$B$21,2,FALSE)))*VLOOKUP(Inputs!$F47&amp;"PM10",'Emission Factors'!$C$4:$E$59,3,FALSE)/2000))),IF('Controls and Restrictions'!$H$6="lb/hr",'Controls and Restrictions'!$H12*8760/2000,'Controls and Restrictions'!$H12*L37/2000))</f>
        <v/>
      </c>
      <c r="I37" s="219" t="str">
        <f>IF('Controls and Restrictions'!I12=0,IF(B37="","",IF(ISERROR(((Inputs!$D47*365*24)/IF(Inputs!$F47="Wood",1,VLOOKUP(Inputs!$F47,'Fuel Energy Content'!$A$15:$B$21,2,FALSE)))*VLOOKUP(Inputs!$F47&amp;"PM2.5",'Emission Factors'!$C$4:$E$59,3,FALSE)/2000),0,(((Inputs!$D47*365*24)/IF(Inputs!$F47="Wood",1,VLOOKUP(Inputs!$F47,'Fuel Energy Content'!$A$15:$B$21,2,FALSE)))*VLOOKUP(Inputs!$F47&amp;"PM2.5",'Emission Factors'!$C$4:$E$59,3,FALSE)/2000))),IF('Controls and Restrictions'!$I$6="lb/hr",'Controls and Restrictions'!$I12*8760/2000,'Controls and Restrictions'!$I12*L37/2000))</f>
        <v/>
      </c>
      <c r="L37" s="322" t="str">
        <f>IF(B37="","",Inputs!D47*8760)</f>
        <v/>
      </c>
    </row>
    <row r="38" spans="1:12" x14ac:dyDescent="0.25">
      <c r="A38" s="54"/>
      <c r="B38" s="222" t="str">
        <f>IF(Inputs!B48="","",Inputs!B48)</f>
        <v/>
      </c>
      <c r="C38" s="223" t="str">
        <f>IF(Inputs!C48="","",Inputs!C48)</f>
        <v/>
      </c>
      <c r="D38" s="218" t="str">
        <f>IF('Controls and Restrictions'!D13=0,IF(B38="","",IF(ISERROR(((Inputs!$D48*365*24)/IF(Inputs!$F48="Wood",1,VLOOKUP(Inputs!$F48,'Fuel Energy Content'!$A$15:$B$21,2,FALSE)))*VLOOKUP(Inputs!$F48&amp;"CO",'Emission Factors'!$C$4:$E$59,3,FALSE)/2000),0,(((Inputs!$D48*365*24)/IF(Inputs!$F48="Wood",1,VLOOKUP(Inputs!$F48,'Fuel Energy Content'!$A$15:$B$21,2,FALSE)))*VLOOKUP(Inputs!$F48&amp;"CO",'Emission Factors'!$C$4:$E$59,3,FALSE)/2000))),IF('Controls and Restrictions'!$D$6="lb/hr",'Controls and Restrictions'!$D13*8760/2000,'Controls and Restrictions'!$D13*L38/2000))</f>
        <v/>
      </c>
      <c r="E38" s="218" t="str">
        <f>IF('Controls and Restrictions'!E13=0,IF(B38="","",IF(ISERROR(((Inputs!$D48*365*24)/IF(Inputs!$F48="Wood",1,VLOOKUP(Inputs!$F48,'Fuel Energy Content'!$A$15:$B$21,2,FALSE)))*VLOOKUP(Inputs!$F48&amp;"NOX",'Emission Factors'!$C$4:$E$59,3,FALSE)/2000),0,(((Inputs!$D48*365*24)/IF(Inputs!$F48="Wood",1,VLOOKUP(Inputs!$F48,'Fuel Energy Content'!$A$15:$B$21,2,FALSE)))*VLOOKUP(Inputs!$F48&amp;"NOX",'Emission Factors'!$C$4:$E$59,3,FALSE)/2000))),IF('Controls and Restrictions'!$E$6="lb/hr",'Controls and Restrictions'!$E13*8760/2000,'Controls and Restrictions'!$E13*L38/2000))</f>
        <v/>
      </c>
      <c r="F38" s="218" t="str">
        <f>IF('Controls and Restrictions'!F13=0,IF(B38="","",IF(ISERROR(((Inputs!$D48*365*24)/IF(Inputs!$F48="Wood",1,VLOOKUP(Inputs!$F48,'Fuel Energy Content'!$A$15:$B$21,2,FALSE)))*VLOOKUP(Inputs!$F48&amp;"SO2",'Emission Factors'!$C$4:$E$59,3,FALSE)/2000),0,(((Inputs!$D48*365*24)/IF(Inputs!$F48="Wood",1,VLOOKUP(Inputs!$F48,'Fuel Energy Content'!$A$15:$B$21,2,FALSE)))*VLOOKUP(Inputs!$F48&amp;"SO2",'Emission Factors'!$C$4:$E$59,3,FALSE)/2000))),IF('Controls and Restrictions'!$F$6="lb/hr",'Controls and Restrictions'!$F13*8760/2000,'Controls and Restrictions'!$F13*L38/2000))</f>
        <v/>
      </c>
      <c r="G38" s="218" t="str">
        <f>IF('Controls and Restrictions'!G13=0,IF(B38="","",IF(ISERROR(((Inputs!$D48*365*24)/IF(Inputs!$F48="Wood",1,VLOOKUP(Inputs!$F48,'Fuel Energy Content'!$A$15:$B$21,2,FALSE)))*VLOOKUP(Inputs!$F48&amp;"VOC",'Emission Factors'!$C$4:$E$59,3,FALSE)/2000),0,(((Inputs!$D48*365*24)/IF(Inputs!$F48="Wood",1,VLOOKUP(Inputs!$F48,'Fuel Energy Content'!$A$15:$B$21,2,FALSE)))*VLOOKUP(Inputs!$F48&amp;"VOC",'Emission Factors'!$C$4:$E$59,3,FALSE)/2000))),IF('Controls and Restrictions'!$G$6="lb/hr",'Controls and Restrictions'!$G13*8760/2000,'Controls and Restrictions'!$G13*L38/2000))</f>
        <v/>
      </c>
      <c r="H38" s="218" t="str">
        <f>IF('Controls and Restrictions'!H13=0,IF(B38="","",IF(ISERROR(((Inputs!$D48*365*24)/IF(Inputs!$F48="Wood",1,VLOOKUP(Inputs!$F48,'Fuel Energy Content'!$A$15:$B$21,2,FALSE)))*VLOOKUP(Inputs!$F48&amp;"PM10",'Emission Factors'!$C$4:$E$59,3,FALSE)/2000),0,(((Inputs!$D48*365*24)/IF(Inputs!$F48="Wood",1,VLOOKUP(Inputs!$F48,'Fuel Energy Content'!$A$15:$B$21,2,FALSE)))*VLOOKUP(Inputs!$F48&amp;"PM10",'Emission Factors'!$C$4:$E$59,3,FALSE)/2000))),IF('Controls and Restrictions'!$H$6="lb/hr",'Controls and Restrictions'!$H13*8760/2000,'Controls and Restrictions'!$H13*L38/2000))</f>
        <v/>
      </c>
      <c r="I38" s="219" t="str">
        <f>IF('Controls and Restrictions'!I13=0,IF(B38="","",IF(ISERROR(((Inputs!$D48*365*24)/IF(Inputs!$F48="Wood",1,VLOOKUP(Inputs!$F48,'Fuel Energy Content'!$A$15:$B$21,2,FALSE)))*VLOOKUP(Inputs!$F48&amp;"PM2.5",'Emission Factors'!$C$4:$E$59,3,FALSE)/2000),0,(((Inputs!$D48*365*24)/IF(Inputs!$F48="Wood",1,VLOOKUP(Inputs!$F48,'Fuel Energy Content'!$A$15:$B$21,2,FALSE)))*VLOOKUP(Inputs!$F48&amp;"PM2.5",'Emission Factors'!$C$4:$E$59,3,FALSE)/2000))),IF('Controls and Restrictions'!$I$6="lb/hr",'Controls and Restrictions'!$I13*8760/2000,'Controls and Restrictions'!$I13*L38/2000))</f>
        <v/>
      </c>
      <c r="L38" s="322" t="str">
        <f>IF(B38="","",Inputs!D48*8760)</f>
        <v/>
      </c>
    </row>
    <row r="39" spans="1:12" x14ac:dyDescent="0.25">
      <c r="A39" s="54"/>
      <c r="B39" s="222" t="str">
        <f>IF(Inputs!B49="","",Inputs!B49)</f>
        <v/>
      </c>
      <c r="C39" s="223" t="str">
        <f>IF(Inputs!C49="","",Inputs!C49)</f>
        <v/>
      </c>
      <c r="D39" s="218" t="str">
        <f>IF('Controls and Restrictions'!D14=0,IF(B39="","",IF(ISERROR(((Inputs!$D49*365*24)/IF(Inputs!$F49="Wood",1,VLOOKUP(Inputs!$F49,'Fuel Energy Content'!$A$15:$B$21,2,FALSE)))*VLOOKUP(Inputs!$F49&amp;"CO",'Emission Factors'!$C$4:$E$59,3,FALSE)/2000),0,(((Inputs!$D49*365*24)/IF(Inputs!$F49="Wood",1,VLOOKUP(Inputs!$F49,'Fuel Energy Content'!$A$15:$B$21,2,FALSE)))*VLOOKUP(Inputs!$F49&amp;"CO",'Emission Factors'!$C$4:$E$59,3,FALSE)/2000))),IF('Controls and Restrictions'!$D$6="lb/hr",'Controls and Restrictions'!$D14*8760/2000,'Controls and Restrictions'!$D14*L39/2000))</f>
        <v/>
      </c>
      <c r="E39" s="218" t="str">
        <f>IF('Controls and Restrictions'!E14=0,IF(B39="","",IF(ISERROR(((Inputs!$D49*365*24)/IF(Inputs!$F49="Wood",1,VLOOKUP(Inputs!$F49,'Fuel Energy Content'!$A$15:$B$21,2,FALSE)))*VLOOKUP(Inputs!$F49&amp;"NOX",'Emission Factors'!$C$4:$E$59,3,FALSE)/2000),0,(((Inputs!$D49*365*24)/IF(Inputs!$F49="Wood",1,VLOOKUP(Inputs!$F49,'Fuel Energy Content'!$A$15:$B$21,2,FALSE)))*VLOOKUP(Inputs!$F49&amp;"NOX",'Emission Factors'!$C$4:$E$59,3,FALSE)/2000))),IF('Controls and Restrictions'!$E$6="lb/hr",'Controls and Restrictions'!$E14*8760/2000,'Controls and Restrictions'!$E14*L39/2000))</f>
        <v/>
      </c>
      <c r="F39" s="218" t="str">
        <f>IF('Controls and Restrictions'!F14=0,IF(B39="","",IF(ISERROR(((Inputs!$D49*365*24)/IF(Inputs!$F49="Wood",1,VLOOKUP(Inputs!$F49,'Fuel Energy Content'!$A$15:$B$21,2,FALSE)))*VLOOKUP(Inputs!$F49&amp;"SO2",'Emission Factors'!$C$4:$E$59,3,FALSE)/2000),0,(((Inputs!$D49*365*24)/IF(Inputs!$F49="Wood",1,VLOOKUP(Inputs!$F49,'Fuel Energy Content'!$A$15:$B$21,2,FALSE)))*VLOOKUP(Inputs!$F49&amp;"SO2",'Emission Factors'!$C$4:$E$59,3,FALSE)/2000))),IF('Controls and Restrictions'!$F$6="lb/hr",'Controls and Restrictions'!$F14*8760/2000,'Controls and Restrictions'!$F14*L39/2000))</f>
        <v/>
      </c>
      <c r="G39" s="218" t="str">
        <f>IF('Controls and Restrictions'!G14=0,IF(B39="","",IF(ISERROR(((Inputs!$D49*365*24)/IF(Inputs!$F49="Wood",1,VLOOKUP(Inputs!$F49,'Fuel Energy Content'!$A$15:$B$21,2,FALSE)))*VLOOKUP(Inputs!$F49&amp;"VOC",'Emission Factors'!$C$4:$E$59,3,FALSE)/2000),0,(((Inputs!$D49*365*24)/IF(Inputs!$F49="Wood",1,VLOOKUP(Inputs!$F49,'Fuel Energy Content'!$A$15:$B$21,2,FALSE)))*VLOOKUP(Inputs!$F49&amp;"VOC",'Emission Factors'!$C$4:$E$59,3,FALSE)/2000))),IF('Controls and Restrictions'!$G$6="lb/hr",'Controls and Restrictions'!$G14*8760/2000,'Controls and Restrictions'!$G14*L39/2000))</f>
        <v/>
      </c>
      <c r="H39" s="218" t="str">
        <f>IF('Controls and Restrictions'!H14=0,IF(B39="","",IF(ISERROR(((Inputs!$D49*365*24)/IF(Inputs!$F49="Wood",1,VLOOKUP(Inputs!$F49,'Fuel Energy Content'!$A$15:$B$21,2,FALSE)))*VLOOKUP(Inputs!$F49&amp;"PM10",'Emission Factors'!$C$4:$E$59,3,FALSE)/2000),0,(((Inputs!$D49*365*24)/IF(Inputs!$F49="Wood",1,VLOOKUP(Inputs!$F49,'Fuel Energy Content'!$A$15:$B$21,2,FALSE)))*VLOOKUP(Inputs!$F49&amp;"PM10",'Emission Factors'!$C$4:$E$59,3,FALSE)/2000))),IF('Controls and Restrictions'!$H$6="lb/hr",'Controls and Restrictions'!$H14*8760/2000,'Controls and Restrictions'!$H14*L39/2000))</f>
        <v/>
      </c>
      <c r="I39" s="219" t="str">
        <f>IF('Controls and Restrictions'!I14=0,IF(B39="","",IF(ISERROR(((Inputs!$D49*365*24)/IF(Inputs!$F49="Wood",1,VLOOKUP(Inputs!$F49,'Fuel Energy Content'!$A$15:$B$21,2,FALSE)))*VLOOKUP(Inputs!$F49&amp;"PM2.5",'Emission Factors'!$C$4:$E$59,3,FALSE)/2000),0,(((Inputs!$D49*365*24)/IF(Inputs!$F49="Wood",1,VLOOKUP(Inputs!$F49,'Fuel Energy Content'!$A$15:$B$21,2,FALSE)))*VLOOKUP(Inputs!$F49&amp;"PM2.5",'Emission Factors'!$C$4:$E$59,3,FALSE)/2000))),IF('Controls and Restrictions'!$I$6="lb/hr",'Controls and Restrictions'!$I14*8760/2000,'Controls and Restrictions'!$I14*L39/2000))</f>
        <v/>
      </c>
      <c r="L39" s="322" t="str">
        <f>IF(B39="","",Inputs!D49*8760)</f>
        <v/>
      </c>
    </row>
    <row r="40" spans="1:12" x14ac:dyDescent="0.25">
      <c r="A40" s="54"/>
      <c r="B40" s="222" t="str">
        <f>IF(Inputs!B50="","",Inputs!B50)</f>
        <v/>
      </c>
      <c r="C40" s="223" t="str">
        <f>IF(Inputs!C50="","",Inputs!C50)</f>
        <v/>
      </c>
      <c r="D40" s="218" t="str">
        <f>IF('Controls and Restrictions'!D15=0,IF(B40="","",IF(ISERROR(((Inputs!$D50*365*24)/IF(Inputs!$F50="Wood",1,VLOOKUP(Inputs!$F50,'Fuel Energy Content'!$A$15:$B$21,2,FALSE)))*VLOOKUP(Inputs!$F50&amp;"CO",'Emission Factors'!$C$4:$E$59,3,FALSE)/2000),0,(((Inputs!$D50*365*24)/IF(Inputs!$F50="Wood",1,VLOOKUP(Inputs!$F50,'Fuel Energy Content'!$A$15:$B$21,2,FALSE)))*VLOOKUP(Inputs!$F50&amp;"CO",'Emission Factors'!$C$4:$E$59,3,FALSE)/2000))),IF('Controls and Restrictions'!$D$6="lb/hr",'Controls and Restrictions'!$D15*8760/2000,'Controls and Restrictions'!$D15*L40/2000))</f>
        <v/>
      </c>
      <c r="E40" s="218" t="str">
        <f>IF('Controls and Restrictions'!E15=0,IF(B40="","",IF(ISERROR(((Inputs!$D50*365*24)/IF(Inputs!$F50="Wood",1,VLOOKUP(Inputs!$F50,'Fuel Energy Content'!$A$15:$B$21,2,FALSE)))*VLOOKUP(Inputs!$F50&amp;"NOX",'Emission Factors'!$C$4:$E$59,3,FALSE)/2000),0,(((Inputs!$D50*365*24)/IF(Inputs!$F50="Wood",1,VLOOKUP(Inputs!$F50,'Fuel Energy Content'!$A$15:$B$21,2,FALSE)))*VLOOKUP(Inputs!$F50&amp;"NOX",'Emission Factors'!$C$4:$E$59,3,FALSE)/2000))),IF('Controls and Restrictions'!$E$6="lb/hr",'Controls and Restrictions'!$E15*8760/2000,'Controls and Restrictions'!$E15*L40/2000))</f>
        <v/>
      </c>
      <c r="F40" s="218" t="str">
        <f>IF('Controls and Restrictions'!F15=0,IF(B40="","",IF(ISERROR(((Inputs!$D50*365*24)/IF(Inputs!$F50="Wood",1,VLOOKUP(Inputs!$F50,'Fuel Energy Content'!$A$15:$B$21,2,FALSE)))*VLOOKUP(Inputs!$F50&amp;"SO2",'Emission Factors'!$C$4:$E$59,3,FALSE)/2000),0,(((Inputs!$D50*365*24)/IF(Inputs!$F50="Wood",1,VLOOKUP(Inputs!$F50,'Fuel Energy Content'!$A$15:$B$21,2,FALSE)))*VLOOKUP(Inputs!$F50&amp;"SO2",'Emission Factors'!$C$4:$E$59,3,FALSE)/2000))),IF('Controls and Restrictions'!$F$6="lb/hr",'Controls and Restrictions'!$F15*8760/2000,'Controls and Restrictions'!$F15*L40/2000))</f>
        <v/>
      </c>
      <c r="G40" s="218" t="str">
        <f>IF('Controls and Restrictions'!G15=0,IF(B40="","",IF(ISERROR(((Inputs!$D50*365*24)/IF(Inputs!$F50="Wood",1,VLOOKUP(Inputs!$F50,'Fuel Energy Content'!$A$15:$B$21,2,FALSE)))*VLOOKUP(Inputs!$F50&amp;"VOC",'Emission Factors'!$C$4:$E$59,3,FALSE)/2000),0,(((Inputs!$D50*365*24)/IF(Inputs!$F50="Wood",1,VLOOKUP(Inputs!$F50,'Fuel Energy Content'!$A$15:$B$21,2,FALSE)))*VLOOKUP(Inputs!$F50&amp;"VOC",'Emission Factors'!$C$4:$E$59,3,FALSE)/2000))),IF('Controls and Restrictions'!$G$6="lb/hr",'Controls and Restrictions'!$G15*8760/2000,'Controls and Restrictions'!$G15*L40/2000))</f>
        <v/>
      </c>
      <c r="H40" s="218" t="str">
        <f>IF('Controls and Restrictions'!H15=0,IF(B40="","",IF(ISERROR(((Inputs!$D50*365*24)/IF(Inputs!$F50="Wood",1,VLOOKUP(Inputs!$F50,'Fuel Energy Content'!$A$15:$B$21,2,FALSE)))*VLOOKUP(Inputs!$F50&amp;"PM10",'Emission Factors'!$C$4:$E$59,3,FALSE)/2000),0,(((Inputs!$D50*365*24)/IF(Inputs!$F50="Wood",1,VLOOKUP(Inputs!$F50,'Fuel Energy Content'!$A$15:$B$21,2,FALSE)))*VLOOKUP(Inputs!$F50&amp;"PM10",'Emission Factors'!$C$4:$E$59,3,FALSE)/2000))),IF('Controls and Restrictions'!$H$6="lb/hr",'Controls and Restrictions'!$H15*8760/2000,'Controls and Restrictions'!$H15*L40/2000))</f>
        <v/>
      </c>
      <c r="I40" s="219" t="str">
        <f>IF('Controls and Restrictions'!I15=0,IF(B40="","",IF(ISERROR(((Inputs!$D50*365*24)/IF(Inputs!$F50="Wood",1,VLOOKUP(Inputs!$F50,'Fuel Energy Content'!$A$15:$B$21,2,FALSE)))*VLOOKUP(Inputs!$F50&amp;"PM2.5",'Emission Factors'!$C$4:$E$59,3,FALSE)/2000),0,(((Inputs!$D50*365*24)/IF(Inputs!$F50="Wood",1,VLOOKUP(Inputs!$F50,'Fuel Energy Content'!$A$15:$B$21,2,FALSE)))*VLOOKUP(Inputs!$F50&amp;"PM2.5",'Emission Factors'!$C$4:$E$59,3,FALSE)/2000))),IF('Controls and Restrictions'!$I$6="lb/hr",'Controls and Restrictions'!$I15*8760/2000,'Controls and Restrictions'!$I15*L40/2000))</f>
        <v/>
      </c>
      <c r="L40" s="322" t="str">
        <f>IF(B40="","",Inputs!D50*8760)</f>
        <v/>
      </c>
    </row>
    <row r="41" spans="1:12" x14ac:dyDescent="0.25">
      <c r="A41" s="54"/>
      <c r="B41" s="222" t="str">
        <f>IF(Inputs!B51="","",Inputs!B51)</f>
        <v/>
      </c>
      <c r="C41" s="223" t="str">
        <f>IF(Inputs!C51="","",Inputs!C51)</f>
        <v/>
      </c>
      <c r="D41" s="218" t="str">
        <f>IF('Controls and Restrictions'!D16=0,IF(B41="","",IF(ISERROR(((Inputs!$D51*365*24)/IF(Inputs!$F51="Wood",1,VLOOKUP(Inputs!$F51,'Fuel Energy Content'!$A$15:$B$21,2,FALSE)))*VLOOKUP(Inputs!$F51&amp;"CO",'Emission Factors'!$C$4:$E$59,3,FALSE)/2000),0,(((Inputs!$D51*365*24)/IF(Inputs!$F51="Wood",1,VLOOKUP(Inputs!$F51,'Fuel Energy Content'!$A$15:$B$21,2,FALSE)))*VLOOKUP(Inputs!$F51&amp;"CO",'Emission Factors'!$C$4:$E$59,3,FALSE)/2000))),IF('Controls and Restrictions'!$D$6="lb/hr",'Controls and Restrictions'!$D16*8760/2000,'Controls and Restrictions'!$D16*L41/2000))</f>
        <v/>
      </c>
      <c r="E41" s="218" t="str">
        <f>IF('Controls and Restrictions'!E16=0,IF(B41="","",IF(ISERROR(((Inputs!$D51*365*24)/IF(Inputs!$F51="Wood",1,VLOOKUP(Inputs!$F51,'Fuel Energy Content'!$A$15:$B$21,2,FALSE)))*VLOOKUP(Inputs!$F51&amp;"NOX",'Emission Factors'!$C$4:$E$59,3,FALSE)/2000),0,(((Inputs!$D51*365*24)/IF(Inputs!$F51="Wood",1,VLOOKUP(Inputs!$F51,'Fuel Energy Content'!$A$15:$B$21,2,FALSE)))*VLOOKUP(Inputs!$F51&amp;"NOX",'Emission Factors'!$C$4:$E$59,3,FALSE)/2000))),IF('Controls and Restrictions'!$E$6="lb/hr",'Controls and Restrictions'!$E16*8760/2000,'Controls and Restrictions'!$E16*L41/2000))</f>
        <v/>
      </c>
      <c r="F41" s="218" t="str">
        <f>IF('Controls and Restrictions'!F16=0,IF(B41="","",IF(ISERROR(((Inputs!$D51*365*24)/IF(Inputs!$F51="Wood",1,VLOOKUP(Inputs!$F51,'Fuel Energy Content'!$A$15:$B$21,2,FALSE)))*VLOOKUP(Inputs!$F51&amp;"SO2",'Emission Factors'!$C$4:$E$59,3,FALSE)/2000),0,(((Inputs!$D51*365*24)/IF(Inputs!$F51="Wood",1,VLOOKUP(Inputs!$F51,'Fuel Energy Content'!$A$15:$B$21,2,FALSE)))*VLOOKUP(Inputs!$F51&amp;"SO2",'Emission Factors'!$C$4:$E$59,3,FALSE)/2000))),IF('Controls and Restrictions'!$F$6="lb/hr",'Controls and Restrictions'!$F16*8760/2000,'Controls and Restrictions'!$F16*L41/2000))</f>
        <v/>
      </c>
      <c r="G41" s="218" t="str">
        <f>IF('Controls and Restrictions'!G16=0,IF(B41="","",IF(ISERROR(((Inputs!$D51*365*24)/IF(Inputs!$F51="Wood",1,VLOOKUP(Inputs!$F51,'Fuel Energy Content'!$A$15:$B$21,2,FALSE)))*VLOOKUP(Inputs!$F51&amp;"VOC",'Emission Factors'!$C$4:$E$59,3,FALSE)/2000),0,(((Inputs!$D51*365*24)/IF(Inputs!$F51="Wood",1,VLOOKUP(Inputs!$F51,'Fuel Energy Content'!$A$15:$B$21,2,FALSE)))*VLOOKUP(Inputs!$F51&amp;"VOC",'Emission Factors'!$C$4:$E$59,3,FALSE)/2000))),IF('Controls and Restrictions'!$G$6="lb/hr",'Controls and Restrictions'!$G16*8760/2000,'Controls and Restrictions'!$G16*L41/2000))</f>
        <v/>
      </c>
      <c r="H41" s="218" t="str">
        <f>IF('Controls and Restrictions'!H16=0,IF(B41="","",IF(ISERROR(((Inputs!$D51*365*24)/IF(Inputs!$F51="Wood",1,VLOOKUP(Inputs!$F51,'Fuel Energy Content'!$A$15:$B$21,2,FALSE)))*VLOOKUP(Inputs!$F51&amp;"PM10",'Emission Factors'!$C$4:$E$59,3,FALSE)/2000),0,(((Inputs!$D51*365*24)/IF(Inputs!$F51="Wood",1,VLOOKUP(Inputs!$F51,'Fuel Energy Content'!$A$15:$B$21,2,FALSE)))*VLOOKUP(Inputs!$F51&amp;"PM10",'Emission Factors'!$C$4:$E$59,3,FALSE)/2000))),IF('Controls and Restrictions'!$H$6="lb/hr",'Controls and Restrictions'!$H16*8760/2000,'Controls and Restrictions'!$H16*L41/2000))</f>
        <v/>
      </c>
      <c r="I41" s="219" t="str">
        <f>IF('Controls and Restrictions'!I16=0,IF(B41="","",IF(ISERROR(((Inputs!$D51*365*24)/IF(Inputs!$F51="Wood",1,VLOOKUP(Inputs!$F51,'Fuel Energy Content'!$A$15:$B$21,2,FALSE)))*VLOOKUP(Inputs!$F51&amp;"PM2.5",'Emission Factors'!$C$4:$E$59,3,FALSE)/2000),0,(((Inputs!$D51*365*24)/IF(Inputs!$F51="Wood",1,VLOOKUP(Inputs!$F51,'Fuel Energy Content'!$A$15:$B$21,2,FALSE)))*VLOOKUP(Inputs!$F51&amp;"PM2.5",'Emission Factors'!$C$4:$E$59,3,FALSE)/2000))),IF('Controls and Restrictions'!$I$6="lb/hr",'Controls and Restrictions'!$I16*8760/2000,'Controls and Restrictions'!$I16*L41/2000))</f>
        <v/>
      </c>
      <c r="L41" s="322" t="str">
        <f>IF(B41="","",Inputs!D51*8760)</f>
        <v/>
      </c>
    </row>
    <row r="42" spans="1:12" x14ac:dyDescent="0.25">
      <c r="A42" s="54"/>
      <c r="B42" s="222" t="str">
        <f>IF(Inputs!B52="","",Inputs!B52)</f>
        <v/>
      </c>
      <c r="C42" s="223" t="str">
        <f>IF(Inputs!C52="","",Inputs!C52)</f>
        <v/>
      </c>
      <c r="D42" s="218" t="str">
        <f>IF('Controls and Restrictions'!D17=0,IF(B42="","",IF(ISERROR(((Inputs!$D52*365*24)/IF(Inputs!$F52="Wood",1,VLOOKUP(Inputs!$F52,'Fuel Energy Content'!$A$15:$B$21,2,FALSE)))*VLOOKUP(Inputs!$F52&amp;"CO",'Emission Factors'!$C$4:$E$59,3,FALSE)/2000),0,(((Inputs!$D52*365*24)/IF(Inputs!$F52="Wood",1,VLOOKUP(Inputs!$F52,'Fuel Energy Content'!$A$15:$B$21,2,FALSE)))*VLOOKUP(Inputs!$F52&amp;"CO",'Emission Factors'!$C$4:$E$59,3,FALSE)/2000))),IF('Controls and Restrictions'!$D$6="lb/hr",'Controls and Restrictions'!$D17*8760/2000,'Controls and Restrictions'!$D17*L42/2000))</f>
        <v/>
      </c>
      <c r="E42" s="218" t="str">
        <f>IF('Controls and Restrictions'!E17=0,IF(B42="","",IF(ISERROR(((Inputs!$D52*365*24)/IF(Inputs!$F52="Wood",1,VLOOKUP(Inputs!$F52,'Fuel Energy Content'!$A$15:$B$21,2,FALSE)))*VLOOKUP(Inputs!$F52&amp;"NOX",'Emission Factors'!$C$4:$E$59,3,FALSE)/2000),0,(((Inputs!$D52*365*24)/IF(Inputs!$F52="Wood",1,VLOOKUP(Inputs!$F52,'Fuel Energy Content'!$A$15:$B$21,2,FALSE)))*VLOOKUP(Inputs!$F52&amp;"NOX",'Emission Factors'!$C$4:$E$59,3,FALSE)/2000))),IF('Controls and Restrictions'!$E$6="lb/hr",'Controls and Restrictions'!$E17*8760/2000,'Controls and Restrictions'!$E17*L42/2000))</f>
        <v/>
      </c>
      <c r="F42" s="218" t="str">
        <f>IF('Controls and Restrictions'!F17=0,IF(B42="","",IF(ISERROR(((Inputs!$D52*365*24)/IF(Inputs!$F52="Wood",1,VLOOKUP(Inputs!$F52,'Fuel Energy Content'!$A$15:$B$21,2,FALSE)))*VLOOKUP(Inputs!$F52&amp;"SO2",'Emission Factors'!$C$4:$E$59,3,FALSE)/2000),0,(((Inputs!$D52*365*24)/IF(Inputs!$F52="Wood",1,VLOOKUP(Inputs!$F52,'Fuel Energy Content'!$A$15:$B$21,2,FALSE)))*VLOOKUP(Inputs!$F52&amp;"SO2",'Emission Factors'!$C$4:$E$59,3,FALSE)/2000))),IF('Controls and Restrictions'!$F$6="lb/hr",'Controls and Restrictions'!$F17*8760/2000,'Controls and Restrictions'!$F17*L42/2000))</f>
        <v/>
      </c>
      <c r="G42" s="218" t="str">
        <f>IF('Controls and Restrictions'!G17=0,IF(B42="","",IF(ISERROR(((Inputs!$D52*365*24)/IF(Inputs!$F52="Wood",1,VLOOKUP(Inputs!$F52,'Fuel Energy Content'!$A$15:$B$21,2,FALSE)))*VLOOKUP(Inputs!$F52&amp;"VOC",'Emission Factors'!$C$4:$E$59,3,FALSE)/2000),0,(((Inputs!$D52*365*24)/IF(Inputs!$F52="Wood",1,VLOOKUP(Inputs!$F52,'Fuel Energy Content'!$A$15:$B$21,2,FALSE)))*VLOOKUP(Inputs!$F52&amp;"VOC",'Emission Factors'!$C$4:$E$59,3,FALSE)/2000))),IF('Controls and Restrictions'!$G$6="lb/hr",'Controls and Restrictions'!$G17*8760/2000,'Controls and Restrictions'!$G17*L42/2000))</f>
        <v/>
      </c>
      <c r="H42" s="218" t="str">
        <f>IF('Controls and Restrictions'!H17=0,IF(B42="","",IF(ISERROR(((Inputs!$D52*365*24)/IF(Inputs!$F52="Wood",1,VLOOKUP(Inputs!$F52,'Fuel Energy Content'!$A$15:$B$21,2,FALSE)))*VLOOKUP(Inputs!$F52&amp;"PM10",'Emission Factors'!$C$4:$E$59,3,FALSE)/2000),0,(((Inputs!$D52*365*24)/IF(Inputs!$F52="Wood",1,VLOOKUP(Inputs!$F52,'Fuel Energy Content'!$A$15:$B$21,2,FALSE)))*VLOOKUP(Inputs!$F52&amp;"PM10",'Emission Factors'!$C$4:$E$59,3,FALSE)/2000))),IF('Controls and Restrictions'!$H$6="lb/hr",'Controls and Restrictions'!$H17*8760/2000,'Controls and Restrictions'!$H17*L42/2000))</f>
        <v/>
      </c>
      <c r="I42" s="219" t="str">
        <f>IF('Controls and Restrictions'!I17=0,IF(B42="","",IF(ISERROR(((Inputs!$D52*365*24)/IF(Inputs!$F52="Wood",1,VLOOKUP(Inputs!$F52,'Fuel Energy Content'!$A$15:$B$21,2,FALSE)))*VLOOKUP(Inputs!$F52&amp;"PM2.5",'Emission Factors'!$C$4:$E$59,3,FALSE)/2000),0,(((Inputs!$D52*365*24)/IF(Inputs!$F52="Wood",1,VLOOKUP(Inputs!$F52,'Fuel Energy Content'!$A$15:$B$21,2,FALSE)))*VLOOKUP(Inputs!$F52&amp;"PM2.5",'Emission Factors'!$C$4:$E$59,3,FALSE)/2000))),IF('Controls and Restrictions'!$I$6="lb/hr",'Controls and Restrictions'!$I17*8760/2000,'Controls and Restrictions'!$I17*L42/2000))</f>
        <v/>
      </c>
      <c r="L42" s="322" t="str">
        <f>IF(B42="","",Inputs!D52*8760)</f>
        <v/>
      </c>
    </row>
    <row r="43" spans="1:12" x14ac:dyDescent="0.25">
      <c r="A43" s="54"/>
      <c r="B43" s="222" t="str">
        <f>IF(Inputs!B53="","",Inputs!B53)</f>
        <v/>
      </c>
      <c r="C43" s="223" t="str">
        <f>IF(Inputs!C53="","",Inputs!C53)</f>
        <v/>
      </c>
      <c r="D43" s="218" t="str">
        <f>IF('Controls and Restrictions'!D18=0,IF(B43="","",IF(ISERROR(((Inputs!$D53*365*24)/IF(Inputs!$F53="Wood",1,VLOOKUP(Inputs!$F53,'Fuel Energy Content'!$A$15:$B$21,2,FALSE)))*VLOOKUP(Inputs!$F53&amp;"CO",'Emission Factors'!$C$4:$E$59,3,FALSE)/2000),0,(((Inputs!$D53*365*24)/IF(Inputs!$F53="Wood",1,VLOOKUP(Inputs!$F53,'Fuel Energy Content'!$A$15:$B$21,2,FALSE)))*VLOOKUP(Inputs!$F53&amp;"CO",'Emission Factors'!$C$4:$E$59,3,FALSE)/2000))),IF('Controls and Restrictions'!$D$6="lb/hr",'Controls and Restrictions'!$D18*8760/2000,'Controls and Restrictions'!$D18*L43/2000))</f>
        <v/>
      </c>
      <c r="E43" s="218" t="str">
        <f>IF('Controls and Restrictions'!E18=0,IF(B43="","",IF(ISERROR(((Inputs!$D53*365*24)/IF(Inputs!$F53="Wood",1,VLOOKUP(Inputs!$F53,'Fuel Energy Content'!$A$15:$B$21,2,FALSE)))*VLOOKUP(Inputs!$F53&amp;"NOX",'Emission Factors'!$C$4:$E$59,3,FALSE)/2000),0,(((Inputs!$D53*365*24)/IF(Inputs!$F53="Wood",1,VLOOKUP(Inputs!$F53,'Fuel Energy Content'!$A$15:$B$21,2,FALSE)))*VLOOKUP(Inputs!$F53&amp;"NOX",'Emission Factors'!$C$4:$E$59,3,FALSE)/2000))),IF('Controls and Restrictions'!$E$6="lb/hr",'Controls and Restrictions'!$E18*8760/2000,'Controls and Restrictions'!$E18*L43/2000))</f>
        <v/>
      </c>
      <c r="F43" s="218" t="str">
        <f>IF('Controls and Restrictions'!F18=0,IF(B43="","",IF(ISERROR(((Inputs!$D53*365*24)/IF(Inputs!$F53="Wood",1,VLOOKUP(Inputs!$F53,'Fuel Energy Content'!$A$15:$B$21,2,FALSE)))*VLOOKUP(Inputs!$F53&amp;"SO2",'Emission Factors'!$C$4:$E$59,3,FALSE)/2000),0,(((Inputs!$D53*365*24)/IF(Inputs!$F53="Wood",1,VLOOKUP(Inputs!$F53,'Fuel Energy Content'!$A$15:$B$21,2,FALSE)))*VLOOKUP(Inputs!$F53&amp;"SO2",'Emission Factors'!$C$4:$E$59,3,FALSE)/2000))),IF('Controls and Restrictions'!$F$6="lb/hr",'Controls and Restrictions'!$F18*8760/2000,'Controls and Restrictions'!$F18*L43/2000))</f>
        <v/>
      </c>
      <c r="G43" s="218" t="str">
        <f>IF('Controls and Restrictions'!G18=0,IF(B43="","",IF(ISERROR(((Inputs!$D53*365*24)/IF(Inputs!$F53="Wood",1,VLOOKUP(Inputs!$F53,'Fuel Energy Content'!$A$15:$B$21,2,FALSE)))*VLOOKUP(Inputs!$F53&amp;"VOC",'Emission Factors'!$C$4:$E$59,3,FALSE)/2000),0,(((Inputs!$D53*365*24)/IF(Inputs!$F53="Wood",1,VLOOKUP(Inputs!$F53,'Fuel Energy Content'!$A$15:$B$21,2,FALSE)))*VLOOKUP(Inputs!$F53&amp;"VOC",'Emission Factors'!$C$4:$E$59,3,FALSE)/2000))),IF('Controls and Restrictions'!$G$6="lb/hr",'Controls and Restrictions'!$G18*8760/2000,'Controls and Restrictions'!$G18*L43/2000))</f>
        <v/>
      </c>
      <c r="H43" s="218" t="str">
        <f>IF('Controls and Restrictions'!H18=0,IF(B43="","",IF(ISERROR(((Inputs!$D53*365*24)/IF(Inputs!$F53="Wood",1,VLOOKUP(Inputs!$F53,'Fuel Energy Content'!$A$15:$B$21,2,FALSE)))*VLOOKUP(Inputs!$F53&amp;"PM10",'Emission Factors'!$C$4:$E$59,3,FALSE)/2000),0,(((Inputs!$D53*365*24)/IF(Inputs!$F53="Wood",1,VLOOKUP(Inputs!$F53,'Fuel Energy Content'!$A$15:$B$21,2,FALSE)))*VLOOKUP(Inputs!$F53&amp;"PM10",'Emission Factors'!$C$4:$E$59,3,FALSE)/2000))),IF('Controls and Restrictions'!$H$6="lb/hr",'Controls and Restrictions'!$H18*8760/2000,'Controls and Restrictions'!$H18*L43/2000))</f>
        <v/>
      </c>
      <c r="I43" s="219" t="str">
        <f>IF('Controls and Restrictions'!I18=0,IF(B43="","",IF(ISERROR(((Inputs!$D53*365*24)/IF(Inputs!$F53="Wood",1,VLOOKUP(Inputs!$F53,'Fuel Energy Content'!$A$15:$B$21,2,FALSE)))*VLOOKUP(Inputs!$F53&amp;"PM2.5",'Emission Factors'!$C$4:$E$59,3,FALSE)/2000),0,(((Inputs!$D53*365*24)/IF(Inputs!$F53="Wood",1,VLOOKUP(Inputs!$F53,'Fuel Energy Content'!$A$15:$B$21,2,FALSE)))*VLOOKUP(Inputs!$F53&amp;"PM2.5",'Emission Factors'!$C$4:$E$59,3,FALSE)/2000))),IF('Controls and Restrictions'!$I$6="lb/hr",'Controls and Restrictions'!$I18*8760/2000,'Controls and Restrictions'!$I18*L43/2000))</f>
        <v/>
      </c>
      <c r="L43" s="322" t="str">
        <f>IF(B43="","",Inputs!D53*8760)</f>
        <v/>
      </c>
    </row>
    <row r="44" spans="1:12" x14ac:dyDescent="0.25">
      <c r="A44" s="54"/>
      <c r="B44" s="222" t="str">
        <f>IF(Inputs!B54="","",Inputs!B54)</f>
        <v/>
      </c>
      <c r="C44" s="223" t="str">
        <f>IF(Inputs!C54="","",Inputs!C54)</f>
        <v/>
      </c>
      <c r="D44" s="218" t="str">
        <f>IF('Controls and Restrictions'!D19=0,IF(B44="","",IF(ISERROR(((Inputs!$D54*365*24)/IF(Inputs!$F54="Wood",1,VLOOKUP(Inputs!$F54,'Fuel Energy Content'!$A$15:$B$21,2,FALSE)))*VLOOKUP(Inputs!$F54&amp;"CO",'Emission Factors'!$C$4:$E$59,3,FALSE)/2000),0,(((Inputs!$D54*365*24)/IF(Inputs!$F54="Wood",1,VLOOKUP(Inputs!$F54,'Fuel Energy Content'!$A$15:$B$21,2,FALSE)))*VLOOKUP(Inputs!$F54&amp;"CO",'Emission Factors'!$C$4:$E$59,3,FALSE)/2000))),IF('Controls and Restrictions'!$D$6="lb/hr",'Controls and Restrictions'!$D19*8760/2000,'Controls and Restrictions'!$D19*L44/2000))</f>
        <v/>
      </c>
      <c r="E44" s="218" t="str">
        <f>IF('Controls and Restrictions'!E19=0,IF(B44="","",IF(ISERROR(((Inputs!$D54*365*24)/IF(Inputs!$F54="Wood",1,VLOOKUP(Inputs!$F54,'Fuel Energy Content'!$A$15:$B$21,2,FALSE)))*VLOOKUP(Inputs!$F54&amp;"NOX",'Emission Factors'!$C$4:$E$59,3,FALSE)/2000),0,(((Inputs!$D54*365*24)/IF(Inputs!$F54="Wood",1,VLOOKUP(Inputs!$F54,'Fuel Energy Content'!$A$15:$B$21,2,FALSE)))*VLOOKUP(Inputs!$F54&amp;"NOX",'Emission Factors'!$C$4:$E$59,3,FALSE)/2000))),IF('Controls and Restrictions'!$E$6="lb/hr",'Controls and Restrictions'!$E19*8760/2000,'Controls and Restrictions'!$E19*L44/2000))</f>
        <v/>
      </c>
      <c r="F44" s="218" t="str">
        <f>IF('Controls and Restrictions'!F19=0,IF(B44="","",IF(ISERROR(((Inputs!$D54*365*24)/IF(Inputs!$F54="Wood",1,VLOOKUP(Inputs!$F54,'Fuel Energy Content'!$A$15:$B$21,2,FALSE)))*VLOOKUP(Inputs!$F54&amp;"SO2",'Emission Factors'!$C$4:$E$59,3,FALSE)/2000),0,(((Inputs!$D54*365*24)/IF(Inputs!$F54="Wood",1,VLOOKUP(Inputs!$F54,'Fuel Energy Content'!$A$15:$B$21,2,FALSE)))*VLOOKUP(Inputs!$F54&amp;"SO2",'Emission Factors'!$C$4:$E$59,3,FALSE)/2000))),IF('Controls and Restrictions'!$F$6="lb/hr",'Controls and Restrictions'!$F19*8760/2000,'Controls and Restrictions'!$F19*L44/2000))</f>
        <v/>
      </c>
      <c r="G44" s="218" t="str">
        <f>IF('Controls and Restrictions'!G19=0,IF(B44="","",IF(ISERROR(((Inputs!$D54*365*24)/IF(Inputs!$F54="Wood",1,VLOOKUP(Inputs!$F54,'Fuel Energy Content'!$A$15:$B$21,2,FALSE)))*VLOOKUP(Inputs!$F54&amp;"VOC",'Emission Factors'!$C$4:$E$59,3,FALSE)/2000),0,(((Inputs!$D54*365*24)/IF(Inputs!$F54="Wood",1,VLOOKUP(Inputs!$F54,'Fuel Energy Content'!$A$15:$B$21,2,FALSE)))*VLOOKUP(Inputs!$F54&amp;"VOC",'Emission Factors'!$C$4:$E$59,3,FALSE)/2000))),IF('Controls and Restrictions'!$G$6="lb/hr",'Controls and Restrictions'!$G19*8760/2000,'Controls and Restrictions'!$G19*L44/2000))</f>
        <v/>
      </c>
      <c r="H44" s="218" t="str">
        <f>IF('Controls and Restrictions'!H19=0,IF(B44="","",IF(ISERROR(((Inputs!$D54*365*24)/IF(Inputs!$F54="Wood",1,VLOOKUP(Inputs!$F54,'Fuel Energy Content'!$A$15:$B$21,2,FALSE)))*VLOOKUP(Inputs!$F54&amp;"PM10",'Emission Factors'!$C$4:$E$59,3,FALSE)/2000),0,(((Inputs!$D54*365*24)/IF(Inputs!$F54="Wood",1,VLOOKUP(Inputs!$F54,'Fuel Energy Content'!$A$15:$B$21,2,FALSE)))*VLOOKUP(Inputs!$F54&amp;"PM10",'Emission Factors'!$C$4:$E$59,3,FALSE)/2000))),IF('Controls and Restrictions'!$H$6="lb/hr",'Controls and Restrictions'!$H19*8760/2000,'Controls and Restrictions'!$H19*L44/2000))</f>
        <v/>
      </c>
      <c r="I44" s="219" t="str">
        <f>IF('Controls and Restrictions'!I19=0,IF(B44="","",IF(ISERROR(((Inputs!$D54*365*24)/IF(Inputs!$F54="Wood",1,VLOOKUP(Inputs!$F54,'Fuel Energy Content'!$A$15:$B$21,2,FALSE)))*VLOOKUP(Inputs!$F54&amp;"PM2.5",'Emission Factors'!$C$4:$E$59,3,FALSE)/2000),0,(((Inputs!$D54*365*24)/IF(Inputs!$F54="Wood",1,VLOOKUP(Inputs!$F54,'Fuel Energy Content'!$A$15:$B$21,2,FALSE)))*VLOOKUP(Inputs!$F54&amp;"PM2.5",'Emission Factors'!$C$4:$E$59,3,FALSE)/2000))),IF('Controls and Restrictions'!$I$6="lb/hr",'Controls and Restrictions'!$I19*8760/2000,'Controls and Restrictions'!$I19*L44/2000))</f>
        <v/>
      </c>
      <c r="L44" s="322" t="str">
        <f>IF(B44="","",Inputs!D54*8760)</f>
        <v/>
      </c>
    </row>
    <row r="45" spans="1:12" x14ac:dyDescent="0.25">
      <c r="A45" s="54"/>
      <c r="B45" s="222" t="str">
        <f>IF(Inputs!B55="","",Inputs!B55)</f>
        <v/>
      </c>
      <c r="C45" s="223" t="str">
        <f>IF(Inputs!C55="","",Inputs!C55)</f>
        <v/>
      </c>
      <c r="D45" s="218" t="str">
        <f>IF('Controls and Restrictions'!D20=0,IF(B45="","",IF(ISERROR(((Inputs!$D55*365*24)/IF(Inputs!$F55="Wood",1,VLOOKUP(Inputs!$F55,'Fuel Energy Content'!$A$15:$B$21,2,FALSE)))*VLOOKUP(Inputs!$F55&amp;"CO",'Emission Factors'!$C$4:$E$59,3,FALSE)/2000),0,(((Inputs!$D55*365*24)/IF(Inputs!$F55="Wood",1,VLOOKUP(Inputs!$F55,'Fuel Energy Content'!$A$15:$B$21,2,FALSE)))*VLOOKUP(Inputs!$F55&amp;"CO",'Emission Factors'!$C$4:$E$59,3,FALSE)/2000))),IF('Controls and Restrictions'!$D$6="lb/hr",'Controls and Restrictions'!$D20*8760/2000,'Controls and Restrictions'!$D20*L45/2000))</f>
        <v/>
      </c>
      <c r="E45" s="218" t="str">
        <f>IF('Controls and Restrictions'!E20=0,IF(B45="","",IF(ISERROR(((Inputs!$D55*365*24)/IF(Inputs!$F55="Wood",1,VLOOKUP(Inputs!$F55,'Fuel Energy Content'!$A$15:$B$21,2,FALSE)))*VLOOKUP(Inputs!$F55&amp;"NOX",'Emission Factors'!$C$4:$E$59,3,FALSE)/2000),0,(((Inputs!$D55*365*24)/IF(Inputs!$F55="Wood",1,VLOOKUP(Inputs!$F55,'Fuel Energy Content'!$A$15:$B$21,2,FALSE)))*VLOOKUP(Inputs!$F55&amp;"NOX",'Emission Factors'!$C$4:$E$59,3,FALSE)/2000))),IF('Controls and Restrictions'!$E$6="lb/hr",'Controls and Restrictions'!$E20*8760/2000,'Controls and Restrictions'!$E20*L45/2000))</f>
        <v/>
      </c>
      <c r="F45" s="218" t="str">
        <f>IF('Controls and Restrictions'!F20=0,IF(B45="","",IF(ISERROR(((Inputs!$D55*365*24)/IF(Inputs!$F55="Wood",1,VLOOKUP(Inputs!$F55,'Fuel Energy Content'!$A$15:$B$21,2,FALSE)))*VLOOKUP(Inputs!$F55&amp;"SO2",'Emission Factors'!$C$4:$E$59,3,FALSE)/2000),0,(((Inputs!$D55*365*24)/IF(Inputs!$F55="Wood",1,VLOOKUP(Inputs!$F55,'Fuel Energy Content'!$A$15:$B$21,2,FALSE)))*VLOOKUP(Inputs!$F55&amp;"SO2",'Emission Factors'!$C$4:$E$59,3,FALSE)/2000))),IF('Controls and Restrictions'!$F$6="lb/hr",'Controls and Restrictions'!$F20*8760/2000,'Controls and Restrictions'!$F20*L45/2000))</f>
        <v/>
      </c>
      <c r="G45" s="218" t="str">
        <f>IF('Controls and Restrictions'!G20=0,IF(B45="","",IF(ISERROR(((Inputs!$D55*365*24)/IF(Inputs!$F55="Wood",1,VLOOKUP(Inputs!$F55,'Fuel Energy Content'!$A$15:$B$21,2,FALSE)))*VLOOKUP(Inputs!$F55&amp;"VOC",'Emission Factors'!$C$4:$E$59,3,FALSE)/2000),0,(((Inputs!$D55*365*24)/IF(Inputs!$F55="Wood",1,VLOOKUP(Inputs!$F55,'Fuel Energy Content'!$A$15:$B$21,2,FALSE)))*VLOOKUP(Inputs!$F55&amp;"VOC",'Emission Factors'!$C$4:$E$59,3,FALSE)/2000))),IF('Controls and Restrictions'!$G$6="lb/hr",'Controls and Restrictions'!$G20*8760/2000,'Controls and Restrictions'!$G20*L45/2000))</f>
        <v/>
      </c>
      <c r="H45" s="218" t="str">
        <f>IF('Controls and Restrictions'!H20=0,IF(B45="","",IF(ISERROR(((Inputs!$D55*365*24)/IF(Inputs!$F55="Wood",1,VLOOKUP(Inputs!$F55,'Fuel Energy Content'!$A$15:$B$21,2,FALSE)))*VLOOKUP(Inputs!$F55&amp;"PM10",'Emission Factors'!$C$4:$E$59,3,FALSE)/2000),0,(((Inputs!$D55*365*24)/IF(Inputs!$F55="Wood",1,VLOOKUP(Inputs!$F55,'Fuel Energy Content'!$A$15:$B$21,2,FALSE)))*VLOOKUP(Inputs!$F55&amp;"PM10",'Emission Factors'!$C$4:$E$59,3,FALSE)/2000))),IF('Controls and Restrictions'!$H$6="lb/hr",'Controls and Restrictions'!$H20*8760/2000,'Controls and Restrictions'!$H20*L45/2000))</f>
        <v/>
      </c>
      <c r="I45" s="219" t="str">
        <f>IF('Controls and Restrictions'!I20=0,IF(B45="","",IF(ISERROR(((Inputs!$D55*365*24)/IF(Inputs!$F55="Wood",1,VLOOKUP(Inputs!$F55,'Fuel Energy Content'!$A$15:$B$21,2,FALSE)))*VLOOKUP(Inputs!$F55&amp;"PM2.5",'Emission Factors'!$C$4:$E$59,3,FALSE)/2000),0,(((Inputs!$D55*365*24)/IF(Inputs!$F55="Wood",1,VLOOKUP(Inputs!$F55,'Fuel Energy Content'!$A$15:$B$21,2,FALSE)))*VLOOKUP(Inputs!$F55&amp;"PM2.5",'Emission Factors'!$C$4:$E$59,3,FALSE)/2000))),IF('Controls and Restrictions'!$I$6="lb/hr",'Controls and Restrictions'!$I20*8760/2000,'Controls and Restrictions'!$I20*L45/2000))</f>
        <v/>
      </c>
      <c r="L45" s="322" t="str">
        <f>IF(B45="","",Inputs!D55*8760)</f>
        <v/>
      </c>
    </row>
    <row r="46" spans="1:12" x14ac:dyDescent="0.25">
      <c r="A46" s="54"/>
      <c r="B46" s="222" t="str">
        <f>IF(Inputs!B56="","",Inputs!B56)</f>
        <v/>
      </c>
      <c r="C46" s="223" t="str">
        <f>IF(Inputs!C56="","",Inputs!C56)</f>
        <v/>
      </c>
      <c r="D46" s="218" t="str">
        <f>IF('Controls and Restrictions'!D21=0,IF(B46="","",IF(ISERROR(((Inputs!$D56*365*24)/IF(Inputs!$F56="Wood",1,VLOOKUP(Inputs!$F56,'Fuel Energy Content'!$A$15:$B$21,2,FALSE)))*VLOOKUP(Inputs!$F56&amp;"CO",'Emission Factors'!$C$4:$E$59,3,FALSE)/2000),0,(((Inputs!$D56*365*24)/IF(Inputs!$F56="Wood",1,VLOOKUP(Inputs!$F56,'Fuel Energy Content'!$A$15:$B$21,2,FALSE)))*VLOOKUP(Inputs!$F56&amp;"CO",'Emission Factors'!$C$4:$E$59,3,FALSE)/2000))),IF('Controls and Restrictions'!$D$6="lb/hr",'Controls and Restrictions'!$D21*8760/2000,'Controls and Restrictions'!$D21*L46/2000))</f>
        <v/>
      </c>
      <c r="E46" s="218" t="str">
        <f>IF('Controls and Restrictions'!E21=0,IF(B46="","",IF(ISERROR(((Inputs!$D56*365*24)/IF(Inputs!$F56="Wood",1,VLOOKUP(Inputs!$F56,'Fuel Energy Content'!$A$15:$B$21,2,FALSE)))*VLOOKUP(Inputs!$F56&amp;"NOX",'Emission Factors'!$C$4:$E$59,3,FALSE)/2000),0,(((Inputs!$D56*365*24)/IF(Inputs!$F56="Wood",1,VLOOKUP(Inputs!$F56,'Fuel Energy Content'!$A$15:$B$21,2,FALSE)))*VLOOKUP(Inputs!$F56&amp;"NOX",'Emission Factors'!$C$4:$E$59,3,FALSE)/2000))),IF('Controls and Restrictions'!$E$6="lb/hr",'Controls and Restrictions'!$E21*8760/2000,'Controls and Restrictions'!$E21*L46/2000))</f>
        <v/>
      </c>
      <c r="F46" s="218" t="str">
        <f>IF('Controls and Restrictions'!F21=0,IF(B46="","",IF(ISERROR(((Inputs!$D56*365*24)/IF(Inputs!$F56="Wood",1,VLOOKUP(Inputs!$F56,'Fuel Energy Content'!$A$15:$B$21,2,FALSE)))*VLOOKUP(Inputs!$F56&amp;"SO2",'Emission Factors'!$C$4:$E$59,3,FALSE)/2000),0,(((Inputs!$D56*365*24)/IF(Inputs!$F56="Wood",1,VLOOKUP(Inputs!$F56,'Fuel Energy Content'!$A$15:$B$21,2,FALSE)))*VLOOKUP(Inputs!$F56&amp;"SO2",'Emission Factors'!$C$4:$E$59,3,FALSE)/2000))),IF('Controls and Restrictions'!$F$6="lb/hr",'Controls and Restrictions'!$F21*8760/2000,'Controls and Restrictions'!$F21*L46/2000))</f>
        <v/>
      </c>
      <c r="G46" s="218" t="str">
        <f>IF('Controls and Restrictions'!G21=0,IF(B46="","",IF(ISERROR(((Inputs!$D56*365*24)/IF(Inputs!$F56="Wood",1,VLOOKUP(Inputs!$F56,'Fuel Energy Content'!$A$15:$B$21,2,FALSE)))*VLOOKUP(Inputs!$F56&amp;"VOC",'Emission Factors'!$C$4:$E$59,3,FALSE)/2000),0,(((Inputs!$D56*365*24)/IF(Inputs!$F56="Wood",1,VLOOKUP(Inputs!$F56,'Fuel Energy Content'!$A$15:$B$21,2,FALSE)))*VLOOKUP(Inputs!$F56&amp;"VOC",'Emission Factors'!$C$4:$E$59,3,FALSE)/2000))),IF('Controls and Restrictions'!$G$6="lb/hr",'Controls and Restrictions'!$G21*8760/2000,'Controls and Restrictions'!$G21*L46/2000))</f>
        <v/>
      </c>
      <c r="H46" s="218" t="str">
        <f>IF('Controls and Restrictions'!H21=0,IF(B46="","",IF(ISERROR(((Inputs!$D56*365*24)/IF(Inputs!$F56="Wood",1,VLOOKUP(Inputs!$F56,'Fuel Energy Content'!$A$15:$B$21,2,FALSE)))*VLOOKUP(Inputs!$F56&amp;"PM10",'Emission Factors'!$C$4:$E$59,3,FALSE)/2000),0,(((Inputs!$D56*365*24)/IF(Inputs!$F56="Wood",1,VLOOKUP(Inputs!$F56,'Fuel Energy Content'!$A$15:$B$21,2,FALSE)))*VLOOKUP(Inputs!$F56&amp;"PM10",'Emission Factors'!$C$4:$E$59,3,FALSE)/2000))),IF('Controls and Restrictions'!$H$6="lb/hr",'Controls and Restrictions'!$H21*8760/2000,'Controls and Restrictions'!$H21*L46/2000))</f>
        <v/>
      </c>
      <c r="I46" s="219" t="str">
        <f>IF('Controls and Restrictions'!I21=0,IF(B46="","",IF(ISERROR(((Inputs!$D56*365*24)/IF(Inputs!$F56="Wood",1,VLOOKUP(Inputs!$F56,'Fuel Energy Content'!$A$15:$B$21,2,FALSE)))*VLOOKUP(Inputs!$F56&amp;"PM2.5",'Emission Factors'!$C$4:$E$59,3,FALSE)/2000),0,(((Inputs!$D56*365*24)/IF(Inputs!$F56="Wood",1,VLOOKUP(Inputs!$F56,'Fuel Energy Content'!$A$15:$B$21,2,FALSE)))*VLOOKUP(Inputs!$F56&amp;"PM2.5",'Emission Factors'!$C$4:$E$59,3,FALSE)/2000))),IF('Controls and Restrictions'!$I$6="lb/hr",'Controls and Restrictions'!$I21*8760/2000,'Controls and Restrictions'!$I21*L46/2000))</f>
        <v/>
      </c>
      <c r="L46" s="322" t="str">
        <f>IF(B46="","",Inputs!D56*8760)</f>
        <v/>
      </c>
    </row>
    <row r="47" spans="1:12" x14ac:dyDescent="0.25">
      <c r="A47" s="54"/>
      <c r="B47" s="222" t="str">
        <f>IF(Inputs!B57="","",Inputs!B57)</f>
        <v/>
      </c>
      <c r="C47" s="223" t="str">
        <f>IF(Inputs!C57="","",Inputs!C57)</f>
        <v/>
      </c>
      <c r="D47" s="218" t="str">
        <f>IF('Controls and Restrictions'!D22=0,IF(B47="","",IF(ISERROR(((Inputs!$D57*365*24)/IF(Inputs!$F57="Wood",1,VLOOKUP(Inputs!$F57,'Fuel Energy Content'!$A$15:$B$21,2,FALSE)))*VLOOKUP(Inputs!$F57&amp;"CO",'Emission Factors'!$C$4:$E$59,3,FALSE)/2000),0,(((Inputs!$D57*365*24)/IF(Inputs!$F57="Wood",1,VLOOKUP(Inputs!$F57,'Fuel Energy Content'!$A$15:$B$21,2,FALSE)))*VLOOKUP(Inputs!$F57&amp;"CO",'Emission Factors'!$C$4:$E$59,3,FALSE)/2000))),IF('Controls and Restrictions'!$D$6="lb/hr",'Controls and Restrictions'!$D22*8760/2000,'Controls and Restrictions'!$D22*L47/2000))</f>
        <v/>
      </c>
      <c r="E47" s="218" t="str">
        <f>IF('Controls and Restrictions'!E22=0,IF(B47="","",IF(ISERROR(((Inputs!$D57*365*24)/IF(Inputs!$F57="Wood",1,VLOOKUP(Inputs!$F57,'Fuel Energy Content'!$A$15:$B$21,2,FALSE)))*VLOOKUP(Inputs!$F57&amp;"NOX",'Emission Factors'!$C$4:$E$59,3,FALSE)/2000),0,(((Inputs!$D57*365*24)/IF(Inputs!$F57="Wood",1,VLOOKUP(Inputs!$F57,'Fuel Energy Content'!$A$15:$B$21,2,FALSE)))*VLOOKUP(Inputs!$F57&amp;"NOX",'Emission Factors'!$C$4:$E$59,3,FALSE)/2000))),IF('Controls and Restrictions'!$E$6="lb/hr",'Controls and Restrictions'!$E22*8760/2000,'Controls and Restrictions'!$E22*L47/2000))</f>
        <v/>
      </c>
      <c r="F47" s="218" t="str">
        <f>IF('Controls and Restrictions'!F22=0,IF(B47="","",IF(ISERROR(((Inputs!$D57*365*24)/IF(Inputs!$F57="Wood",1,VLOOKUP(Inputs!$F57,'Fuel Energy Content'!$A$15:$B$21,2,FALSE)))*VLOOKUP(Inputs!$F57&amp;"SO2",'Emission Factors'!$C$4:$E$59,3,FALSE)/2000),0,(((Inputs!$D57*365*24)/IF(Inputs!$F57="Wood",1,VLOOKUP(Inputs!$F57,'Fuel Energy Content'!$A$15:$B$21,2,FALSE)))*VLOOKUP(Inputs!$F57&amp;"SO2",'Emission Factors'!$C$4:$E$59,3,FALSE)/2000))),IF('Controls and Restrictions'!$F$6="lb/hr",'Controls and Restrictions'!$F22*8760/2000,'Controls and Restrictions'!$F22*L47/2000))</f>
        <v/>
      </c>
      <c r="G47" s="218" t="str">
        <f>IF('Controls and Restrictions'!G22=0,IF(B47="","",IF(ISERROR(((Inputs!$D57*365*24)/IF(Inputs!$F57="Wood",1,VLOOKUP(Inputs!$F57,'Fuel Energy Content'!$A$15:$B$21,2,FALSE)))*VLOOKUP(Inputs!$F57&amp;"VOC",'Emission Factors'!$C$4:$E$59,3,FALSE)/2000),0,(((Inputs!$D57*365*24)/IF(Inputs!$F57="Wood",1,VLOOKUP(Inputs!$F57,'Fuel Energy Content'!$A$15:$B$21,2,FALSE)))*VLOOKUP(Inputs!$F57&amp;"VOC",'Emission Factors'!$C$4:$E$59,3,FALSE)/2000))),IF('Controls and Restrictions'!$G$6="lb/hr",'Controls and Restrictions'!$G22*8760/2000,'Controls and Restrictions'!$G22*L47/2000))</f>
        <v/>
      </c>
      <c r="H47" s="218" t="str">
        <f>IF('Controls and Restrictions'!H22=0,IF(B47="","",IF(ISERROR(((Inputs!$D57*365*24)/IF(Inputs!$F57="Wood",1,VLOOKUP(Inputs!$F57,'Fuel Energy Content'!$A$15:$B$21,2,FALSE)))*VLOOKUP(Inputs!$F57&amp;"PM10",'Emission Factors'!$C$4:$E$59,3,FALSE)/2000),0,(((Inputs!$D57*365*24)/IF(Inputs!$F57="Wood",1,VLOOKUP(Inputs!$F57,'Fuel Energy Content'!$A$15:$B$21,2,FALSE)))*VLOOKUP(Inputs!$F57&amp;"PM10",'Emission Factors'!$C$4:$E$59,3,FALSE)/2000))),IF('Controls and Restrictions'!$H$6="lb/hr",'Controls and Restrictions'!$H22*8760/2000,'Controls and Restrictions'!$H22*L47/2000))</f>
        <v/>
      </c>
      <c r="I47" s="219" t="str">
        <f>IF('Controls and Restrictions'!I22=0,IF(B47="","",IF(ISERROR(((Inputs!$D57*365*24)/IF(Inputs!$F57="Wood",1,VLOOKUP(Inputs!$F57,'Fuel Energy Content'!$A$15:$B$21,2,FALSE)))*VLOOKUP(Inputs!$F57&amp;"PM2.5",'Emission Factors'!$C$4:$E$59,3,FALSE)/2000),0,(((Inputs!$D57*365*24)/IF(Inputs!$F57="Wood",1,VLOOKUP(Inputs!$F57,'Fuel Energy Content'!$A$15:$B$21,2,FALSE)))*VLOOKUP(Inputs!$F57&amp;"PM2.5",'Emission Factors'!$C$4:$E$59,3,FALSE)/2000))),IF('Controls and Restrictions'!$I$6="lb/hr",'Controls and Restrictions'!$I22*8760/2000,'Controls and Restrictions'!$I22*L47/2000))</f>
        <v/>
      </c>
      <c r="L47" s="322" t="str">
        <f>IF(B47="","",Inputs!D57*8760)</f>
        <v/>
      </c>
    </row>
    <row r="48" spans="1:12" x14ac:dyDescent="0.25">
      <c r="A48" s="54"/>
      <c r="B48" s="222" t="str">
        <f>IF(Inputs!B58="","",Inputs!B58)</f>
        <v/>
      </c>
      <c r="C48" s="223" t="str">
        <f>IF(Inputs!C58="","",Inputs!C58)</f>
        <v/>
      </c>
      <c r="D48" s="218" t="str">
        <f>IF('Controls and Restrictions'!D23=0,IF(B48="","",IF(ISERROR(((Inputs!$D58*365*24)/IF(Inputs!$F58="Wood",1,VLOOKUP(Inputs!$F58,'Fuel Energy Content'!$A$15:$B$21,2,FALSE)))*VLOOKUP(Inputs!$F58&amp;"CO",'Emission Factors'!$C$4:$E$59,3,FALSE)/2000),0,(((Inputs!$D58*365*24)/IF(Inputs!$F58="Wood",1,VLOOKUP(Inputs!$F58,'Fuel Energy Content'!$A$15:$B$21,2,FALSE)))*VLOOKUP(Inputs!$F58&amp;"CO",'Emission Factors'!$C$4:$E$59,3,FALSE)/2000))),IF('Controls and Restrictions'!$D$6="lb/hr",'Controls and Restrictions'!$D23*8760/2000,'Controls and Restrictions'!$D23*L48/2000))</f>
        <v/>
      </c>
      <c r="E48" s="218" t="str">
        <f>IF('Controls and Restrictions'!E23=0,IF(B48="","",IF(ISERROR(((Inputs!$D58*365*24)/IF(Inputs!$F58="Wood",1,VLOOKUP(Inputs!$F58,'Fuel Energy Content'!$A$15:$B$21,2,FALSE)))*VLOOKUP(Inputs!$F58&amp;"NOX",'Emission Factors'!$C$4:$E$59,3,FALSE)/2000),0,(((Inputs!$D58*365*24)/IF(Inputs!$F58="Wood",1,VLOOKUP(Inputs!$F58,'Fuel Energy Content'!$A$15:$B$21,2,FALSE)))*VLOOKUP(Inputs!$F58&amp;"NOX",'Emission Factors'!$C$4:$E$59,3,FALSE)/2000))),IF('Controls and Restrictions'!$E$6="lb/hr",'Controls and Restrictions'!$E23*8760/2000,'Controls and Restrictions'!$E23*L48/2000))</f>
        <v/>
      </c>
      <c r="F48" s="218" t="str">
        <f>IF('Controls and Restrictions'!F23=0,IF(B48="","",IF(ISERROR(((Inputs!$D58*365*24)/IF(Inputs!$F58="Wood",1,VLOOKUP(Inputs!$F58,'Fuel Energy Content'!$A$15:$B$21,2,FALSE)))*VLOOKUP(Inputs!$F58&amp;"SO2",'Emission Factors'!$C$4:$E$59,3,FALSE)/2000),0,(((Inputs!$D58*365*24)/IF(Inputs!$F58="Wood",1,VLOOKUP(Inputs!$F58,'Fuel Energy Content'!$A$15:$B$21,2,FALSE)))*VLOOKUP(Inputs!$F58&amp;"SO2",'Emission Factors'!$C$4:$E$59,3,FALSE)/2000))),IF('Controls and Restrictions'!$F$6="lb/hr",'Controls and Restrictions'!$F23*8760/2000,'Controls and Restrictions'!$F23*L48/2000))</f>
        <v/>
      </c>
      <c r="G48" s="218" t="str">
        <f>IF('Controls and Restrictions'!G23=0,IF(B48="","",IF(ISERROR(((Inputs!$D58*365*24)/IF(Inputs!$F58="Wood",1,VLOOKUP(Inputs!$F58,'Fuel Energy Content'!$A$15:$B$21,2,FALSE)))*VLOOKUP(Inputs!$F58&amp;"VOC",'Emission Factors'!$C$4:$E$59,3,FALSE)/2000),0,(((Inputs!$D58*365*24)/IF(Inputs!$F58="Wood",1,VLOOKUP(Inputs!$F58,'Fuel Energy Content'!$A$15:$B$21,2,FALSE)))*VLOOKUP(Inputs!$F58&amp;"VOC",'Emission Factors'!$C$4:$E$59,3,FALSE)/2000))),IF('Controls and Restrictions'!$G$6="lb/hr",'Controls and Restrictions'!$G23*8760/2000,'Controls and Restrictions'!$G23*L48/2000))</f>
        <v/>
      </c>
      <c r="H48" s="218" t="str">
        <f>IF('Controls and Restrictions'!H23=0,IF(B48="","",IF(ISERROR(((Inputs!$D58*365*24)/IF(Inputs!$F58="Wood",1,VLOOKUP(Inputs!$F58,'Fuel Energy Content'!$A$15:$B$21,2,FALSE)))*VLOOKUP(Inputs!$F58&amp;"PM10",'Emission Factors'!$C$4:$E$59,3,FALSE)/2000),0,(((Inputs!$D58*365*24)/IF(Inputs!$F58="Wood",1,VLOOKUP(Inputs!$F58,'Fuel Energy Content'!$A$15:$B$21,2,FALSE)))*VLOOKUP(Inputs!$F58&amp;"PM10",'Emission Factors'!$C$4:$E$59,3,FALSE)/2000))),IF('Controls and Restrictions'!$H$6="lb/hr",'Controls and Restrictions'!$H23*8760/2000,'Controls and Restrictions'!$H23*L48/2000))</f>
        <v/>
      </c>
      <c r="I48" s="219" t="str">
        <f>IF('Controls and Restrictions'!I23=0,IF(B48="","",IF(ISERROR(((Inputs!$D58*365*24)/IF(Inputs!$F58="Wood",1,VLOOKUP(Inputs!$F58,'Fuel Energy Content'!$A$15:$B$21,2,FALSE)))*VLOOKUP(Inputs!$F58&amp;"PM2.5",'Emission Factors'!$C$4:$E$59,3,FALSE)/2000),0,(((Inputs!$D58*365*24)/IF(Inputs!$F58="Wood",1,VLOOKUP(Inputs!$F58,'Fuel Energy Content'!$A$15:$B$21,2,FALSE)))*VLOOKUP(Inputs!$F58&amp;"PM2.5",'Emission Factors'!$C$4:$E$59,3,FALSE)/2000))),IF('Controls and Restrictions'!$I$6="lb/hr",'Controls and Restrictions'!$I23*8760/2000,'Controls and Restrictions'!$I23*L48/2000))</f>
        <v/>
      </c>
      <c r="L48" s="322" t="str">
        <f>IF(B48="","",Inputs!D58*8760)</f>
        <v/>
      </c>
    </row>
    <row r="49" spans="1:12" x14ac:dyDescent="0.25">
      <c r="A49" s="54"/>
      <c r="B49" s="222" t="str">
        <f>IF(Inputs!B59="","",Inputs!B59)</f>
        <v/>
      </c>
      <c r="C49" s="223" t="str">
        <f>IF(Inputs!C59="","",Inputs!C59)</f>
        <v/>
      </c>
      <c r="D49" s="218" t="str">
        <f>IF('Controls and Restrictions'!D24=0,IF(B49="","",IF(ISERROR(((Inputs!$D59*365*24)/IF(Inputs!$F59="Wood",1,VLOOKUP(Inputs!$F59,'Fuel Energy Content'!$A$15:$B$21,2,FALSE)))*VLOOKUP(Inputs!$F59&amp;"CO",'Emission Factors'!$C$4:$E$59,3,FALSE)/2000),0,(((Inputs!$D59*365*24)/IF(Inputs!$F59="Wood",1,VLOOKUP(Inputs!$F59,'Fuel Energy Content'!$A$15:$B$21,2,FALSE)))*VLOOKUP(Inputs!$F59&amp;"CO",'Emission Factors'!$C$4:$E$59,3,FALSE)/2000))),IF('Controls and Restrictions'!$D$6="lb/hr",'Controls and Restrictions'!$D24*8760/2000,'Controls and Restrictions'!$D24*L49/2000))</f>
        <v/>
      </c>
      <c r="E49" s="218" t="str">
        <f>IF('Controls and Restrictions'!E24=0,IF(B49="","",IF(ISERROR(((Inputs!$D59*365*24)/IF(Inputs!$F59="Wood",1,VLOOKUP(Inputs!$F59,'Fuel Energy Content'!$A$15:$B$21,2,FALSE)))*VLOOKUP(Inputs!$F59&amp;"NOX",'Emission Factors'!$C$4:$E$59,3,FALSE)/2000),0,(((Inputs!$D59*365*24)/IF(Inputs!$F59="Wood",1,VLOOKUP(Inputs!$F59,'Fuel Energy Content'!$A$15:$B$21,2,FALSE)))*VLOOKUP(Inputs!$F59&amp;"NOX",'Emission Factors'!$C$4:$E$59,3,FALSE)/2000))),IF('Controls and Restrictions'!$E$6="lb/hr",'Controls and Restrictions'!$E24*8760/2000,'Controls and Restrictions'!$E24*L49/2000))</f>
        <v/>
      </c>
      <c r="F49" s="218" t="str">
        <f>IF('Controls and Restrictions'!F24=0,IF(B49="","",IF(ISERROR(((Inputs!$D59*365*24)/IF(Inputs!$F59="Wood",1,VLOOKUP(Inputs!$F59,'Fuel Energy Content'!$A$15:$B$21,2,FALSE)))*VLOOKUP(Inputs!$F59&amp;"SO2",'Emission Factors'!$C$4:$E$59,3,FALSE)/2000),0,(((Inputs!$D59*365*24)/IF(Inputs!$F59="Wood",1,VLOOKUP(Inputs!$F59,'Fuel Energy Content'!$A$15:$B$21,2,FALSE)))*VLOOKUP(Inputs!$F59&amp;"SO2",'Emission Factors'!$C$4:$E$59,3,FALSE)/2000))),IF('Controls and Restrictions'!$F$6="lb/hr",'Controls and Restrictions'!$F24*8760/2000,'Controls and Restrictions'!$F24*L49/2000))</f>
        <v/>
      </c>
      <c r="G49" s="218" t="str">
        <f>IF('Controls and Restrictions'!G24=0,IF(B49="","",IF(ISERROR(((Inputs!$D59*365*24)/IF(Inputs!$F59="Wood",1,VLOOKUP(Inputs!$F59,'Fuel Energy Content'!$A$15:$B$21,2,FALSE)))*VLOOKUP(Inputs!$F59&amp;"VOC",'Emission Factors'!$C$4:$E$59,3,FALSE)/2000),0,(((Inputs!$D59*365*24)/IF(Inputs!$F59="Wood",1,VLOOKUP(Inputs!$F59,'Fuel Energy Content'!$A$15:$B$21,2,FALSE)))*VLOOKUP(Inputs!$F59&amp;"VOC",'Emission Factors'!$C$4:$E$59,3,FALSE)/2000))),IF('Controls and Restrictions'!$G$6="lb/hr",'Controls and Restrictions'!$G24*8760/2000,'Controls and Restrictions'!$G24*L49/2000))</f>
        <v/>
      </c>
      <c r="H49" s="218" t="str">
        <f>IF('Controls and Restrictions'!H24=0,IF(B49="","",IF(ISERROR(((Inputs!$D59*365*24)/IF(Inputs!$F59="Wood",1,VLOOKUP(Inputs!$F59,'Fuel Energy Content'!$A$15:$B$21,2,FALSE)))*VLOOKUP(Inputs!$F59&amp;"PM10",'Emission Factors'!$C$4:$E$59,3,FALSE)/2000),0,(((Inputs!$D59*365*24)/IF(Inputs!$F59="Wood",1,VLOOKUP(Inputs!$F59,'Fuel Energy Content'!$A$15:$B$21,2,FALSE)))*VLOOKUP(Inputs!$F59&amp;"PM10",'Emission Factors'!$C$4:$E$59,3,FALSE)/2000))),IF('Controls and Restrictions'!$H$6="lb/hr",'Controls and Restrictions'!$H24*8760/2000,'Controls and Restrictions'!$H24*L49/2000))</f>
        <v/>
      </c>
      <c r="I49" s="219" t="str">
        <f>IF('Controls and Restrictions'!I24=0,IF(B49="","",IF(ISERROR(((Inputs!$D59*365*24)/IF(Inputs!$F59="Wood",1,VLOOKUP(Inputs!$F59,'Fuel Energy Content'!$A$15:$B$21,2,FALSE)))*VLOOKUP(Inputs!$F59&amp;"PM2.5",'Emission Factors'!$C$4:$E$59,3,FALSE)/2000),0,(((Inputs!$D59*365*24)/IF(Inputs!$F59="Wood",1,VLOOKUP(Inputs!$F59,'Fuel Energy Content'!$A$15:$B$21,2,FALSE)))*VLOOKUP(Inputs!$F59&amp;"PM2.5",'Emission Factors'!$C$4:$E$59,3,FALSE)/2000))),IF('Controls and Restrictions'!$I$6="lb/hr",'Controls and Restrictions'!$I24*8760/2000,'Controls and Restrictions'!$I24*L49/2000))</f>
        <v/>
      </c>
      <c r="L49" s="322" t="str">
        <f>IF(B49="","",Inputs!D59*8760)</f>
        <v/>
      </c>
    </row>
    <row r="50" spans="1:12" x14ac:dyDescent="0.25">
      <c r="A50" s="54"/>
      <c r="B50" s="222" t="str">
        <f>IF(Inputs!B60="","",Inputs!B60)</f>
        <v/>
      </c>
      <c r="C50" s="223" t="str">
        <f>IF(Inputs!C60="","",Inputs!C60)</f>
        <v/>
      </c>
      <c r="D50" s="218" t="str">
        <f>IF('Controls and Restrictions'!D25=0,IF(B50="","",IF(ISERROR(((Inputs!$D60*365*24)/IF(Inputs!$F60="Wood",1,VLOOKUP(Inputs!$F60,'Fuel Energy Content'!$A$15:$B$21,2,FALSE)))*VLOOKUP(Inputs!$F60&amp;"CO",'Emission Factors'!$C$4:$E$59,3,FALSE)/2000),0,(((Inputs!$D60*365*24)/IF(Inputs!$F60="Wood",1,VLOOKUP(Inputs!$F60,'Fuel Energy Content'!$A$15:$B$21,2,FALSE)))*VLOOKUP(Inputs!$F60&amp;"CO",'Emission Factors'!$C$4:$E$59,3,FALSE)/2000))),IF('Controls and Restrictions'!$D$6="lb/hr",'Controls and Restrictions'!$D25*8760/2000,'Controls and Restrictions'!$D25*L50/2000))</f>
        <v/>
      </c>
      <c r="E50" s="218" t="str">
        <f>IF('Controls and Restrictions'!E25=0,IF(B50="","",IF(ISERROR(((Inputs!$D60*365*24)/IF(Inputs!$F60="Wood",1,VLOOKUP(Inputs!$F60,'Fuel Energy Content'!$A$15:$B$21,2,FALSE)))*VLOOKUP(Inputs!$F60&amp;"NOX",'Emission Factors'!$C$4:$E$59,3,FALSE)/2000),0,(((Inputs!$D60*365*24)/IF(Inputs!$F60="Wood",1,VLOOKUP(Inputs!$F60,'Fuel Energy Content'!$A$15:$B$21,2,FALSE)))*VLOOKUP(Inputs!$F60&amp;"NOX",'Emission Factors'!$C$4:$E$59,3,FALSE)/2000))),IF('Controls and Restrictions'!$E$6="lb/hr",'Controls and Restrictions'!$E25*8760/2000,'Controls and Restrictions'!$E25*L50/2000))</f>
        <v/>
      </c>
      <c r="F50" s="218" t="str">
        <f>IF('Controls and Restrictions'!F25=0,IF(B50="","",IF(ISERROR(((Inputs!$D60*365*24)/IF(Inputs!$F60="Wood",1,VLOOKUP(Inputs!$F60,'Fuel Energy Content'!$A$15:$B$21,2,FALSE)))*VLOOKUP(Inputs!$F60&amp;"SO2",'Emission Factors'!$C$4:$E$59,3,FALSE)/2000),0,(((Inputs!$D60*365*24)/IF(Inputs!$F60="Wood",1,VLOOKUP(Inputs!$F60,'Fuel Energy Content'!$A$15:$B$21,2,FALSE)))*VLOOKUP(Inputs!$F60&amp;"SO2",'Emission Factors'!$C$4:$E$59,3,FALSE)/2000))),IF('Controls and Restrictions'!$F$6="lb/hr",'Controls and Restrictions'!$F25*8760/2000,'Controls and Restrictions'!$F25*L50/2000))</f>
        <v/>
      </c>
      <c r="G50" s="218" t="str">
        <f>IF('Controls and Restrictions'!G25=0,IF(B50="","",IF(ISERROR(((Inputs!$D60*365*24)/IF(Inputs!$F60="Wood",1,VLOOKUP(Inputs!$F60,'Fuel Energy Content'!$A$15:$B$21,2,FALSE)))*VLOOKUP(Inputs!$F60&amp;"VOC",'Emission Factors'!$C$4:$E$59,3,FALSE)/2000),0,(((Inputs!$D60*365*24)/IF(Inputs!$F60="Wood",1,VLOOKUP(Inputs!$F60,'Fuel Energy Content'!$A$15:$B$21,2,FALSE)))*VLOOKUP(Inputs!$F60&amp;"VOC",'Emission Factors'!$C$4:$E$59,3,FALSE)/2000))),IF('Controls and Restrictions'!$G$6="lb/hr",'Controls and Restrictions'!$G25*8760/2000,'Controls and Restrictions'!$G25*L50/2000))</f>
        <v/>
      </c>
      <c r="H50" s="218" t="str">
        <f>IF('Controls and Restrictions'!H25=0,IF(B50="","",IF(ISERROR(((Inputs!$D60*365*24)/IF(Inputs!$F60="Wood",1,VLOOKUP(Inputs!$F60,'Fuel Energy Content'!$A$15:$B$21,2,FALSE)))*VLOOKUP(Inputs!$F60&amp;"PM10",'Emission Factors'!$C$4:$E$59,3,FALSE)/2000),0,(((Inputs!$D60*365*24)/IF(Inputs!$F60="Wood",1,VLOOKUP(Inputs!$F60,'Fuel Energy Content'!$A$15:$B$21,2,FALSE)))*VLOOKUP(Inputs!$F60&amp;"PM10",'Emission Factors'!$C$4:$E$59,3,FALSE)/2000))),IF('Controls and Restrictions'!$H$6="lb/hr",'Controls and Restrictions'!$H25*8760/2000,'Controls and Restrictions'!$H25*L50/2000))</f>
        <v/>
      </c>
      <c r="I50" s="219" t="str">
        <f>IF('Controls and Restrictions'!I25=0,IF(B50="","",IF(ISERROR(((Inputs!$D60*365*24)/IF(Inputs!$F60="Wood",1,VLOOKUP(Inputs!$F60,'Fuel Energy Content'!$A$15:$B$21,2,FALSE)))*VLOOKUP(Inputs!$F60&amp;"PM2.5",'Emission Factors'!$C$4:$E$59,3,FALSE)/2000),0,(((Inputs!$D60*365*24)/IF(Inputs!$F60="Wood",1,VLOOKUP(Inputs!$F60,'Fuel Energy Content'!$A$15:$B$21,2,FALSE)))*VLOOKUP(Inputs!$F60&amp;"PM2.5",'Emission Factors'!$C$4:$E$59,3,FALSE)/2000))),IF('Controls and Restrictions'!$I$6="lb/hr",'Controls and Restrictions'!$I25*8760/2000,'Controls and Restrictions'!$I25*L50/2000))</f>
        <v/>
      </c>
      <c r="L50" s="322" t="str">
        <f>IF(B50="","",Inputs!D60*8760)</f>
        <v/>
      </c>
    </row>
    <row r="51" spans="1:12" ht="13.8" thickBot="1" x14ac:dyDescent="0.3">
      <c r="A51" s="54"/>
      <c r="B51" s="224" t="str">
        <f>IF(Inputs!B61="","",Inputs!B61)</f>
        <v/>
      </c>
      <c r="C51" s="225" t="str">
        <f>IF(Inputs!C61="","",Inputs!C61)</f>
        <v/>
      </c>
      <c r="D51" s="226" t="str">
        <f>IF('Controls and Restrictions'!D26=0,IF(B51="","",IF(ISERROR(((Inputs!$D61*365*24)/IF(Inputs!$F61="Wood",1,VLOOKUP(Inputs!$F61,'Fuel Energy Content'!$A$15:$B$21,2,FALSE)))*VLOOKUP(Inputs!$F61&amp;"CO",'Emission Factors'!$C$4:$E$59,3,FALSE)/2000),0,(((Inputs!$D61*365*24)/IF(Inputs!$F61="Wood",1,VLOOKUP(Inputs!$F61,'Fuel Energy Content'!$A$15:$B$21,2,FALSE)))*VLOOKUP(Inputs!$F61&amp;"CO",'Emission Factors'!$C$4:$E$59,3,FALSE)/2000))),IF('Controls and Restrictions'!$D$6="lb/hr",'Controls and Restrictions'!$D26*8760/2000,'Controls and Restrictions'!$D26*L51/2000))</f>
        <v/>
      </c>
      <c r="E51" s="226" t="str">
        <f>IF('Controls and Restrictions'!E26=0,IF(B51="","",IF(ISERROR(((Inputs!$D61*365*24)/IF(Inputs!$F61="Wood",1,VLOOKUP(Inputs!$F61,'Fuel Energy Content'!$A$15:$B$21,2,FALSE)))*VLOOKUP(Inputs!$F61&amp;"NOX",'Emission Factors'!$C$4:$E$59,3,FALSE)/2000),0,(((Inputs!$D61*365*24)/IF(Inputs!$F61="Wood",1,VLOOKUP(Inputs!$F61,'Fuel Energy Content'!$A$15:$B$21,2,FALSE)))*VLOOKUP(Inputs!$F61&amp;"NOX",'Emission Factors'!$C$4:$E$59,3,FALSE)/2000))),IF('Controls and Restrictions'!$E$6="lb/hr",'Controls and Restrictions'!$E26*8760/2000,'Controls and Restrictions'!$E26*L51/2000))</f>
        <v/>
      </c>
      <c r="F51" s="226" t="str">
        <f>IF('Controls and Restrictions'!F26=0,IF(B51="","",IF(ISERROR(((Inputs!$D61*365*24)/IF(Inputs!$F61="Wood",1,VLOOKUP(Inputs!$F61,'Fuel Energy Content'!$A$15:$B$21,2,FALSE)))*VLOOKUP(Inputs!$F61&amp;"SO2",'Emission Factors'!$C$4:$E$59,3,FALSE)/2000),0,(((Inputs!$D61*365*24)/IF(Inputs!$F61="Wood",1,VLOOKUP(Inputs!$F61,'Fuel Energy Content'!$A$15:$B$21,2,FALSE)))*VLOOKUP(Inputs!$F61&amp;"SO2",'Emission Factors'!$C$4:$E$59,3,FALSE)/2000))),IF('Controls and Restrictions'!$F$6="lb/hr",'Controls and Restrictions'!$F26*8760/2000,'Controls and Restrictions'!$F26*L51/2000))</f>
        <v/>
      </c>
      <c r="G51" s="226" t="str">
        <f>IF('Controls and Restrictions'!G26=0,IF(B51="","",IF(ISERROR(((Inputs!$D61*365*24)/IF(Inputs!$F61="Wood",1,VLOOKUP(Inputs!$F61,'Fuel Energy Content'!$A$15:$B$21,2,FALSE)))*VLOOKUP(Inputs!$F61&amp;"VOC",'Emission Factors'!$C$4:$E$59,3,FALSE)/2000),0,(((Inputs!$D61*365*24)/IF(Inputs!$F61="Wood",1,VLOOKUP(Inputs!$F61,'Fuel Energy Content'!$A$15:$B$21,2,FALSE)))*VLOOKUP(Inputs!$F61&amp;"VOC",'Emission Factors'!$C$4:$E$59,3,FALSE)/2000))),IF('Controls and Restrictions'!$G$6="lb/hr",'Controls and Restrictions'!$G26*8760/2000,'Controls and Restrictions'!$G26*L51/2000))</f>
        <v/>
      </c>
      <c r="H51" s="226" t="str">
        <f>IF('Controls and Restrictions'!H26=0,IF(B51="","",IF(ISERROR(((Inputs!$D61*365*24)/IF(Inputs!$F61="Wood",1,VLOOKUP(Inputs!$F61,'Fuel Energy Content'!$A$15:$B$21,2,FALSE)))*VLOOKUP(Inputs!$F61&amp;"PM10",'Emission Factors'!$C$4:$E$59,3,FALSE)/2000),0,(((Inputs!$D61*365*24)/IF(Inputs!$F61="Wood",1,VLOOKUP(Inputs!$F61,'Fuel Energy Content'!$A$15:$B$21,2,FALSE)))*VLOOKUP(Inputs!$F61&amp;"PM10",'Emission Factors'!$C$4:$E$59,3,FALSE)/2000))),IF('Controls and Restrictions'!$H$6="lb/hr",'Controls and Restrictions'!$H26*8760/2000,'Controls and Restrictions'!$H26*L51/2000))</f>
        <v/>
      </c>
      <c r="I51" s="227" t="str">
        <f>IF('Controls and Restrictions'!I26=0,IF(B51="","",IF(ISERROR(((Inputs!$D61*365*24)/IF(Inputs!$F61="Wood",1,VLOOKUP(Inputs!$F61,'Fuel Energy Content'!$A$15:$B$21,2,FALSE)))*VLOOKUP(Inputs!$F61&amp;"PM2.5",'Emission Factors'!$C$4:$E$59,3,FALSE)/2000),0,(((Inputs!$D61*365*24)/IF(Inputs!$F61="Wood",1,VLOOKUP(Inputs!$F61,'Fuel Energy Content'!$A$15:$B$21,2,FALSE)))*VLOOKUP(Inputs!$F61&amp;"PM2.5",'Emission Factors'!$C$4:$E$59,3,FALSE)/2000))),IF('Controls and Restrictions'!$I$6="lb/hr",'Controls and Restrictions'!$I26*8760/2000,'Controls and Restrictions'!$I26*L51/2000))</f>
        <v/>
      </c>
      <c r="L51" s="322" t="str">
        <f>IF(B51="","",Inputs!D61*8760)</f>
        <v/>
      </c>
    </row>
    <row r="52" spans="1:12" ht="13.8" thickBot="1" x14ac:dyDescent="0.3">
      <c r="A52" s="54"/>
      <c r="B52" s="460" t="s">
        <v>61</v>
      </c>
      <c r="C52" s="461"/>
      <c r="D52" s="327">
        <f>SUM(D32:D51)</f>
        <v>0</v>
      </c>
      <c r="E52" s="327">
        <f t="shared" ref="E52:I52" si="1">SUM(E32:E51)</f>
        <v>0</v>
      </c>
      <c r="F52" s="327">
        <f t="shared" si="1"/>
        <v>0</v>
      </c>
      <c r="G52" s="327">
        <f t="shared" si="1"/>
        <v>0</v>
      </c>
      <c r="H52" s="327">
        <f t="shared" si="1"/>
        <v>0</v>
      </c>
      <c r="I52" s="328">
        <f t="shared" si="1"/>
        <v>0</v>
      </c>
    </row>
    <row r="53" spans="1:12" x14ac:dyDescent="0.25">
      <c r="A53" s="54"/>
      <c r="B53" s="55"/>
      <c r="C53" s="56"/>
      <c r="D53" s="57"/>
      <c r="E53" s="57"/>
      <c r="F53" s="57"/>
      <c r="G53" s="57"/>
      <c r="H53" s="57"/>
      <c r="I53" s="57"/>
    </row>
    <row r="54" spans="1:12" x14ac:dyDescent="0.25">
      <c r="A54" s="54"/>
      <c r="B54" s="55"/>
      <c r="C54" s="56"/>
      <c r="D54" s="57"/>
      <c r="E54" s="57"/>
      <c r="F54" s="57"/>
      <c r="G54" s="57"/>
      <c r="H54" s="57"/>
      <c r="I54" s="57"/>
    </row>
    <row r="55" spans="1:12" x14ac:dyDescent="0.25">
      <c r="A55" s="54"/>
      <c r="B55" s="55"/>
      <c r="C55" s="56"/>
      <c r="D55" s="57"/>
      <c r="E55" s="57"/>
      <c r="F55" s="57"/>
      <c r="G55" s="57"/>
      <c r="H55" s="57"/>
      <c r="I55" s="57"/>
    </row>
    <row r="56" spans="1:12" x14ac:dyDescent="0.25">
      <c r="A56" s="54"/>
      <c r="B56" s="55"/>
      <c r="C56" s="56"/>
      <c r="D56" s="57"/>
      <c r="E56" s="57"/>
      <c r="F56" s="57"/>
      <c r="G56" s="57"/>
      <c r="H56" s="57"/>
      <c r="I56" s="57"/>
    </row>
    <row r="57" spans="1:12" x14ac:dyDescent="0.25">
      <c r="A57" s="54"/>
      <c r="B57" s="55"/>
      <c r="C57" s="56"/>
      <c r="D57" s="57"/>
      <c r="E57" s="57"/>
      <c r="F57" s="57"/>
      <c r="G57" s="57"/>
      <c r="H57" s="57"/>
      <c r="I57" s="57"/>
    </row>
    <row r="58" spans="1:12" x14ac:dyDescent="0.25">
      <c r="A58" s="54"/>
      <c r="B58" s="55"/>
      <c r="C58" s="56"/>
      <c r="D58" s="57"/>
      <c r="E58" s="57"/>
      <c r="F58" s="57"/>
      <c r="G58" s="57"/>
      <c r="H58" s="57"/>
      <c r="I58" s="57"/>
    </row>
    <row r="59" spans="1:12" x14ac:dyDescent="0.25">
      <c r="A59" s="54"/>
      <c r="B59" s="55"/>
      <c r="C59" s="56"/>
      <c r="D59" s="57"/>
      <c r="E59" s="57"/>
      <c r="F59" s="57"/>
      <c r="G59" s="57"/>
      <c r="H59" s="57"/>
      <c r="I59" s="57"/>
    </row>
    <row r="60" spans="1:12" x14ac:dyDescent="0.25">
      <c r="A60" s="54"/>
      <c r="B60" s="55"/>
      <c r="C60" s="56"/>
      <c r="D60" s="57"/>
      <c r="E60" s="57"/>
      <c r="F60" s="57"/>
      <c r="G60" s="57"/>
      <c r="H60" s="57"/>
      <c r="I60" s="57"/>
    </row>
    <row r="61" spans="1:12" x14ac:dyDescent="0.25">
      <c r="A61" s="54"/>
      <c r="B61" s="55"/>
      <c r="C61" s="56"/>
      <c r="D61" s="57"/>
      <c r="E61" s="57"/>
      <c r="F61" s="57"/>
      <c r="G61" s="57"/>
      <c r="H61" s="57"/>
      <c r="I61" s="57"/>
    </row>
    <row r="62" spans="1:12" x14ac:dyDescent="0.25">
      <c r="A62" s="54"/>
      <c r="B62" s="55"/>
      <c r="C62" s="56"/>
      <c r="D62" s="57"/>
      <c r="E62" s="57"/>
      <c r="F62" s="57"/>
      <c r="G62" s="57"/>
      <c r="H62" s="57"/>
      <c r="I62" s="57"/>
    </row>
    <row r="63" spans="1:12" x14ac:dyDescent="0.25">
      <c r="A63" s="54"/>
      <c r="B63" s="55"/>
      <c r="C63" s="56"/>
      <c r="D63" s="57"/>
      <c r="E63" s="57"/>
      <c r="F63" s="57"/>
      <c r="G63" s="57"/>
      <c r="H63" s="57"/>
      <c r="I63" s="57"/>
    </row>
    <row r="64" spans="1:12" x14ac:dyDescent="0.25">
      <c r="A64" s="54"/>
      <c r="B64" s="55"/>
      <c r="C64" s="56"/>
      <c r="D64" s="57"/>
      <c r="E64" s="57"/>
      <c r="F64" s="57"/>
      <c r="G64" s="57"/>
      <c r="H64" s="57"/>
      <c r="I64" s="57"/>
    </row>
    <row r="65" spans="1:9" x14ac:dyDescent="0.25">
      <c r="A65" s="54"/>
      <c r="B65" s="55"/>
      <c r="C65" s="56"/>
      <c r="D65" s="57"/>
      <c r="E65" s="57"/>
      <c r="F65" s="57"/>
      <c r="G65" s="57"/>
      <c r="H65" s="57"/>
      <c r="I65" s="57"/>
    </row>
    <row r="66" spans="1:9" x14ac:dyDescent="0.25">
      <c r="A66" s="54"/>
      <c r="B66" s="55"/>
      <c r="C66" s="56"/>
      <c r="D66" s="57"/>
      <c r="E66" s="57"/>
      <c r="F66" s="57"/>
      <c r="G66" s="57"/>
      <c r="H66" s="57"/>
      <c r="I66" s="57"/>
    </row>
    <row r="67" spans="1:9" x14ac:dyDescent="0.25">
      <c r="A67" s="54"/>
      <c r="B67" s="55"/>
      <c r="C67" s="56"/>
      <c r="D67" s="57"/>
      <c r="E67" s="57"/>
      <c r="F67" s="57"/>
      <c r="G67" s="57"/>
      <c r="H67" s="57"/>
      <c r="I67" s="57"/>
    </row>
    <row r="68" spans="1:9" x14ac:dyDescent="0.25">
      <c r="A68" s="54"/>
      <c r="B68" s="55"/>
      <c r="C68" s="56"/>
      <c r="D68" s="57"/>
      <c r="E68" s="57"/>
      <c r="F68" s="57"/>
      <c r="G68" s="57"/>
      <c r="H68" s="57"/>
      <c r="I68" s="57"/>
    </row>
    <row r="69" spans="1:9" x14ac:dyDescent="0.25">
      <c r="A69" s="54"/>
      <c r="B69" s="55"/>
      <c r="C69" s="56"/>
      <c r="D69" s="57"/>
      <c r="E69" s="57"/>
      <c r="F69" s="57"/>
      <c r="G69" s="57"/>
      <c r="H69" s="57"/>
      <c r="I69" s="57"/>
    </row>
    <row r="70" spans="1:9" x14ac:dyDescent="0.25">
      <c r="A70" s="54"/>
      <c r="B70" s="55"/>
      <c r="C70" s="56"/>
      <c r="D70" s="57"/>
      <c r="E70" s="57"/>
      <c r="F70" s="57"/>
      <c r="G70" s="57"/>
      <c r="H70" s="57"/>
      <c r="I70" s="57"/>
    </row>
    <row r="71" spans="1:9" x14ac:dyDescent="0.25">
      <c r="A71" s="54"/>
      <c r="B71" s="55"/>
      <c r="C71" s="56"/>
      <c r="D71" s="57"/>
      <c r="E71" s="57"/>
      <c r="F71" s="57"/>
      <c r="G71" s="57"/>
      <c r="H71" s="57"/>
      <c r="I71" s="57"/>
    </row>
    <row r="72" spans="1:9" x14ac:dyDescent="0.25">
      <c r="A72" s="54"/>
      <c r="B72" s="55"/>
      <c r="C72" s="56"/>
      <c r="D72" s="57"/>
      <c r="E72" s="57"/>
      <c r="F72" s="57"/>
      <c r="G72" s="57"/>
      <c r="H72" s="57"/>
      <c r="I72" s="57"/>
    </row>
    <row r="73" spans="1:9" x14ac:dyDescent="0.25">
      <c r="A73" s="54"/>
      <c r="B73" s="55"/>
      <c r="C73" s="56"/>
      <c r="D73" s="57"/>
      <c r="E73" s="57"/>
      <c r="F73" s="57"/>
      <c r="G73" s="57"/>
      <c r="H73" s="57"/>
      <c r="I73" s="57"/>
    </row>
    <row r="74" spans="1:9" x14ac:dyDescent="0.25">
      <c r="A74" s="54"/>
      <c r="B74" s="55"/>
      <c r="C74" s="56"/>
      <c r="D74" s="57"/>
      <c r="E74" s="57"/>
      <c r="F74" s="57"/>
      <c r="G74" s="57"/>
      <c r="H74" s="57"/>
      <c r="I74" s="57"/>
    </row>
    <row r="75" spans="1:9" x14ac:dyDescent="0.25">
      <c r="A75" s="54"/>
      <c r="B75" s="55"/>
      <c r="C75" s="56"/>
      <c r="D75" s="57"/>
      <c r="E75" s="57"/>
      <c r="F75" s="57"/>
      <c r="G75" s="57"/>
      <c r="H75" s="57"/>
      <c r="I75" s="57"/>
    </row>
    <row r="76" spans="1:9" x14ac:dyDescent="0.25">
      <c r="A76" s="54"/>
      <c r="B76" s="55"/>
      <c r="C76" s="56"/>
      <c r="D76" s="57"/>
      <c r="E76" s="57"/>
      <c r="F76" s="57"/>
      <c r="G76" s="57"/>
      <c r="H76" s="57"/>
      <c r="I76" s="57"/>
    </row>
    <row r="77" spans="1:9" x14ac:dyDescent="0.25">
      <c r="A77" s="54"/>
      <c r="B77" s="55"/>
      <c r="C77" s="56"/>
      <c r="D77" s="57"/>
      <c r="E77" s="57"/>
      <c r="F77" s="57"/>
      <c r="G77" s="57"/>
      <c r="H77" s="57"/>
      <c r="I77" s="57"/>
    </row>
    <row r="78" spans="1:9" x14ac:dyDescent="0.25">
      <c r="A78" s="54"/>
      <c r="B78" s="55"/>
      <c r="C78" s="56"/>
      <c r="D78" s="57"/>
      <c r="E78" s="57"/>
      <c r="F78" s="57"/>
      <c r="G78" s="57"/>
      <c r="H78" s="57"/>
      <c r="I78" s="57"/>
    </row>
    <row r="79" spans="1:9" x14ac:dyDescent="0.25">
      <c r="A79" s="54"/>
      <c r="B79" s="55"/>
      <c r="C79" s="56"/>
      <c r="D79" s="57"/>
      <c r="E79" s="57"/>
      <c r="F79" s="57"/>
      <c r="G79" s="57"/>
      <c r="H79" s="57"/>
      <c r="I79" s="57"/>
    </row>
    <row r="80" spans="1:9" x14ac:dyDescent="0.25">
      <c r="A80" s="54"/>
      <c r="B80" s="55"/>
      <c r="C80" s="56"/>
      <c r="D80" s="57"/>
      <c r="E80" s="57"/>
      <c r="F80" s="57"/>
      <c r="G80" s="57"/>
      <c r="H80" s="57"/>
      <c r="I80" s="57"/>
    </row>
    <row r="81" spans="1:9" x14ac:dyDescent="0.25">
      <c r="A81" s="54"/>
      <c r="B81" s="55"/>
      <c r="C81" s="56"/>
      <c r="D81" s="57"/>
      <c r="E81" s="57"/>
      <c r="F81" s="57"/>
      <c r="G81" s="57"/>
      <c r="H81" s="57"/>
      <c r="I81" s="57"/>
    </row>
    <row r="82" spans="1:9" x14ac:dyDescent="0.25">
      <c r="A82" s="54"/>
      <c r="B82" s="55"/>
      <c r="C82" s="56"/>
      <c r="D82" s="57"/>
      <c r="E82" s="57"/>
      <c r="F82" s="57"/>
      <c r="G82" s="57"/>
      <c r="H82" s="57"/>
      <c r="I82" s="57"/>
    </row>
    <row r="83" spans="1:9" x14ac:dyDescent="0.25">
      <c r="A83" s="54"/>
      <c r="B83" s="55"/>
      <c r="C83" s="56"/>
      <c r="D83" s="57"/>
      <c r="E83" s="57"/>
      <c r="F83" s="57"/>
      <c r="G83" s="57"/>
      <c r="H83" s="57"/>
      <c r="I83" s="57"/>
    </row>
    <row r="84" spans="1:9" x14ac:dyDescent="0.25">
      <c r="A84" s="54"/>
      <c r="B84" s="55"/>
      <c r="C84" s="56"/>
      <c r="D84" s="57"/>
      <c r="E84" s="57"/>
      <c r="F84" s="57"/>
      <c r="G84" s="57"/>
      <c r="H84" s="57"/>
      <c r="I84" s="57"/>
    </row>
    <row r="85" spans="1:9" x14ac:dyDescent="0.25">
      <c r="A85" s="54"/>
      <c r="B85" s="55"/>
      <c r="C85" s="56"/>
      <c r="D85" s="57"/>
      <c r="E85" s="57"/>
      <c r="F85" s="57"/>
      <c r="G85" s="57"/>
      <c r="H85" s="57"/>
      <c r="I85" s="57"/>
    </row>
    <row r="86" spans="1:9" x14ac:dyDescent="0.25">
      <c r="A86" s="54"/>
      <c r="B86" s="55"/>
      <c r="C86" s="56"/>
      <c r="D86" s="57"/>
      <c r="E86" s="57"/>
      <c r="F86" s="57"/>
      <c r="G86" s="57"/>
      <c r="H86" s="57"/>
      <c r="I86" s="57"/>
    </row>
    <row r="87" spans="1:9" x14ac:dyDescent="0.25">
      <c r="A87" s="54"/>
      <c r="B87" s="55"/>
      <c r="C87" s="56"/>
      <c r="D87" s="57"/>
      <c r="E87" s="57"/>
      <c r="F87" s="57"/>
      <c r="G87" s="57"/>
      <c r="H87" s="57"/>
      <c r="I87" s="57"/>
    </row>
    <row r="88" spans="1:9" x14ac:dyDescent="0.25">
      <c r="A88" s="54"/>
      <c r="B88" s="55"/>
      <c r="C88" s="56"/>
      <c r="D88" s="57"/>
      <c r="E88" s="57"/>
      <c r="F88" s="57"/>
      <c r="G88" s="57"/>
      <c r="H88" s="57"/>
      <c r="I88" s="57"/>
    </row>
    <row r="89" spans="1:9" x14ac:dyDescent="0.25">
      <c r="A89" s="54"/>
      <c r="B89" s="55"/>
      <c r="C89" s="56"/>
      <c r="D89" s="57"/>
      <c r="E89" s="57"/>
      <c r="F89" s="57"/>
      <c r="G89" s="57"/>
      <c r="H89" s="57"/>
      <c r="I89" s="57"/>
    </row>
    <row r="90" spans="1:9" x14ac:dyDescent="0.25">
      <c r="A90" s="54"/>
      <c r="B90" s="55"/>
      <c r="C90" s="56"/>
      <c r="D90" s="57"/>
      <c r="E90" s="57"/>
      <c r="F90" s="57"/>
      <c r="G90" s="57"/>
      <c r="H90" s="57"/>
      <c r="I90" s="57"/>
    </row>
    <row r="91" spans="1:9" x14ac:dyDescent="0.25">
      <c r="A91" s="54"/>
      <c r="B91" s="55"/>
      <c r="C91" s="56"/>
      <c r="D91" s="57"/>
      <c r="E91" s="57"/>
      <c r="F91" s="57"/>
      <c r="G91" s="57"/>
      <c r="H91" s="57"/>
      <c r="I91" s="57"/>
    </row>
    <row r="92" spans="1:9" x14ac:dyDescent="0.25">
      <c r="A92" s="54"/>
      <c r="B92" s="55"/>
      <c r="C92" s="56"/>
      <c r="D92" s="57"/>
      <c r="E92" s="57"/>
      <c r="F92" s="57"/>
      <c r="G92" s="57"/>
      <c r="H92" s="57"/>
      <c r="I92" s="57"/>
    </row>
    <row r="93" spans="1:9" x14ac:dyDescent="0.25">
      <c r="A93" s="54"/>
      <c r="B93" s="55"/>
      <c r="C93" s="56"/>
      <c r="D93" s="57"/>
      <c r="E93" s="57"/>
      <c r="F93" s="57"/>
      <c r="G93" s="57"/>
      <c r="H93" s="57"/>
      <c r="I93" s="57"/>
    </row>
    <row r="94" spans="1:9" x14ac:dyDescent="0.25">
      <c r="A94" s="54"/>
      <c r="B94" s="55"/>
      <c r="C94" s="56"/>
      <c r="D94" s="57"/>
      <c r="E94" s="57"/>
      <c r="F94" s="57"/>
      <c r="G94" s="57"/>
      <c r="H94" s="57"/>
      <c r="I94" s="57"/>
    </row>
    <row r="95" spans="1:9" x14ac:dyDescent="0.25">
      <c r="A95" s="54"/>
      <c r="B95" s="55"/>
      <c r="C95" s="56"/>
      <c r="D95" s="57"/>
      <c r="E95" s="57"/>
      <c r="F95" s="57"/>
      <c r="G95" s="57"/>
      <c r="H95" s="57"/>
      <c r="I95" s="57"/>
    </row>
    <row r="96" spans="1:9" x14ac:dyDescent="0.25">
      <c r="A96" s="54"/>
      <c r="B96" s="55"/>
      <c r="C96" s="56"/>
      <c r="D96" s="57"/>
      <c r="E96" s="57"/>
      <c r="F96" s="57"/>
      <c r="G96" s="57"/>
      <c r="H96" s="57"/>
      <c r="I96" s="57"/>
    </row>
    <row r="97" spans="1:9" x14ac:dyDescent="0.25">
      <c r="A97" s="54"/>
      <c r="B97" s="55"/>
      <c r="C97" s="56"/>
      <c r="D97" s="57"/>
      <c r="E97" s="57"/>
      <c r="F97" s="57"/>
      <c r="G97" s="57"/>
      <c r="H97" s="57"/>
      <c r="I97" s="57"/>
    </row>
    <row r="98" spans="1:9" x14ac:dyDescent="0.25">
      <c r="A98" s="54"/>
      <c r="B98" s="55"/>
      <c r="C98" s="56"/>
      <c r="D98" s="57"/>
      <c r="E98" s="57"/>
      <c r="F98" s="57"/>
      <c r="G98" s="57"/>
      <c r="H98" s="57"/>
      <c r="I98" s="57"/>
    </row>
    <row r="99" spans="1:9" x14ac:dyDescent="0.25">
      <c r="A99" s="54"/>
      <c r="B99" s="55"/>
      <c r="C99" s="56"/>
      <c r="D99" s="57"/>
      <c r="E99" s="57"/>
      <c r="F99" s="57"/>
      <c r="G99" s="57"/>
      <c r="H99" s="57"/>
      <c r="I99" s="57"/>
    </row>
    <row r="100" spans="1:9" x14ac:dyDescent="0.25">
      <c r="A100" s="54"/>
      <c r="B100" s="55"/>
      <c r="C100" s="56"/>
      <c r="D100" s="57"/>
      <c r="E100" s="57"/>
      <c r="F100" s="57"/>
      <c r="G100" s="57"/>
      <c r="H100" s="57"/>
      <c r="I100" s="57"/>
    </row>
    <row r="101" spans="1:9" x14ac:dyDescent="0.25">
      <c r="A101" s="54"/>
      <c r="B101" s="55"/>
      <c r="C101" s="56"/>
      <c r="D101" s="57"/>
      <c r="E101" s="57"/>
      <c r="F101" s="57"/>
      <c r="G101" s="57"/>
      <c r="H101" s="57"/>
      <c r="I101" s="57"/>
    </row>
    <row r="102" spans="1:9" x14ac:dyDescent="0.25">
      <c r="A102" s="54"/>
      <c r="B102" s="55"/>
      <c r="C102" s="56"/>
      <c r="D102" s="57"/>
      <c r="E102" s="57"/>
      <c r="F102" s="57"/>
      <c r="G102" s="57"/>
      <c r="H102" s="57"/>
      <c r="I102" s="57"/>
    </row>
    <row r="103" spans="1:9" x14ac:dyDescent="0.25">
      <c r="A103" s="54"/>
      <c r="B103" s="55"/>
      <c r="C103" s="56"/>
      <c r="D103" s="57"/>
      <c r="E103" s="57"/>
      <c r="F103" s="57"/>
      <c r="G103" s="57"/>
      <c r="H103" s="57"/>
      <c r="I103" s="57"/>
    </row>
    <row r="104" spans="1:9" x14ac:dyDescent="0.25">
      <c r="A104" s="54"/>
      <c r="B104" s="55"/>
      <c r="C104" s="56"/>
      <c r="D104" s="57"/>
      <c r="E104" s="57"/>
      <c r="F104" s="57"/>
      <c r="G104" s="57"/>
      <c r="H104" s="57"/>
      <c r="I104" s="57"/>
    </row>
    <row r="105" spans="1:9" x14ac:dyDescent="0.25">
      <c r="A105" s="54"/>
      <c r="B105" s="55"/>
      <c r="C105" s="56"/>
      <c r="D105" s="57"/>
      <c r="E105" s="57"/>
      <c r="F105" s="57"/>
      <c r="G105" s="57"/>
      <c r="H105" s="57"/>
      <c r="I105" s="57"/>
    </row>
    <row r="106" spans="1:9" x14ac:dyDescent="0.25">
      <c r="A106" s="54"/>
      <c r="B106" s="55"/>
      <c r="C106" s="56"/>
      <c r="D106" s="57"/>
      <c r="E106" s="57"/>
      <c r="F106" s="57"/>
      <c r="G106" s="57"/>
      <c r="H106" s="57"/>
      <c r="I106" s="57"/>
    </row>
    <row r="107" spans="1:9" x14ac:dyDescent="0.25">
      <c r="A107" s="54"/>
      <c r="B107" s="55"/>
      <c r="C107" s="56"/>
      <c r="D107" s="57"/>
      <c r="E107" s="57"/>
      <c r="F107" s="57"/>
      <c r="G107" s="57"/>
      <c r="H107" s="57"/>
      <c r="I107" s="57"/>
    </row>
    <row r="108" spans="1:9" x14ac:dyDescent="0.25">
      <c r="A108" s="54"/>
      <c r="B108" s="55"/>
      <c r="C108" s="56"/>
      <c r="D108" s="57"/>
      <c r="E108" s="57"/>
      <c r="F108" s="57"/>
      <c r="G108" s="57"/>
      <c r="H108" s="57"/>
      <c r="I108" s="57"/>
    </row>
    <row r="109" spans="1:9" x14ac:dyDescent="0.25">
      <c r="A109" s="54"/>
      <c r="B109" s="55"/>
      <c r="C109" s="56"/>
      <c r="D109" s="57"/>
      <c r="E109" s="57"/>
      <c r="F109" s="57"/>
      <c r="G109" s="57"/>
      <c r="H109" s="57"/>
      <c r="I109" s="57"/>
    </row>
    <row r="110" spans="1:9" x14ac:dyDescent="0.25">
      <c r="A110" s="54"/>
      <c r="B110" s="55"/>
      <c r="C110" s="56"/>
      <c r="D110" s="57"/>
      <c r="E110" s="57"/>
      <c r="F110" s="57"/>
      <c r="G110" s="57"/>
      <c r="H110" s="57"/>
      <c r="I110" s="57"/>
    </row>
    <row r="111" spans="1:9" x14ac:dyDescent="0.25">
      <c r="A111" s="54"/>
      <c r="B111" s="55"/>
      <c r="C111" s="56"/>
      <c r="D111" s="57"/>
      <c r="E111" s="57"/>
      <c r="F111" s="57"/>
      <c r="G111" s="57"/>
      <c r="H111" s="57"/>
      <c r="I111" s="57"/>
    </row>
    <row r="112" spans="1:9" x14ac:dyDescent="0.25">
      <c r="A112" s="54"/>
      <c r="B112" s="55"/>
      <c r="C112" s="56"/>
      <c r="D112" s="57"/>
      <c r="E112" s="57"/>
      <c r="F112" s="57"/>
      <c r="G112" s="57"/>
      <c r="H112" s="57"/>
      <c r="I112" s="57"/>
    </row>
    <row r="113" spans="1:9" x14ac:dyDescent="0.25">
      <c r="A113" s="54"/>
      <c r="B113" s="55"/>
      <c r="C113" s="56"/>
      <c r="D113" s="57"/>
      <c r="E113" s="57"/>
      <c r="F113" s="57"/>
      <c r="G113" s="57"/>
      <c r="H113" s="57"/>
      <c r="I113" s="57"/>
    </row>
    <row r="114" spans="1:9" x14ac:dyDescent="0.25">
      <c r="A114" s="54"/>
      <c r="B114" s="55"/>
      <c r="C114" s="56"/>
      <c r="D114" s="57"/>
      <c r="E114" s="57"/>
      <c r="F114" s="57"/>
      <c r="G114" s="57"/>
      <c r="H114" s="57"/>
      <c r="I114" s="57"/>
    </row>
    <row r="115" spans="1:9" x14ac:dyDescent="0.25">
      <c r="A115" s="54"/>
      <c r="B115" s="55"/>
      <c r="C115" s="56"/>
      <c r="D115" s="57"/>
      <c r="E115" s="57"/>
      <c r="F115" s="57"/>
      <c r="G115" s="57"/>
      <c r="H115" s="57"/>
      <c r="I115" s="57"/>
    </row>
    <row r="116" spans="1:9" x14ac:dyDescent="0.25">
      <c r="A116" s="54"/>
      <c r="B116" s="55"/>
      <c r="C116" s="56"/>
      <c r="D116" s="57"/>
      <c r="E116" s="57"/>
      <c r="F116" s="57"/>
      <c r="G116" s="57"/>
      <c r="H116" s="57"/>
      <c r="I116" s="57"/>
    </row>
    <row r="117" spans="1:9" x14ac:dyDescent="0.25">
      <c r="A117" s="54"/>
      <c r="B117" s="55"/>
      <c r="C117" s="56"/>
      <c r="D117" s="57"/>
      <c r="E117" s="57"/>
      <c r="F117" s="57"/>
      <c r="G117" s="57"/>
      <c r="H117" s="57"/>
      <c r="I117" s="57"/>
    </row>
    <row r="118" spans="1:9" x14ac:dyDescent="0.25">
      <c r="A118" s="54"/>
      <c r="B118" s="55"/>
      <c r="C118" s="56"/>
      <c r="D118" s="57"/>
      <c r="E118" s="57"/>
      <c r="F118" s="57"/>
      <c r="G118" s="57"/>
      <c r="H118" s="57"/>
      <c r="I118" s="57"/>
    </row>
    <row r="119" spans="1:9" x14ac:dyDescent="0.25">
      <c r="A119" s="54"/>
      <c r="B119" s="55"/>
      <c r="C119" s="56"/>
      <c r="D119" s="57"/>
      <c r="E119" s="57"/>
      <c r="F119" s="57"/>
      <c r="G119" s="57"/>
      <c r="H119" s="57"/>
      <c r="I119" s="57"/>
    </row>
    <row r="120" spans="1:9" x14ac:dyDescent="0.25">
      <c r="A120" s="54"/>
      <c r="B120" s="55"/>
      <c r="C120" s="56"/>
      <c r="D120" s="57"/>
      <c r="E120" s="57"/>
      <c r="F120" s="57"/>
      <c r="G120" s="57"/>
      <c r="H120" s="57"/>
      <c r="I120" s="57"/>
    </row>
    <row r="121" spans="1:9" x14ac:dyDescent="0.25">
      <c r="A121" s="54"/>
      <c r="B121" s="55"/>
      <c r="C121" s="56"/>
      <c r="D121" s="57"/>
      <c r="E121" s="57"/>
      <c r="F121" s="57"/>
      <c r="G121" s="57"/>
      <c r="H121" s="57"/>
      <c r="I121" s="57"/>
    </row>
    <row r="122" spans="1:9" x14ac:dyDescent="0.25">
      <c r="A122" s="54"/>
      <c r="B122" s="55"/>
      <c r="C122" s="56"/>
      <c r="D122" s="57"/>
      <c r="E122" s="57"/>
      <c r="F122" s="57"/>
      <c r="G122" s="57"/>
      <c r="H122" s="57"/>
      <c r="I122" s="57"/>
    </row>
    <row r="123" spans="1:9" x14ac:dyDescent="0.25">
      <c r="A123" s="54"/>
      <c r="B123" s="55"/>
      <c r="C123" s="56"/>
      <c r="D123" s="57"/>
      <c r="E123" s="57"/>
      <c r="F123" s="57"/>
      <c r="G123" s="57"/>
      <c r="H123" s="57"/>
      <c r="I123" s="57"/>
    </row>
    <row r="124" spans="1:9" x14ac:dyDescent="0.25">
      <c r="A124" s="54"/>
      <c r="B124" s="55"/>
      <c r="C124" s="56"/>
      <c r="D124" s="57"/>
      <c r="E124" s="57"/>
      <c r="F124" s="57"/>
      <c r="G124" s="57"/>
      <c r="H124" s="57"/>
      <c r="I124" s="57"/>
    </row>
    <row r="125" spans="1:9" x14ac:dyDescent="0.25">
      <c r="A125" s="54"/>
      <c r="B125" s="55"/>
      <c r="C125" s="56"/>
      <c r="D125" s="57"/>
      <c r="E125" s="57"/>
      <c r="F125" s="57"/>
      <c r="G125" s="57"/>
      <c r="H125" s="57"/>
      <c r="I125" s="57"/>
    </row>
    <row r="126" spans="1:9" x14ac:dyDescent="0.25">
      <c r="A126" s="54"/>
      <c r="B126" s="55"/>
      <c r="C126" s="56"/>
      <c r="D126" s="57"/>
      <c r="E126" s="57"/>
      <c r="F126" s="57"/>
      <c r="G126" s="57"/>
      <c r="H126" s="57"/>
      <c r="I126" s="57"/>
    </row>
    <row r="127" spans="1:9" x14ac:dyDescent="0.25">
      <c r="A127" s="54"/>
      <c r="B127" s="55"/>
      <c r="C127" s="56"/>
      <c r="D127" s="57"/>
      <c r="E127" s="57"/>
      <c r="F127" s="57"/>
      <c r="G127" s="57"/>
      <c r="H127" s="57"/>
      <c r="I127" s="57"/>
    </row>
    <row r="128" spans="1:9" x14ac:dyDescent="0.25">
      <c r="A128" s="54"/>
      <c r="B128" s="55"/>
      <c r="C128" s="56"/>
      <c r="D128" s="57"/>
      <c r="E128" s="57"/>
      <c r="F128" s="58"/>
      <c r="G128" s="58"/>
      <c r="H128" s="58"/>
      <c r="I128" s="58"/>
    </row>
    <row r="129" spans="2:10" x14ac:dyDescent="0.25">
      <c r="B129" s="59"/>
      <c r="C129" s="60"/>
      <c r="D129" s="61"/>
      <c r="E129" s="61"/>
      <c r="F129" s="62"/>
      <c r="G129" s="62"/>
      <c r="H129" s="62"/>
      <c r="I129" s="62"/>
      <c r="J129" s="62"/>
    </row>
    <row r="130" spans="2:10" x14ac:dyDescent="0.25">
      <c r="B130" s="59"/>
      <c r="C130" s="60"/>
      <c r="D130" s="61"/>
      <c r="E130" s="61"/>
      <c r="F130" s="62"/>
      <c r="G130" s="62"/>
      <c r="H130" s="62"/>
      <c r="I130" s="62"/>
      <c r="J130" s="62"/>
    </row>
    <row r="131" spans="2:10" x14ac:dyDescent="0.25">
      <c r="B131" s="59"/>
      <c r="C131" s="60"/>
      <c r="D131" s="61"/>
      <c r="E131" s="61"/>
      <c r="F131" s="62"/>
      <c r="G131" s="62"/>
      <c r="H131" s="62"/>
      <c r="I131" s="62"/>
      <c r="J131" s="62"/>
    </row>
    <row r="132" spans="2:10" x14ac:dyDescent="0.25">
      <c r="B132" s="59"/>
      <c r="C132" s="60"/>
      <c r="D132" s="61"/>
      <c r="E132" s="61"/>
      <c r="F132" s="62"/>
      <c r="G132" s="62"/>
      <c r="H132" s="62"/>
      <c r="I132" s="62"/>
      <c r="J132" s="62"/>
    </row>
    <row r="133" spans="2:10" x14ac:dyDescent="0.25">
      <c r="B133" s="59"/>
      <c r="C133" s="60"/>
      <c r="D133" s="61"/>
      <c r="E133" s="61"/>
      <c r="F133" s="62"/>
      <c r="G133" s="62"/>
      <c r="H133" s="62"/>
      <c r="I133" s="62"/>
      <c r="J133" s="62"/>
    </row>
    <row r="134" spans="2:10" x14ac:dyDescent="0.25">
      <c r="B134" s="59"/>
      <c r="C134" s="60"/>
      <c r="D134" s="61"/>
      <c r="E134" s="61"/>
      <c r="F134" s="62"/>
      <c r="G134" s="62"/>
      <c r="H134" s="62"/>
      <c r="I134" s="62"/>
      <c r="J134" s="62"/>
    </row>
    <row r="135" spans="2:10" x14ac:dyDescent="0.25">
      <c r="B135" s="59"/>
      <c r="C135" s="60"/>
      <c r="D135" s="61"/>
      <c r="E135" s="61"/>
      <c r="F135" s="62"/>
      <c r="G135" s="62"/>
      <c r="H135" s="62"/>
      <c r="I135" s="62"/>
      <c r="J135" s="62"/>
    </row>
    <row r="136" spans="2:10" x14ac:dyDescent="0.25">
      <c r="B136" s="59"/>
      <c r="C136" s="60"/>
      <c r="D136" s="61"/>
      <c r="E136" s="61"/>
      <c r="F136" s="62"/>
      <c r="G136" s="62"/>
      <c r="H136" s="62"/>
      <c r="I136" s="62"/>
      <c r="J136" s="62"/>
    </row>
    <row r="137" spans="2:10" x14ac:dyDescent="0.25">
      <c r="B137" s="59"/>
      <c r="C137" s="60"/>
      <c r="D137" s="61"/>
      <c r="E137" s="61"/>
      <c r="F137" s="62"/>
      <c r="G137" s="62"/>
      <c r="H137" s="62"/>
      <c r="I137" s="62"/>
      <c r="J137" s="62"/>
    </row>
    <row r="138" spans="2:10" x14ac:dyDescent="0.25">
      <c r="B138" s="59"/>
      <c r="C138" s="60"/>
      <c r="D138" s="61"/>
      <c r="E138" s="61"/>
      <c r="F138" s="62"/>
      <c r="G138" s="62"/>
      <c r="H138" s="62"/>
      <c r="I138" s="62"/>
      <c r="J138" s="62"/>
    </row>
    <row r="139" spans="2:10" x14ac:dyDescent="0.25">
      <c r="B139" s="59"/>
      <c r="C139" s="60"/>
      <c r="D139" s="61"/>
      <c r="E139" s="61"/>
      <c r="F139" s="62"/>
      <c r="G139" s="62"/>
      <c r="H139" s="62"/>
      <c r="I139" s="62"/>
      <c r="J139" s="62"/>
    </row>
    <row r="140" spans="2:10" x14ac:dyDescent="0.25">
      <c r="B140" s="59"/>
      <c r="C140" s="60"/>
      <c r="D140" s="61"/>
      <c r="E140" s="61"/>
      <c r="F140" s="62"/>
      <c r="G140" s="62"/>
      <c r="H140" s="62"/>
      <c r="I140" s="62"/>
      <c r="J140" s="62"/>
    </row>
    <row r="141" spans="2:10" x14ac:dyDescent="0.25">
      <c r="B141" s="59"/>
      <c r="C141" s="60"/>
      <c r="D141" s="61"/>
      <c r="E141" s="61"/>
      <c r="F141" s="62"/>
      <c r="G141" s="62"/>
      <c r="H141" s="62"/>
      <c r="I141" s="62"/>
      <c r="J141" s="62"/>
    </row>
    <row r="142" spans="2:10" x14ac:dyDescent="0.25">
      <c r="B142" s="59"/>
      <c r="C142" s="60"/>
      <c r="D142" s="61"/>
      <c r="E142" s="61"/>
      <c r="F142" s="62"/>
      <c r="G142" s="62"/>
      <c r="H142" s="62"/>
      <c r="I142" s="62"/>
      <c r="J142" s="62"/>
    </row>
    <row r="143" spans="2:10" x14ac:dyDescent="0.25">
      <c r="B143" s="59"/>
      <c r="C143" s="60"/>
      <c r="D143" s="61"/>
      <c r="E143" s="61"/>
      <c r="F143" s="62"/>
      <c r="G143" s="62"/>
      <c r="H143" s="62"/>
      <c r="I143" s="62"/>
      <c r="J143" s="62"/>
    </row>
    <row r="144" spans="2:10" x14ac:dyDescent="0.25">
      <c r="B144" s="59"/>
      <c r="C144" s="60"/>
      <c r="D144" s="61"/>
      <c r="E144" s="61"/>
      <c r="F144" s="62"/>
      <c r="G144" s="62"/>
      <c r="H144" s="62"/>
      <c r="I144" s="62"/>
      <c r="J144" s="62"/>
    </row>
    <row r="145" spans="2:10" x14ac:dyDescent="0.25">
      <c r="B145" s="59"/>
      <c r="C145" s="60"/>
      <c r="D145" s="61"/>
      <c r="E145" s="61"/>
      <c r="F145" s="62"/>
      <c r="G145" s="62"/>
      <c r="H145" s="62"/>
      <c r="I145" s="62"/>
      <c r="J145" s="62"/>
    </row>
    <row r="146" spans="2:10" x14ac:dyDescent="0.25">
      <c r="B146" s="59"/>
      <c r="C146" s="60"/>
      <c r="D146" s="61"/>
      <c r="E146" s="61"/>
      <c r="F146" s="62"/>
      <c r="G146" s="62"/>
      <c r="H146" s="62"/>
      <c r="I146" s="62"/>
      <c r="J146" s="62"/>
    </row>
    <row r="147" spans="2:10" x14ac:dyDescent="0.25">
      <c r="B147" s="59"/>
      <c r="C147" s="60"/>
      <c r="D147" s="61"/>
      <c r="E147" s="61"/>
      <c r="F147" s="62"/>
      <c r="G147" s="62"/>
      <c r="H147" s="62"/>
      <c r="I147" s="62"/>
      <c r="J147" s="62"/>
    </row>
    <row r="148" spans="2:10" x14ac:dyDescent="0.25">
      <c r="B148" s="59"/>
      <c r="C148" s="60"/>
      <c r="D148" s="61"/>
      <c r="E148" s="61"/>
      <c r="F148" s="62"/>
      <c r="G148" s="62"/>
      <c r="H148" s="62"/>
      <c r="I148" s="62"/>
      <c r="J148" s="62"/>
    </row>
    <row r="149" spans="2:10" x14ac:dyDescent="0.25">
      <c r="B149" s="59"/>
      <c r="C149" s="60"/>
      <c r="D149" s="61"/>
      <c r="E149" s="61"/>
      <c r="F149" s="62"/>
      <c r="G149" s="62"/>
      <c r="H149" s="62"/>
      <c r="I149" s="62"/>
      <c r="J149" s="62"/>
    </row>
    <row r="150" spans="2:10" x14ac:dyDescent="0.25">
      <c r="B150" s="59"/>
      <c r="C150" s="60"/>
      <c r="D150" s="61"/>
      <c r="E150" s="61"/>
      <c r="F150" s="62"/>
      <c r="G150" s="62"/>
      <c r="H150" s="62"/>
      <c r="I150" s="62"/>
      <c r="J150" s="62"/>
    </row>
    <row r="151" spans="2:10" x14ac:dyDescent="0.25">
      <c r="B151" s="59"/>
      <c r="C151" s="60"/>
      <c r="D151" s="61"/>
      <c r="E151" s="61"/>
      <c r="F151" s="62"/>
      <c r="G151" s="62"/>
      <c r="H151" s="62"/>
      <c r="I151" s="62"/>
      <c r="J151" s="62"/>
    </row>
    <row r="152" spans="2:10" x14ac:dyDescent="0.25">
      <c r="B152" s="59"/>
      <c r="C152" s="60"/>
      <c r="D152" s="61"/>
      <c r="E152" s="61"/>
      <c r="F152" s="62"/>
      <c r="G152" s="62"/>
      <c r="H152" s="62"/>
      <c r="I152" s="62"/>
      <c r="J152" s="62"/>
    </row>
    <row r="153" spans="2:10" x14ac:dyDescent="0.25">
      <c r="B153" s="59"/>
      <c r="C153" s="60"/>
      <c r="D153" s="61"/>
      <c r="E153" s="61"/>
      <c r="F153" s="62"/>
      <c r="G153" s="62"/>
      <c r="H153" s="62"/>
      <c r="I153" s="62"/>
      <c r="J153" s="62"/>
    </row>
    <row r="154" spans="2:10" x14ac:dyDescent="0.25">
      <c r="B154" s="59"/>
      <c r="C154" s="60"/>
      <c r="D154" s="61"/>
      <c r="E154" s="61"/>
      <c r="F154" s="62"/>
      <c r="G154" s="62"/>
      <c r="H154" s="62"/>
      <c r="I154" s="62"/>
      <c r="J154" s="62"/>
    </row>
    <row r="155" spans="2:10" x14ac:dyDescent="0.25">
      <c r="B155" s="59"/>
      <c r="C155" s="60"/>
      <c r="D155" s="61"/>
      <c r="E155" s="61"/>
      <c r="F155" s="62"/>
      <c r="G155" s="62"/>
      <c r="H155" s="62"/>
      <c r="I155" s="62"/>
      <c r="J155" s="62"/>
    </row>
    <row r="156" spans="2:10" x14ac:dyDescent="0.25">
      <c r="B156" s="59"/>
      <c r="C156" s="60"/>
      <c r="D156" s="61"/>
      <c r="E156" s="61"/>
      <c r="F156" s="62"/>
      <c r="G156" s="62"/>
      <c r="H156" s="62"/>
      <c r="I156" s="62"/>
      <c r="J156" s="62"/>
    </row>
    <row r="157" spans="2:10" x14ac:dyDescent="0.25">
      <c r="B157" s="59"/>
      <c r="C157" s="60"/>
      <c r="D157" s="61"/>
      <c r="E157" s="61"/>
      <c r="F157" s="62"/>
      <c r="G157" s="62"/>
      <c r="H157" s="62"/>
      <c r="I157" s="62"/>
      <c r="J157" s="62"/>
    </row>
    <row r="158" spans="2:10" x14ac:dyDescent="0.25">
      <c r="B158" s="59"/>
      <c r="C158" s="60"/>
      <c r="D158" s="61"/>
      <c r="E158" s="61"/>
      <c r="F158" s="62"/>
      <c r="G158" s="62"/>
      <c r="H158" s="62"/>
      <c r="I158" s="62"/>
      <c r="J158" s="62"/>
    </row>
    <row r="159" spans="2:10" x14ac:dyDescent="0.25">
      <c r="B159" s="59"/>
      <c r="C159" s="60"/>
      <c r="D159" s="61"/>
      <c r="E159" s="61"/>
      <c r="F159" s="62"/>
      <c r="G159" s="62"/>
      <c r="H159" s="62"/>
      <c r="I159" s="62"/>
      <c r="J159" s="62"/>
    </row>
    <row r="160" spans="2:10" x14ac:dyDescent="0.25">
      <c r="B160" s="59"/>
      <c r="C160" s="60"/>
      <c r="D160" s="61"/>
      <c r="E160" s="61"/>
      <c r="F160" s="62"/>
      <c r="G160" s="62"/>
      <c r="H160" s="62"/>
      <c r="I160" s="62"/>
      <c r="J160" s="62"/>
    </row>
    <row r="161" spans="2:10" x14ac:dyDescent="0.25">
      <c r="B161" s="59"/>
      <c r="C161" s="60"/>
      <c r="D161" s="61"/>
      <c r="E161" s="61"/>
      <c r="F161" s="62"/>
      <c r="G161" s="62"/>
      <c r="H161" s="62"/>
      <c r="I161" s="62"/>
      <c r="J161" s="62"/>
    </row>
    <row r="162" spans="2:10" x14ac:dyDescent="0.25">
      <c r="B162" s="59"/>
      <c r="C162" s="60"/>
      <c r="D162" s="61"/>
      <c r="E162" s="61"/>
      <c r="F162" s="62"/>
      <c r="G162" s="62"/>
      <c r="H162" s="62"/>
      <c r="I162" s="62"/>
      <c r="J162" s="62"/>
    </row>
    <row r="163" spans="2:10" x14ac:dyDescent="0.25">
      <c r="B163" s="59"/>
      <c r="C163" s="60"/>
      <c r="D163" s="61"/>
      <c r="E163" s="61"/>
      <c r="F163" s="62"/>
      <c r="G163" s="62"/>
      <c r="H163" s="62"/>
      <c r="I163" s="62"/>
      <c r="J163" s="62"/>
    </row>
    <row r="164" spans="2:10" x14ac:dyDescent="0.25">
      <c r="B164" s="59"/>
      <c r="C164" s="60"/>
      <c r="D164" s="61"/>
      <c r="E164" s="61"/>
      <c r="F164" s="62"/>
      <c r="G164" s="62"/>
      <c r="H164" s="62"/>
      <c r="I164" s="62"/>
      <c r="J164" s="62"/>
    </row>
    <row r="165" spans="2:10" x14ac:dyDescent="0.25">
      <c r="B165" s="59"/>
      <c r="C165" s="60"/>
      <c r="D165" s="61"/>
      <c r="E165" s="61"/>
      <c r="F165" s="62"/>
      <c r="G165" s="62"/>
      <c r="H165" s="62"/>
      <c r="I165" s="62"/>
      <c r="J165" s="62"/>
    </row>
    <row r="166" spans="2:10" x14ac:dyDescent="0.25">
      <c r="B166" s="59"/>
      <c r="C166" s="60"/>
      <c r="D166" s="61"/>
      <c r="E166" s="61"/>
      <c r="F166" s="62"/>
      <c r="G166" s="62"/>
      <c r="H166" s="62"/>
      <c r="I166" s="62"/>
      <c r="J166" s="62"/>
    </row>
    <row r="167" spans="2:10" x14ac:dyDescent="0.25">
      <c r="B167" s="59"/>
      <c r="C167" s="60"/>
      <c r="D167" s="61"/>
      <c r="E167" s="61"/>
      <c r="F167" s="62"/>
      <c r="G167" s="62"/>
      <c r="H167" s="62"/>
      <c r="I167" s="62"/>
      <c r="J167" s="62"/>
    </row>
    <row r="168" spans="2:10" x14ac:dyDescent="0.25">
      <c r="B168" s="59"/>
      <c r="C168" s="60"/>
      <c r="D168" s="61"/>
      <c r="E168" s="61"/>
      <c r="F168" s="62"/>
      <c r="G168" s="62"/>
      <c r="H168" s="62"/>
      <c r="I168" s="62"/>
      <c r="J168" s="62"/>
    </row>
    <row r="169" spans="2:10" x14ac:dyDescent="0.25">
      <c r="B169" s="59"/>
      <c r="C169" s="60"/>
      <c r="D169" s="61"/>
      <c r="E169" s="61"/>
      <c r="F169" s="62"/>
      <c r="G169" s="62"/>
      <c r="H169" s="62"/>
      <c r="I169" s="62"/>
      <c r="J169" s="62"/>
    </row>
    <row r="170" spans="2:10" x14ac:dyDescent="0.25">
      <c r="B170" s="59"/>
      <c r="C170" s="60"/>
      <c r="D170" s="61"/>
      <c r="E170" s="61"/>
      <c r="F170" s="62"/>
      <c r="G170" s="62"/>
      <c r="H170" s="62"/>
      <c r="I170" s="62"/>
      <c r="J170" s="62"/>
    </row>
    <row r="171" spans="2:10" x14ac:dyDescent="0.25">
      <c r="B171" s="59"/>
      <c r="C171" s="60"/>
      <c r="D171" s="61"/>
      <c r="E171" s="61"/>
      <c r="F171" s="62"/>
      <c r="G171" s="62"/>
      <c r="H171" s="62"/>
      <c r="I171" s="62"/>
      <c r="J171" s="62"/>
    </row>
    <row r="172" spans="2:10" x14ac:dyDescent="0.25">
      <c r="B172" s="59"/>
      <c r="C172" s="60"/>
      <c r="D172" s="61"/>
      <c r="E172" s="61"/>
      <c r="F172" s="62"/>
      <c r="G172" s="62"/>
      <c r="H172" s="62"/>
      <c r="I172" s="62"/>
      <c r="J172" s="62"/>
    </row>
    <row r="173" spans="2:10" x14ac:dyDescent="0.25">
      <c r="B173" s="59"/>
      <c r="C173" s="60"/>
      <c r="D173" s="61"/>
      <c r="E173" s="61"/>
      <c r="F173" s="62"/>
      <c r="G173" s="62"/>
      <c r="H173" s="62"/>
      <c r="I173" s="62"/>
      <c r="J173" s="62"/>
    </row>
    <row r="174" spans="2:10" x14ac:dyDescent="0.25">
      <c r="B174" s="59"/>
      <c r="C174" s="60"/>
      <c r="D174" s="61"/>
      <c r="E174" s="61"/>
      <c r="F174" s="62"/>
      <c r="G174" s="62"/>
      <c r="H174" s="62"/>
      <c r="I174" s="62"/>
      <c r="J174" s="62"/>
    </row>
    <row r="175" spans="2:10" x14ac:dyDescent="0.25">
      <c r="B175" s="59"/>
      <c r="C175" s="60"/>
      <c r="D175" s="61"/>
      <c r="E175" s="61"/>
      <c r="F175" s="62"/>
      <c r="G175" s="62"/>
      <c r="H175" s="62"/>
      <c r="I175" s="62"/>
      <c r="J175" s="62"/>
    </row>
    <row r="176" spans="2:10" x14ac:dyDescent="0.25">
      <c r="B176" s="59"/>
      <c r="C176" s="60"/>
      <c r="D176" s="61"/>
      <c r="E176" s="61"/>
      <c r="F176" s="62"/>
      <c r="G176" s="62"/>
      <c r="H176" s="62"/>
      <c r="I176" s="62"/>
      <c r="J176" s="62"/>
    </row>
    <row r="177" spans="2:10" x14ac:dyDescent="0.25">
      <c r="B177" s="59"/>
      <c r="C177" s="60"/>
      <c r="D177" s="61"/>
      <c r="E177" s="61"/>
      <c r="F177" s="62"/>
      <c r="G177" s="62"/>
      <c r="H177" s="62"/>
      <c r="I177" s="62"/>
      <c r="J177" s="62"/>
    </row>
    <row r="178" spans="2:10" x14ac:dyDescent="0.25">
      <c r="B178" s="59"/>
      <c r="C178" s="60"/>
      <c r="D178" s="61"/>
      <c r="E178" s="61"/>
      <c r="F178" s="62"/>
      <c r="G178" s="62"/>
      <c r="H178" s="62"/>
      <c r="I178" s="62"/>
      <c r="J178" s="62"/>
    </row>
    <row r="179" spans="2:10" x14ac:dyDescent="0.25">
      <c r="B179" s="59"/>
      <c r="C179" s="60"/>
      <c r="D179" s="61"/>
      <c r="E179" s="61"/>
      <c r="F179" s="62"/>
      <c r="G179" s="62"/>
      <c r="H179" s="62"/>
      <c r="I179" s="62"/>
      <c r="J179" s="62"/>
    </row>
    <row r="180" spans="2:10" x14ac:dyDescent="0.25">
      <c r="B180" s="59"/>
      <c r="C180" s="60"/>
      <c r="D180" s="61"/>
      <c r="E180" s="61"/>
      <c r="F180" s="62"/>
      <c r="G180" s="62"/>
      <c r="H180" s="62"/>
      <c r="I180" s="62"/>
      <c r="J180" s="62"/>
    </row>
    <row r="181" spans="2:10" x14ac:dyDescent="0.25">
      <c r="B181" s="59"/>
      <c r="C181" s="60"/>
      <c r="D181" s="61"/>
      <c r="E181" s="61"/>
      <c r="F181" s="62"/>
      <c r="G181" s="62"/>
      <c r="H181" s="62"/>
      <c r="I181" s="62"/>
      <c r="J181" s="62"/>
    </row>
    <row r="182" spans="2:10" x14ac:dyDescent="0.25">
      <c r="B182" s="59"/>
      <c r="C182" s="60"/>
      <c r="D182" s="61"/>
      <c r="E182" s="61"/>
      <c r="F182" s="62"/>
      <c r="G182" s="62"/>
      <c r="H182" s="62"/>
      <c r="I182" s="62"/>
      <c r="J182" s="62"/>
    </row>
    <row r="183" spans="2:10" x14ac:dyDescent="0.25">
      <c r="B183" s="59"/>
      <c r="C183" s="60"/>
      <c r="D183" s="61"/>
      <c r="E183" s="61"/>
      <c r="F183" s="62"/>
      <c r="G183" s="62"/>
      <c r="H183" s="62"/>
      <c r="I183" s="62"/>
      <c r="J183" s="62"/>
    </row>
    <row r="184" spans="2:10" x14ac:dyDescent="0.25">
      <c r="B184" s="59"/>
      <c r="C184" s="60"/>
      <c r="D184" s="61"/>
      <c r="E184" s="61"/>
      <c r="F184" s="62"/>
      <c r="G184" s="62"/>
      <c r="H184" s="62"/>
      <c r="I184" s="62"/>
      <c r="J184" s="62"/>
    </row>
    <row r="185" spans="2:10" x14ac:dyDescent="0.25">
      <c r="B185" s="59"/>
      <c r="C185" s="60"/>
      <c r="D185" s="61"/>
      <c r="E185" s="61"/>
      <c r="F185" s="62"/>
      <c r="G185" s="62"/>
      <c r="H185" s="62"/>
      <c r="I185" s="62"/>
      <c r="J185" s="62"/>
    </row>
    <row r="186" spans="2:10" x14ac:dyDescent="0.25">
      <c r="B186" s="59"/>
      <c r="C186" s="60"/>
      <c r="D186" s="61"/>
      <c r="E186" s="61"/>
      <c r="F186" s="62"/>
      <c r="G186" s="62"/>
      <c r="H186" s="62"/>
      <c r="I186" s="62"/>
      <c r="J186" s="62"/>
    </row>
    <row r="187" spans="2:10" x14ac:dyDescent="0.25">
      <c r="B187" s="59"/>
      <c r="C187" s="60"/>
      <c r="D187" s="61"/>
      <c r="E187" s="61"/>
      <c r="F187" s="62"/>
      <c r="G187" s="62"/>
      <c r="H187" s="62"/>
      <c r="I187" s="62"/>
      <c r="J187" s="62"/>
    </row>
    <row r="188" spans="2:10" x14ac:dyDescent="0.25">
      <c r="B188" s="59"/>
      <c r="C188" s="60"/>
      <c r="D188" s="61"/>
      <c r="E188" s="61"/>
      <c r="F188" s="62"/>
      <c r="G188" s="62"/>
      <c r="H188" s="62"/>
      <c r="I188" s="62"/>
      <c r="J188" s="62"/>
    </row>
    <row r="189" spans="2:10" x14ac:dyDescent="0.25">
      <c r="B189" s="59"/>
      <c r="C189" s="60"/>
      <c r="D189" s="61"/>
      <c r="E189" s="61"/>
      <c r="F189" s="62"/>
      <c r="G189" s="62"/>
      <c r="H189" s="62"/>
      <c r="I189" s="62"/>
      <c r="J189" s="62"/>
    </row>
    <row r="190" spans="2:10" x14ac:dyDescent="0.25">
      <c r="B190" s="59"/>
      <c r="C190" s="60"/>
      <c r="D190" s="61"/>
      <c r="E190" s="61"/>
      <c r="F190" s="62"/>
      <c r="G190" s="62"/>
      <c r="H190" s="62"/>
      <c r="I190" s="62"/>
      <c r="J190" s="62"/>
    </row>
    <row r="191" spans="2:10" x14ac:dyDescent="0.25">
      <c r="B191" s="59"/>
      <c r="C191" s="60"/>
      <c r="D191" s="61"/>
      <c r="E191" s="61"/>
      <c r="F191" s="62"/>
      <c r="G191" s="62"/>
      <c r="H191" s="62"/>
      <c r="I191" s="62"/>
      <c r="J191" s="62"/>
    </row>
    <row r="192" spans="2:10" x14ac:dyDescent="0.25">
      <c r="B192" s="59"/>
      <c r="C192" s="60"/>
      <c r="D192" s="61"/>
      <c r="E192" s="61"/>
      <c r="F192" s="62"/>
      <c r="G192" s="62"/>
      <c r="H192" s="62"/>
      <c r="I192" s="62"/>
      <c r="J192" s="62"/>
    </row>
    <row r="193" spans="2:10" x14ac:dyDescent="0.25">
      <c r="B193" s="59"/>
      <c r="C193" s="60"/>
      <c r="D193" s="61"/>
      <c r="E193" s="61"/>
      <c r="F193" s="62"/>
      <c r="G193" s="62"/>
      <c r="H193" s="62"/>
      <c r="I193" s="62"/>
      <c r="J193" s="62"/>
    </row>
    <row r="194" spans="2:10" x14ac:dyDescent="0.25">
      <c r="B194" s="59"/>
      <c r="C194" s="60"/>
      <c r="D194" s="61"/>
      <c r="E194" s="61"/>
      <c r="F194" s="62"/>
      <c r="G194" s="62"/>
      <c r="H194" s="62"/>
      <c r="I194" s="62"/>
      <c r="J194" s="62"/>
    </row>
  </sheetData>
  <sheetProtection password="C969" sheet="1" objects="1" scenarios="1"/>
  <customSheetViews>
    <customSheetView guid="{8C263A95-99F9-4260-B64A-0E771D03F536}" scale="67" fitToPage="1" showRuler="0">
      <selection activeCell="D5" sqref="D5"/>
      <pageMargins left="0.75" right="0.75" top="1" bottom="1" header="0.5" footer="0.5"/>
      <printOptions gridLines="1"/>
      <pageSetup paperSize="5" scale="54" orientation="landscape" horizontalDpi="4294967292" verticalDpi="300" r:id="rId1"/>
      <headerFooter alignWithMargins="0">
        <oddHeader>&amp;A</oddHeader>
        <oddFooter>Page &amp;P</oddFooter>
      </headerFooter>
    </customSheetView>
  </customSheetViews>
  <mergeCells count="10">
    <mergeCell ref="B52:C52"/>
    <mergeCell ref="B3:I3"/>
    <mergeCell ref="B29:I29"/>
    <mergeCell ref="B4:B5"/>
    <mergeCell ref="C4:C5"/>
    <mergeCell ref="D5:I5"/>
    <mergeCell ref="B26:C26"/>
    <mergeCell ref="B30:B31"/>
    <mergeCell ref="C30:C31"/>
    <mergeCell ref="D31:I31"/>
  </mergeCells>
  <phoneticPr fontId="0" type="noConversion"/>
  <conditionalFormatting sqref="B6:I25">
    <cfRule type="expression" dxfId="9" priority="2">
      <formula>$B6=""</formula>
    </cfRule>
  </conditionalFormatting>
  <conditionalFormatting sqref="B32:I51">
    <cfRule type="expression" dxfId="8" priority="1">
      <formula>$B32=""</formula>
    </cfRule>
  </conditionalFormatting>
  <dataValidations count="1">
    <dataValidation allowBlank="1" showInputMessage="1" showErrorMessage="1" prompt="This sheet is intended to summarize the components of your facility's emissions. A summary of total emissions and your registration status is located on the Output-Summary Printout sheet." sqref="B3 B29"/>
  </dataValidations>
  <printOptions horizontalCentered="1" gridLinesSet="0"/>
  <pageMargins left="0.75" right="0.75" top="1" bottom="1" header="0.5" footer="0.5"/>
  <pageSetup paperSize="5" orientation="landscape" horizontalDpi="4294967292" verticalDpi="300" r:id="rId2"/>
  <headerFooter alignWithMargins="0">
    <oddFooter>&amp;LPage &amp;P of &amp;N&amp;C&amp;F&amp;R Printed &amp;D</oddFooter>
  </headerFooter>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zoomScaleNormal="100" workbookViewId="0">
      <selection sqref="A1:XFD1"/>
    </sheetView>
  </sheetViews>
  <sheetFormatPr defaultColWidth="3.33203125" defaultRowHeight="13.2" x14ac:dyDescent="0.25"/>
  <cols>
    <col min="1" max="1" width="16.109375" style="52" customWidth="1"/>
    <col min="2" max="2" width="4.6640625" style="52" customWidth="1"/>
    <col min="3" max="3" width="24.6640625" style="52" customWidth="1"/>
    <col min="4" max="4" width="5.5546875" style="52" customWidth="1"/>
    <col min="5" max="5" width="25.44140625" style="52" customWidth="1"/>
    <col min="6" max="6" width="32.44140625" style="52" customWidth="1"/>
    <col min="7" max="9" width="1.88671875" style="52" customWidth="1"/>
    <col min="10" max="10" width="3.109375" style="52" customWidth="1"/>
    <col min="11" max="11" width="16.6640625" style="109" hidden="1" customWidth="1"/>
    <col min="12" max="12" width="16.6640625" style="274" hidden="1" customWidth="1"/>
    <col min="13" max="13" width="18" style="274" hidden="1" customWidth="1"/>
    <col min="14" max="14" width="20.44140625" style="52" customWidth="1"/>
    <col min="15" max="58" width="1.88671875" style="52" customWidth="1"/>
    <col min="59" max="16384" width="3.33203125" style="52"/>
  </cols>
  <sheetData>
    <row r="1" spans="1:13" ht="24.75" customHeight="1" thickBot="1" x14ac:dyDescent="0.3"/>
    <row r="2" spans="1:13" ht="14.25" customHeight="1" x14ac:dyDescent="0.25">
      <c r="A2" s="63"/>
      <c r="B2" s="64"/>
      <c r="C2" s="64"/>
      <c r="D2" s="64"/>
      <c r="E2" s="64"/>
      <c r="F2" s="65"/>
    </row>
    <row r="3" spans="1:13" x14ac:dyDescent="0.25">
      <c r="A3" s="66" t="s">
        <v>400</v>
      </c>
      <c r="B3" s="275" t="str">
        <f>"  "&amp;Inputs!C4</f>
        <v xml:space="preserve">  Acme Corporation Steam Plant</v>
      </c>
      <c r="C3" s="275"/>
      <c r="E3" s="276" t="str">
        <f>"Facility Contact:"&amp;"  "&amp;Inputs!C11</f>
        <v>Facility Contact:  John Doe</v>
      </c>
      <c r="F3" s="67"/>
    </row>
    <row r="4" spans="1:13" ht="14.25" customHeight="1" x14ac:dyDescent="0.25">
      <c r="A4" s="66" t="s">
        <v>401</v>
      </c>
      <c r="B4" s="275" t="str">
        <f>"  "&amp;Inputs!C5</f>
        <v xml:space="preserve">  101 Acme Way</v>
      </c>
      <c r="C4" s="275"/>
      <c r="E4" s="276" t="str">
        <f>"              Phone:"&amp;"  "&amp;Inputs!C12</f>
        <v xml:space="preserve">              Phone:  555-555-5555</v>
      </c>
      <c r="F4" s="67"/>
    </row>
    <row r="5" spans="1:13" x14ac:dyDescent="0.25">
      <c r="A5" s="68"/>
      <c r="B5" s="275" t="str">
        <f>"  "&amp;Inputs!C6&amp;", "&amp;VLOOKUP(Inputs!C7,'EPA Regional Contact Info'!$A$5:$B$49,2,FALSE)&amp;" "&amp;Inputs!C8</f>
        <v xml:space="preserve">  Albuquerque, NM 87101</v>
      </c>
      <c r="C5" s="275"/>
      <c r="E5" s="276" t="str">
        <f>"               Email:"&amp;"  "&amp;Inputs!C13</f>
        <v xml:space="preserve">               Email:  john.doe@acme.com</v>
      </c>
      <c r="F5" s="67"/>
    </row>
    <row r="6" spans="1:13" ht="13.8" thickBot="1" x14ac:dyDescent="0.3">
      <c r="A6" s="77"/>
      <c r="B6" s="78"/>
      <c r="C6" s="78"/>
      <c r="D6" s="78"/>
      <c r="E6" s="78"/>
      <c r="F6" s="79"/>
    </row>
    <row r="7" spans="1:13" ht="18" customHeight="1" thickBot="1" x14ac:dyDescent="0.3">
      <c r="A7" s="492" t="s">
        <v>135</v>
      </c>
      <c r="B7" s="493"/>
      <c r="C7" s="493"/>
      <c r="D7" s="493"/>
      <c r="E7" s="493"/>
      <c r="F7" s="494"/>
    </row>
    <row r="8" spans="1:13" ht="15.75" customHeight="1" x14ac:dyDescent="0.25">
      <c r="A8" s="495" t="s">
        <v>0</v>
      </c>
      <c r="B8" s="498" t="s">
        <v>402</v>
      </c>
      <c r="C8" s="499"/>
      <c r="D8" s="116"/>
      <c r="E8" s="355"/>
      <c r="F8" s="80" t="s">
        <v>14</v>
      </c>
      <c r="K8" s="500" t="s">
        <v>403</v>
      </c>
      <c r="L8" s="75" t="s">
        <v>13</v>
      </c>
      <c r="M8" s="501" t="s">
        <v>404</v>
      </c>
    </row>
    <row r="9" spans="1:13" x14ac:dyDescent="0.25">
      <c r="A9" s="496"/>
      <c r="B9" s="498"/>
      <c r="C9" s="499"/>
      <c r="D9" s="502" t="s">
        <v>405</v>
      </c>
      <c r="E9" s="503"/>
      <c r="F9" s="80" t="s">
        <v>355</v>
      </c>
      <c r="K9" s="500"/>
      <c r="L9" s="75" t="s">
        <v>355</v>
      </c>
      <c r="M9" s="501"/>
    </row>
    <row r="10" spans="1:13" ht="13.8" thickBot="1" x14ac:dyDescent="0.3">
      <c r="A10" s="497"/>
      <c r="B10" s="504" t="s">
        <v>1</v>
      </c>
      <c r="C10" s="505"/>
      <c r="D10" s="506" t="s">
        <v>1</v>
      </c>
      <c r="E10" s="507"/>
      <c r="F10" s="69" t="s">
        <v>1</v>
      </c>
      <c r="K10" s="500"/>
      <c r="L10" s="277" t="s">
        <v>1</v>
      </c>
      <c r="M10" s="501"/>
    </row>
    <row r="11" spans="1:13" ht="5.25" customHeight="1" x14ac:dyDescent="0.25">
      <c r="A11" s="70"/>
      <c r="B11" s="110"/>
      <c r="C11" s="278"/>
      <c r="D11" s="117"/>
      <c r="E11" s="279"/>
      <c r="F11" s="71"/>
      <c r="L11" s="280"/>
    </row>
    <row r="12" spans="1:13" x14ac:dyDescent="0.25">
      <c r="A12" s="281" t="s">
        <v>49</v>
      </c>
      <c r="B12" s="111"/>
      <c r="C12" s="282">
        <f>'Total Emissions'!$D$26</f>
        <v>0</v>
      </c>
      <c r="D12" s="54"/>
      <c r="E12" s="283">
        <f>'Total Emissions'!$D$52</f>
        <v>0</v>
      </c>
      <c r="F12" s="284">
        <f>IF(Inputs!$C$28="Attainment",10,5)</f>
        <v>10</v>
      </c>
      <c r="K12" s="109">
        <f>IF(E12&gt;=F12,1,0)</f>
        <v>0</v>
      </c>
      <c r="L12" s="285">
        <f>IF(Inputs!$C$28="Attainment",250,IF(Inputs!$C$28="Nonattainment - moderate",100,50))</f>
        <v>250</v>
      </c>
      <c r="M12" s="274">
        <f>IF(E12&gt;=L12,1,0)</f>
        <v>0</v>
      </c>
    </row>
    <row r="13" spans="1:13" ht="5.25" customHeight="1" x14ac:dyDescent="0.25">
      <c r="A13" s="286"/>
      <c r="B13" s="112"/>
      <c r="C13" s="282"/>
      <c r="D13" s="287"/>
      <c r="E13" s="288"/>
      <c r="F13" s="284"/>
      <c r="L13" s="285"/>
    </row>
    <row r="14" spans="1:13" ht="15.75" customHeight="1" x14ac:dyDescent="0.35">
      <c r="A14" s="281" t="s">
        <v>50</v>
      </c>
      <c r="B14" s="111"/>
      <c r="C14" s="282">
        <f>'Total Emissions'!$E$26</f>
        <v>0</v>
      </c>
      <c r="D14" s="54"/>
      <c r="E14" s="283">
        <f>'Total Emissions'!$E$52</f>
        <v>0</v>
      </c>
      <c r="F14" s="284">
        <f>IF(Inputs!$C$30="Attainment",10,5)</f>
        <v>10</v>
      </c>
      <c r="K14" s="109">
        <f t="shared" ref="K14:K22" si="0">IF(E14&gt;=F14,1,0)</f>
        <v>0</v>
      </c>
      <c r="L14" s="285">
        <f>IF(Inputs!$C$30="Attainment",250,IF(Inputs!$C$30="Nonattainment - marginal",100,IF(Inputs!$C$30="Nonattainment - moderate",100,IF(Inputs!$C$30="Nonattainment - serious",50,IF(Inputs!$C$30="Nonattainment - severe",25,10)))))</f>
        <v>250</v>
      </c>
      <c r="M14" s="274">
        <f t="shared" ref="M14:M22" si="1">IF(E14&gt;=L14,1,0)</f>
        <v>0</v>
      </c>
    </row>
    <row r="15" spans="1:13" ht="5.25" customHeight="1" x14ac:dyDescent="0.25">
      <c r="A15" s="286"/>
      <c r="B15" s="112"/>
      <c r="C15" s="282"/>
      <c r="D15" s="54"/>
      <c r="E15" s="289"/>
      <c r="F15" s="284"/>
      <c r="L15" s="285"/>
    </row>
    <row r="16" spans="1:13" ht="15.6" x14ac:dyDescent="0.35">
      <c r="A16" s="281" t="s">
        <v>51</v>
      </c>
      <c r="B16" s="111"/>
      <c r="C16" s="282">
        <f>'Total Emissions'!$F$26</f>
        <v>0</v>
      </c>
      <c r="D16" s="54"/>
      <c r="E16" s="283">
        <f>'Total Emissions'!$F$52</f>
        <v>0</v>
      </c>
      <c r="F16" s="284">
        <f>IF(Inputs!$C$32="Attainment",10,5)</f>
        <v>10</v>
      </c>
      <c r="K16" s="109">
        <f t="shared" si="0"/>
        <v>0</v>
      </c>
      <c r="L16" s="285">
        <f>IF(Inputs!$C$32="Attainment",250,100)</f>
        <v>250</v>
      </c>
      <c r="M16" s="274">
        <f t="shared" si="1"/>
        <v>0</v>
      </c>
    </row>
    <row r="17" spans="1:13" ht="5.25" customHeight="1" x14ac:dyDescent="0.25">
      <c r="A17" s="290"/>
      <c r="B17" s="113"/>
      <c r="C17" s="282"/>
      <c r="D17" s="54"/>
      <c r="E17" s="289"/>
      <c r="F17" s="284"/>
      <c r="L17" s="285"/>
    </row>
    <row r="18" spans="1:13" x14ac:dyDescent="0.25">
      <c r="A18" s="281" t="s">
        <v>3</v>
      </c>
      <c r="B18" s="111"/>
      <c r="C18" s="282">
        <f>'Total Emissions'!$G$26</f>
        <v>0</v>
      </c>
      <c r="D18" s="54"/>
      <c r="E18" s="283">
        <f>'Total Emissions'!$G$52</f>
        <v>0</v>
      </c>
      <c r="F18" s="284">
        <f>IF(Inputs!$C$30="Attainment",5,2)</f>
        <v>5</v>
      </c>
      <c r="K18" s="109">
        <f t="shared" si="0"/>
        <v>0</v>
      </c>
      <c r="L18" s="285">
        <f>IF(Inputs!$C$30="Attainment",250,IF(Inputs!$C$30="Nonattainment - marginal",100,IF(Inputs!$C$30="Nonattainment - moderate",100,IF(Inputs!$C$30="Nonattainment - serious",50,IF(Inputs!$C$30="Nonattainment - severe",25,10)))))</f>
        <v>250</v>
      </c>
      <c r="M18" s="274">
        <f t="shared" si="1"/>
        <v>0</v>
      </c>
    </row>
    <row r="19" spans="1:13" ht="5.25" customHeight="1" x14ac:dyDescent="0.25">
      <c r="A19" s="291"/>
      <c r="B19" s="292"/>
      <c r="C19" s="282"/>
      <c r="D19" s="54"/>
      <c r="E19" s="289"/>
      <c r="F19" s="284"/>
      <c r="L19" s="285"/>
    </row>
    <row r="20" spans="1:13" ht="15.6" x14ac:dyDescent="0.35">
      <c r="A20" s="281" t="s">
        <v>47</v>
      </c>
      <c r="B20" s="111"/>
      <c r="C20" s="282">
        <f>'Total Emissions'!$H$26</f>
        <v>0</v>
      </c>
      <c r="D20" s="54"/>
      <c r="E20" s="283">
        <f>'Total Emissions'!$H$52</f>
        <v>0</v>
      </c>
      <c r="F20" s="284">
        <f>IF(Inputs!$C$34="Attainment",5,1)</f>
        <v>5</v>
      </c>
      <c r="K20" s="109">
        <f t="shared" si="0"/>
        <v>0</v>
      </c>
      <c r="L20" s="285">
        <f>IF(Inputs!$C$34="Attainment",250,IF(Inputs!$C$34="Nonattainment - moderate",100,70))</f>
        <v>250</v>
      </c>
      <c r="M20" s="274">
        <f t="shared" si="1"/>
        <v>0</v>
      </c>
    </row>
    <row r="21" spans="1:13" ht="5.25" customHeight="1" x14ac:dyDescent="0.25">
      <c r="A21" s="286"/>
      <c r="B21" s="112"/>
      <c r="C21" s="282"/>
      <c r="D21" s="54"/>
      <c r="E21" s="289"/>
      <c r="F21" s="293"/>
      <c r="L21" s="294"/>
    </row>
    <row r="22" spans="1:13" ht="15.6" x14ac:dyDescent="0.35">
      <c r="A22" s="295" t="s">
        <v>48</v>
      </c>
      <c r="B22" s="114"/>
      <c r="C22" s="282">
        <f>'Total Emissions'!$I$26</f>
        <v>0</v>
      </c>
      <c r="D22" s="54"/>
      <c r="E22" s="283">
        <f>'Total Emissions'!$I$52</f>
        <v>0</v>
      </c>
      <c r="F22" s="284">
        <f>IF(Inputs!$C$36="Attainment",3,0.6)</f>
        <v>3</v>
      </c>
      <c r="K22" s="109">
        <f t="shared" si="0"/>
        <v>0</v>
      </c>
      <c r="L22" s="285">
        <f>IF(Inputs!$C$36="Attainment",250,100)</f>
        <v>250</v>
      </c>
      <c r="M22" s="274">
        <f t="shared" si="1"/>
        <v>0</v>
      </c>
    </row>
    <row r="23" spans="1:13" ht="5.25" customHeight="1" x14ac:dyDescent="0.25">
      <c r="A23" s="72"/>
      <c r="B23" s="115"/>
      <c r="C23" s="296"/>
      <c r="D23" s="54"/>
      <c r="E23" s="297"/>
      <c r="F23" s="73"/>
      <c r="L23" s="298"/>
    </row>
    <row r="24" spans="1:13" x14ac:dyDescent="0.25">
      <c r="A24" s="480" t="s">
        <v>30</v>
      </c>
      <c r="B24" s="481"/>
      <c r="C24" s="481"/>
      <c r="D24" s="481"/>
      <c r="E24" s="481"/>
      <c r="F24" s="482"/>
      <c r="L24" s="299"/>
    </row>
    <row r="25" spans="1:13" x14ac:dyDescent="0.25">
      <c r="A25" s="74"/>
      <c r="B25" s="75"/>
      <c r="C25" s="75"/>
      <c r="D25" s="75"/>
      <c r="E25" s="75"/>
      <c r="F25" s="300"/>
      <c r="L25" s="280"/>
    </row>
    <row r="26" spans="1:13" x14ac:dyDescent="0.25">
      <c r="A26" s="68"/>
      <c r="B26" s="54"/>
      <c r="C26" s="301">
        <v>100</v>
      </c>
      <c r="D26" s="51" t="s">
        <v>121</v>
      </c>
      <c r="E26" s="54"/>
      <c r="F26" s="300"/>
      <c r="G26" s="75"/>
      <c r="K26" s="52"/>
      <c r="L26" s="109"/>
    </row>
    <row r="27" spans="1:13" x14ac:dyDescent="0.25">
      <c r="A27" s="68"/>
      <c r="B27" s="54"/>
      <c r="C27" s="76">
        <v>50</v>
      </c>
      <c r="D27" s="51" t="s">
        <v>28</v>
      </c>
      <c r="E27" s="54"/>
      <c r="F27" s="67"/>
      <c r="L27" s="280"/>
    </row>
    <row r="28" spans="1:13" x14ac:dyDescent="0.25">
      <c r="A28" s="68"/>
      <c r="B28" s="54"/>
      <c r="C28" s="76">
        <v>0</v>
      </c>
      <c r="D28" s="51" t="s">
        <v>29</v>
      </c>
      <c r="E28" s="54"/>
      <c r="F28" s="67"/>
    </row>
    <row r="29" spans="1:13" ht="13.8" thickBot="1" x14ac:dyDescent="0.3">
      <c r="A29" s="77"/>
      <c r="B29" s="78"/>
      <c r="C29" s="78"/>
      <c r="D29" s="78"/>
      <c r="E29" s="78"/>
      <c r="F29" s="79"/>
    </row>
    <row r="30" spans="1:13" ht="22.5" customHeight="1" thickBot="1" x14ac:dyDescent="0.3">
      <c r="A30" s="483" t="str">
        <f>IF(OR($M$12=1,$M$14=1,$M$16=1,$M$18=1,$M$20=1,$M$22=1),"PLEASE CONSULT WITH YOUR EPA REGIONAL CONTACT LISTED BELOW",IF(OR(K12=1,K14=1,K16=1,K18=1,K20=1,K22=1),"YOU ARE REQUIRED TO REGISTER YOUR FACILITY UNDER THE TRIBAL NEW SOURCE REVIEW RULE","PLEASE SEE NOTE BELOW"))</f>
        <v>PLEASE SEE NOTE BELOW</v>
      </c>
      <c r="B30" s="484"/>
      <c r="C30" s="484"/>
      <c r="D30" s="484"/>
      <c r="E30" s="484"/>
      <c r="F30" s="485"/>
    </row>
    <row r="31" spans="1:13" x14ac:dyDescent="0.25">
      <c r="A31" s="63"/>
      <c r="B31" s="64"/>
      <c r="C31" s="64"/>
      <c r="D31" s="64"/>
      <c r="E31" s="64"/>
      <c r="F31" s="65"/>
    </row>
    <row r="32" spans="1:13" ht="164.25" customHeight="1" thickBot="1" x14ac:dyDescent="0.3">
      <c r="A32" s="486" t="str">
        <f>IF(OR($M$12=1,$M$14=1,$M$16=1,$M$18=1,$M$20=1,$M$22=1),"The allowable emissions at your facility exceed the major source threshold for one or more pollutants. Please consult with your EPA Regional contact listed below to determine applicable permitting requirements.",IF($A$30="You are required to register your facility under the Tribal New Source Review Rule","Please print and mail this page to your EPA Regional contact listed below. Alternatively, you may scan the printed page and email it to your EPA Regional contact.","If your facility"&amp;" has additional sources of emissions, such as emergency generators, you are required to complete all applicable registration calculators and sum the total emissions from"&amp;" each calculator to determine your registration requirement.  If the sum of total emissions from all applicable calculators is below the minor source threshold for every"&amp;" pollutant, then you are not required to register your facility and no further action is required. If the sum of total emissions from all applicable calculators"&amp;" exceeds the minor source threshold for any pollutant, then you are required to register your facility under the"&amp;" Tribal New Source Review Rule. If you are required to register, please contact your EPA Regional Office listed below."))</f>
        <v>If your facility has additional sources of emissions, such as emergency generators, you are required to complete all applicable registration calculators and sum the total emissions from each calculator to determine your registration requirement.  If the sum of total emissions from all applicable calculators is below the minor source threshold for every pollutant, then you are not required to register your facility and no further action is required. If the sum of total emissions from all applicable calculators exceeds the minor source threshold for any pollutant, then you are required to register your facility under the Tribal New Source Review Rule. If you are required to register, please contact your EPA Regional Office listed below.</v>
      </c>
      <c r="B32" s="487"/>
      <c r="C32" s="487"/>
      <c r="D32" s="487"/>
      <c r="E32" s="487"/>
      <c r="F32" s="488"/>
    </row>
    <row r="33" spans="1:6" ht="15.75" customHeight="1" thickBot="1" x14ac:dyDescent="0.3">
      <c r="A33" s="489" t="str">
        <f>"U.S. Environmental Protection Agency Region "&amp;VLOOKUP(Inputs!$C$7,'EPA Regional Contact Info'!$A$5:$C$49,3,FALSE)&amp;" Contact"</f>
        <v>U.S. Environmental Protection Agency Region 6 Contact</v>
      </c>
      <c r="B33" s="490"/>
      <c r="C33" s="490"/>
      <c r="D33" s="490"/>
      <c r="E33" s="490"/>
      <c r="F33" s="491"/>
    </row>
    <row r="34" spans="1:6" ht="15.6" x14ac:dyDescent="0.3">
      <c r="A34" s="190"/>
      <c r="B34" s="191" t="s">
        <v>356</v>
      </c>
      <c r="C34" s="199"/>
      <c r="D34" s="200" t="str">
        <f>Inputs!C16</f>
        <v>Bonnie Braganza</v>
      </c>
      <c r="E34" s="199"/>
      <c r="F34" s="192"/>
    </row>
    <row r="35" spans="1:6" ht="15.6" x14ac:dyDescent="0.3">
      <c r="A35" s="193"/>
      <c r="B35" s="194" t="s">
        <v>357</v>
      </c>
      <c r="C35" s="201"/>
      <c r="D35" s="202" t="str">
        <f>Inputs!C22</f>
        <v>U.S. Environmental Protection Agency Region 6</v>
      </c>
      <c r="E35" s="201"/>
      <c r="F35" s="195"/>
    </row>
    <row r="36" spans="1:6" ht="15.6" x14ac:dyDescent="0.3">
      <c r="A36" s="193"/>
      <c r="B36" s="194"/>
      <c r="C36" s="201"/>
      <c r="D36" s="202" t="str">
        <f>Inputs!C23</f>
        <v>1445 Ross Avenue, Suite 1200</v>
      </c>
      <c r="E36" s="201"/>
      <c r="F36" s="195"/>
    </row>
    <row r="37" spans="1:6" ht="15.6" x14ac:dyDescent="0.3">
      <c r="A37" s="193"/>
      <c r="B37" s="194"/>
      <c r="C37" s="201"/>
      <c r="D37" s="202" t="str">
        <f>Inputs!C24</f>
        <v>MC: 6PD</v>
      </c>
      <c r="E37" s="201"/>
      <c r="F37" s="195"/>
    </row>
    <row r="38" spans="1:6" ht="15.6" x14ac:dyDescent="0.3">
      <c r="A38" s="193"/>
      <c r="B38" s="194"/>
      <c r="C38" s="201"/>
      <c r="D38" s="202" t="str">
        <f>Inputs!C25</f>
        <v>Dallas, TX 75202-2733</v>
      </c>
      <c r="E38" s="201"/>
      <c r="F38" s="195"/>
    </row>
    <row r="39" spans="1:6" ht="15.6" x14ac:dyDescent="0.3">
      <c r="A39" s="193"/>
      <c r="B39" s="194"/>
      <c r="C39" s="201"/>
      <c r="D39" s="202"/>
      <c r="E39" s="201"/>
      <c r="F39" s="195"/>
    </row>
    <row r="40" spans="1:6" ht="15.6" x14ac:dyDescent="0.3">
      <c r="A40" s="193"/>
      <c r="B40" s="194" t="s">
        <v>358</v>
      </c>
      <c r="C40" s="201"/>
      <c r="D40" s="202" t="str">
        <f>Inputs!C17</f>
        <v>214-665-7340</v>
      </c>
      <c r="E40" s="201"/>
      <c r="F40" s="195"/>
    </row>
    <row r="41" spans="1:6" ht="15.6" x14ac:dyDescent="0.3">
      <c r="A41" s="193"/>
      <c r="B41" s="194" t="s">
        <v>31</v>
      </c>
      <c r="C41" s="201"/>
      <c r="D41" s="202" t="str">
        <f>Inputs!C18</f>
        <v>braganza.bonnie@epa.gov</v>
      </c>
      <c r="E41" s="201"/>
      <c r="F41" s="195"/>
    </row>
    <row r="42" spans="1:6" ht="13.8" thickBot="1" x14ac:dyDescent="0.3">
      <c r="A42" s="196"/>
      <c r="B42" s="197"/>
      <c r="C42" s="197"/>
      <c r="D42" s="197"/>
      <c r="E42" s="197"/>
      <c r="F42" s="198"/>
    </row>
  </sheetData>
  <sheetProtection password="C969" sheet="1" objects="1" scenarios="1"/>
  <mergeCells count="12">
    <mergeCell ref="K8:K10"/>
    <mergeCell ref="M8:M10"/>
    <mergeCell ref="D9:E9"/>
    <mergeCell ref="B10:C10"/>
    <mergeCell ref="D10:E10"/>
    <mergeCell ref="A24:F24"/>
    <mergeCell ref="A30:F30"/>
    <mergeCell ref="A32:F32"/>
    <mergeCell ref="A33:F33"/>
    <mergeCell ref="A7:F7"/>
    <mergeCell ref="A8:A10"/>
    <mergeCell ref="B8:C9"/>
  </mergeCells>
  <conditionalFormatting sqref="A33 A32:F32">
    <cfRule type="expression" dxfId="7" priority="3">
      <formula>$A$30="PLEASE SEE NOTE BELOW"</formula>
    </cfRule>
  </conditionalFormatting>
  <conditionalFormatting sqref="A30:F30">
    <cfRule type="expression" dxfId="6" priority="2">
      <formula>$A$30="You are required to register your facility under the tribal new source review rule"</formula>
    </cfRule>
  </conditionalFormatting>
  <conditionalFormatting sqref="C27:C28">
    <cfRule type="iconSet" priority="4">
      <iconSet iconSet="3Symbols" showValue="0" reverse="1">
        <cfvo type="percent" val="0"/>
        <cfvo type="num" val="0" gte="0"/>
        <cfvo type="num" val="100"/>
      </iconSet>
    </cfRule>
  </conditionalFormatting>
  <conditionalFormatting sqref="C12 E12">
    <cfRule type="cellIs" dxfId="5" priority="5" operator="greaterThanOrEqual">
      <formula>$F$12</formula>
    </cfRule>
  </conditionalFormatting>
  <conditionalFormatting sqref="C14 E14">
    <cfRule type="cellIs" dxfId="4" priority="7" operator="greaterThanOrEqual">
      <formula>$F$14</formula>
    </cfRule>
  </conditionalFormatting>
  <conditionalFormatting sqref="C16 E16">
    <cfRule type="cellIs" dxfId="3" priority="9" operator="greaterThanOrEqual">
      <formula>$F$16</formula>
    </cfRule>
  </conditionalFormatting>
  <conditionalFormatting sqref="C18 E18">
    <cfRule type="cellIs" dxfId="2" priority="11" operator="greaterThanOrEqual">
      <formula>$F$18</formula>
    </cfRule>
  </conditionalFormatting>
  <conditionalFormatting sqref="C20 E20">
    <cfRule type="cellIs" dxfId="1" priority="13" operator="greaterThanOrEqual">
      <formula>$F$20</formula>
    </cfRule>
  </conditionalFormatting>
  <conditionalFormatting sqref="C22 E22">
    <cfRule type="cellIs" dxfId="0" priority="15" operator="greaterThanOrEqual">
      <formula>$F$22</formula>
    </cfRule>
  </conditionalFormatting>
  <conditionalFormatting sqref="C26">
    <cfRule type="iconSet" priority="1">
      <iconSet iconSet="3Symbols" showValue="0" reverse="1">
        <cfvo type="percent" val="0"/>
        <cfvo type="num" val="0" gte="0"/>
        <cfvo type="num" val="100"/>
      </iconSet>
    </cfRule>
  </conditionalFormatting>
  <conditionalFormatting sqref="E12">
    <cfRule type="iconSet" priority="6">
      <iconSet iconSet="3Symbols" reverse="1">
        <cfvo type="percent" val="0"/>
        <cfvo type="formula" val="$F$12"/>
        <cfvo type="formula" val="$L$12"/>
      </iconSet>
    </cfRule>
  </conditionalFormatting>
  <conditionalFormatting sqref="E14">
    <cfRule type="iconSet" priority="8">
      <iconSet iconSet="3Symbols" reverse="1">
        <cfvo type="percent" val="0"/>
        <cfvo type="formula" val="$F$14"/>
        <cfvo type="formula" val="$L$14"/>
      </iconSet>
    </cfRule>
  </conditionalFormatting>
  <conditionalFormatting sqref="E16">
    <cfRule type="iconSet" priority="10">
      <iconSet iconSet="3Symbols" reverse="1">
        <cfvo type="percent" val="0"/>
        <cfvo type="formula" val="$F$16"/>
        <cfvo type="formula" val="$L$16"/>
      </iconSet>
    </cfRule>
  </conditionalFormatting>
  <conditionalFormatting sqref="E18">
    <cfRule type="iconSet" priority="12">
      <iconSet iconSet="3Symbols" reverse="1">
        <cfvo type="percent" val="0"/>
        <cfvo type="formula" val="$F$18"/>
        <cfvo type="formula" val="$L$18"/>
      </iconSet>
    </cfRule>
  </conditionalFormatting>
  <conditionalFormatting sqref="E20">
    <cfRule type="iconSet" priority="14">
      <iconSet iconSet="3Symbols" reverse="1">
        <cfvo type="percent" val="0"/>
        <cfvo type="formula" val="$F$20"/>
        <cfvo type="formula" val="$L$20"/>
      </iconSet>
    </cfRule>
  </conditionalFormatting>
  <conditionalFormatting sqref="E22">
    <cfRule type="iconSet" priority="16">
      <iconSet iconSet="3Symbols" reverse="1">
        <cfvo type="percent" val="0"/>
        <cfvo type="formula" val="$F$22"/>
        <cfvo type="formula" val="$L$22"/>
      </iconSet>
    </cfRule>
  </conditionalFormatting>
  <printOptions horizontalCentered="1" gridLinesSet="0"/>
  <pageMargins left="0.4" right="0.4" top="0.7" bottom="0.3" header="0.25" footer="0.25"/>
  <pageSetup scale="75" orientation="portrait" horizontalDpi="1200" verticalDpi="1200" r:id="rId1"/>
  <headerFooter alignWithMargins="0">
    <oddHeader xml:space="preserve">&amp;C&amp;"Arial,Bold"&amp;14
Industrial Boilers Registration&amp;"Arial,Regular"&amp;10
Summary Printout
</oddHeader>
    <oddFooter>&amp;L&amp;F&amp;RPrinted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G25"/>
  <sheetViews>
    <sheetView workbookViewId="0">
      <selection sqref="A1:F1"/>
    </sheetView>
  </sheetViews>
  <sheetFormatPr defaultRowHeight="13.2" x14ac:dyDescent="0.25"/>
  <cols>
    <col min="1" max="1" width="17.88671875" style="37" bestFit="1" customWidth="1"/>
    <col min="2" max="2" width="17.5546875" style="18" customWidth="1"/>
    <col min="3" max="3" width="30.109375" customWidth="1"/>
    <col min="4" max="5" width="20" style="18" customWidth="1"/>
    <col min="6" max="6" width="25" style="18" customWidth="1"/>
    <col min="7" max="7" width="26.6640625" bestFit="1" customWidth="1"/>
  </cols>
  <sheetData>
    <row r="1" spans="1:7" ht="17.399999999999999" x14ac:dyDescent="0.3">
      <c r="A1" s="509" t="s">
        <v>133</v>
      </c>
      <c r="B1" s="509"/>
      <c r="C1" s="509"/>
      <c r="D1" s="509"/>
      <c r="E1" s="509"/>
      <c r="F1" s="509"/>
    </row>
    <row r="2" spans="1:7" x14ac:dyDescent="0.25">
      <c r="A2" s="508" t="s">
        <v>475</v>
      </c>
      <c r="B2" s="508"/>
      <c r="C2" s="508"/>
      <c r="D2" s="508"/>
      <c r="E2" s="508"/>
      <c r="F2" s="508"/>
    </row>
    <row r="4" spans="1:7" x14ac:dyDescent="0.25">
      <c r="A4" s="36" t="s">
        <v>26</v>
      </c>
      <c r="B4" s="11" t="s">
        <v>22</v>
      </c>
      <c r="C4" s="11" t="s">
        <v>24</v>
      </c>
      <c r="D4" s="11" t="s">
        <v>23</v>
      </c>
      <c r="E4" s="23" t="s">
        <v>95</v>
      </c>
      <c r="F4" s="23" t="s">
        <v>106</v>
      </c>
      <c r="G4" s="11" t="s">
        <v>25</v>
      </c>
    </row>
    <row r="5" spans="1:7" ht="16.350000000000001" customHeight="1" x14ac:dyDescent="0.25">
      <c r="A5" s="97">
        <v>1</v>
      </c>
      <c r="B5" s="98" t="s">
        <v>105</v>
      </c>
      <c r="C5" s="99" t="s">
        <v>93</v>
      </c>
      <c r="D5" s="16" t="s">
        <v>94</v>
      </c>
      <c r="E5" s="16" t="s">
        <v>96</v>
      </c>
      <c r="F5" s="123"/>
      <c r="G5" s="100" t="s">
        <v>97</v>
      </c>
    </row>
    <row r="6" spans="1:7" ht="66" x14ac:dyDescent="0.25">
      <c r="A6" s="101">
        <v>1.1000000000000001</v>
      </c>
      <c r="B6" s="102" t="s">
        <v>122</v>
      </c>
      <c r="C6" s="103" t="s">
        <v>113</v>
      </c>
      <c r="D6" s="104" t="s">
        <v>94</v>
      </c>
      <c r="E6" s="104" t="s">
        <v>96</v>
      </c>
      <c r="F6" s="124" t="s">
        <v>127</v>
      </c>
      <c r="G6" s="100" t="s">
        <v>97</v>
      </c>
    </row>
    <row r="7" spans="1:7" ht="39.6" x14ac:dyDescent="0.25">
      <c r="A7" s="106">
        <v>1.2</v>
      </c>
      <c r="B7" s="102" t="s">
        <v>132</v>
      </c>
      <c r="C7" s="107" t="s">
        <v>130</v>
      </c>
      <c r="D7" s="104" t="s">
        <v>94</v>
      </c>
      <c r="E7" s="104" t="s">
        <v>96</v>
      </c>
      <c r="F7" s="104" t="s">
        <v>127</v>
      </c>
      <c r="G7" s="135" t="s">
        <v>97</v>
      </c>
    </row>
    <row r="8" spans="1:7" ht="106.5" customHeight="1" x14ac:dyDescent="0.25">
      <c r="A8" s="106">
        <v>1.3</v>
      </c>
      <c r="B8" s="139" t="s">
        <v>138</v>
      </c>
      <c r="C8" s="103" t="s">
        <v>359</v>
      </c>
      <c r="D8" s="104" t="s">
        <v>94</v>
      </c>
      <c r="E8" s="104" t="s">
        <v>96</v>
      </c>
      <c r="F8" s="104" t="s">
        <v>139</v>
      </c>
      <c r="G8" s="135" t="s">
        <v>97</v>
      </c>
    </row>
    <row r="9" spans="1:7" ht="158.4" x14ac:dyDescent="0.25">
      <c r="A9" s="106">
        <v>1.4</v>
      </c>
      <c r="B9" s="102" t="s">
        <v>471</v>
      </c>
      <c r="C9" s="103" t="s">
        <v>459</v>
      </c>
      <c r="D9" s="302" t="s">
        <v>94</v>
      </c>
      <c r="E9" s="104" t="s">
        <v>96</v>
      </c>
      <c r="F9" s="104" t="s">
        <v>139</v>
      </c>
      <c r="G9" s="135" t="s">
        <v>97</v>
      </c>
    </row>
    <row r="10" spans="1:7" ht="27.75" customHeight="1" x14ac:dyDescent="0.25">
      <c r="A10" s="106">
        <v>1.5</v>
      </c>
      <c r="B10" s="139" t="s">
        <v>473</v>
      </c>
      <c r="C10" s="107" t="s">
        <v>474</v>
      </c>
      <c r="D10" s="104" t="s">
        <v>94</v>
      </c>
      <c r="E10" s="104" t="s">
        <v>96</v>
      </c>
      <c r="F10" s="104" t="s">
        <v>139</v>
      </c>
      <c r="G10" s="135" t="s">
        <v>97</v>
      </c>
    </row>
    <row r="11" spans="1:7" ht="16.350000000000001" customHeight="1" x14ac:dyDescent="0.25">
      <c r="A11" s="106"/>
      <c r="B11" s="104"/>
      <c r="C11" s="107"/>
      <c r="D11" s="104"/>
      <c r="E11" s="104"/>
      <c r="F11" s="104"/>
      <c r="G11" s="105"/>
    </row>
    <row r="12" spans="1:7" ht="16.350000000000001" customHeight="1" x14ac:dyDescent="0.25">
      <c r="A12" s="106"/>
      <c r="B12" s="104"/>
      <c r="C12" s="107"/>
      <c r="D12" s="104"/>
      <c r="E12" s="104"/>
      <c r="F12" s="104"/>
      <c r="G12" s="105"/>
    </row>
    <row r="13" spans="1:7" ht="16.350000000000001" customHeight="1" x14ac:dyDescent="0.25">
      <c r="A13" s="106"/>
      <c r="B13" s="104"/>
      <c r="C13" s="107"/>
      <c r="D13" s="104"/>
      <c r="E13" s="104"/>
      <c r="F13" s="104"/>
      <c r="G13" s="105"/>
    </row>
    <row r="14" spans="1:7" ht="16.350000000000001" customHeight="1" x14ac:dyDescent="0.25">
      <c r="A14" s="106"/>
      <c r="B14" s="104"/>
      <c r="C14" s="107"/>
      <c r="D14" s="104"/>
      <c r="E14" s="104"/>
      <c r="F14" s="104"/>
      <c r="G14" s="105"/>
    </row>
    <row r="15" spans="1:7" ht="16.350000000000001" customHeight="1" x14ac:dyDescent="0.25">
      <c r="A15" s="106"/>
      <c r="B15" s="104"/>
      <c r="C15" s="107"/>
      <c r="D15" s="104"/>
      <c r="E15" s="104"/>
      <c r="F15" s="104"/>
      <c r="G15" s="105"/>
    </row>
    <row r="16" spans="1:7" ht="16.350000000000001" customHeight="1" x14ac:dyDescent="0.25">
      <c r="A16" s="106"/>
      <c r="B16" s="104"/>
      <c r="C16" s="107"/>
      <c r="D16" s="104"/>
      <c r="E16" s="104"/>
      <c r="F16" s="104"/>
      <c r="G16" s="105"/>
    </row>
    <row r="17" spans="1:7" ht="16.350000000000001" customHeight="1" x14ac:dyDescent="0.25">
      <c r="A17" s="106"/>
      <c r="B17" s="104"/>
      <c r="C17" s="107"/>
      <c r="D17" s="104"/>
      <c r="E17" s="104"/>
      <c r="F17" s="104"/>
      <c r="G17" s="105"/>
    </row>
    <row r="18" spans="1:7" ht="16.350000000000001" customHeight="1" x14ac:dyDescent="0.25">
      <c r="A18" s="106"/>
      <c r="B18" s="104"/>
      <c r="C18" s="107"/>
      <c r="D18" s="104"/>
      <c r="E18" s="104"/>
      <c r="F18" s="104"/>
      <c r="G18" s="105"/>
    </row>
    <row r="19" spans="1:7" ht="16.350000000000001" customHeight="1" x14ac:dyDescent="0.25">
      <c r="A19" s="106"/>
      <c r="B19" s="104"/>
      <c r="C19" s="107"/>
      <c r="D19" s="104"/>
      <c r="E19" s="104"/>
      <c r="F19" s="104"/>
      <c r="G19" s="105"/>
    </row>
    <row r="20" spans="1:7" ht="16.350000000000001" customHeight="1" x14ac:dyDescent="0.25">
      <c r="A20" s="106"/>
      <c r="B20" s="104"/>
      <c r="C20" s="107"/>
      <c r="D20" s="104"/>
      <c r="E20" s="104"/>
      <c r="F20" s="104"/>
      <c r="G20" s="105"/>
    </row>
    <row r="21" spans="1:7" ht="16.350000000000001" customHeight="1" x14ac:dyDescent="0.25">
      <c r="A21" s="106"/>
      <c r="B21" s="104"/>
      <c r="C21" s="107"/>
      <c r="D21" s="104"/>
      <c r="E21" s="104"/>
      <c r="F21" s="104"/>
      <c r="G21" s="105"/>
    </row>
    <row r="22" spans="1:7" ht="16.350000000000001" customHeight="1" x14ac:dyDescent="0.25">
      <c r="A22" s="106"/>
      <c r="B22" s="104"/>
      <c r="C22" s="107"/>
      <c r="D22" s="104"/>
      <c r="E22" s="104"/>
      <c r="F22" s="104"/>
      <c r="G22" s="105"/>
    </row>
    <row r="23" spans="1:7" ht="16.350000000000001" customHeight="1" x14ac:dyDescent="0.25">
      <c r="A23" s="106"/>
      <c r="B23" s="104"/>
      <c r="C23" s="107"/>
      <c r="D23" s="104"/>
      <c r="E23" s="104"/>
      <c r="F23" s="104"/>
      <c r="G23" s="105"/>
    </row>
    <row r="24" spans="1:7" ht="16.350000000000001" customHeight="1" x14ac:dyDescent="0.25">
      <c r="A24" s="106"/>
      <c r="B24" s="104"/>
      <c r="C24" s="107"/>
      <c r="D24" s="104"/>
      <c r="E24" s="104"/>
      <c r="F24" s="104"/>
      <c r="G24" s="105"/>
    </row>
    <row r="25" spans="1:7" ht="16.350000000000001" customHeight="1" x14ac:dyDescent="0.25">
      <c r="A25" s="106"/>
      <c r="B25" s="104"/>
      <c r="C25" s="107"/>
      <c r="D25" s="104"/>
      <c r="E25" s="104"/>
      <c r="F25" s="104"/>
      <c r="G25" s="105"/>
    </row>
  </sheetData>
  <mergeCells count="2">
    <mergeCell ref="A2:F2"/>
    <mergeCell ref="A1:F1"/>
  </mergeCells>
  <hyperlinks>
    <hyperlink ref="G5" r:id="rId1"/>
    <hyperlink ref="G6" r:id="rId2"/>
    <hyperlink ref="G7" r:id="rId3"/>
    <hyperlink ref="G8" r:id="rId4"/>
    <hyperlink ref="G9" r:id="rId5"/>
    <hyperlink ref="G10" r:id="rId6"/>
  </hyperlinks>
  <pageMargins left="0.7" right="0.7" top="0.75" bottom="0.75" header="0.3" footer="0.3"/>
  <pageSetup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M221"/>
  <sheetViews>
    <sheetView workbookViewId="0">
      <pane xSplit="1" ySplit="4" topLeftCell="B5" activePane="bottomRight" state="frozen"/>
      <selection pane="topRight" activeCell="B1" sqref="B1"/>
      <selection pane="bottomLeft" activeCell="A6" sqref="A6"/>
      <selection pane="bottomRight" activeCell="B5" sqref="B5"/>
    </sheetView>
  </sheetViews>
  <sheetFormatPr defaultColWidth="3.33203125" defaultRowHeight="13.2" x14ac:dyDescent="0.25"/>
  <cols>
    <col min="1" max="1" width="1.5546875" customWidth="1"/>
    <col min="2" max="2" width="16.109375" customWidth="1"/>
    <col min="3" max="5" width="27.109375" customWidth="1"/>
    <col min="6" max="12" width="12.109375" customWidth="1"/>
    <col min="13" max="13" width="6.6640625" customWidth="1"/>
    <col min="14" max="14" width="1.6640625" customWidth="1"/>
    <col min="15" max="15" width="28.109375" customWidth="1"/>
    <col min="16" max="23" width="1.6640625" customWidth="1"/>
  </cols>
  <sheetData>
    <row r="1" spans="1:12" ht="17.399999999999999" x14ac:dyDescent="0.3">
      <c r="B1" s="6" t="s">
        <v>91</v>
      </c>
    </row>
    <row r="2" spans="1:12" ht="13.8" thickBot="1" x14ac:dyDescent="0.3"/>
    <row r="3" spans="1:12" ht="19.5" customHeight="1" x14ac:dyDescent="0.25">
      <c r="A3" s="4"/>
      <c r="B3" s="510" t="s">
        <v>45</v>
      </c>
      <c r="C3" s="512" t="s">
        <v>38</v>
      </c>
      <c r="D3" s="517" t="s">
        <v>33</v>
      </c>
      <c r="E3" s="519" t="s">
        <v>443</v>
      </c>
      <c r="F3" s="89" t="s">
        <v>49</v>
      </c>
      <c r="G3" s="89" t="s">
        <v>52</v>
      </c>
      <c r="H3" s="89" t="s">
        <v>53</v>
      </c>
      <c r="I3" s="89" t="s">
        <v>3</v>
      </c>
      <c r="J3" s="89" t="s">
        <v>46</v>
      </c>
      <c r="K3" s="89" t="s">
        <v>54</v>
      </c>
      <c r="L3" s="90" t="s">
        <v>55</v>
      </c>
    </row>
    <row r="4" spans="1:12" ht="16.5" customHeight="1" thickBot="1" x14ac:dyDescent="0.3">
      <c r="A4" s="4"/>
      <c r="B4" s="511"/>
      <c r="C4" s="513"/>
      <c r="D4" s="518"/>
      <c r="E4" s="520"/>
      <c r="F4" s="514" t="s">
        <v>87</v>
      </c>
      <c r="G4" s="515"/>
      <c r="H4" s="515"/>
      <c r="I4" s="515"/>
      <c r="J4" s="515"/>
      <c r="K4" s="515"/>
      <c r="L4" s="516"/>
    </row>
    <row r="5" spans="1:12" x14ac:dyDescent="0.25">
      <c r="A5" s="4"/>
      <c r="B5" s="214" t="str">
        <f>IF(Inputs!$B67="","",Inputs!$B67)</f>
        <v>123abc</v>
      </c>
      <c r="C5" s="215" t="str">
        <f>IF(Inputs!$C67="","",Inputs!$C67)</f>
        <v>Acme Wet Bottom</v>
      </c>
      <c r="D5" s="215" t="str">
        <f>IF(Inputs!$D67="","",Inputs!$D67)</f>
        <v>Coal - Bituminous</v>
      </c>
      <c r="E5" s="315">
        <f>IF(B5="","",IF(D5="Wood",Inputs!K67,VLOOKUP(D5,'Fuel Energy Content'!$A$15:$B$21,2,FALSE)*Inputs!K67))</f>
        <v>0</v>
      </c>
      <c r="F5" s="220">
        <f>IF(B5="","",(Inputs!$K67*(VLOOKUP(Inputs!$D67&amp;"CO",'Emission Factors'!$C$4:$D$59,2,FALSE))/2000))</f>
        <v>0</v>
      </c>
      <c r="G5" s="220">
        <f>IF(B5="","",(Inputs!$K67*(VLOOKUP(Inputs!$D67&amp;"NOX",'Emission Factors'!$C$4:$D$59,2,FALSE))/2000))</f>
        <v>0</v>
      </c>
      <c r="H5" s="220">
        <f>IF(B5="","",(IF(Inputs!$D67=Inputs!$M$20,Inputs!$K67*38*Inputs!$G67,IF(Inputs!$D67=Inputs!$M$21,Inputs!$K67*35*Inputs!$G67,IF(Inputs!$D67=Inputs!$M$25,Inputs!$K67*142*Inputs!$G67,IF(Inputs!$D67=Inputs!$M$26,Inputs!$K67*157*Inputs!$G67,IF(Inputs!$D67=Inputs!$M$22,Inputs!$K67*142*Inputs!$G67,Inputs!$K67*(VLOOKUP(Inputs!$D67&amp;"SO2",'Emission Factors'!$C$4:$D$59,2,FALSE))))))))/2000)</f>
        <v>0</v>
      </c>
      <c r="I5" s="220">
        <f>IF(B5="","",(Inputs!$K67*(VLOOKUP(Inputs!$D67&amp;"VOC",'Emission Factors'!$C$4:$D$59,2,FALSE))/2000))</f>
        <v>0</v>
      </c>
      <c r="J5" s="220">
        <f>IF(B5="","",(IF(Inputs!$D67=Inputs!$M$26,Inputs!$K67*(8.34*(1.12*Inputs!$G67+0.37)+1.5),Inputs!$K67*(VLOOKUP(Inputs!$D67&amp;"Total PM",'Emission Factors'!$C$4:$D$59,2,FALSE))))/2000)</f>
        <v>0</v>
      </c>
      <c r="K5" s="220">
        <f>IF(B5="","",(IF(Inputs!$D67=Inputs!$M$26,((Inputs!$K67*7.17*(1.12*Inputs!$G67+0.37))+1.5),Inputs!$K67*(VLOOKUP(Inputs!$D67&amp;"PM10",'Emission Factors'!$C$4:$D$59,2,FALSE))))/2000)</f>
        <v>0</v>
      </c>
      <c r="L5" s="221">
        <f>IF(B5="","",(IF(Inputs!$D67=Inputs!$M$26,((Inputs!$K67*4.67*(1.12*Inputs!$G67+0.37))+1.5),Inputs!$K67*(VLOOKUP(Inputs!$D67&amp;"PM2.5",'Emission Factors'!$C$4:$D$59,2,FALSE))))/2000)</f>
        <v>0</v>
      </c>
    </row>
    <row r="6" spans="1:12" x14ac:dyDescent="0.25">
      <c r="A6" s="4"/>
      <c r="B6" s="222" t="str">
        <f>IF(Inputs!$B68="","",Inputs!$B68)</f>
        <v/>
      </c>
      <c r="C6" s="223" t="str">
        <f>IF(Inputs!$C68="","",Inputs!$C68)</f>
        <v/>
      </c>
      <c r="D6" s="223" t="str">
        <f>IF(Inputs!$D68="","",Inputs!$D68)</f>
        <v/>
      </c>
      <c r="E6" s="316" t="str">
        <f>IF(B6="","",IF(D6="Wood",Inputs!K68,VLOOKUP(D6,'Fuel Energy Content'!$A$15:$B$21,2,FALSE)*Inputs!K68))</f>
        <v/>
      </c>
      <c r="F6" s="218" t="str">
        <f>IF(B6="","",(Inputs!$K68*(VLOOKUP(Inputs!$D68&amp;"CO",'Emission Factors'!$C$4:$D$59,2,FALSE))/2000))</f>
        <v/>
      </c>
      <c r="G6" s="218" t="str">
        <f>IF(B6="","",(Inputs!$K68*(VLOOKUP(Inputs!$D68&amp;"NOX",'Emission Factors'!$C$4:$D$59,2,FALSE))/2000))</f>
        <v/>
      </c>
      <c r="H6" s="218" t="str">
        <f>IF(B6="","",(IF(Inputs!$D68=Inputs!$M$20,Inputs!$K68*38*Inputs!$G68,IF(Inputs!$D68=Inputs!$M$21,Inputs!$K68*35*Inputs!$G68,IF(Inputs!$D68=Inputs!$M$25,Inputs!$K68*142*Inputs!$G68,IF(Inputs!$D68=Inputs!$M$26,Inputs!$K68*157*Inputs!$G68,IF(Inputs!$D68=Inputs!$M$22,Inputs!$K68*142*Inputs!$G68,Inputs!$K68*(VLOOKUP(Inputs!$D68&amp;"SO2",'Emission Factors'!$C$4:$D$59,2,FALSE))))))))/2000)</f>
        <v/>
      </c>
      <c r="I6" s="218" t="str">
        <f>IF(B6="","",(Inputs!$K68*(VLOOKUP(Inputs!$D68&amp;"VOC",'Emission Factors'!$C$4:$D$59,2,FALSE))/2000))</f>
        <v/>
      </c>
      <c r="J6" s="218" t="str">
        <f>IF(B6="","",(IF(Inputs!$D68=Inputs!$M$26,Inputs!$K68*(8.34*(1.12*Inputs!$G68+0.37)+1.5),Inputs!$K68*(VLOOKUP(Inputs!$D68&amp;"Total PM",'Emission Factors'!$C$4:$D$59,2,FALSE))))/2000)</f>
        <v/>
      </c>
      <c r="K6" s="218" t="str">
        <f>IF(B6="","",(IF(Inputs!$D68=Inputs!$M$26,((Inputs!$K68*7.17*(1.12*Inputs!$G68+0.37))+1.5),Inputs!$K68*(VLOOKUP(Inputs!$D68&amp;"PM10",'Emission Factors'!$C$4:$D$59,2,FALSE))))/2000)</f>
        <v/>
      </c>
      <c r="L6" s="219" t="str">
        <f>IF(B6="","",(IF(Inputs!$D68=Inputs!$M$26,((Inputs!$K68*4.67*(1.12*Inputs!$G68+0.37))+1.5),Inputs!$K68*(VLOOKUP(Inputs!$D68&amp;"PM2.5",'Emission Factors'!$C$4:$D$59,2,FALSE))))/2000)</f>
        <v/>
      </c>
    </row>
    <row r="7" spans="1:12" x14ac:dyDescent="0.25">
      <c r="A7" s="4"/>
      <c r="B7" s="222" t="str">
        <f>IF(Inputs!$B69="","",Inputs!$B69)</f>
        <v/>
      </c>
      <c r="C7" s="223" t="str">
        <f>IF(Inputs!$C69="","",Inputs!$C69)</f>
        <v/>
      </c>
      <c r="D7" s="223" t="str">
        <f>IF(Inputs!$D69="","",Inputs!$D69)</f>
        <v/>
      </c>
      <c r="E7" s="318" t="str">
        <f>IF(B7="","",IF(D7="Wood",Inputs!K69,VLOOKUP(D7,'Fuel Energy Content'!$A$15:$B$21,2,FALSE)*Inputs!K69))</f>
        <v/>
      </c>
      <c r="F7" s="218" t="str">
        <f>IF(B7="","",(Inputs!$K69*(VLOOKUP(Inputs!$D69&amp;"CO",'Emission Factors'!$C$4:$D$59,2,FALSE))/2000))</f>
        <v/>
      </c>
      <c r="G7" s="218" t="str">
        <f>IF(B7="","",(Inputs!$K69*(VLOOKUP(Inputs!$D69&amp;"NOX",'Emission Factors'!$C$4:$D$59,2,FALSE))/2000))</f>
        <v/>
      </c>
      <c r="H7" s="218" t="str">
        <f>IF(B7="","",(IF(Inputs!$D69=Inputs!$M$20,Inputs!$K69*38*Inputs!$G69,IF(Inputs!$D69=Inputs!$M$21,Inputs!$K69*35*Inputs!$G69,IF(Inputs!$D69=Inputs!$M$25,Inputs!$K69*142*Inputs!$G69,IF(Inputs!$D69=Inputs!$M$26,Inputs!$K69*157*Inputs!$G69,IF(Inputs!$D69=Inputs!$M$22,Inputs!$K69*142*Inputs!$G69,Inputs!$K69*(VLOOKUP(Inputs!$D69&amp;"SO2",'Emission Factors'!$C$4:$D$59,2,FALSE))))))))/2000)</f>
        <v/>
      </c>
      <c r="I7" s="218" t="str">
        <f>IF(B7="","",(Inputs!$K69*(VLOOKUP(Inputs!$D69&amp;"VOC",'Emission Factors'!$C$4:$D$59,2,FALSE))/2000))</f>
        <v/>
      </c>
      <c r="J7" s="218" t="str">
        <f>IF(B7="","",(IF(Inputs!$D69=Inputs!$M$26,Inputs!$K69*(8.34*(1.12*Inputs!$G69+0.37)+1.5),Inputs!$K69*(VLOOKUP(Inputs!$D69&amp;"Total PM",'Emission Factors'!$C$4:$D$59,2,FALSE))))/2000)</f>
        <v/>
      </c>
      <c r="K7" s="218" t="str">
        <f>IF(B7="","",(IF(Inputs!$D69=Inputs!$M$26,((Inputs!$K69*7.17*(1.12*Inputs!$G69+0.37))+1.5),Inputs!$K69*(VLOOKUP(Inputs!$D69&amp;"PM10",'Emission Factors'!$C$4:$D$59,2,FALSE))))/2000)</f>
        <v/>
      </c>
      <c r="L7" s="219" t="str">
        <f>IF(B7="","",(IF(Inputs!$D69=Inputs!$M$26,((Inputs!$K69*4.67*(1.12*Inputs!$G69+0.37))+1.5),Inputs!$K69*(VLOOKUP(Inputs!$D69&amp;"PM2.5",'Emission Factors'!$C$4:$D$59,2,FALSE))))/2000)</f>
        <v/>
      </c>
    </row>
    <row r="8" spans="1:12" x14ac:dyDescent="0.25">
      <c r="A8" s="4"/>
      <c r="B8" s="222" t="str">
        <f>IF(Inputs!$B70="","",Inputs!$B70)</f>
        <v/>
      </c>
      <c r="C8" s="223" t="str">
        <f>IF(Inputs!$C70="","",Inputs!$C70)</f>
        <v/>
      </c>
      <c r="D8" s="223" t="str">
        <f>IF(Inputs!$D70="","",Inputs!$D70)</f>
        <v/>
      </c>
      <c r="E8" s="316" t="str">
        <f>IF(B8="","",IF(D8="Wood",Inputs!K70,VLOOKUP(D8,'Fuel Energy Content'!$A$15:$B$21,2,FALSE)*Inputs!K70))</f>
        <v/>
      </c>
      <c r="F8" s="218" t="str">
        <f>IF(B8="","",(Inputs!$K70*(VLOOKUP(Inputs!$D70&amp;"CO",'Emission Factors'!$C$4:$D$59,2,FALSE))/2000))</f>
        <v/>
      </c>
      <c r="G8" s="218" t="str">
        <f>IF(B8="","",(Inputs!$K70*(VLOOKUP(Inputs!$D70&amp;"NOX",'Emission Factors'!$C$4:$D$59,2,FALSE))/2000))</f>
        <v/>
      </c>
      <c r="H8" s="218" t="str">
        <f>IF(B8="","",(IF(Inputs!$D70=Inputs!$M$20,Inputs!$K70*38*Inputs!$G70,IF(Inputs!$D70=Inputs!$M$21,Inputs!$K70*35*Inputs!$G70,IF(Inputs!$D70=Inputs!$M$25,Inputs!$K70*142*Inputs!$G70,IF(Inputs!$D70=Inputs!$M$26,Inputs!$K70*157*Inputs!$G70,IF(Inputs!$D70=Inputs!$M$22,Inputs!$K70*142*Inputs!$G70,Inputs!$K70*(VLOOKUP(Inputs!$D70&amp;"SO2",'Emission Factors'!$C$4:$D$59,2,FALSE))))))))/2000)</f>
        <v/>
      </c>
      <c r="I8" s="218" t="str">
        <f>IF(B8="","",(Inputs!$K70*(VLOOKUP(Inputs!$D70&amp;"VOC",'Emission Factors'!$C$4:$D$59,2,FALSE))/2000))</f>
        <v/>
      </c>
      <c r="J8" s="218" t="str">
        <f>IF(B8="","",(IF(Inputs!$D70=Inputs!$M$26,Inputs!$K70*(8.34*(1.12*Inputs!$G70+0.37)+1.5),Inputs!$K70*(VLOOKUP(Inputs!$D70&amp;"Total PM",'Emission Factors'!$C$4:$D$59,2,FALSE))))/2000)</f>
        <v/>
      </c>
      <c r="K8" s="218" t="str">
        <f>IF(B8="","",(IF(Inputs!$D70=Inputs!$M$26,((Inputs!$K70*7.17*(1.12*Inputs!$G70+0.37))+1.5),Inputs!$K70*(VLOOKUP(Inputs!$D70&amp;"PM10",'Emission Factors'!$C$4:$D$59,2,FALSE))))/2000)</f>
        <v/>
      </c>
      <c r="L8" s="219" t="str">
        <f>IF(B8="","",(IF(Inputs!$D70=Inputs!$M$26,((Inputs!$K70*4.67*(1.12*Inputs!$G70+0.37))+1.5),Inputs!$K70*(VLOOKUP(Inputs!$D70&amp;"PM2.5",'Emission Factors'!$C$4:$D$59,2,FALSE))))/2000)</f>
        <v/>
      </c>
    </row>
    <row r="9" spans="1:12" x14ac:dyDescent="0.25">
      <c r="A9" s="4"/>
      <c r="B9" s="222" t="str">
        <f>IF(Inputs!$B71="","",Inputs!$B71)</f>
        <v/>
      </c>
      <c r="C9" s="223" t="str">
        <f>IF(Inputs!$C71="","",Inputs!$C71)</f>
        <v/>
      </c>
      <c r="D9" s="223" t="str">
        <f>IF(Inputs!$D71="","",Inputs!$D71)</f>
        <v/>
      </c>
      <c r="E9" s="316" t="str">
        <f>IF(B9="","",IF(D9="Wood",Inputs!K71,VLOOKUP(D9,'Fuel Energy Content'!$A$15:$B$21,2,FALSE)*Inputs!K71))</f>
        <v/>
      </c>
      <c r="F9" s="218" t="str">
        <f>IF(B9="","",(Inputs!$K71*(VLOOKUP(Inputs!$D71&amp;"CO",'Emission Factors'!$C$4:$D$59,2,FALSE))/2000))</f>
        <v/>
      </c>
      <c r="G9" s="218" t="str">
        <f>IF(B9="","",(Inputs!$K71*(VLOOKUP(Inputs!$D71&amp;"NOX",'Emission Factors'!$C$4:$D$59,2,FALSE))/2000))</f>
        <v/>
      </c>
      <c r="H9" s="218" t="str">
        <f>IF(B9="","",(IF(Inputs!$D71=Inputs!$M$20,Inputs!$K71*38*Inputs!$G71,IF(Inputs!$D71=Inputs!$M$21,Inputs!$K71*35*Inputs!$G71,IF(Inputs!$D71=Inputs!$M$25,Inputs!$K71*142*Inputs!$G71,IF(Inputs!$D71=Inputs!$M$26,Inputs!$K71*157*Inputs!$G71,IF(Inputs!$D71=Inputs!$M$22,Inputs!$K71*142*Inputs!$G71,Inputs!$K71*(VLOOKUP(Inputs!$D71&amp;"SO2",'Emission Factors'!$C$4:$D$59,2,FALSE))))))))/2000)</f>
        <v/>
      </c>
      <c r="I9" s="218" t="str">
        <f>IF(B9="","",(Inputs!$K71*(VLOOKUP(Inputs!$D71&amp;"VOC",'Emission Factors'!$C$4:$D$59,2,FALSE))/2000))</f>
        <v/>
      </c>
      <c r="J9" s="218" t="str">
        <f>IF(B9="","",(IF(Inputs!$D71=Inputs!$M$26,Inputs!$K71*(8.34*(1.12*Inputs!$G71+0.37)+1.5),Inputs!$K71*(VLOOKUP(Inputs!$D71&amp;"Total PM",'Emission Factors'!$C$4:$D$59,2,FALSE))))/2000)</f>
        <v/>
      </c>
      <c r="K9" s="218" t="str">
        <f>IF(B9="","",(IF(Inputs!$D71=Inputs!$M$26,((Inputs!$K71*7.17*(1.12*Inputs!$G71+0.37))+1.5),Inputs!$K71*(VLOOKUP(Inputs!$D71&amp;"PM10",'Emission Factors'!$C$4:$D$59,2,FALSE))))/2000)</f>
        <v/>
      </c>
      <c r="L9" s="219" t="str">
        <f>IF(B9="","",(IF(Inputs!$D71=Inputs!$M$26,((Inputs!$K71*4.67*(1.12*Inputs!$G71+0.37))+1.5),Inputs!$K71*(VLOOKUP(Inputs!$D71&amp;"PM2.5",'Emission Factors'!$C$4:$D$59,2,FALSE))))/2000)</f>
        <v/>
      </c>
    </row>
    <row r="10" spans="1:12" x14ac:dyDescent="0.25">
      <c r="A10" s="4"/>
      <c r="B10" s="222" t="str">
        <f>IF(Inputs!$B72="","",Inputs!$B72)</f>
        <v/>
      </c>
      <c r="C10" s="223" t="str">
        <f>IF(Inputs!$C72="","",Inputs!$C72)</f>
        <v/>
      </c>
      <c r="D10" s="223" t="str">
        <f>IF(Inputs!$D72="","",Inputs!$D72)</f>
        <v/>
      </c>
      <c r="E10" s="316" t="str">
        <f>IF(B10="","",IF(D10="Wood",Inputs!K72,VLOOKUP(D10,'Fuel Energy Content'!$A$15:$B$21,2,FALSE)*Inputs!K72))</f>
        <v/>
      </c>
      <c r="F10" s="218" t="str">
        <f>IF(B10="","",(Inputs!$K72*(VLOOKUP(Inputs!$D72&amp;"CO",'Emission Factors'!$C$4:$D$59,2,FALSE))/2000))</f>
        <v/>
      </c>
      <c r="G10" s="218" t="str">
        <f>IF(B10="","",(Inputs!$K72*(VLOOKUP(Inputs!$D72&amp;"NOX",'Emission Factors'!$C$4:$D$59,2,FALSE))/2000))</f>
        <v/>
      </c>
      <c r="H10" s="218" t="str">
        <f>IF(B10="","",(IF(Inputs!$D72=Inputs!$M$20,Inputs!$K72*38*Inputs!$G72,IF(Inputs!$D72=Inputs!$M$21,Inputs!$K72*35*Inputs!$G72,IF(Inputs!$D72=Inputs!$M$25,Inputs!$K72*142*Inputs!$G72,IF(Inputs!$D72=Inputs!$M$26,Inputs!$K72*157*Inputs!$G72,IF(Inputs!$D72=Inputs!$M$22,Inputs!$K72*142*Inputs!$G72,Inputs!$K72*(VLOOKUP(Inputs!$D72&amp;"SO2",'Emission Factors'!$C$4:$D$59,2,FALSE))))))))/2000)</f>
        <v/>
      </c>
      <c r="I10" s="218" t="str">
        <f>IF(B10="","",(Inputs!$K72*(VLOOKUP(Inputs!$D72&amp;"VOC",'Emission Factors'!$C$4:$D$59,2,FALSE))/2000))</f>
        <v/>
      </c>
      <c r="J10" s="218" t="str">
        <f>IF(B10="","",(IF(Inputs!$D72=Inputs!$M$26,Inputs!$K72*(8.34*(1.12*Inputs!$G72+0.37)+1.5),Inputs!$K72*(VLOOKUP(Inputs!$D72&amp;"Total PM",'Emission Factors'!$C$4:$D$59,2,FALSE))))/2000)</f>
        <v/>
      </c>
      <c r="K10" s="218" t="str">
        <f>IF(B10="","",(IF(Inputs!$D72=Inputs!$M$26,((Inputs!$K72*7.17*(1.12*Inputs!$G72+0.37))+1.5),Inputs!$K72*(VLOOKUP(Inputs!$D72&amp;"PM10",'Emission Factors'!$C$4:$D$59,2,FALSE))))/2000)</f>
        <v/>
      </c>
      <c r="L10" s="219" t="str">
        <f>IF(B10="","",(IF(Inputs!$D72=Inputs!$M$26,((Inputs!$K72*4.67*(1.12*Inputs!$G72+0.37))+1.5),Inputs!$K72*(VLOOKUP(Inputs!$D72&amp;"PM2.5",'Emission Factors'!$C$4:$D$59,2,FALSE))))/2000)</f>
        <v/>
      </c>
    </row>
    <row r="11" spans="1:12" x14ac:dyDescent="0.25">
      <c r="A11" s="4"/>
      <c r="B11" s="222" t="str">
        <f>IF(Inputs!$B73="","",Inputs!$B73)</f>
        <v/>
      </c>
      <c r="C11" s="223" t="str">
        <f>IF(Inputs!$C73="","",Inputs!$C73)</f>
        <v/>
      </c>
      <c r="D11" s="223" t="str">
        <f>IF(Inputs!$D73="","",Inputs!$D73)</f>
        <v/>
      </c>
      <c r="E11" s="316" t="str">
        <f>IF(B11="","",IF(D11="Wood",Inputs!K73,VLOOKUP(D11,'Fuel Energy Content'!$A$15:$B$21,2,FALSE)*Inputs!K73))</f>
        <v/>
      </c>
      <c r="F11" s="218" t="str">
        <f>IF(B11="","",(Inputs!$K73*(VLOOKUP(Inputs!$D73&amp;"CO",'Emission Factors'!$C$4:$D$59,2,FALSE))/2000))</f>
        <v/>
      </c>
      <c r="G11" s="218" t="str">
        <f>IF(B11="","",(Inputs!$K73*(VLOOKUP(Inputs!$D73&amp;"NOX",'Emission Factors'!$C$4:$D$59,2,FALSE))/2000))</f>
        <v/>
      </c>
      <c r="H11" s="218" t="str">
        <f>IF(B11="","",(IF(Inputs!$D73=Inputs!$M$20,Inputs!$K73*38*Inputs!$G73,IF(Inputs!$D73=Inputs!$M$21,Inputs!$K73*35*Inputs!$G73,IF(Inputs!$D73=Inputs!$M$25,Inputs!$K73*142*Inputs!$G73,IF(Inputs!$D73=Inputs!$M$26,Inputs!$K73*157*Inputs!$G73,IF(Inputs!$D73=Inputs!$M$22,Inputs!$K73*142*Inputs!$G73,Inputs!$K73*(VLOOKUP(Inputs!$D73&amp;"SO2",'Emission Factors'!$C$4:$D$59,2,FALSE))))))))/2000)</f>
        <v/>
      </c>
      <c r="I11" s="218" t="str">
        <f>IF(B11="","",(Inputs!$K73*(VLOOKUP(Inputs!$D73&amp;"VOC",'Emission Factors'!$C$4:$D$59,2,FALSE))/2000))</f>
        <v/>
      </c>
      <c r="J11" s="218" t="str">
        <f>IF(B11="","",(IF(Inputs!$D73=Inputs!$M$26,Inputs!$K73*(8.34*(1.12*Inputs!$G73+0.37)+1.5),Inputs!$K73*(VLOOKUP(Inputs!$D73&amp;"Total PM",'Emission Factors'!$C$4:$D$59,2,FALSE))))/2000)</f>
        <v/>
      </c>
      <c r="K11" s="218" t="str">
        <f>IF(B11="","",(IF(Inputs!$D73=Inputs!$M$26,((Inputs!$K73*7.17*(1.12*Inputs!$G73+0.37))+1.5),Inputs!$K73*(VLOOKUP(Inputs!$D73&amp;"PM10",'Emission Factors'!$C$4:$D$59,2,FALSE))))/2000)</f>
        <v/>
      </c>
      <c r="L11" s="219" t="str">
        <f>IF(B11="","",(IF(Inputs!$D73=Inputs!$M$26,((Inputs!$K73*4.67*(1.12*Inputs!$G73+0.37))+1.5),Inputs!$K73*(VLOOKUP(Inputs!$D73&amp;"PM2.5",'Emission Factors'!$C$4:$D$59,2,FALSE))))/2000)</f>
        <v/>
      </c>
    </row>
    <row r="12" spans="1:12" x14ac:dyDescent="0.25">
      <c r="A12" s="4"/>
      <c r="B12" s="222" t="str">
        <f>IF(Inputs!$B74="","",Inputs!$B74)</f>
        <v/>
      </c>
      <c r="C12" s="223" t="str">
        <f>IF(Inputs!$C74="","",Inputs!$C74)</f>
        <v/>
      </c>
      <c r="D12" s="223" t="str">
        <f>IF(Inputs!$D74="","",Inputs!$D74)</f>
        <v/>
      </c>
      <c r="E12" s="316" t="str">
        <f>IF(B12="","",IF(D12="Wood",Inputs!K74,VLOOKUP(D12,'Fuel Energy Content'!$A$15:$B$21,2,FALSE)*Inputs!K74))</f>
        <v/>
      </c>
      <c r="F12" s="218" t="str">
        <f>IF(B12="","",(Inputs!$K74*(VLOOKUP(Inputs!$D74&amp;"CO",'Emission Factors'!$C$4:$D$59,2,FALSE))/2000))</f>
        <v/>
      </c>
      <c r="G12" s="218" t="str">
        <f>IF(B12="","",(Inputs!$K74*(VLOOKUP(Inputs!$D74&amp;"NOX",'Emission Factors'!$C$4:$D$59,2,FALSE))/2000))</f>
        <v/>
      </c>
      <c r="H12" s="218" t="str">
        <f>IF(B12="","",(IF(Inputs!$D74=Inputs!$M$20,Inputs!$K74*38*Inputs!$G74,IF(Inputs!$D74=Inputs!$M$21,Inputs!$K74*35*Inputs!$G74,IF(Inputs!$D74=Inputs!$M$25,Inputs!$K74*142*Inputs!$G74,IF(Inputs!$D74=Inputs!$M$26,Inputs!$K74*157*Inputs!$G74,IF(Inputs!$D74=Inputs!$M$22,Inputs!$K74*142*Inputs!$G74,Inputs!$K74*(VLOOKUP(Inputs!$D74&amp;"SO2",'Emission Factors'!$C$4:$D$59,2,FALSE))))))))/2000)</f>
        <v/>
      </c>
      <c r="I12" s="218" t="str">
        <f>IF(B12="","",(Inputs!$K74*(VLOOKUP(Inputs!$D74&amp;"VOC",'Emission Factors'!$C$4:$D$59,2,FALSE))/2000))</f>
        <v/>
      </c>
      <c r="J12" s="218" t="str">
        <f>IF(B12="","",(IF(Inputs!$D74=Inputs!$M$26,Inputs!$K74*(8.34*(1.12*Inputs!$G74+0.37)+1.5),Inputs!$K74*(VLOOKUP(Inputs!$D74&amp;"Total PM",'Emission Factors'!$C$4:$D$59,2,FALSE))))/2000)</f>
        <v/>
      </c>
      <c r="K12" s="218" t="str">
        <f>IF(B12="","",(IF(Inputs!$D74=Inputs!$M$26,((Inputs!$K74*7.17*(1.12*Inputs!$G74+0.37))+1.5),Inputs!$K74*(VLOOKUP(Inputs!$D74&amp;"PM10",'Emission Factors'!$C$4:$D$59,2,FALSE))))/2000)</f>
        <v/>
      </c>
      <c r="L12" s="219" t="str">
        <f>IF(B12="","",(IF(Inputs!$D74=Inputs!$M$26,((Inputs!$K74*4.67*(1.12*Inputs!$G74+0.37))+1.5),Inputs!$K74*(VLOOKUP(Inputs!$D74&amp;"PM2.5",'Emission Factors'!$C$4:$D$59,2,FALSE))))/2000)</f>
        <v/>
      </c>
    </row>
    <row r="13" spans="1:12" x14ac:dyDescent="0.25">
      <c r="A13" s="4"/>
      <c r="B13" s="222" t="str">
        <f>IF(Inputs!$B75="","",Inputs!$B75)</f>
        <v/>
      </c>
      <c r="C13" s="223" t="str">
        <f>IF(Inputs!$C75="","",Inputs!$C75)</f>
        <v/>
      </c>
      <c r="D13" s="223" t="str">
        <f>IF(Inputs!$D75="","",Inputs!$D75)</f>
        <v/>
      </c>
      <c r="E13" s="316" t="str">
        <f>IF(B13="","",IF(D13="Wood",Inputs!K75,VLOOKUP(D13,'Fuel Energy Content'!$A$15:$B$21,2,FALSE)*Inputs!K75))</f>
        <v/>
      </c>
      <c r="F13" s="218" t="str">
        <f>IF(B13="","",(Inputs!$K75*(VLOOKUP(Inputs!$D75&amp;"CO",'Emission Factors'!$C$4:$D$59,2,FALSE))/2000))</f>
        <v/>
      </c>
      <c r="G13" s="218" t="str">
        <f>IF(B13="","",(Inputs!$K75*(VLOOKUP(Inputs!$D75&amp;"NOX",'Emission Factors'!$C$4:$D$59,2,FALSE))/2000))</f>
        <v/>
      </c>
      <c r="H13" s="218" t="str">
        <f>IF(B13="","",(IF(Inputs!$D75=Inputs!$M$20,Inputs!$K75*38*Inputs!$G75,IF(Inputs!$D75=Inputs!$M$21,Inputs!$K75*35*Inputs!$G75,IF(Inputs!$D75=Inputs!$M$25,Inputs!$K75*142*Inputs!$G75,IF(Inputs!$D75=Inputs!$M$26,Inputs!$K75*157*Inputs!$G75,IF(Inputs!$D75=Inputs!$M$22,Inputs!$K75*142*Inputs!$G75,Inputs!$K75*(VLOOKUP(Inputs!$D75&amp;"SO2",'Emission Factors'!$C$4:$D$59,2,FALSE))))))))/2000)</f>
        <v/>
      </c>
      <c r="I13" s="218" t="str">
        <f>IF(B13="","",(Inputs!$K75*(VLOOKUP(Inputs!$D75&amp;"VOC",'Emission Factors'!$C$4:$D$59,2,FALSE))/2000))</f>
        <v/>
      </c>
      <c r="J13" s="218" t="str">
        <f>IF(B13="","",(IF(Inputs!$D75=Inputs!$M$26,Inputs!$K75*(8.34*(1.12*Inputs!$G75+0.37)+1.5),Inputs!$K75*(VLOOKUP(Inputs!$D75&amp;"Total PM",'Emission Factors'!$C$4:$D$59,2,FALSE))))/2000)</f>
        <v/>
      </c>
      <c r="K13" s="218" t="str">
        <f>IF(B13="","",(IF(Inputs!$D75=Inputs!$M$26,((Inputs!$K75*7.17*(1.12*Inputs!$G75+0.37))+1.5),Inputs!$K75*(VLOOKUP(Inputs!$D75&amp;"PM10",'Emission Factors'!$C$4:$D$59,2,FALSE))))/2000)</f>
        <v/>
      </c>
      <c r="L13" s="219" t="str">
        <f>IF(B13="","",(IF(Inputs!$D75=Inputs!$M$26,((Inputs!$K75*4.67*(1.12*Inputs!$G75+0.37))+1.5),Inputs!$K75*(VLOOKUP(Inputs!$D75&amp;"PM2.5",'Emission Factors'!$C$4:$D$59,2,FALSE))))/2000)</f>
        <v/>
      </c>
    </row>
    <row r="14" spans="1:12" x14ac:dyDescent="0.25">
      <c r="A14" s="4"/>
      <c r="B14" s="222" t="str">
        <f>IF(Inputs!$B76="","",Inputs!$B76)</f>
        <v/>
      </c>
      <c r="C14" s="223" t="str">
        <f>IF(Inputs!$C76="","",Inputs!$C76)</f>
        <v/>
      </c>
      <c r="D14" s="223" t="str">
        <f>IF(Inputs!$D76="","",Inputs!$D76)</f>
        <v/>
      </c>
      <c r="E14" s="316" t="str">
        <f>IF(B14="","",IF(D14="Wood",Inputs!K76,VLOOKUP(D14,'Fuel Energy Content'!$A$15:$B$21,2,FALSE)*Inputs!K76))</f>
        <v/>
      </c>
      <c r="F14" s="218" t="str">
        <f>IF(B14="","",(Inputs!$K76*(VLOOKUP(Inputs!$D76&amp;"CO",'Emission Factors'!$C$4:$D$59,2,FALSE))/2000))</f>
        <v/>
      </c>
      <c r="G14" s="218" t="str">
        <f>IF(B14="","",(Inputs!$K76*(VLOOKUP(Inputs!$D76&amp;"NOX",'Emission Factors'!$C$4:$D$59,2,FALSE))/2000))</f>
        <v/>
      </c>
      <c r="H14" s="218" t="str">
        <f>IF(B14="","",(IF(Inputs!$D76=Inputs!$M$20,Inputs!$K76*38*Inputs!$G76,IF(Inputs!$D76=Inputs!$M$21,Inputs!$K76*35*Inputs!$G76,IF(Inputs!$D76=Inputs!$M$25,Inputs!$K76*142*Inputs!$G76,IF(Inputs!$D76=Inputs!$M$26,Inputs!$K76*157*Inputs!$G76,IF(Inputs!$D76=Inputs!$M$22,Inputs!$K76*142*Inputs!$G76,Inputs!$K76*(VLOOKUP(Inputs!$D76&amp;"SO2",'Emission Factors'!$C$4:$D$59,2,FALSE))))))))/2000)</f>
        <v/>
      </c>
      <c r="I14" s="218" t="str">
        <f>IF(B14="","",(Inputs!$K76*(VLOOKUP(Inputs!$D76&amp;"VOC",'Emission Factors'!$C$4:$D$59,2,FALSE))/2000))</f>
        <v/>
      </c>
      <c r="J14" s="218" t="str">
        <f>IF(B14="","",(IF(Inputs!$D76=Inputs!$M$26,Inputs!$K76*(8.34*(1.12*Inputs!$G76+0.37)+1.5),Inputs!$K76*(VLOOKUP(Inputs!$D76&amp;"Total PM",'Emission Factors'!$C$4:$D$59,2,FALSE))))/2000)</f>
        <v/>
      </c>
      <c r="K14" s="218" t="str">
        <f>IF(B14="","",(IF(Inputs!$D76=Inputs!$M$26,((Inputs!$K76*7.17*(1.12*Inputs!$G76+0.37))+1.5),Inputs!$K76*(VLOOKUP(Inputs!$D76&amp;"PM10",'Emission Factors'!$C$4:$D$59,2,FALSE))))/2000)</f>
        <v/>
      </c>
      <c r="L14" s="219" t="str">
        <f>IF(B14="","",(IF(Inputs!$D76=Inputs!$M$26,((Inputs!$K76*4.67*(1.12*Inputs!$G76+0.37))+1.5),Inputs!$K76*(VLOOKUP(Inputs!$D76&amp;"PM2.5",'Emission Factors'!$C$4:$D$59,2,FALSE))))/2000)</f>
        <v/>
      </c>
    </row>
    <row r="15" spans="1:12" x14ac:dyDescent="0.25">
      <c r="A15" s="4"/>
      <c r="B15" s="222" t="str">
        <f>IF(Inputs!$B77="","",Inputs!$B77)</f>
        <v/>
      </c>
      <c r="C15" s="223" t="str">
        <f>IF(Inputs!$C77="","",Inputs!$C77)</f>
        <v/>
      </c>
      <c r="D15" s="223" t="str">
        <f>IF(Inputs!$D77="","",Inputs!$D77)</f>
        <v/>
      </c>
      <c r="E15" s="316" t="str">
        <f>IF(B15="","",IF(D15="Wood",Inputs!K77,VLOOKUP(D15,'Fuel Energy Content'!$A$15:$B$21,2,FALSE)*Inputs!K77))</f>
        <v/>
      </c>
      <c r="F15" s="218" t="str">
        <f>IF(B15="","",(Inputs!$K77*(VLOOKUP(Inputs!$D77&amp;"CO",'Emission Factors'!$C$4:$D$59,2,FALSE))/2000))</f>
        <v/>
      </c>
      <c r="G15" s="218" t="str">
        <f>IF(B15="","",(Inputs!$K77*(VLOOKUP(Inputs!$D77&amp;"NOX",'Emission Factors'!$C$4:$D$59,2,FALSE))/2000))</f>
        <v/>
      </c>
      <c r="H15" s="218" t="str">
        <f>IF(B15="","",(IF(Inputs!$D77=Inputs!$M$20,Inputs!$K77*38*Inputs!$G77,IF(Inputs!$D77=Inputs!$M$21,Inputs!$K77*35*Inputs!$G77,IF(Inputs!$D77=Inputs!$M$25,Inputs!$K77*142*Inputs!$G77,IF(Inputs!$D77=Inputs!$M$26,Inputs!$K77*157*Inputs!$G77,IF(Inputs!$D77=Inputs!$M$22,Inputs!$K77*142*Inputs!$G77,Inputs!$K77*(VLOOKUP(Inputs!$D77&amp;"SO2",'Emission Factors'!$C$4:$D$59,2,FALSE))))))))/2000)</f>
        <v/>
      </c>
      <c r="I15" s="218" t="str">
        <f>IF(B15="","",(Inputs!$K77*(VLOOKUP(Inputs!$D77&amp;"VOC",'Emission Factors'!$C$4:$D$59,2,FALSE))/2000))</f>
        <v/>
      </c>
      <c r="J15" s="218" t="str">
        <f>IF(B15="","",(IF(Inputs!$D77=Inputs!$M$26,Inputs!$K77*(8.34*(1.12*Inputs!$G77+0.37)+1.5),Inputs!$K77*(VLOOKUP(Inputs!$D77&amp;"Total PM",'Emission Factors'!$C$4:$D$59,2,FALSE))))/2000)</f>
        <v/>
      </c>
      <c r="K15" s="218" t="str">
        <f>IF(B15="","",(IF(Inputs!$D77=Inputs!$M$26,((Inputs!$K77*7.17*(1.12*Inputs!$G77+0.37))+1.5),Inputs!$K77*(VLOOKUP(Inputs!$D77&amp;"PM10",'Emission Factors'!$C$4:$D$59,2,FALSE))))/2000)</f>
        <v/>
      </c>
      <c r="L15" s="219" t="str">
        <f>IF(B15="","",(IF(Inputs!$D77=Inputs!$M$26,((Inputs!$K77*4.67*(1.12*Inputs!$G77+0.37))+1.5),Inputs!$K77*(VLOOKUP(Inputs!$D77&amp;"PM2.5",'Emission Factors'!$C$4:$D$59,2,FALSE))))/2000)</f>
        <v/>
      </c>
    </row>
    <row r="16" spans="1:12" x14ac:dyDescent="0.25">
      <c r="A16" s="4"/>
      <c r="B16" s="222" t="str">
        <f>IF(Inputs!$B78="","",Inputs!$B78)</f>
        <v/>
      </c>
      <c r="C16" s="223" t="str">
        <f>IF(Inputs!$C78="","",Inputs!$C78)</f>
        <v/>
      </c>
      <c r="D16" s="223" t="str">
        <f>IF(Inputs!$D78="","",Inputs!$D78)</f>
        <v/>
      </c>
      <c r="E16" s="316" t="str">
        <f>IF(B16="","",IF(D16="Wood",Inputs!K78,VLOOKUP(D16,'Fuel Energy Content'!$A$15:$B$21,2,FALSE)*Inputs!K78))</f>
        <v/>
      </c>
      <c r="F16" s="218" t="str">
        <f>IF(B16="","",(Inputs!$K78*(VLOOKUP(Inputs!$D78&amp;"CO",'Emission Factors'!$C$4:$D$59,2,FALSE))/2000))</f>
        <v/>
      </c>
      <c r="G16" s="218" t="str">
        <f>IF(B16="","",(Inputs!$K78*(VLOOKUP(Inputs!$D78&amp;"NOX",'Emission Factors'!$C$4:$D$59,2,FALSE))/2000))</f>
        <v/>
      </c>
      <c r="H16" s="218" t="str">
        <f>IF(B16="","",(IF(Inputs!$D78=Inputs!$M$20,Inputs!$K78*38*Inputs!$G78,IF(Inputs!$D78=Inputs!$M$21,Inputs!$K78*35*Inputs!$G78,IF(Inputs!$D78=Inputs!$M$25,Inputs!$K78*142*Inputs!$G78,IF(Inputs!$D78=Inputs!$M$26,Inputs!$K78*157*Inputs!$G78,IF(Inputs!$D78=Inputs!$M$22,Inputs!$K78*142*Inputs!$G78,Inputs!$K78*(VLOOKUP(Inputs!$D78&amp;"SO2",'Emission Factors'!$C$4:$D$59,2,FALSE))))))))/2000)</f>
        <v/>
      </c>
      <c r="I16" s="218" t="str">
        <f>IF(B16="","",(Inputs!$K78*(VLOOKUP(Inputs!$D78&amp;"VOC",'Emission Factors'!$C$4:$D$59,2,FALSE))/2000))</f>
        <v/>
      </c>
      <c r="J16" s="218" t="str">
        <f>IF(B16="","",(IF(Inputs!$D78=Inputs!$M$26,Inputs!$K78*(8.34*(1.12*Inputs!$G78+0.37)+1.5),Inputs!$K78*(VLOOKUP(Inputs!$D78&amp;"Total PM",'Emission Factors'!$C$4:$D$59,2,FALSE))))/2000)</f>
        <v/>
      </c>
      <c r="K16" s="218" t="str">
        <f>IF(B16="","",(IF(Inputs!$D78=Inputs!$M$26,((Inputs!$K78*7.17*(1.12*Inputs!$G78+0.37))+1.5),Inputs!$K78*(VLOOKUP(Inputs!$D78&amp;"PM10",'Emission Factors'!$C$4:$D$59,2,FALSE))))/2000)</f>
        <v/>
      </c>
      <c r="L16" s="219" t="str">
        <f>IF(B16="","",(IF(Inputs!$D78=Inputs!$M$26,((Inputs!$K78*4.67*(1.12*Inputs!$G78+0.37))+1.5),Inputs!$K78*(VLOOKUP(Inputs!$D78&amp;"PM2.5",'Emission Factors'!$C$4:$D$59,2,FALSE))))/2000)</f>
        <v/>
      </c>
    </row>
    <row r="17" spans="1:12" x14ac:dyDescent="0.25">
      <c r="A17" s="4"/>
      <c r="B17" s="222" t="str">
        <f>IF(Inputs!$B79="","",Inputs!$B79)</f>
        <v/>
      </c>
      <c r="C17" s="223" t="str">
        <f>IF(Inputs!$C79="","",Inputs!$C79)</f>
        <v/>
      </c>
      <c r="D17" s="223" t="str">
        <f>IF(Inputs!$D79="","",Inputs!$D79)</f>
        <v/>
      </c>
      <c r="E17" s="316" t="str">
        <f>IF(B17="","",IF(D17="Wood",Inputs!K79,VLOOKUP(D17,'Fuel Energy Content'!$A$15:$B$21,2,FALSE)*Inputs!K79))</f>
        <v/>
      </c>
      <c r="F17" s="218" t="str">
        <f>IF(B17="","",(Inputs!$K79*(VLOOKUP(Inputs!$D79&amp;"CO",'Emission Factors'!$C$4:$D$59,2,FALSE))/2000))</f>
        <v/>
      </c>
      <c r="G17" s="218" t="str">
        <f>IF(B17="","",(Inputs!$K79*(VLOOKUP(Inputs!$D79&amp;"NOX",'Emission Factors'!$C$4:$D$59,2,FALSE))/2000))</f>
        <v/>
      </c>
      <c r="H17" s="218" t="str">
        <f>IF(B17="","",(IF(Inputs!$D79=Inputs!$M$20,Inputs!$K79*38*Inputs!$G79,IF(Inputs!$D79=Inputs!$M$21,Inputs!$K79*35*Inputs!$G79,IF(Inputs!$D79=Inputs!$M$25,Inputs!$K79*142*Inputs!$G79,IF(Inputs!$D79=Inputs!$M$26,Inputs!$K79*157*Inputs!$G79,IF(Inputs!$D79=Inputs!$M$22,Inputs!$K79*142*Inputs!$G79,Inputs!$K79*(VLOOKUP(Inputs!$D79&amp;"SO2",'Emission Factors'!$C$4:$D$59,2,FALSE))))))))/2000)</f>
        <v/>
      </c>
      <c r="I17" s="218" t="str">
        <f>IF(B17="","",(Inputs!$K79*(VLOOKUP(Inputs!$D79&amp;"VOC",'Emission Factors'!$C$4:$D$59,2,FALSE))/2000))</f>
        <v/>
      </c>
      <c r="J17" s="218" t="str">
        <f>IF(B17="","",(IF(Inputs!$D79=Inputs!$M$26,Inputs!$K79*(8.34*(1.12*Inputs!$G79+0.37)+1.5),Inputs!$K79*(VLOOKUP(Inputs!$D79&amp;"Total PM",'Emission Factors'!$C$4:$D$59,2,FALSE))))/2000)</f>
        <v/>
      </c>
      <c r="K17" s="218" t="str">
        <f>IF(B17="","",(IF(Inputs!$D79=Inputs!$M$26,((Inputs!$K79*7.17*(1.12*Inputs!$G79+0.37))+1.5),Inputs!$K79*(VLOOKUP(Inputs!$D79&amp;"PM10",'Emission Factors'!$C$4:$D$59,2,FALSE))))/2000)</f>
        <v/>
      </c>
      <c r="L17" s="219" t="str">
        <f>IF(B17="","",(IF(Inputs!$D79=Inputs!$M$26,((Inputs!$K79*4.67*(1.12*Inputs!$G79+0.37))+1.5),Inputs!$K79*(VLOOKUP(Inputs!$D79&amp;"PM2.5",'Emission Factors'!$C$4:$D$59,2,FALSE))))/2000)</f>
        <v/>
      </c>
    </row>
    <row r="18" spans="1:12" x14ac:dyDescent="0.25">
      <c r="A18" s="4"/>
      <c r="B18" s="222" t="str">
        <f>IF(Inputs!$B80="","",Inputs!$B80)</f>
        <v/>
      </c>
      <c r="C18" s="223" t="str">
        <f>IF(Inputs!$C80="","",Inputs!$C80)</f>
        <v/>
      </c>
      <c r="D18" s="223" t="str">
        <f>IF(Inputs!$D80="","",Inputs!$D80)</f>
        <v/>
      </c>
      <c r="E18" s="316" t="str">
        <f>IF(B18="","",IF(D18="Wood",Inputs!K80,VLOOKUP(D18,'Fuel Energy Content'!$A$15:$B$21,2,FALSE)*Inputs!K80))</f>
        <v/>
      </c>
      <c r="F18" s="218" t="str">
        <f>IF(B18="","",(Inputs!$K80*(VLOOKUP(Inputs!$D80&amp;"CO",'Emission Factors'!$C$4:$D$59,2,FALSE))/2000))</f>
        <v/>
      </c>
      <c r="G18" s="218" t="str">
        <f>IF(B18="","",(Inputs!$K80*(VLOOKUP(Inputs!$D80&amp;"NOX",'Emission Factors'!$C$4:$D$59,2,FALSE))/2000))</f>
        <v/>
      </c>
      <c r="H18" s="218" t="str">
        <f>IF(B18="","",(IF(Inputs!$D80=Inputs!$M$20,Inputs!$K80*38*Inputs!$G80,IF(Inputs!$D80=Inputs!$M$21,Inputs!$K80*35*Inputs!$G80,IF(Inputs!$D80=Inputs!$M$25,Inputs!$K80*142*Inputs!$G80,IF(Inputs!$D80=Inputs!$M$26,Inputs!$K80*157*Inputs!$G80,IF(Inputs!$D80=Inputs!$M$22,Inputs!$K80*142*Inputs!$G80,Inputs!$K80*(VLOOKUP(Inputs!$D80&amp;"SO2",'Emission Factors'!$C$4:$D$59,2,FALSE))))))))/2000)</f>
        <v/>
      </c>
      <c r="I18" s="218" t="str">
        <f>IF(B18="","",(Inputs!$K80*(VLOOKUP(Inputs!$D80&amp;"VOC",'Emission Factors'!$C$4:$D$59,2,FALSE))/2000))</f>
        <v/>
      </c>
      <c r="J18" s="218" t="str">
        <f>IF(B18="","",(IF(Inputs!$D80=Inputs!$M$26,Inputs!$K80*(8.34*(1.12*Inputs!$G80+0.37)+1.5),Inputs!$K80*(VLOOKUP(Inputs!$D80&amp;"Total PM",'Emission Factors'!$C$4:$D$59,2,FALSE))))/2000)</f>
        <v/>
      </c>
      <c r="K18" s="218" t="str">
        <f>IF(B18="","",(IF(Inputs!$D80=Inputs!$M$26,((Inputs!$K80*7.17*(1.12*Inputs!$G80+0.37))+1.5),Inputs!$K80*(VLOOKUP(Inputs!$D80&amp;"PM10",'Emission Factors'!$C$4:$D$59,2,FALSE))))/2000)</f>
        <v/>
      </c>
      <c r="L18" s="219" t="str">
        <f>IF(B18="","",(IF(Inputs!$D80=Inputs!$M$26,((Inputs!$K80*4.67*(1.12*Inputs!$G80+0.37))+1.5),Inputs!$K80*(VLOOKUP(Inputs!$D80&amp;"PM2.5",'Emission Factors'!$C$4:$D$59,2,FALSE))))/2000)</f>
        <v/>
      </c>
    </row>
    <row r="19" spans="1:12" x14ac:dyDescent="0.25">
      <c r="A19" s="4"/>
      <c r="B19" s="222" t="str">
        <f>IF(Inputs!$B81="","",Inputs!$B81)</f>
        <v/>
      </c>
      <c r="C19" s="223" t="str">
        <f>IF(Inputs!$C81="","",Inputs!$C81)</f>
        <v/>
      </c>
      <c r="D19" s="223" t="str">
        <f>IF(Inputs!$D81="","",Inputs!$D81)</f>
        <v/>
      </c>
      <c r="E19" s="316" t="str">
        <f>IF(B19="","",IF(D19="Wood",Inputs!K81,VLOOKUP(D19,'Fuel Energy Content'!$A$15:$B$21,2,FALSE)*Inputs!K81))</f>
        <v/>
      </c>
      <c r="F19" s="218" t="str">
        <f>IF(B19="","",(Inputs!$K81*(VLOOKUP(Inputs!$D81&amp;"CO",'Emission Factors'!$C$4:$D$59,2,FALSE))/2000))</f>
        <v/>
      </c>
      <c r="G19" s="218" t="str">
        <f>IF(B19="","",(Inputs!$K81*(VLOOKUP(Inputs!$D81&amp;"NOX",'Emission Factors'!$C$4:$D$59,2,FALSE))/2000))</f>
        <v/>
      </c>
      <c r="H19" s="218" t="str">
        <f>IF(B19="","",(IF(Inputs!$D81=Inputs!$M$20,Inputs!$K81*38*Inputs!$G81,IF(Inputs!$D81=Inputs!$M$21,Inputs!$K81*35*Inputs!$G81,IF(Inputs!$D81=Inputs!$M$25,Inputs!$K81*142*Inputs!$G81,IF(Inputs!$D81=Inputs!$M$26,Inputs!$K81*157*Inputs!$G81,IF(Inputs!$D81=Inputs!$M$22,Inputs!$K81*142*Inputs!$G81,Inputs!$K81*(VLOOKUP(Inputs!$D81&amp;"SO2",'Emission Factors'!$C$4:$D$59,2,FALSE))))))))/2000)</f>
        <v/>
      </c>
      <c r="I19" s="218" t="str">
        <f>IF(B19="","",(Inputs!$K81*(VLOOKUP(Inputs!$D81&amp;"VOC",'Emission Factors'!$C$4:$D$59,2,FALSE))/2000))</f>
        <v/>
      </c>
      <c r="J19" s="218" t="str">
        <f>IF(B19="","",(IF(Inputs!$D81=Inputs!$M$26,Inputs!$K81*(8.34*(1.12*Inputs!$G81+0.37)+1.5),Inputs!$K81*(VLOOKUP(Inputs!$D81&amp;"Total PM",'Emission Factors'!$C$4:$D$59,2,FALSE))))/2000)</f>
        <v/>
      </c>
      <c r="K19" s="218" t="str">
        <f>IF(B19="","",(IF(Inputs!$D81=Inputs!$M$26,((Inputs!$K81*7.17*(1.12*Inputs!$G81+0.37))+1.5),Inputs!$K81*(VLOOKUP(Inputs!$D81&amp;"PM10",'Emission Factors'!$C$4:$D$59,2,FALSE))))/2000)</f>
        <v/>
      </c>
      <c r="L19" s="219" t="str">
        <f>IF(B19="","",(IF(Inputs!$D81=Inputs!$M$26,((Inputs!$K81*4.67*(1.12*Inputs!$G81+0.37))+1.5),Inputs!$K81*(VLOOKUP(Inputs!$D81&amp;"PM2.5",'Emission Factors'!$C$4:$D$59,2,FALSE))))/2000)</f>
        <v/>
      </c>
    </row>
    <row r="20" spans="1:12" x14ac:dyDescent="0.25">
      <c r="A20" s="4"/>
      <c r="B20" s="222" t="str">
        <f>IF(Inputs!$B82="","",Inputs!$B82)</f>
        <v/>
      </c>
      <c r="C20" s="223" t="str">
        <f>IF(Inputs!$C82="","",Inputs!$C82)</f>
        <v/>
      </c>
      <c r="D20" s="223" t="str">
        <f>IF(Inputs!$D82="","",Inputs!$D82)</f>
        <v/>
      </c>
      <c r="E20" s="316" t="str">
        <f>IF(B20="","",IF(D20="Wood",Inputs!K82,VLOOKUP(D20,'Fuel Energy Content'!$A$15:$B$21,2,FALSE)*Inputs!K82))</f>
        <v/>
      </c>
      <c r="F20" s="218" t="str">
        <f>IF(B20="","",(Inputs!$K82*(VLOOKUP(Inputs!$D82&amp;"CO",'Emission Factors'!$C$4:$D$59,2,FALSE))/2000))</f>
        <v/>
      </c>
      <c r="G20" s="218" t="str">
        <f>IF(B20="","",(Inputs!$K82*(VLOOKUP(Inputs!$D82&amp;"NOX",'Emission Factors'!$C$4:$D$59,2,FALSE))/2000))</f>
        <v/>
      </c>
      <c r="H20" s="218" t="str">
        <f>IF(B20="","",(IF(Inputs!$D82=Inputs!$M$20,Inputs!$K82*38*Inputs!$G82,IF(Inputs!$D82=Inputs!$M$21,Inputs!$K82*35*Inputs!$G82,IF(Inputs!$D82=Inputs!$M$25,Inputs!$K82*142*Inputs!$G82,IF(Inputs!$D82=Inputs!$M$26,Inputs!$K82*157*Inputs!$G82,IF(Inputs!$D82=Inputs!$M$22,Inputs!$K82*142*Inputs!$G82,Inputs!$K82*(VLOOKUP(Inputs!$D82&amp;"SO2",'Emission Factors'!$C$4:$D$59,2,FALSE))))))))/2000)</f>
        <v/>
      </c>
      <c r="I20" s="218" t="str">
        <f>IF(B20="","",(Inputs!$K82*(VLOOKUP(Inputs!$D82&amp;"VOC",'Emission Factors'!$C$4:$D$59,2,FALSE))/2000))</f>
        <v/>
      </c>
      <c r="J20" s="218" t="str">
        <f>IF(B20="","",(IF(Inputs!$D82=Inputs!$M$26,Inputs!$K82*(8.34*(1.12*Inputs!$G82+0.37)+1.5),Inputs!$K82*(VLOOKUP(Inputs!$D82&amp;"Total PM",'Emission Factors'!$C$4:$D$59,2,FALSE))))/2000)</f>
        <v/>
      </c>
      <c r="K20" s="218" t="str">
        <f>IF(B20="","",(IF(Inputs!$D82=Inputs!$M$26,((Inputs!$K82*7.17*(1.12*Inputs!$G82+0.37))+1.5),Inputs!$K82*(VLOOKUP(Inputs!$D82&amp;"PM10",'Emission Factors'!$C$4:$D$59,2,FALSE))))/2000)</f>
        <v/>
      </c>
      <c r="L20" s="219" t="str">
        <f>IF(B20="","",(IF(Inputs!$D82=Inputs!$M$26,((Inputs!$K82*4.67*(1.12*Inputs!$G82+0.37))+1.5),Inputs!$K82*(VLOOKUP(Inputs!$D82&amp;"PM2.5",'Emission Factors'!$C$4:$D$59,2,FALSE))))/2000)</f>
        <v/>
      </c>
    </row>
    <row r="21" spans="1:12" x14ac:dyDescent="0.25">
      <c r="A21" s="4"/>
      <c r="B21" s="222" t="str">
        <f>IF(Inputs!$B83="","",Inputs!$B83)</f>
        <v/>
      </c>
      <c r="C21" s="223" t="str">
        <f>IF(Inputs!$C83="","",Inputs!$C83)</f>
        <v/>
      </c>
      <c r="D21" s="223" t="str">
        <f>IF(Inputs!$D83="","",Inputs!$D83)</f>
        <v/>
      </c>
      <c r="E21" s="316" t="str">
        <f>IF(B21="","",IF(D21="Wood",Inputs!K83,VLOOKUP(D21,'Fuel Energy Content'!$A$15:$B$21,2,FALSE)*Inputs!K83))</f>
        <v/>
      </c>
      <c r="F21" s="218" t="str">
        <f>IF(B21="","",(Inputs!$K83*(VLOOKUP(Inputs!$D83&amp;"CO",'Emission Factors'!$C$4:$D$59,2,FALSE))/2000))</f>
        <v/>
      </c>
      <c r="G21" s="218" t="str">
        <f>IF(B21="","",(Inputs!$K83*(VLOOKUP(Inputs!$D83&amp;"NOX",'Emission Factors'!$C$4:$D$59,2,FALSE))/2000))</f>
        <v/>
      </c>
      <c r="H21" s="218" t="str">
        <f>IF(B21="","",(IF(Inputs!$D83=Inputs!$M$20,Inputs!$K83*38*Inputs!$G83,IF(Inputs!$D83=Inputs!$M$21,Inputs!$K83*35*Inputs!$G83,IF(Inputs!$D83=Inputs!$M$25,Inputs!$K83*142*Inputs!$G83,IF(Inputs!$D83=Inputs!$M$26,Inputs!$K83*157*Inputs!$G83,IF(Inputs!$D83=Inputs!$M$22,Inputs!$K83*142*Inputs!$G83,Inputs!$K83*(VLOOKUP(Inputs!$D83&amp;"SO2",'Emission Factors'!$C$4:$D$59,2,FALSE))))))))/2000)</f>
        <v/>
      </c>
      <c r="I21" s="218" t="str">
        <f>IF(B21="","",(Inputs!$K83*(VLOOKUP(Inputs!$D83&amp;"VOC",'Emission Factors'!$C$4:$D$59,2,FALSE))/2000))</f>
        <v/>
      </c>
      <c r="J21" s="218" t="str">
        <f>IF(B21="","",(IF(Inputs!$D83=Inputs!$M$26,Inputs!$K83*(8.34*(1.12*Inputs!$G83+0.37)+1.5),Inputs!$K83*(VLOOKUP(Inputs!$D83&amp;"Total PM",'Emission Factors'!$C$4:$D$59,2,FALSE))))/2000)</f>
        <v/>
      </c>
      <c r="K21" s="218" t="str">
        <f>IF(B21="","",(IF(Inputs!$D83=Inputs!$M$26,((Inputs!$K83*7.17*(1.12*Inputs!$G83+0.37))+1.5),Inputs!$K83*(VLOOKUP(Inputs!$D83&amp;"PM10",'Emission Factors'!$C$4:$D$59,2,FALSE))))/2000)</f>
        <v/>
      </c>
      <c r="L21" s="219" t="str">
        <f>IF(B21="","",(IF(Inputs!$D83=Inputs!$M$26,((Inputs!$K83*4.67*(1.12*Inputs!$G83+0.37))+1.5),Inputs!$K83*(VLOOKUP(Inputs!$D83&amp;"PM2.5",'Emission Factors'!$C$4:$D$59,2,FALSE))))/2000)</f>
        <v/>
      </c>
    </row>
    <row r="22" spans="1:12" x14ac:dyDescent="0.25">
      <c r="A22" s="4"/>
      <c r="B22" s="222" t="str">
        <f>IF(Inputs!$B84="","",Inputs!$B84)</f>
        <v/>
      </c>
      <c r="C22" s="223" t="str">
        <f>IF(Inputs!$C84="","",Inputs!$C84)</f>
        <v/>
      </c>
      <c r="D22" s="223" t="str">
        <f>IF(Inputs!$D84="","",Inputs!$D84)</f>
        <v/>
      </c>
      <c r="E22" s="316" t="str">
        <f>IF(B22="","",IF(D22="Wood",Inputs!K84,VLOOKUP(D22,'Fuel Energy Content'!$A$15:$B$21,2,FALSE)*Inputs!K84))</f>
        <v/>
      </c>
      <c r="F22" s="218" t="str">
        <f>IF(B22="","",(Inputs!$K84*(VLOOKUP(Inputs!$D84&amp;"CO",'Emission Factors'!$C$4:$D$59,2,FALSE))/2000))</f>
        <v/>
      </c>
      <c r="G22" s="218" t="str">
        <f>IF(B22="","",(Inputs!$K84*(VLOOKUP(Inputs!$D84&amp;"NOX",'Emission Factors'!$C$4:$D$59,2,FALSE))/2000))</f>
        <v/>
      </c>
      <c r="H22" s="218" t="str">
        <f>IF(B22="","",(IF(Inputs!$D84=Inputs!$M$20,Inputs!$K84*38*Inputs!$G84,IF(Inputs!$D84=Inputs!$M$21,Inputs!$K84*35*Inputs!$G84,IF(Inputs!$D84=Inputs!$M$25,Inputs!$K84*142*Inputs!$G84,IF(Inputs!$D84=Inputs!$M$26,Inputs!$K84*157*Inputs!$G84,IF(Inputs!$D84=Inputs!$M$22,Inputs!$K84*142*Inputs!$G84,Inputs!$K84*(VLOOKUP(Inputs!$D84&amp;"SO2",'Emission Factors'!$C$4:$D$59,2,FALSE))))))))/2000)</f>
        <v/>
      </c>
      <c r="I22" s="218" t="str">
        <f>IF(B22="","",(Inputs!$K84*(VLOOKUP(Inputs!$D84&amp;"VOC",'Emission Factors'!$C$4:$D$59,2,FALSE))/2000))</f>
        <v/>
      </c>
      <c r="J22" s="218" t="str">
        <f>IF(B22="","",(IF(Inputs!$D84=Inputs!$M$26,Inputs!$K84*(8.34*(1.12*Inputs!$G84+0.37)+1.5),Inputs!$K84*(VLOOKUP(Inputs!$D84&amp;"Total PM",'Emission Factors'!$C$4:$D$59,2,FALSE))))/2000)</f>
        <v/>
      </c>
      <c r="K22" s="218" t="str">
        <f>IF(B22="","",(IF(Inputs!$D84=Inputs!$M$26,((Inputs!$K84*7.17*(1.12*Inputs!$G84+0.37))+1.5),Inputs!$K84*(VLOOKUP(Inputs!$D84&amp;"PM10",'Emission Factors'!$C$4:$D$59,2,FALSE))))/2000)</f>
        <v/>
      </c>
      <c r="L22" s="219" t="str">
        <f>IF(B22="","",(IF(Inputs!$D84=Inputs!$M$26,((Inputs!$K84*4.67*(1.12*Inputs!$G84+0.37))+1.5),Inputs!$K84*(VLOOKUP(Inputs!$D84&amp;"PM2.5",'Emission Factors'!$C$4:$D$59,2,FALSE))))/2000)</f>
        <v/>
      </c>
    </row>
    <row r="23" spans="1:12" x14ac:dyDescent="0.25">
      <c r="A23" s="4"/>
      <c r="B23" s="222" t="str">
        <f>IF(Inputs!$B85="","",Inputs!$B85)</f>
        <v/>
      </c>
      <c r="C23" s="223" t="str">
        <f>IF(Inputs!$C85="","",Inputs!$C85)</f>
        <v/>
      </c>
      <c r="D23" s="223" t="str">
        <f>IF(Inputs!$D85="","",Inputs!$D85)</f>
        <v/>
      </c>
      <c r="E23" s="316" t="str">
        <f>IF(B23="","",IF(D23="Wood",Inputs!K85,VLOOKUP(D23,'Fuel Energy Content'!$A$15:$B$21,2,FALSE)*Inputs!K85))</f>
        <v/>
      </c>
      <c r="F23" s="218" t="str">
        <f>IF(B23="","",(Inputs!$K85*(VLOOKUP(Inputs!$D85&amp;"CO",'Emission Factors'!$C$4:$D$59,2,FALSE))/2000))</f>
        <v/>
      </c>
      <c r="G23" s="218" t="str">
        <f>IF(B23="","",(Inputs!$K85*(VLOOKUP(Inputs!$D85&amp;"NOX",'Emission Factors'!$C$4:$D$59,2,FALSE))/2000))</f>
        <v/>
      </c>
      <c r="H23" s="218" t="str">
        <f>IF(B23="","",(IF(Inputs!$D85=Inputs!$M$20,Inputs!$K85*38*Inputs!$G85,IF(Inputs!$D85=Inputs!$M$21,Inputs!$K85*35*Inputs!$G85,IF(Inputs!$D85=Inputs!$M$25,Inputs!$K85*142*Inputs!$G85,IF(Inputs!$D85=Inputs!$M$26,Inputs!$K85*157*Inputs!$G85,IF(Inputs!$D85=Inputs!$M$22,Inputs!$K85*142*Inputs!$G85,Inputs!$K85*(VLOOKUP(Inputs!$D85&amp;"SO2",'Emission Factors'!$C$4:$D$59,2,FALSE))))))))/2000)</f>
        <v/>
      </c>
      <c r="I23" s="218" t="str">
        <f>IF(B23="","",(Inputs!$K85*(VLOOKUP(Inputs!$D85&amp;"VOC",'Emission Factors'!$C$4:$D$59,2,FALSE))/2000))</f>
        <v/>
      </c>
      <c r="J23" s="218" t="str">
        <f>IF(B23="","",(IF(Inputs!$D85=Inputs!$M$26,Inputs!$K85*(8.34*(1.12*Inputs!$G85+0.37)+1.5),Inputs!$K85*(VLOOKUP(Inputs!$D85&amp;"Total PM",'Emission Factors'!$C$4:$D$59,2,FALSE))))/2000)</f>
        <v/>
      </c>
      <c r="K23" s="218" t="str">
        <f>IF(B23="","",(IF(Inputs!$D85=Inputs!$M$26,((Inputs!$K85*7.17*(1.12*Inputs!$G85+0.37))+1.5),Inputs!$K85*(VLOOKUP(Inputs!$D85&amp;"PM10",'Emission Factors'!$C$4:$D$59,2,FALSE))))/2000)</f>
        <v/>
      </c>
      <c r="L23" s="219" t="str">
        <f>IF(B23="","",(IF(Inputs!$D85=Inputs!$M$26,((Inputs!$K85*4.67*(1.12*Inputs!$G85+0.37))+1.5),Inputs!$K85*(VLOOKUP(Inputs!$D85&amp;"PM2.5",'Emission Factors'!$C$4:$D$59,2,FALSE))))/2000)</f>
        <v/>
      </c>
    </row>
    <row r="24" spans="1:12" x14ac:dyDescent="0.25">
      <c r="A24" s="4"/>
      <c r="B24" s="222" t="str">
        <f>IF(Inputs!$B86="","",Inputs!$B86)</f>
        <v/>
      </c>
      <c r="C24" s="223" t="str">
        <f>IF(Inputs!$C86="","",Inputs!$C86)</f>
        <v/>
      </c>
      <c r="D24" s="223" t="str">
        <f>IF(Inputs!$D86="","",Inputs!$D86)</f>
        <v/>
      </c>
      <c r="E24" s="316" t="str">
        <f>IF(B24="","",IF(D24="Wood",Inputs!K86,VLOOKUP(D24,'Fuel Energy Content'!$A$15:$B$21,2,FALSE)*Inputs!K86))</f>
        <v/>
      </c>
      <c r="F24" s="218" t="str">
        <f>IF(B24="","",(Inputs!$K86*(VLOOKUP(Inputs!$D86&amp;"CO",'Emission Factors'!$C$4:$D$59,2,FALSE))/2000))</f>
        <v/>
      </c>
      <c r="G24" s="218" t="str">
        <f>IF(B24="","",(Inputs!$K86*(VLOOKUP(Inputs!$D86&amp;"NOX",'Emission Factors'!$C$4:$D$59,2,FALSE))/2000))</f>
        <v/>
      </c>
      <c r="H24" s="218" t="str">
        <f>IF(B24="","",(IF(Inputs!$D86=Inputs!$M$20,Inputs!$K86*38*Inputs!$G86,IF(Inputs!$D86=Inputs!$M$21,Inputs!$K86*35*Inputs!$G86,IF(Inputs!$D86=Inputs!$M$25,Inputs!$K86*142*Inputs!$G86,IF(Inputs!$D86=Inputs!$M$26,Inputs!$K86*157*Inputs!$G86,IF(Inputs!$D86=Inputs!$M$22,Inputs!$K86*142*Inputs!$G86,Inputs!$K86*(VLOOKUP(Inputs!$D86&amp;"SO2",'Emission Factors'!$C$4:$D$59,2,FALSE))))))))/2000)</f>
        <v/>
      </c>
      <c r="I24" s="218" t="str">
        <f>IF(B24="","",(Inputs!$K86*(VLOOKUP(Inputs!$D86&amp;"VOC",'Emission Factors'!$C$4:$D$59,2,FALSE))/2000))</f>
        <v/>
      </c>
      <c r="J24" s="218" t="str">
        <f>IF(B24="","",(IF(Inputs!$D86=Inputs!$M$26,Inputs!$K86*(8.34*(1.12*Inputs!$G86+0.37)+1.5),Inputs!$K86*(VLOOKUP(Inputs!$D86&amp;"Total PM",'Emission Factors'!$C$4:$D$59,2,FALSE))))/2000)</f>
        <v/>
      </c>
      <c r="K24" s="218" t="str">
        <f>IF(B24="","",(IF(Inputs!$D86=Inputs!$M$26,((Inputs!$K86*7.17*(1.12*Inputs!$G86+0.37))+1.5),Inputs!$K86*(VLOOKUP(Inputs!$D86&amp;"PM10",'Emission Factors'!$C$4:$D$59,2,FALSE))))/2000)</f>
        <v/>
      </c>
      <c r="L24" s="219" t="str">
        <f>IF(B24="","",(IF(Inputs!$D86=Inputs!$M$26,((Inputs!$K86*4.67*(1.12*Inputs!$G86+0.37))+1.5),Inputs!$K86*(VLOOKUP(Inputs!$D86&amp;"PM2.5",'Emission Factors'!$C$4:$D$59,2,FALSE))))/2000)</f>
        <v/>
      </c>
    </row>
    <row r="25" spans="1:12" x14ac:dyDescent="0.25">
      <c r="A25" s="4"/>
      <c r="B25" s="222" t="str">
        <f>IF(Inputs!$B87="","",Inputs!$B87)</f>
        <v/>
      </c>
      <c r="C25" s="223" t="str">
        <f>IF(Inputs!$C87="","",Inputs!$C87)</f>
        <v/>
      </c>
      <c r="D25" s="223" t="str">
        <f>IF(Inputs!$D87="","",Inputs!$D87)</f>
        <v/>
      </c>
      <c r="E25" s="316" t="str">
        <f>IF(B25="","",IF(D25="Wood",Inputs!K87,VLOOKUP(D25,'Fuel Energy Content'!$A$15:$B$21,2,FALSE)*Inputs!K87))</f>
        <v/>
      </c>
      <c r="F25" s="218" t="str">
        <f>IF(B25="","",(Inputs!$K87*(VLOOKUP(Inputs!$D87&amp;"CO",'Emission Factors'!$C$4:$D$59,2,FALSE))/2000))</f>
        <v/>
      </c>
      <c r="G25" s="218" t="str">
        <f>IF(B25="","",(Inputs!$K87*(VLOOKUP(Inputs!$D87&amp;"NOX",'Emission Factors'!$C$4:$D$59,2,FALSE))/2000))</f>
        <v/>
      </c>
      <c r="H25" s="218" t="str">
        <f>IF(B25="","",(IF(Inputs!$D87=Inputs!$M$20,Inputs!$K87*38*Inputs!$G87,IF(Inputs!$D87=Inputs!$M$21,Inputs!$K87*35*Inputs!$G87,IF(Inputs!$D87=Inputs!$M$25,Inputs!$K87*142*Inputs!$G87,IF(Inputs!$D87=Inputs!$M$26,Inputs!$K87*157*Inputs!$G87,IF(Inputs!$D87=Inputs!$M$22,Inputs!$K87*142*Inputs!$G87,Inputs!$K87*(VLOOKUP(Inputs!$D87&amp;"SO2",'Emission Factors'!$C$4:$D$59,2,FALSE))))))))/2000)</f>
        <v/>
      </c>
      <c r="I25" s="218" t="str">
        <f>IF(B25="","",(Inputs!$K87*(VLOOKUP(Inputs!$D87&amp;"VOC",'Emission Factors'!$C$4:$D$59,2,FALSE))/2000))</f>
        <v/>
      </c>
      <c r="J25" s="218" t="str">
        <f>IF(B25="","",(IF(Inputs!$D87=Inputs!$M$26,Inputs!$K87*(8.34*(1.12*Inputs!$G87+0.37)+1.5),Inputs!$K87*(VLOOKUP(Inputs!$D87&amp;"Total PM",'Emission Factors'!$C$4:$D$59,2,FALSE))))/2000)</f>
        <v/>
      </c>
      <c r="K25" s="218" t="str">
        <f>IF(B25="","",(IF(Inputs!$D87=Inputs!$M$26,((Inputs!$K87*7.17*(1.12*Inputs!$G87+0.37))+1.5),Inputs!$K87*(VLOOKUP(Inputs!$D87&amp;"PM10",'Emission Factors'!$C$4:$D$59,2,FALSE))))/2000)</f>
        <v/>
      </c>
      <c r="L25" s="219" t="str">
        <f>IF(B25="","",(IF(Inputs!$D87=Inputs!$M$26,((Inputs!$K87*4.67*(1.12*Inputs!$G87+0.37))+1.5),Inputs!$K87*(VLOOKUP(Inputs!$D87&amp;"PM2.5",'Emission Factors'!$C$4:$D$59,2,FALSE))))/2000)</f>
        <v/>
      </c>
    </row>
    <row r="26" spans="1:12" x14ac:dyDescent="0.25">
      <c r="A26" s="4"/>
      <c r="B26" s="222" t="str">
        <f>IF(Inputs!$B88="","",Inputs!$B88)</f>
        <v/>
      </c>
      <c r="C26" s="223" t="str">
        <f>IF(Inputs!$C88="","",Inputs!$C88)</f>
        <v/>
      </c>
      <c r="D26" s="223" t="str">
        <f>IF(Inputs!$D88="","",Inputs!$D88)</f>
        <v/>
      </c>
      <c r="E26" s="316" t="str">
        <f>IF(B26="","",IF(D26="Wood",Inputs!K88,VLOOKUP(D26,'Fuel Energy Content'!$A$15:$B$21,2,FALSE)*Inputs!K88))</f>
        <v/>
      </c>
      <c r="F26" s="218" t="str">
        <f>IF(B26="","",(Inputs!$K88*(VLOOKUP(Inputs!$D88&amp;"CO",'Emission Factors'!$C$4:$D$59,2,FALSE))/2000))</f>
        <v/>
      </c>
      <c r="G26" s="218" t="str">
        <f>IF(B26="","",(Inputs!$K88*(VLOOKUP(Inputs!$D88&amp;"NOX",'Emission Factors'!$C$4:$D$59,2,FALSE))/2000))</f>
        <v/>
      </c>
      <c r="H26" s="218" t="str">
        <f>IF(B26="","",(IF(Inputs!$D88=Inputs!$M$20,Inputs!$K88*38*Inputs!$G88,IF(Inputs!$D88=Inputs!$M$21,Inputs!$K88*35*Inputs!$G88,IF(Inputs!$D88=Inputs!$M$25,Inputs!$K88*142*Inputs!$G88,IF(Inputs!$D88=Inputs!$M$26,Inputs!$K88*157*Inputs!$G88,IF(Inputs!$D88=Inputs!$M$22,Inputs!$K88*142*Inputs!$G88,Inputs!$K88*(VLOOKUP(Inputs!$D88&amp;"SO2",'Emission Factors'!$C$4:$D$59,2,FALSE))))))))/2000)</f>
        <v/>
      </c>
      <c r="I26" s="218" t="str">
        <f>IF(B26="","",(Inputs!$K88*(VLOOKUP(Inputs!$D88&amp;"VOC",'Emission Factors'!$C$4:$D$59,2,FALSE))/2000))</f>
        <v/>
      </c>
      <c r="J26" s="218" t="str">
        <f>IF(B26="","",(IF(Inputs!$D88=Inputs!$M$26,Inputs!$K88*(8.34*(1.12*Inputs!$G88+0.37)+1.5),Inputs!$K88*(VLOOKUP(Inputs!$D88&amp;"Total PM",'Emission Factors'!$C$4:$D$59,2,FALSE))))/2000)</f>
        <v/>
      </c>
      <c r="K26" s="218" t="str">
        <f>IF(B26="","",(IF(Inputs!$D88=Inputs!$M$26,((Inputs!$K88*7.17*(1.12*Inputs!$G88+0.37))+1.5),Inputs!$K88*(VLOOKUP(Inputs!$D88&amp;"PM10",'Emission Factors'!$C$4:$D$59,2,FALSE))))/2000)</f>
        <v/>
      </c>
      <c r="L26" s="219" t="str">
        <f>IF(B26="","",(IF(Inputs!$D88=Inputs!$M$26,((Inputs!$K88*4.67*(1.12*Inputs!$G88+0.37))+1.5),Inputs!$K88*(VLOOKUP(Inputs!$D88&amp;"PM2.5",'Emission Factors'!$C$4:$D$59,2,FALSE))))/2000)</f>
        <v/>
      </c>
    </row>
    <row r="27" spans="1:12" x14ac:dyDescent="0.25">
      <c r="A27" s="4"/>
      <c r="B27" s="222" t="str">
        <f>IF(Inputs!$B89="","",Inputs!$B89)</f>
        <v/>
      </c>
      <c r="C27" s="223" t="str">
        <f>IF(Inputs!$C89="","",Inputs!$C89)</f>
        <v/>
      </c>
      <c r="D27" s="223" t="str">
        <f>IF(Inputs!$D89="","",Inputs!$D89)</f>
        <v/>
      </c>
      <c r="E27" s="316" t="str">
        <f>IF(B27="","",IF(D27="Wood",Inputs!K89,VLOOKUP(D27,'Fuel Energy Content'!$A$15:$B$21,2,FALSE)*Inputs!K89))</f>
        <v/>
      </c>
      <c r="F27" s="218" t="str">
        <f>IF(B27="","",(Inputs!$K89*(VLOOKUP(Inputs!$D89&amp;"CO",'Emission Factors'!$C$4:$D$59,2,FALSE))/2000))</f>
        <v/>
      </c>
      <c r="G27" s="218" t="str">
        <f>IF(B27="","",(Inputs!$K89*(VLOOKUP(Inputs!$D89&amp;"NOX",'Emission Factors'!$C$4:$D$59,2,FALSE))/2000))</f>
        <v/>
      </c>
      <c r="H27" s="218" t="str">
        <f>IF(B27="","",(IF(Inputs!$D89=Inputs!$M$20,Inputs!$K89*38*Inputs!$G89,IF(Inputs!$D89=Inputs!$M$21,Inputs!$K89*35*Inputs!$G89,IF(Inputs!$D89=Inputs!$M$25,Inputs!$K89*142*Inputs!$G89,IF(Inputs!$D89=Inputs!$M$26,Inputs!$K89*157*Inputs!$G89,IF(Inputs!$D89=Inputs!$M$22,Inputs!$K89*142*Inputs!$G89,Inputs!$K89*(VLOOKUP(Inputs!$D89&amp;"SO2",'Emission Factors'!$C$4:$D$59,2,FALSE))))))))/2000)</f>
        <v/>
      </c>
      <c r="I27" s="218" t="str">
        <f>IF(B27="","",(Inputs!$K89*(VLOOKUP(Inputs!$D89&amp;"VOC",'Emission Factors'!$C$4:$D$59,2,FALSE))/2000))</f>
        <v/>
      </c>
      <c r="J27" s="218" t="str">
        <f>IF(B27="","",(IF(Inputs!$D89=Inputs!$M$26,Inputs!$K89*(8.34*(1.12*Inputs!$G89+0.37)+1.5),Inputs!$K89*(VLOOKUP(Inputs!$D89&amp;"Total PM",'Emission Factors'!$C$4:$D$59,2,FALSE))))/2000)</f>
        <v/>
      </c>
      <c r="K27" s="218" t="str">
        <f>IF(B27="","",(IF(Inputs!$D89=Inputs!$M$26,((Inputs!$K89*7.17*(1.12*Inputs!$G89+0.37))+1.5),Inputs!$K89*(VLOOKUP(Inputs!$D89&amp;"PM10",'Emission Factors'!$C$4:$D$59,2,FALSE))))/2000)</f>
        <v/>
      </c>
      <c r="L27" s="219" t="str">
        <f>IF(B27="","",(IF(Inputs!$D89=Inputs!$M$26,((Inputs!$K89*4.67*(1.12*Inputs!$G89+0.37))+1.5),Inputs!$K89*(VLOOKUP(Inputs!$D89&amp;"PM2.5",'Emission Factors'!$C$4:$D$59,2,FALSE))))/2000)</f>
        <v/>
      </c>
    </row>
    <row r="28" spans="1:12" x14ac:dyDescent="0.25">
      <c r="A28" s="4"/>
      <c r="B28" s="222" t="str">
        <f>IF(Inputs!$B90="","",Inputs!$B90)</f>
        <v/>
      </c>
      <c r="C28" s="223" t="str">
        <f>IF(Inputs!$C90="","",Inputs!$C90)</f>
        <v/>
      </c>
      <c r="D28" s="223" t="str">
        <f>IF(Inputs!$D90="","",Inputs!$D90)</f>
        <v/>
      </c>
      <c r="E28" s="316" t="str">
        <f>IF(B28="","",IF(D28="Wood",Inputs!K90,VLOOKUP(D28,'Fuel Energy Content'!$A$15:$B$21,2,FALSE)*Inputs!K90))</f>
        <v/>
      </c>
      <c r="F28" s="218" t="str">
        <f>IF(B28="","",(Inputs!$K90*(VLOOKUP(Inputs!$D90&amp;"CO",'Emission Factors'!$C$4:$D$59,2,FALSE))/2000))</f>
        <v/>
      </c>
      <c r="G28" s="218" t="str">
        <f>IF(B28="","",(Inputs!$K90*(VLOOKUP(Inputs!$D90&amp;"NOX",'Emission Factors'!$C$4:$D$59,2,FALSE))/2000))</f>
        <v/>
      </c>
      <c r="H28" s="218" t="str">
        <f>IF(B28="","",(IF(Inputs!$D90=Inputs!$M$20,Inputs!$K90*38*Inputs!$G90,IF(Inputs!$D90=Inputs!$M$21,Inputs!$K90*35*Inputs!$G90,IF(Inputs!$D90=Inputs!$M$25,Inputs!$K90*142*Inputs!$G90,IF(Inputs!$D90=Inputs!$M$26,Inputs!$K90*157*Inputs!$G90,IF(Inputs!$D90=Inputs!$M$22,Inputs!$K90*142*Inputs!$G90,Inputs!$K90*(VLOOKUP(Inputs!$D90&amp;"SO2",'Emission Factors'!$C$4:$D$59,2,FALSE))))))))/2000)</f>
        <v/>
      </c>
      <c r="I28" s="218" t="str">
        <f>IF(B28="","",(Inputs!$K90*(VLOOKUP(Inputs!$D90&amp;"VOC",'Emission Factors'!$C$4:$D$59,2,FALSE))/2000))</f>
        <v/>
      </c>
      <c r="J28" s="218" t="str">
        <f>IF(B28="","",(IF(Inputs!$D90=Inputs!$M$26,Inputs!$K90*(8.34*(1.12*Inputs!$G90+0.37)+1.5),Inputs!$K90*(VLOOKUP(Inputs!$D90&amp;"Total PM",'Emission Factors'!$C$4:$D$59,2,FALSE))))/2000)</f>
        <v/>
      </c>
      <c r="K28" s="218" t="str">
        <f>IF(B28="","",(IF(Inputs!$D90=Inputs!$M$26,((Inputs!$K90*7.17*(1.12*Inputs!$G90+0.37))+1.5),Inputs!$K90*(VLOOKUP(Inputs!$D90&amp;"PM10",'Emission Factors'!$C$4:$D$59,2,FALSE))))/2000)</f>
        <v/>
      </c>
      <c r="L28" s="219" t="str">
        <f>IF(B28="","",(IF(Inputs!$D90=Inputs!$M$26,((Inputs!$K90*4.67*(1.12*Inputs!$G90+0.37))+1.5),Inputs!$K90*(VLOOKUP(Inputs!$D90&amp;"PM2.5",'Emission Factors'!$C$4:$D$59,2,FALSE))))/2000)</f>
        <v/>
      </c>
    </row>
    <row r="29" spans="1:12" x14ac:dyDescent="0.25">
      <c r="A29" s="4"/>
      <c r="B29" s="222" t="str">
        <f>IF(Inputs!$B91="","",Inputs!$B91)</f>
        <v/>
      </c>
      <c r="C29" s="223" t="str">
        <f>IF(Inputs!$C91="","",Inputs!$C91)</f>
        <v/>
      </c>
      <c r="D29" s="223" t="str">
        <f>IF(Inputs!$D91="","",Inputs!$D91)</f>
        <v/>
      </c>
      <c r="E29" s="316" t="str">
        <f>IF(B29="","",IF(D29="Wood",Inputs!K91,VLOOKUP(D29,'Fuel Energy Content'!$A$15:$B$21,2,FALSE)*Inputs!K91))</f>
        <v/>
      </c>
      <c r="F29" s="218" t="str">
        <f>IF(B29="","",(Inputs!$K91*(VLOOKUP(Inputs!$D91&amp;"CO",'Emission Factors'!$C$4:$D$59,2,FALSE))/2000))</f>
        <v/>
      </c>
      <c r="G29" s="218" t="str">
        <f>IF(B29="","",(Inputs!$K91*(VLOOKUP(Inputs!$D91&amp;"NOX",'Emission Factors'!$C$4:$D$59,2,FALSE))/2000))</f>
        <v/>
      </c>
      <c r="H29" s="218" t="str">
        <f>IF(B29="","",(IF(Inputs!$D91=Inputs!$M$20,Inputs!$K91*38*Inputs!$G91,IF(Inputs!$D91=Inputs!$M$21,Inputs!$K91*35*Inputs!$G91,IF(Inputs!$D91=Inputs!$M$25,Inputs!$K91*142*Inputs!$G91,IF(Inputs!$D91=Inputs!$M$26,Inputs!$K91*157*Inputs!$G91,IF(Inputs!$D91=Inputs!$M$22,Inputs!$K91*142*Inputs!$G91,Inputs!$K91*(VLOOKUP(Inputs!$D91&amp;"SO2",'Emission Factors'!$C$4:$D$59,2,FALSE))))))))/2000)</f>
        <v/>
      </c>
      <c r="I29" s="218" t="str">
        <f>IF(B29="","",(Inputs!$K91*(VLOOKUP(Inputs!$D91&amp;"VOC",'Emission Factors'!$C$4:$D$59,2,FALSE))/2000))</f>
        <v/>
      </c>
      <c r="J29" s="218" t="str">
        <f>IF(B29="","",(IF(Inputs!$D91=Inputs!$M$26,Inputs!$K91*(8.34*(1.12*Inputs!$G91+0.37)+1.5),Inputs!$K91*(VLOOKUP(Inputs!$D91&amp;"Total PM",'Emission Factors'!$C$4:$D$59,2,FALSE))))/2000)</f>
        <v/>
      </c>
      <c r="K29" s="218" t="str">
        <f>IF(B29="","",(IF(Inputs!$D91=Inputs!$M$26,((Inputs!$K91*7.17*(1.12*Inputs!$G91+0.37))+1.5),Inputs!$K91*(VLOOKUP(Inputs!$D91&amp;"PM10",'Emission Factors'!$C$4:$D$59,2,FALSE))))/2000)</f>
        <v/>
      </c>
      <c r="L29" s="219" t="str">
        <f>IF(B29="","",(IF(Inputs!$D91=Inputs!$M$26,((Inputs!$K91*4.67*(1.12*Inputs!$G91+0.37))+1.5),Inputs!$K91*(VLOOKUP(Inputs!$D91&amp;"PM2.5",'Emission Factors'!$C$4:$D$59,2,FALSE))))/2000)</f>
        <v/>
      </c>
    </row>
    <row r="30" spans="1:12" x14ac:dyDescent="0.25">
      <c r="A30" s="4"/>
      <c r="B30" s="222" t="str">
        <f>IF(Inputs!$B92="","",Inputs!$B92)</f>
        <v/>
      </c>
      <c r="C30" s="223" t="str">
        <f>IF(Inputs!$C92="","",Inputs!$C92)</f>
        <v/>
      </c>
      <c r="D30" s="223" t="str">
        <f>IF(Inputs!$D92="","",Inputs!$D92)</f>
        <v/>
      </c>
      <c r="E30" s="316" t="str">
        <f>IF(B30="","",IF(D30="Wood",Inputs!K92,VLOOKUP(D30,'Fuel Energy Content'!$A$15:$B$21,2,FALSE)*Inputs!K92))</f>
        <v/>
      </c>
      <c r="F30" s="218" t="str">
        <f>IF(B30="","",(Inputs!$K92*(VLOOKUP(Inputs!$D92&amp;"CO",'Emission Factors'!$C$4:$D$59,2,FALSE))/2000))</f>
        <v/>
      </c>
      <c r="G30" s="218" t="str">
        <f>IF(B30="","",(Inputs!$K92*(VLOOKUP(Inputs!$D92&amp;"NOX",'Emission Factors'!$C$4:$D$59,2,FALSE))/2000))</f>
        <v/>
      </c>
      <c r="H30" s="218" t="str">
        <f>IF(B30="","",(IF(Inputs!$D92=Inputs!$M$20,Inputs!$K92*38*Inputs!$G92,IF(Inputs!$D92=Inputs!$M$21,Inputs!$K92*35*Inputs!$G92,IF(Inputs!$D92=Inputs!$M$25,Inputs!$K92*142*Inputs!$G92,IF(Inputs!$D92=Inputs!$M$26,Inputs!$K92*157*Inputs!$G92,IF(Inputs!$D92=Inputs!$M$22,Inputs!$K92*142*Inputs!$G92,Inputs!$K92*(VLOOKUP(Inputs!$D92&amp;"SO2",'Emission Factors'!$C$4:$D$59,2,FALSE))))))))/2000)</f>
        <v/>
      </c>
      <c r="I30" s="218" t="str">
        <f>IF(B30="","",(Inputs!$K92*(VLOOKUP(Inputs!$D92&amp;"VOC",'Emission Factors'!$C$4:$D$59,2,FALSE))/2000))</f>
        <v/>
      </c>
      <c r="J30" s="218" t="str">
        <f>IF(B30="","",(IF(Inputs!$D92=Inputs!$M$26,Inputs!$K92*(8.34*(1.12*Inputs!$G92+0.37)+1.5),Inputs!$K92*(VLOOKUP(Inputs!$D92&amp;"Total PM",'Emission Factors'!$C$4:$D$59,2,FALSE))))/2000)</f>
        <v/>
      </c>
      <c r="K30" s="218" t="str">
        <f>IF(B30="","",(IF(Inputs!$D92=Inputs!$M$26,((Inputs!$K92*7.17*(1.12*Inputs!$G92+0.37))+1.5),Inputs!$K92*(VLOOKUP(Inputs!$D92&amp;"PM10",'Emission Factors'!$C$4:$D$59,2,FALSE))))/2000)</f>
        <v/>
      </c>
      <c r="L30" s="219" t="str">
        <f>IF(B30="","",(IF(Inputs!$D92=Inputs!$M$26,((Inputs!$K92*4.67*(1.12*Inputs!$G92+0.37))+1.5),Inputs!$K92*(VLOOKUP(Inputs!$D92&amp;"PM2.5",'Emission Factors'!$C$4:$D$59,2,FALSE))))/2000)</f>
        <v/>
      </c>
    </row>
    <row r="31" spans="1:12" x14ac:dyDescent="0.25">
      <c r="A31" s="4"/>
      <c r="B31" s="222" t="str">
        <f>IF(Inputs!$B93="","",Inputs!$B93)</f>
        <v/>
      </c>
      <c r="C31" s="223" t="str">
        <f>IF(Inputs!$C93="","",Inputs!$C93)</f>
        <v/>
      </c>
      <c r="D31" s="223" t="str">
        <f>IF(Inputs!$D93="","",Inputs!$D93)</f>
        <v/>
      </c>
      <c r="E31" s="316" t="str">
        <f>IF(B31="","",IF(D31="Wood",Inputs!K93,VLOOKUP(D31,'Fuel Energy Content'!$A$15:$B$21,2,FALSE)*Inputs!K93))</f>
        <v/>
      </c>
      <c r="F31" s="218" t="str">
        <f>IF(B31="","",(Inputs!$K93*(VLOOKUP(Inputs!$D93&amp;"CO",'Emission Factors'!$C$4:$D$59,2,FALSE))/2000))</f>
        <v/>
      </c>
      <c r="G31" s="218" t="str">
        <f>IF(B31="","",(Inputs!$K93*(VLOOKUP(Inputs!$D93&amp;"NOX",'Emission Factors'!$C$4:$D$59,2,FALSE))/2000))</f>
        <v/>
      </c>
      <c r="H31" s="218" t="str">
        <f>IF(B31="","",(IF(Inputs!$D93=Inputs!$M$20,Inputs!$K93*38*Inputs!$G93,IF(Inputs!$D93=Inputs!$M$21,Inputs!$K93*35*Inputs!$G93,IF(Inputs!$D93=Inputs!$M$25,Inputs!$K93*142*Inputs!$G93,IF(Inputs!$D93=Inputs!$M$26,Inputs!$K93*157*Inputs!$G93,IF(Inputs!$D93=Inputs!$M$22,Inputs!$K93*142*Inputs!$G93,Inputs!$K93*(VLOOKUP(Inputs!$D93&amp;"SO2",'Emission Factors'!$C$4:$D$59,2,FALSE))))))))/2000)</f>
        <v/>
      </c>
      <c r="I31" s="218" t="str">
        <f>IF(B31="","",(Inputs!$K93*(VLOOKUP(Inputs!$D93&amp;"VOC",'Emission Factors'!$C$4:$D$59,2,FALSE))/2000))</f>
        <v/>
      </c>
      <c r="J31" s="218" t="str">
        <f>IF(B31="","",(IF(Inputs!$D93=Inputs!$M$26,Inputs!$K93*(8.34*(1.12*Inputs!$G93+0.37)+1.5),Inputs!$K93*(VLOOKUP(Inputs!$D93&amp;"Total PM",'Emission Factors'!$C$4:$D$59,2,FALSE))))/2000)</f>
        <v/>
      </c>
      <c r="K31" s="218" t="str">
        <f>IF(B31="","",(IF(Inputs!$D93=Inputs!$M$26,((Inputs!$K93*7.17*(1.12*Inputs!$G93+0.37))+1.5),Inputs!$K93*(VLOOKUP(Inputs!$D93&amp;"PM10",'Emission Factors'!$C$4:$D$59,2,FALSE))))/2000)</f>
        <v/>
      </c>
      <c r="L31" s="219" t="str">
        <f>IF(B31="","",(IF(Inputs!$D93=Inputs!$M$26,((Inputs!$K93*4.67*(1.12*Inputs!$G93+0.37))+1.5),Inputs!$K93*(VLOOKUP(Inputs!$D93&amp;"PM2.5",'Emission Factors'!$C$4:$D$59,2,FALSE))))/2000)</f>
        <v/>
      </c>
    </row>
    <row r="32" spans="1:12" x14ac:dyDescent="0.25">
      <c r="A32" s="4"/>
      <c r="B32" s="222" t="str">
        <f>IF(Inputs!$B94="","",Inputs!$B94)</f>
        <v/>
      </c>
      <c r="C32" s="223" t="str">
        <f>IF(Inputs!$C94="","",Inputs!$C94)</f>
        <v/>
      </c>
      <c r="D32" s="223" t="str">
        <f>IF(Inputs!$D94="","",Inputs!$D94)</f>
        <v/>
      </c>
      <c r="E32" s="316" t="str">
        <f>IF(B32="","",IF(D32="Wood",Inputs!K94,VLOOKUP(D32,'Fuel Energy Content'!$A$15:$B$21,2,FALSE)*Inputs!K94))</f>
        <v/>
      </c>
      <c r="F32" s="218" t="str">
        <f>IF(B32="","",(Inputs!$K94*(VLOOKUP(Inputs!$D94&amp;"CO",'Emission Factors'!$C$4:$D$59,2,FALSE))/2000))</f>
        <v/>
      </c>
      <c r="G32" s="218" t="str">
        <f>IF(B32="","",(Inputs!$K94*(VLOOKUP(Inputs!$D94&amp;"NOX",'Emission Factors'!$C$4:$D$59,2,FALSE))/2000))</f>
        <v/>
      </c>
      <c r="H32" s="218" t="str">
        <f>IF(B32="","",(IF(Inputs!$D94=Inputs!$M$20,Inputs!$K94*38*Inputs!$G94,IF(Inputs!$D94=Inputs!$M$21,Inputs!$K94*35*Inputs!$G94,IF(Inputs!$D94=Inputs!$M$25,Inputs!$K94*142*Inputs!$G94,IF(Inputs!$D94=Inputs!$M$26,Inputs!$K94*157*Inputs!$G94,IF(Inputs!$D94=Inputs!$M$22,Inputs!$K94*142*Inputs!$G94,Inputs!$K94*(VLOOKUP(Inputs!$D94&amp;"SO2",'Emission Factors'!$C$4:$D$59,2,FALSE))))))))/2000)</f>
        <v/>
      </c>
      <c r="I32" s="218" t="str">
        <f>IF(B32="","",(Inputs!$K94*(VLOOKUP(Inputs!$D94&amp;"VOC",'Emission Factors'!$C$4:$D$59,2,FALSE))/2000))</f>
        <v/>
      </c>
      <c r="J32" s="218" t="str">
        <f>IF(B32="","",(IF(Inputs!$D94=Inputs!$M$26,Inputs!$K94*(8.34*(1.12*Inputs!$G94+0.37)+1.5),Inputs!$K94*(VLOOKUP(Inputs!$D94&amp;"Total PM",'Emission Factors'!$C$4:$D$59,2,FALSE))))/2000)</f>
        <v/>
      </c>
      <c r="K32" s="218" t="str">
        <f>IF(B32="","",(IF(Inputs!$D94=Inputs!$M$26,((Inputs!$K94*7.17*(1.12*Inputs!$G94+0.37))+1.5),Inputs!$K94*(VLOOKUP(Inputs!$D94&amp;"PM10",'Emission Factors'!$C$4:$D$59,2,FALSE))))/2000)</f>
        <v/>
      </c>
      <c r="L32" s="219" t="str">
        <f>IF(B32="","",(IF(Inputs!$D94=Inputs!$M$26,((Inputs!$K94*4.67*(1.12*Inputs!$G94+0.37))+1.5),Inputs!$K94*(VLOOKUP(Inputs!$D94&amp;"PM2.5",'Emission Factors'!$C$4:$D$59,2,FALSE))))/2000)</f>
        <v/>
      </c>
    </row>
    <row r="33" spans="1:12" x14ac:dyDescent="0.25">
      <c r="A33" s="4"/>
      <c r="B33" s="222" t="str">
        <f>IF(Inputs!$B95="","",Inputs!$B95)</f>
        <v/>
      </c>
      <c r="C33" s="223" t="str">
        <f>IF(Inputs!$C95="","",Inputs!$C95)</f>
        <v/>
      </c>
      <c r="D33" s="223" t="str">
        <f>IF(Inputs!$D95="","",Inputs!$D95)</f>
        <v/>
      </c>
      <c r="E33" s="316" t="str">
        <f>IF(B33="","",IF(D33="Wood",Inputs!K95,VLOOKUP(D33,'Fuel Energy Content'!$A$15:$B$21,2,FALSE)*Inputs!K95))</f>
        <v/>
      </c>
      <c r="F33" s="218" t="str">
        <f>IF(B33="","",(Inputs!$K95*(VLOOKUP(Inputs!$D95&amp;"CO",'Emission Factors'!$C$4:$D$59,2,FALSE))/2000))</f>
        <v/>
      </c>
      <c r="G33" s="218" t="str">
        <f>IF(B33="","",(Inputs!$K95*(VLOOKUP(Inputs!$D95&amp;"NOX",'Emission Factors'!$C$4:$D$59,2,FALSE))/2000))</f>
        <v/>
      </c>
      <c r="H33" s="218" t="str">
        <f>IF(B33="","",(IF(Inputs!$D95=Inputs!$M$20,Inputs!$K95*38*Inputs!$G95,IF(Inputs!$D95=Inputs!$M$21,Inputs!$K95*35*Inputs!$G95,IF(Inputs!$D95=Inputs!$M$25,Inputs!$K95*142*Inputs!$G95,IF(Inputs!$D95=Inputs!$M$26,Inputs!$K95*157*Inputs!$G95,IF(Inputs!$D95=Inputs!$M$22,Inputs!$K95*142*Inputs!$G95,Inputs!$K95*(VLOOKUP(Inputs!$D95&amp;"SO2",'Emission Factors'!$C$4:$D$59,2,FALSE))))))))/2000)</f>
        <v/>
      </c>
      <c r="I33" s="218" t="str">
        <f>IF(B33="","",(Inputs!$K95*(VLOOKUP(Inputs!$D95&amp;"VOC",'Emission Factors'!$C$4:$D$59,2,FALSE))/2000))</f>
        <v/>
      </c>
      <c r="J33" s="218" t="str">
        <f>IF(B33="","",(IF(Inputs!$D95=Inputs!$M$26,Inputs!$K95*(8.34*(1.12*Inputs!$G95+0.37)+1.5),Inputs!$K95*(VLOOKUP(Inputs!$D95&amp;"Total PM",'Emission Factors'!$C$4:$D$59,2,FALSE))))/2000)</f>
        <v/>
      </c>
      <c r="K33" s="218" t="str">
        <f>IF(B33="","",(IF(Inputs!$D95=Inputs!$M$26,((Inputs!$K95*7.17*(1.12*Inputs!$G95+0.37))+1.5),Inputs!$K95*(VLOOKUP(Inputs!$D95&amp;"PM10",'Emission Factors'!$C$4:$D$59,2,FALSE))))/2000)</f>
        <v/>
      </c>
      <c r="L33" s="219" t="str">
        <f>IF(B33="","",(IF(Inputs!$D95=Inputs!$M$26,((Inputs!$K95*4.67*(1.12*Inputs!$G95+0.37))+1.5),Inputs!$K95*(VLOOKUP(Inputs!$D95&amp;"PM2.5",'Emission Factors'!$C$4:$D$59,2,FALSE))))/2000)</f>
        <v/>
      </c>
    </row>
    <row r="34" spans="1:12" x14ac:dyDescent="0.25">
      <c r="A34" s="4"/>
      <c r="B34" s="222" t="str">
        <f>IF(Inputs!$B96="","",Inputs!$B96)</f>
        <v/>
      </c>
      <c r="C34" s="223" t="str">
        <f>IF(Inputs!$C96="","",Inputs!$C96)</f>
        <v/>
      </c>
      <c r="D34" s="223" t="str">
        <f>IF(Inputs!$D96="","",Inputs!$D96)</f>
        <v/>
      </c>
      <c r="E34" s="316" t="str">
        <f>IF(B34="","",IF(D34="Wood",Inputs!K96,VLOOKUP(D34,'Fuel Energy Content'!$A$15:$B$21,2,FALSE)*Inputs!K96))</f>
        <v/>
      </c>
      <c r="F34" s="218" t="str">
        <f>IF(B34="","",(Inputs!$K96*(VLOOKUP(Inputs!$D96&amp;"CO",'Emission Factors'!$C$4:$D$59,2,FALSE))/2000))</f>
        <v/>
      </c>
      <c r="G34" s="218" t="str">
        <f>IF(B34="","",(Inputs!$K96*(VLOOKUP(Inputs!$D96&amp;"NOX",'Emission Factors'!$C$4:$D$59,2,FALSE))/2000))</f>
        <v/>
      </c>
      <c r="H34" s="218" t="str">
        <f>IF(B34="","",(IF(Inputs!$D96=Inputs!$M$20,Inputs!$K96*38*Inputs!$G96,IF(Inputs!$D96=Inputs!$M$21,Inputs!$K96*35*Inputs!$G96,IF(Inputs!$D96=Inputs!$M$25,Inputs!$K96*142*Inputs!$G96,IF(Inputs!$D96=Inputs!$M$26,Inputs!$K96*157*Inputs!$G96,IF(Inputs!$D96=Inputs!$M$22,Inputs!$K96*142*Inputs!$G96,Inputs!$K96*(VLOOKUP(Inputs!$D96&amp;"SO2",'Emission Factors'!$C$4:$D$59,2,FALSE))))))))/2000)</f>
        <v/>
      </c>
      <c r="I34" s="218" t="str">
        <f>IF(B34="","",(Inputs!$K96*(VLOOKUP(Inputs!$D96&amp;"VOC",'Emission Factors'!$C$4:$D$59,2,FALSE))/2000))</f>
        <v/>
      </c>
      <c r="J34" s="218" t="str">
        <f>IF(B34="","",(IF(Inputs!$D96=Inputs!$M$26,Inputs!$K96*(8.34*(1.12*Inputs!$G96+0.37)+1.5),Inputs!$K96*(VLOOKUP(Inputs!$D96&amp;"Total PM",'Emission Factors'!$C$4:$D$59,2,FALSE))))/2000)</f>
        <v/>
      </c>
      <c r="K34" s="218" t="str">
        <f>IF(B34="","",(IF(Inputs!$D96=Inputs!$M$26,((Inputs!$K96*7.17*(1.12*Inputs!$G96+0.37))+1.5),Inputs!$K96*(VLOOKUP(Inputs!$D96&amp;"PM10",'Emission Factors'!$C$4:$D$59,2,FALSE))))/2000)</f>
        <v/>
      </c>
      <c r="L34" s="219" t="str">
        <f>IF(B34="","",(IF(Inputs!$D96=Inputs!$M$26,((Inputs!$K96*4.67*(1.12*Inputs!$G96+0.37))+1.5),Inputs!$K96*(VLOOKUP(Inputs!$D96&amp;"PM2.5",'Emission Factors'!$C$4:$D$59,2,FALSE))))/2000)</f>
        <v/>
      </c>
    </row>
    <row r="35" spans="1:12" x14ac:dyDescent="0.25">
      <c r="A35" s="4"/>
      <c r="B35" s="222" t="str">
        <f>IF(Inputs!$B97="","",Inputs!$B97)</f>
        <v/>
      </c>
      <c r="C35" s="223" t="str">
        <f>IF(Inputs!$C97="","",Inputs!$C97)</f>
        <v/>
      </c>
      <c r="D35" s="223" t="str">
        <f>IF(Inputs!$D97="","",Inputs!$D97)</f>
        <v/>
      </c>
      <c r="E35" s="316" t="str">
        <f>IF(B35="","",IF(D35="Wood",Inputs!K97,VLOOKUP(D35,'Fuel Energy Content'!$A$15:$B$21,2,FALSE)*Inputs!K97))</f>
        <v/>
      </c>
      <c r="F35" s="218" t="str">
        <f>IF(B35="","",(Inputs!$K97*(VLOOKUP(Inputs!$D97&amp;"CO",'Emission Factors'!$C$4:$D$59,2,FALSE))/2000))</f>
        <v/>
      </c>
      <c r="G35" s="218" t="str">
        <f>IF(B35="","",(Inputs!$K97*(VLOOKUP(Inputs!$D97&amp;"NOX",'Emission Factors'!$C$4:$D$59,2,FALSE))/2000))</f>
        <v/>
      </c>
      <c r="H35" s="218" t="str">
        <f>IF(B35="","",(IF(Inputs!$D97=Inputs!$M$20,Inputs!$K97*38*Inputs!$G97,IF(Inputs!$D97=Inputs!$M$21,Inputs!$K97*35*Inputs!$G97,IF(Inputs!$D97=Inputs!$M$25,Inputs!$K97*142*Inputs!$G97,IF(Inputs!$D97=Inputs!$M$26,Inputs!$K97*157*Inputs!$G97,IF(Inputs!$D97=Inputs!$M$22,Inputs!$K97*142*Inputs!$G97,Inputs!$K97*(VLOOKUP(Inputs!$D97&amp;"SO2",'Emission Factors'!$C$4:$D$59,2,FALSE))))))))/2000)</f>
        <v/>
      </c>
      <c r="I35" s="218" t="str">
        <f>IF(B35="","",(Inputs!$K97*(VLOOKUP(Inputs!$D97&amp;"VOC",'Emission Factors'!$C$4:$D$59,2,FALSE))/2000))</f>
        <v/>
      </c>
      <c r="J35" s="218" t="str">
        <f>IF(B35="","",(IF(Inputs!$D97=Inputs!$M$26,Inputs!$K97*(8.34*(1.12*Inputs!$G97+0.37)+1.5),Inputs!$K97*(VLOOKUP(Inputs!$D97&amp;"Total PM",'Emission Factors'!$C$4:$D$59,2,FALSE))))/2000)</f>
        <v/>
      </c>
      <c r="K35" s="218" t="str">
        <f>IF(B35="","",(IF(Inputs!$D97=Inputs!$M$26,((Inputs!$K97*7.17*(1.12*Inputs!$G97+0.37))+1.5),Inputs!$K97*(VLOOKUP(Inputs!$D97&amp;"PM10",'Emission Factors'!$C$4:$D$59,2,FALSE))))/2000)</f>
        <v/>
      </c>
      <c r="L35" s="219" t="str">
        <f>IF(B35="","",(IF(Inputs!$D97=Inputs!$M$26,((Inputs!$K97*4.67*(1.12*Inputs!$G97+0.37))+1.5),Inputs!$K97*(VLOOKUP(Inputs!$D97&amp;"PM2.5",'Emission Factors'!$C$4:$D$59,2,FALSE))))/2000)</f>
        <v/>
      </c>
    </row>
    <row r="36" spans="1:12" x14ac:dyDescent="0.25">
      <c r="A36" s="4"/>
      <c r="B36" s="222" t="str">
        <f>IF(Inputs!$B98="","",Inputs!$B98)</f>
        <v/>
      </c>
      <c r="C36" s="223" t="str">
        <f>IF(Inputs!$C98="","",Inputs!$C98)</f>
        <v/>
      </c>
      <c r="D36" s="223" t="str">
        <f>IF(Inputs!$D98="","",Inputs!$D98)</f>
        <v/>
      </c>
      <c r="E36" s="316" t="str">
        <f>IF(B36="","",IF(D36="Wood",Inputs!K98,VLOOKUP(D36,'Fuel Energy Content'!$A$15:$B$21,2,FALSE)*Inputs!K98))</f>
        <v/>
      </c>
      <c r="F36" s="218" t="str">
        <f>IF(B36="","",(Inputs!$K98*(VLOOKUP(Inputs!$D98&amp;"CO",'Emission Factors'!$C$4:$D$59,2,FALSE))/2000))</f>
        <v/>
      </c>
      <c r="G36" s="218" t="str">
        <f>IF(B36="","",(Inputs!$K98*(VLOOKUP(Inputs!$D98&amp;"NOX",'Emission Factors'!$C$4:$D$59,2,FALSE))/2000))</f>
        <v/>
      </c>
      <c r="H36" s="218" t="str">
        <f>IF(B36="","",(IF(Inputs!$D98=Inputs!$M$20,Inputs!$K98*38*Inputs!$G98,IF(Inputs!$D98=Inputs!$M$21,Inputs!$K98*35*Inputs!$G98,IF(Inputs!$D98=Inputs!$M$25,Inputs!$K98*142*Inputs!$G98,IF(Inputs!$D98=Inputs!$M$26,Inputs!$K98*157*Inputs!$G98,IF(Inputs!$D98=Inputs!$M$22,Inputs!$K98*142*Inputs!$G98,Inputs!$K98*(VLOOKUP(Inputs!$D98&amp;"SO2",'Emission Factors'!$C$4:$D$59,2,FALSE))))))))/2000)</f>
        <v/>
      </c>
      <c r="I36" s="218" t="str">
        <f>IF(B36="","",(Inputs!$K98*(VLOOKUP(Inputs!$D98&amp;"VOC",'Emission Factors'!$C$4:$D$59,2,FALSE))/2000))</f>
        <v/>
      </c>
      <c r="J36" s="218" t="str">
        <f>IF(B36="","",(IF(Inputs!$D98=Inputs!$M$26,Inputs!$K98*(8.34*(1.12*Inputs!$G98+0.37)+1.5),Inputs!$K98*(VLOOKUP(Inputs!$D98&amp;"Total PM",'Emission Factors'!$C$4:$D$59,2,FALSE))))/2000)</f>
        <v/>
      </c>
      <c r="K36" s="218" t="str">
        <f>IF(B36="","",(IF(Inputs!$D98=Inputs!$M$26,((Inputs!$K98*7.17*(1.12*Inputs!$G98+0.37))+1.5),Inputs!$K98*(VLOOKUP(Inputs!$D98&amp;"PM10",'Emission Factors'!$C$4:$D$59,2,FALSE))))/2000)</f>
        <v/>
      </c>
      <c r="L36" s="219" t="str">
        <f>IF(B36="","",(IF(Inputs!$D98=Inputs!$M$26,((Inputs!$K98*4.67*(1.12*Inputs!$G98+0.37))+1.5),Inputs!$K98*(VLOOKUP(Inputs!$D98&amp;"PM2.5",'Emission Factors'!$C$4:$D$59,2,FALSE))))/2000)</f>
        <v/>
      </c>
    </row>
    <row r="37" spans="1:12" x14ac:dyDescent="0.25">
      <c r="A37" s="4"/>
      <c r="B37" s="222" t="str">
        <f>IF(Inputs!$B99="","",Inputs!$B99)</f>
        <v/>
      </c>
      <c r="C37" s="223" t="str">
        <f>IF(Inputs!$C99="","",Inputs!$C99)</f>
        <v/>
      </c>
      <c r="D37" s="223" t="str">
        <f>IF(Inputs!$D99="","",Inputs!$D99)</f>
        <v/>
      </c>
      <c r="E37" s="316" t="str">
        <f>IF(B37="","",IF(D37="Wood",Inputs!K99,VLOOKUP(D37,'Fuel Energy Content'!$A$15:$B$21,2,FALSE)*Inputs!K99))</f>
        <v/>
      </c>
      <c r="F37" s="218" t="str">
        <f>IF(B37="","",(Inputs!$K99*(VLOOKUP(Inputs!$D99&amp;"CO",'Emission Factors'!$C$4:$D$59,2,FALSE))/2000))</f>
        <v/>
      </c>
      <c r="G37" s="218" t="str">
        <f>IF(B37="","",(Inputs!$K99*(VLOOKUP(Inputs!$D99&amp;"NOX",'Emission Factors'!$C$4:$D$59,2,FALSE))/2000))</f>
        <v/>
      </c>
      <c r="H37" s="218" t="str">
        <f>IF(B37="","",(IF(Inputs!$D99=Inputs!$M$20,Inputs!$K99*38*Inputs!$G99,IF(Inputs!$D99=Inputs!$M$21,Inputs!$K99*35*Inputs!$G99,IF(Inputs!$D99=Inputs!$M$25,Inputs!$K99*142*Inputs!$G99,IF(Inputs!$D99=Inputs!$M$26,Inputs!$K99*157*Inputs!$G99,IF(Inputs!$D99=Inputs!$M$22,Inputs!$K99*142*Inputs!$G99,Inputs!$K99*(VLOOKUP(Inputs!$D99&amp;"SO2",'Emission Factors'!$C$4:$D$59,2,FALSE))))))))/2000)</f>
        <v/>
      </c>
      <c r="I37" s="218" t="str">
        <f>IF(B37="","",(Inputs!$K99*(VLOOKUP(Inputs!$D99&amp;"VOC",'Emission Factors'!$C$4:$D$59,2,FALSE))/2000))</f>
        <v/>
      </c>
      <c r="J37" s="218" t="str">
        <f>IF(B37="","",(IF(Inputs!$D99=Inputs!$M$26,Inputs!$K99*(8.34*(1.12*Inputs!$G99+0.37)+1.5),Inputs!$K99*(VLOOKUP(Inputs!$D99&amp;"Total PM",'Emission Factors'!$C$4:$D$59,2,FALSE))))/2000)</f>
        <v/>
      </c>
      <c r="K37" s="218" t="str">
        <f>IF(B37="","",(IF(Inputs!$D99=Inputs!$M$26,((Inputs!$K99*7.17*(1.12*Inputs!$G99+0.37))+1.5),Inputs!$K99*(VLOOKUP(Inputs!$D99&amp;"PM10",'Emission Factors'!$C$4:$D$59,2,FALSE))))/2000)</f>
        <v/>
      </c>
      <c r="L37" s="219" t="str">
        <f>IF(B37="","",(IF(Inputs!$D99=Inputs!$M$26,((Inputs!$K99*4.67*(1.12*Inputs!$G99+0.37))+1.5),Inputs!$K99*(VLOOKUP(Inputs!$D99&amp;"PM2.5",'Emission Factors'!$C$4:$D$59,2,FALSE))))/2000)</f>
        <v/>
      </c>
    </row>
    <row r="38" spans="1:12" x14ac:dyDescent="0.25">
      <c r="A38" s="4"/>
      <c r="B38" s="222" t="str">
        <f>IF(Inputs!$B100="","",Inputs!$B100)</f>
        <v/>
      </c>
      <c r="C38" s="223" t="str">
        <f>IF(Inputs!$C100="","",Inputs!$C100)</f>
        <v/>
      </c>
      <c r="D38" s="223" t="str">
        <f>IF(Inputs!$D100="","",Inputs!$D100)</f>
        <v/>
      </c>
      <c r="E38" s="316" t="str">
        <f>IF(B38="","",IF(D38="Wood",Inputs!K100,VLOOKUP(D38,'Fuel Energy Content'!$A$15:$B$21,2,FALSE)*Inputs!K100))</f>
        <v/>
      </c>
      <c r="F38" s="218" t="str">
        <f>IF(B38="","",(Inputs!$K100*(VLOOKUP(Inputs!$D100&amp;"CO",'Emission Factors'!$C$4:$D$59,2,FALSE))/2000))</f>
        <v/>
      </c>
      <c r="G38" s="218" t="str">
        <f>IF(B38="","",(Inputs!$K100*(VLOOKUP(Inputs!$D100&amp;"NOX",'Emission Factors'!$C$4:$D$59,2,FALSE))/2000))</f>
        <v/>
      </c>
      <c r="H38" s="218" t="str">
        <f>IF(B38="","",(IF(Inputs!$D100=Inputs!$M$20,Inputs!$K100*38*Inputs!$G100,IF(Inputs!$D100=Inputs!$M$21,Inputs!$K100*35*Inputs!$G100,IF(Inputs!$D100=Inputs!$M$25,Inputs!$K100*142*Inputs!$G100,IF(Inputs!$D100=Inputs!$M$26,Inputs!$K100*157*Inputs!$G100,IF(Inputs!$D100=Inputs!$M$22,Inputs!$K100*142*Inputs!$G100,Inputs!$K100*(VLOOKUP(Inputs!$D100&amp;"SO2",'Emission Factors'!$C$4:$D$59,2,FALSE))))))))/2000)</f>
        <v/>
      </c>
      <c r="I38" s="218" t="str">
        <f>IF(B38="","",(Inputs!$K100*(VLOOKUP(Inputs!$D100&amp;"VOC",'Emission Factors'!$C$4:$D$59,2,FALSE))/2000))</f>
        <v/>
      </c>
      <c r="J38" s="218" t="str">
        <f>IF(B38="","",(IF(Inputs!$D100=Inputs!$M$26,Inputs!$K100*(8.34*(1.12*Inputs!$G100+0.37)+1.5),Inputs!$K100*(VLOOKUP(Inputs!$D100&amp;"Total PM",'Emission Factors'!$C$4:$D$59,2,FALSE))))/2000)</f>
        <v/>
      </c>
      <c r="K38" s="218" t="str">
        <f>IF(B38="","",(IF(Inputs!$D100=Inputs!$M$26,((Inputs!$K100*7.17*(1.12*Inputs!$G100+0.37))+1.5),Inputs!$K100*(VLOOKUP(Inputs!$D100&amp;"PM10",'Emission Factors'!$C$4:$D$59,2,FALSE))))/2000)</f>
        <v/>
      </c>
      <c r="L38" s="219" t="str">
        <f>IF(B38="","",(IF(Inputs!$D100=Inputs!$M$26,((Inputs!$K100*4.67*(1.12*Inputs!$G100+0.37))+1.5),Inputs!$K100*(VLOOKUP(Inputs!$D100&amp;"PM2.5",'Emission Factors'!$C$4:$D$59,2,FALSE))))/2000)</f>
        <v/>
      </c>
    </row>
    <row r="39" spans="1:12" x14ac:dyDescent="0.25">
      <c r="A39" s="4"/>
      <c r="B39" s="222" t="str">
        <f>IF(Inputs!$B101="","",Inputs!$B101)</f>
        <v/>
      </c>
      <c r="C39" s="223" t="str">
        <f>IF(Inputs!$C101="","",Inputs!$C101)</f>
        <v/>
      </c>
      <c r="D39" s="223" t="str">
        <f>IF(Inputs!$D101="","",Inputs!$D101)</f>
        <v/>
      </c>
      <c r="E39" s="316" t="str">
        <f>IF(B39="","",IF(D39="Wood",Inputs!K101,VLOOKUP(D39,'Fuel Energy Content'!$A$15:$B$21,2,FALSE)*Inputs!K101))</f>
        <v/>
      </c>
      <c r="F39" s="218" t="str">
        <f>IF(B39="","",(Inputs!$K101*(VLOOKUP(Inputs!$D101&amp;"CO",'Emission Factors'!$C$4:$D$59,2,FALSE))/2000))</f>
        <v/>
      </c>
      <c r="G39" s="218" t="str">
        <f>IF(B39="","",(Inputs!$K101*(VLOOKUP(Inputs!$D101&amp;"NOX",'Emission Factors'!$C$4:$D$59,2,FALSE))/2000))</f>
        <v/>
      </c>
      <c r="H39" s="218" t="str">
        <f>IF(B39="","",(IF(Inputs!$D101=Inputs!$M$20,Inputs!$K101*38*Inputs!$G101,IF(Inputs!$D101=Inputs!$M$21,Inputs!$K101*35*Inputs!$G101,IF(Inputs!$D101=Inputs!$M$25,Inputs!$K101*142*Inputs!$G101,IF(Inputs!$D101=Inputs!$M$26,Inputs!$K101*157*Inputs!$G101,IF(Inputs!$D101=Inputs!$M$22,Inputs!$K101*142*Inputs!$G101,Inputs!$K101*(VLOOKUP(Inputs!$D101&amp;"SO2",'Emission Factors'!$C$4:$D$59,2,FALSE))))))))/2000)</f>
        <v/>
      </c>
      <c r="I39" s="218" t="str">
        <f>IF(B39="","",(Inputs!$K101*(VLOOKUP(Inputs!$D101&amp;"VOC",'Emission Factors'!$C$4:$D$59,2,FALSE))/2000))</f>
        <v/>
      </c>
      <c r="J39" s="218" t="str">
        <f>IF(B39="","",(IF(Inputs!$D101=Inputs!$M$26,Inputs!$K101*(8.34*(1.12*Inputs!$G101+0.37)+1.5),Inputs!$K101*(VLOOKUP(Inputs!$D101&amp;"Total PM",'Emission Factors'!$C$4:$D$59,2,FALSE))))/2000)</f>
        <v/>
      </c>
      <c r="K39" s="218" t="str">
        <f>IF(B39="","",(IF(Inputs!$D101=Inputs!$M$26,((Inputs!$K101*7.17*(1.12*Inputs!$G101+0.37))+1.5),Inputs!$K101*(VLOOKUP(Inputs!$D101&amp;"PM10",'Emission Factors'!$C$4:$D$59,2,FALSE))))/2000)</f>
        <v/>
      </c>
      <c r="L39" s="219" t="str">
        <f>IF(B39="","",(IF(Inputs!$D101=Inputs!$M$26,((Inputs!$K101*4.67*(1.12*Inputs!$G101+0.37))+1.5),Inputs!$K101*(VLOOKUP(Inputs!$D101&amp;"PM2.5",'Emission Factors'!$C$4:$D$59,2,FALSE))))/2000)</f>
        <v/>
      </c>
    </row>
    <row r="40" spans="1:12" x14ac:dyDescent="0.25">
      <c r="A40" s="4"/>
      <c r="B40" s="222" t="str">
        <f>IF(Inputs!$B102="","",Inputs!$B102)</f>
        <v/>
      </c>
      <c r="C40" s="223" t="str">
        <f>IF(Inputs!$C102="","",Inputs!$C102)</f>
        <v/>
      </c>
      <c r="D40" s="223" t="str">
        <f>IF(Inputs!$D102="","",Inputs!$D102)</f>
        <v/>
      </c>
      <c r="E40" s="316" t="str">
        <f>IF(B40="","",IF(D40="Wood",Inputs!K102,VLOOKUP(D40,'Fuel Energy Content'!$A$15:$B$21,2,FALSE)*Inputs!K102))</f>
        <v/>
      </c>
      <c r="F40" s="218" t="str">
        <f>IF(B40="","",(Inputs!$K102*(VLOOKUP(Inputs!$D102&amp;"CO",'Emission Factors'!$C$4:$D$59,2,FALSE))/2000))</f>
        <v/>
      </c>
      <c r="G40" s="218" t="str">
        <f>IF(B40="","",(Inputs!$K102*(VLOOKUP(Inputs!$D102&amp;"NOX",'Emission Factors'!$C$4:$D$59,2,FALSE))/2000))</f>
        <v/>
      </c>
      <c r="H40" s="218" t="str">
        <f>IF(B40="","",(IF(Inputs!$D102=Inputs!$M$20,Inputs!$K102*38*Inputs!$G102,IF(Inputs!$D102=Inputs!$M$21,Inputs!$K102*35*Inputs!$G102,IF(Inputs!$D102=Inputs!$M$25,Inputs!$K102*142*Inputs!$G102,IF(Inputs!$D102=Inputs!$M$26,Inputs!$K102*157*Inputs!$G102,IF(Inputs!$D102=Inputs!$M$22,Inputs!$K102*142*Inputs!$G102,Inputs!$K102*(VLOOKUP(Inputs!$D102&amp;"SO2",'Emission Factors'!$C$4:$D$59,2,FALSE))))))))/2000)</f>
        <v/>
      </c>
      <c r="I40" s="218" t="str">
        <f>IF(B40="","",(Inputs!$K102*(VLOOKUP(Inputs!$D102&amp;"VOC",'Emission Factors'!$C$4:$D$59,2,FALSE))/2000))</f>
        <v/>
      </c>
      <c r="J40" s="218" t="str">
        <f>IF(B40="","",(IF(Inputs!$D102=Inputs!$M$26,Inputs!$K102*(8.34*(1.12*Inputs!$G102+0.37)+1.5),Inputs!$K102*(VLOOKUP(Inputs!$D102&amp;"Total PM",'Emission Factors'!$C$4:$D$59,2,FALSE))))/2000)</f>
        <v/>
      </c>
      <c r="K40" s="218" t="str">
        <f>IF(B40="","",(IF(Inputs!$D102=Inputs!$M$26,((Inputs!$K102*7.17*(1.12*Inputs!$G102+0.37))+1.5),Inputs!$K102*(VLOOKUP(Inputs!$D102&amp;"PM10",'Emission Factors'!$C$4:$D$59,2,FALSE))))/2000)</f>
        <v/>
      </c>
      <c r="L40" s="219" t="str">
        <f>IF(B40="","",(IF(Inputs!$D102=Inputs!$M$26,((Inputs!$K102*4.67*(1.12*Inputs!$G102+0.37))+1.5),Inputs!$K102*(VLOOKUP(Inputs!$D102&amp;"PM2.5",'Emission Factors'!$C$4:$D$59,2,FALSE))))/2000)</f>
        <v/>
      </c>
    </row>
    <row r="41" spans="1:12" x14ac:dyDescent="0.25">
      <c r="A41" s="4"/>
      <c r="B41" s="222" t="str">
        <f>IF(Inputs!$B103="","",Inputs!$B103)</f>
        <v/>
      </c>
      <c r="C41" s="223" t="str">
        <f>IF(Inputs!$C103="","",Inputs!$C103)</f>
        <v/>
      </c>
      <c r="D41" s="223" t="str">
        <f>IF(Inputs!$D103="","",Inputs!$D103)</f>
        <v/>
      </c>
      <c r="E41" s="316" t="str">
        <f>IF(B41="","",IF(D41="Wood",Inputs!K103,VLOOKUP(D41,'Fuel Energy Content'!$A$15:$B$21,2,FALSE)*Inputs!K103))</f>
        <v/>
      </c>
      <c r="F41" s="218" t="str">
        <f>IF(B41="","",(Inputs!$K103*(VLOOKUP(Inputs!$D103&amp;"CO",'Emission Factors'!$C$4:$D$59,2,FALSE))/2000))</f>
        <v/>
      </c>
      <c r="G41" s="218" t="str">
        <f>IF(B41="","",(Inputs!$K103*(VLOOKUP(Inputs!$D103&amp;"NOX",'Emission Factors'!$C$4:$D$59,2,FALSE))/2000))</f>
        <v/>
      </c>
      <c r="H41" s="218" t="str">
        <f>IF(B41="","",(IF(Inputs!$D103=Inputs!$M$20,Inputs!$K103*38*Inputs!$G103,IF(Inputs!$D103=Inputs!$M$21,Inputs!$K103*35*Inputs!$G103,IF(Inputs!$D103=Inputs!$M$25,Inputs!$K103*142*Inputs!$G103,IF(Inputs!$D103=Inputs!$M$26,Inputs!$K103*157*Inputs!$G103,IF(Inputs!$D103=Inputs!$M$22,Inputs!$K103*142*Inputs!$G103,Inputs!$K103*(VLOOKUP(Inputs!$D103&amp;"SO2",'Emission Factors'!$C$4:$D$59,2,FALSE))))))))/2000)</f>
        <v/>
      </c>
      <c r="I41" s="218" t="str">
        <f>IF(B41="","",(Inputs!$K103*(VLOOKUP(Inputs!$D103&amp;"VOC",'Emission Factors'!$C$4:$D$59,2,FALSE))/2000))</f>
        <v/>
      </c>
      <c r="J41" s="218" t="str">
        <f>IF(B41="","",(IF(Inputs!$D103=Inputs!$M$26,Inputs!$K103*(8.34*(1.12*Inputs!$G103+0.37)+1.5),Inputs!$K103*(VLOOKUP(Inputs!$D103&amp;"Total PM",'Emission Factors'!$C$4:$D$59,2,FALSE))))/2000)</f>
        <v/>
      </c>
      <c r="K41" s="218" t="str">
        <f>IF(B41="","",(IF(Inputs!$D103=Inputs!$M$26,((Inputs!$K103*7.17*(1.12*Inputs!$G103+0.37))+1.5),Inputs!$K103*(VLOOKUP(Inputs!$D103&amp;"PM10",'Emission Factors'!$C$4:$D$59,2,FALSE))))/2000)</f>
        <v/>
      </c>
      <c r="L41" s="219" t="str">
        <f>IF(B41="","",(IF(Inputs!$D103=Inputs!$M$26,((Inputs!$K103*4.67*(1.12*Inputs!$G103+0.37))+1.5),Inputs!$K103*(VLOOKUP(Inputs!$D103&amp;"PM2.5",'Emission Factors'!$C$4:$D$59,2,FALSE))))/2000)</f>
        <v/>
      </c>
    </row>
    <row r="42" spans="1:12" x14ac:dyDescent="0.25">
      <c r="A42" s="4"/>
      <c r="B42" s="222" t="str">
        <f>IF(Inputs!$B104="","",Inputs!$B104)</f>
        <v/>
      </c>
      <c r="C42" s="223" t="str">
        <f>IF(Inputs!$C104="","",Inputs!$C104)</f>
        <v/>
      </c>
      <c r="D42" s="223" t="str">
        <f>IF(Inputs!$D104="","",Inputs!$D104)</f>
        <v/>
      </c>
      <c r="E42" s="316" t="str">
        <f>IF(B42="","",IF(D42="Wood",Inputs!K104,VLOOKUP(D42,'Fuel Energy Content'!$A$15:$B$21,2,FALSE)*Inputs!K104))</f>
        <v/>
      </c>
      <c r="F42" s="218" t="str">
        <f>IF(B42="","",(Inputs!$K104*(VLOOKUP(Inputs!$D104&amp;"CO",'Emission Factors'!$C$4:$D$59,2,FALSE))/2000))</f>
        <v/>
      </c>
      <c r="G42" s="218" t="str">
        <f>IF(B42="","",(Inputs!$K104*(VLOOKUP(Inputs!$D104&amp;"NOX",'Emission Factors'!$C$4:$D$59,2,FALSE))/2000))</f>
        <v/>
      </c>
      <c r="H42" s="218" t="str">
        <f>IF(B42="","",(IF(Inputs!$D104=Inputs!$M$20,Inputs!$K104*38*Inputs!$G104,IF(Inputs!$D104=Inputs!$M$21,Inputs!$K104*35*Inputs!$G104,IF(Inputs!$D104=Inputs!$M$25,Inputs!$K104*142*Inputs!$G104,IF(Inputs!$D104=Inputs!$M$26,Inputs!$K104*157*Inputs!$G104,IF(Inputs!$D104=Inputs!$M$22,Inputs!$K104*142*Inputs!$G104,Inputs!$K104*(VLOOKUP(Inputs!$D104&amp;"SO2",'Emission Factors'!$C$4:$D$59,2,FALSE))))))))/2000)</f>
        <v/>
      </c>
      <c r="I42" s="218" t="str">
        <f>IF(B42="","",(Inputs!$K104*(VLOOKUP(Inputs!$D104&amp;"VOC",'Emission Factors'!$C$4:$D$59,2,FALSE))/2000))</f>
        <v/>
      </c>
      <c r="J42" s="218" t="str">
        <f>IF(B42="","",(IF(Inputs!$D104=Inputs!$M$26,Inputs!$K104*(8.34*(1.12*Inputs!$G104+0.37)+1.5),Inputs!$K104*(VLOOKUP(Inputs!$D104&amp;"Total PM",'Emission Factors'!$C$4:$D$59,2,FALSE))))/2000)</f>
        <v/>
      </c>
      <c r="K42" s="218" t="str">
        <f>IF(B42="","",(IF(Inputs!$D104=Inputs!$M$26,((Inputs!$K104*7.17*(1.12*Inputs!$G104+0.37))+1.5),Inputs!$K104*(VLOOKUP(Inputs!$D104&amp;"PM10",'Emission Factors'!$C$4:$D$59,2,FALSE))))/2000)</f>
        <v/>
      </c>
      <c r="L42" s="219" t="str">
        <f>IF(B42="","",(IF(Inputs!$D104=Inputs!$M$26,((Inputs!$K104*4.67*(1.12*Inputs!$G104+0.37))+1.5),Inputs!$K104*(VLOOKUP(Inputs!$D104&amp;"PM2.5",'Emission Factors'!$C$4:$D$59,2,FALSE))))/2000)</f>
        <v/>
      </c>
    </row>
    <row r="43" spans="1:12" x14ac:dyDescent="0.25">
      <c r="A43" s="4"/>
      <c r="B43" s="222" t="str">
        <f>IF(Inputs!$B105="","",Inputs!$B105)</f>
        <v/>
      </c>
      <c r="C43" s="223" t="str">
        <f>IF(Inputs!$C105="","",Inputs!$C105)</f>
        <v/>
      </c>
      <c r="D43" s="223" t="str">
        <f>IF(Inputs!$D105="","",Inputs!$D105)</f>
        <v/>
      </c>
      <c r="E43" s="316" t="str">
        <f>IF(B43="","",IF(D43="Wood",Inputs!K105,VLOOKUP(D43,'Fuel Energy Content'!$A$15:$B$21,2,FALSE)*Inputs!K105))</f>
        <v/>
      </c>
      <c r="F43" s="218" t="str">
        <f>IF(B43="","",(Inputs!$K105*(VLOOKUP(Inputs!$D105&amp;"CO",'Emission Factors'!$C$4:$D$59,2,FALSE))/2000))</f>
        <v/>
      </c>
      <c r="G43" s="218" t="str">
        <f>IF(B43="","",(Inputs!$K105*(VLOOKUP(Inputs!$D105&amp;"NOX",'Emission Factors'!$C$4:$D$59,2,FALSE))/2000))</f>
        <v/>
      </c>
      <c r="H43" s="218" t="str">
        <f>IF(B43="","",(IF(Inputs!$D105=Inputs!$M$20,Inputs!$K105*38*Inputs!$G105,IF(Inputs!$D105=Inputs!$M$21,Inputs!$K105*35*Inputs!$G105,IF(Inputs!$D105=Inputs!$M$25,Inputs!$K105*142*Inputs!$G105,IF(Inputs!$D105=Inputs!$M$26,Inputs!$K105*157*Inputs!$G105,IF(Inputs!$D105=Inputs!$M$22,Inputs!$K105*142*Inputs!$G105,Inputs!$K105*(VLOOKUP(Inputs!$D105&amp;"SO2",'Emission Factors'!$C$4:$D$59,2,FALSE))))))))/2000)</f>
        <v/>
      </c>
      <c r="I43" s="218" t="str">
        <f>IF(B43="","",(Inputs!$K105*(VLOOKUP(Inputs!$D105&amp;"VOC",'Emission Factors'!$C$4:$D$59,2,FALSE))/2000))</f>
        <v/>
      </c>
      <c r="J43" s="218" t="str">
        <f>IF(B43="","",(IF(Inputs!$D105=Inputs!$M$26,Inputs!$K105*(8.34*(1.12*Inputs!$G105+0.37)+1.5),Inputs!$K105*(VLOOKUP(Inputs!$D105&amp;"Total PM",'Emission Factors'!$C$4:$D$59,2,FALSE))))/2000)</f>
        <v/>
      </c>
      <c r="K43" s="218" t="str">
        <f>IF(B43="","",(IF(Inputs!$D105=Inputs!$M$26,((Inputs!$K105*7.17*(1.12*Inputs!$G105+0.37))+1.5),Inputs!$K105*(VLOOKUP(Inputs!$D105&amp;"PM10",'Emission Factors'!$C$4:$D$59,2,FALSE))))/2000)</f>
        <v/>
      </c>
      <c r="L43" s="219" t="str">
        <f>IF(B43="","",(IF(Inputs!$D105=Inputs!$M$26,((Inputs!$K105*4.67*(1.12*Inputs!$G105+0.37))+1.5),Inputs!$K105*(VLOOKUP(Inputs!$D105&amp;"PM2.5",'Emission Factors'!$C$4:$D$59,2,FALSE))))/2000)</f>
        <v/>
      </c>
    </row>
    <row r="44" spans="1:12" x14ac:dyDescent="0.25">
      <c r="A44" s="4"/>
      <c r="B44" s="222" t="str">
        <f>IF(Inputs!$B106="","",Inputs!$B106)</f>
        <v/>
      </c>
      <c r="C44" s="223" t="str">
        <f>IF(Inputs!$C106="","",Inputs!$C106)</f>
        <v/>
      </c>
      <c r="D44" s="223" t="str">
        <f>IF(Inputs!$D106="","",Inputs!$D106)</f>
        <v/>
      </c>
      <c r="E44" s="316" t="str">
        <f>IF(B44="","",IF(D44="Wood",Inputs!K106,VLOOKUP(D44,'Fuel Energy Content'!$A$15:$B$21,2,FALSE)*Inputs!K106))</f>
        <v/>
      </c>
      <c r="F44" s="218" t="str">
        <f>IF(B44="","",(Inputs!$K106*(VLOOKUP(Inputs!$D106&amp;"CO",'Emission Factors'!$C$4:$D$59,2,FALSE))/2000))</f>
        <v/>
      </c>
      <c r="G44" s="218" t="str">
        <f>IF(B44="","",(Inputs!$K106*(VLOOKUP(Inputs!$D106&amp;"NOX",'Emission Factors'!$C$4:$D$59,2,FALSE))/2000))</f>
        <v/>
      </c>
      <c r="H44" s="218" t="str">
        <f>IF(B44="","",(IF(Inputs!$D106=Inputs!$M$20,Inputs!$K106*38*Inputs!$G106,IF(Inputs!$D106=Inputs!$M$21,Inputs!$K106*35*Inputs!$G106,IF(Inputs!$D106=Inputs!$M$25,Inputs!$K106*142*Inputs!$G106,IF(Inputs!$D106=Inputs!$M$26,Inputs!$K106*157*Inputs!$G106,IF(Inputs!$D106=Inputs!$M$22,Inputs!$K106*142*Inputs!$G106,Inputs!$K106*(VLOOKUP(Inputs!$D106&amp;"SO2",'Emission Factors'!$C$4:$D$59,2,FALSE))))))))/2000)</f>
        <v/>
      </c>
      <c r="I44" s="218" t="str">
        <f>IF(B44="","",(Inputs!$K106*(VLOOKUP(Inputs!$D106&amp;"VOC",'Emission Factors'!$C$4:$D$59,2,FALSE))/2000))</f>
        <v/>
      </c>
      <c r="J44" s="218" t="str">
        <f>IF(B44="","",(IF(Inputs!$D106=Inputs!$M$26,Inputs!$K106*(8.34*(1.12*Inputs!$G106+0.37)+1.5),Inputs!$K106*(VLOOKUP(Inputs!$D106&amp;"Total PM",'Emission Factors'!$C$4:$D$59,2,FALSE))))/2000)</f>
        <v/>
      </c>
      <c r="K44" s="218" t="str">
        <f>IF(B44="","",(IF(Inputs!$D106=Inputs!$M$26,((Inputs!$K106*7.17*(1.12*Inputs!$G106+0.37))+1.5),Inputs!$K106*(VLOOKUP(Inputs!$D106&amp;"PM10",'Emission Factors'!$C$4:$D$59,2,FALSE))))/2000)</f>
        <v/>
      </c>
      <c r="L44" s="219" t="str">
        <f>IF(B44="","",(IF(Inputs!$D106=Inputs!$M$26,((Inputs!$K106*4.67*(1.12*Inputs!$G106+0.37))+1.5),Inputs!$K106*(VLOOKUP(Inputs!$D106&amp;"PM2.5",'Emission Factors'!$C$4:$D$59,2,FALSE))))/2000)</f>
        <v/>
      </c>
    </row>
    <row r="45" spans="1:12" x14ac:dyDescent="0.25">
      <c r="A45" s="4"/>
      <c r="B45" s="222" t="str">
        <f>IF(Inputs!$B107="","",Inputs!$B107)</f>
        <v/>
      </c>
      <c r="C45" s="223" t="str">
        <f>IF(Inputs!$C107="","",Inputs!$C107)</f>
        <v/>
      </c>
      <c r="D45" s="223" t="str">
        <f>IF(Inputs!$D107="","",Inputs!$D107)</f>
        <v/>
      </c>
      <c r="E45" s="316" t="str">
        <f>IF(B45="","",IF(D45="Wood",Inputs!K107,VLOOKUP(D45,'Fuel Energy Content'!$A$15:$B$21,2,FALSE)*Inputs!K107))</f>
        <v/>
      </c>
      <c r="F45" s="218" t="str">
        <f>IF(B45="","",(Inputs!$K107*(VLOOKUP(Inputs!$D107&amp;"CO",'Emission Factors'!$C$4:$D$59,2,FALSE))/2000))</f>
        <v/>
      </c>
      <c r="G45" s="218" t="str">
        <f>IF(B45="","",(Inputs!$K107*(VLOOKUP(Inputs!$D107&amp;"NOX",'Emission Factors'!$C$4:$D$59,2,FALSE))/2000))</f>
        <v/>
      </c>
      <c r="H45" s="218" t="str">
        <f>IF(B45="","",(IF(Inputs!$D107=Inputs!$M$20,Inputs!$K107*38*Inputs!$G107,IF(Inputs!$D107=Inputs!$M$21,Inputs!$K107*35*Inputs!$G107,IF(Inputs!$D107=Inputs!$M$25,Inputs!$K107*142*Inputs!$G107,IF(Inputs!$D107=Inputs!$M$26,Inputs!$K107*157*Inputs!$G107,IF(Inputs!$D107=Inputs!$M$22,Inputs!$K107*142*Inputs!$G107,Inputs!$K107*(VLOOKUP(Inputs!$D107&amp;"SO2",'Emission Factors'!$C$4:$D$59,2,FALSE))))))))/2000)</f>
        <v/>
      </c>
      <c r="I45" s="218" t="str">
        <f>IF(B45="","",(Inputs!$K107*(VLOOKUP(Inputs!$D107&amp;"VOC",'Emission Factors'!$C$4:$D$59,2,FALSE))/2000))</f>
        <v/>
      </c>
      <c r="J45" s="218" t="str">
        <f>IF(B45="","",(IF(Inputs!$D107=Inputs!$M$26,Inputs!$K107*(8.34*(1.12*Inputs!$G107+0.37)+1.5),Inputs!$K107*(VLOOKUP(Inputs!$D107&amp;"Total PM",'Emission Factors'!$C$4:$D$59,2,FALSE))))/2000)</f>
        <v/>
      </c>
      <c r="K45" s="218" t="str">
        <f>IF(B45="","",(IF(Inputs!$D107=Inputs!$M$26,((Inputs!$K107*7.17*(1.12*Inputs!$G107+0.37))+1.5),Inputs!$K107*(VLOOKUP(Inputs!$D107&amp;"PM10",'Emission Factors'!$C$4:$D$59,2,FALSE))))/2000)</f>
        <v/>
      </c>
      <c r="L45" s="219" t="str">
        <f>IF(B45="","",(IF(Inputs!$D107=Inputs!$M$26,((Inputs!$K107*4.67*(1.12*Inputs!$G107+0.37))+1.5),Inputs!$K107*(VLOOKUP(Inputs!$D107&amp;"PM2.5",'Emission Factors'!$C$4:$D$59,2,FALSE))))/2000)</f>
        <v/>
      </c>
    </row>
    <row r="46" spans="1:12" x14ac:dyDescent="0.25">
      <c r="A46" s="4"/>
      <c r="B46" s="222" t="str">
        <f>IF(Inputs!$B108="","",Inputs!$B108)</f>
        <v/>
      </c>
      <c r="C46" s="223" t="str">
        <f>IF(Inputs!$C108="","",Inputs!$C108)</f>
        <v/>
      </c>
      <c r="D46" s="223" t="str">
        <f>IF(Inputs!$D108="","",Inputs!$D108)</f>
        <v/>
      </c>
      <c r="E46" s="316" t="str">
        <f>IF(B46="","",IF(D46="Wood",Inputs!K108,VLOOKUP(D46,'Fuel Energy Content'!$A$15:$B$21,2,FALSE)*Inputs!K108))</f>
        <v/>
      </c>
      <c r="F46" s="218" t="str">
        <f>IF(B46="","",(Inputs!$K108*(VLOOKUP(Inputs!$D108&amp;"CO",'Emission Factors'!$C$4:$D$59,2,FALSE))/2000))</f>
        <v/>
      </c>
      <c r="G46" s="218" t="str">
        <f>IF(B46="","",(Inputs!$K108*(VLOOKUP(Inputs!$D108&amp;"NOX",'Emission Factors'!$C$4:$D$59,2,FALSE))/2000))</f>
        <v/>
      </c>
      <c r="H46" s="218" t="str">
        <f>IF(B46="","",(IF(Inputs!$D108=Inputs!$M$20,Inputs!$K108*38*Inputs!$G108,IF(Inputs!$D108=Inputs!$M$21,Inputs!$K108*35*Inputs!$G108,IF(Inputs!$D108=Inputs!$M$25,Inputs!$K108*142*Inputs!$G108,IF(Inputs!$D108=Inputs!$M$26,Inputs!$K108*157*Inputs!$G108,IF(Inputs!$D108=Inputs!$M$22,Inputs!$K108*142*Inputs!$G108,Inputs!$K108*(VLOOKUP(Inputs!$D108&amp;"SO2",'Emission Factors'!$C$4:$D$59,2,FALSE))))))))/2000)</f>
        <v/>
      </c>
      <c r="I46" s="218" t="str">
        <f>IF(B46="","",(Inputs!$K108*(VLOOKUP(Inputs!$D108&amp;"VOC",'Emission Factors'!$C$4:$D$59,2,FALSE))/2000))</f>
        <v/>
      </c>
      <c r="J46" s="218" t="str">
        <f>IF(B46="","",(IF(Inputs!$D108=Inputs!$M$26,Inputs!$K108*(8.34*(1.12*Inputs!$G108+0.37)+1.5),Inputs!$K108*(VLOOKUP(Inputs!$D108&amp;"Total PM",'Emission Factors'!$C$4:$D$59,2,FALSE))))/2000)</f>
        <v/>
      </c>
      <c r="K46" s="218" t="str">
        <f>IF(B46="","",(IF(Inputs!$D108=Inputs!$M$26,((Inputs!$K108*7.17*(1.12*Inputs!$G108+0.37))+1.5),Inputs!$K108*(VLOOKUP(Inputs!$D108&amp;"PM10",'Emission Factors'!$C$4:$D$59,2,FALSE))))/2000)</f>
        <v/>
      </c>
      <c r="L46" s="219" t="str">
        <f>IF(B46="","",(IF(Inputs!$D108=Inputs!$M$26,((Inputs!$K108*4.67*(1.12*Inputs!$G108+0.37))+1.5),Inputs!$K108*(VLOOKUP(Inputs!$D108&amp;"PM2.5",'Emission Factors'!$C$4:$D$59,2,FALSE))))/2000)</f>
        <v/>
      </c>
    </row>
    <row r="47" spans="1:12" x14ac:dyDescent="0.25">
      <c r="A47" s="4"/>
      <c r="B47" s="222" t="str">
        <f>IF(Inputs!$B109="","",Inputs!$B109)</f>
        <v/>
      </c>
      <c r="C47" s="223" t="str">
        <f>IF(Inputs!$C109="","",Inputs!$C109)</f>
        <v/>
      </c>
      <c r="D47" s="223" t="str">
        <f>IF(Inputs!$D109="","",Inputs!$D109)</f>
        <v/>
      </c>
      <c r="E47" s="316" t="str">
        <f>IF(B47="","",IF(D47="Wood",Inputs!K109,VLOOKUP(D47,'Fuel Energy Content'!$A$15:$B$21,2,FALSE)*Inputs!K109))</f>
        <v/>
      </c>
      <c r="F47" s="218" t="str">
        <f>IF(B47="","",(Inputs!$K109*(VLOOKUP(Inputs!$D109&amp;"CO",'Emission Factors'!$C$4:$D$59,2,FALSE))/2000))</f>
        <v/>
      </c>
      <c r="G47" s="218" t="str">
        <f>IF(B47="","",(Inputs!$K109*(VLOOKUP(Inputs!$D109&amp;"NOX",'Emission Factors'!$C$4:$D$59,2,FALSE))/2000))</f>
        <v/>
      </c>
      <c r="H47" s="218" t="str">
        <f>IF(B47="","",(IF(Inputs!$D109=Inputs!$M$20,Inputs!$K109*38*Inputs!$G109,IF(Inputs!$D109=Inputs!$M$21,Inputs!$K109*35*Inputs!$G109,IF(Inputs!$D109=Inputs!$M$25,Inputs!$K109*142*Inputs!$G109,IF(Inputs!$D109=Inputs!$M$26,Inputs!$K109*157*Inputs!$G109,IF(Inputs!$D109=Inputs!$M$22,Inputs!$K109*142*Inputs!$G109,Inputs!$K109*(VLOOKUP(Inputs!$D109&amp;"SO2",'Emission Factors'!$C$4:$D$59,2,FALSE))))))))/2000)</f>
        <v/>
      </c>
      <c r="I47" s="218" t="str">
        <f>IF(B47="","",(Inputs!$K109*(VLOOKUP(Inputs!$D109&amp;"VOC",'Emission Factors'!$C$4:$D$59,2,FALSE))/2000))</f>
        <v/>
      </c>
      <c r="J47" s="218" t="str">
        <f>IF(B47="","",(IF(Inputs!$D109=Inputs!$M$26,Inputs!$K109*(8.34*(1.12*Inputs!$G109+0.37)+1.5),Inputs!$K109*(VLOOKUP(Inputs!$D109&amp;"Total PM",'Emission Factors'!$C$4:$D$59,2,FALSE))))/2000)</f>
        <v/>
      </c>
      <c r="K47" s="218" t="str">
        <f>IF(B47="","",(IF(Inputs!$D109=Inputs!$M$26,((Inputs!$K109*7.17*(1.12*Inputs!$G109+0.37))+1.5),Inputs!$K109*(VLOOKUP(Inputs!$D109&amp;"PM10",'Emission Factors'!$C$4:$D$59,2,FALSE))))/2000)</f>
        <v/>
      </c>
      <c r="L47" s="219" t="str">
        <f>IF(B47="","",(IF(Inputs!$D109=Inputs!$M$26,((Inputs!$K109*4.67*(1.12*Inputs!$G109+0.37))+1.5),Inputs!$K109*(VLOOKUP(Inputs!$D109&amp;"PM2.5",'Emission Factors'!$C$4:$D$59,2,FALSE))))/2000)</f>
        <v/>
      </c>
    </row>
    <row r="48" spans="1:12" x14ac:dyDescent="0.25">
      <c r="A48" s="4"/>
      <c r="B48" s="222" t="str">
        <f>IF(Inputs!$B110="","",Inputs!$B110)</f>
        <v/>
      </c>
      <c r="C48" s="223" t="str">
        <f>IF(Inputs!$C110="","",Inputs!$C110)</f>
        <v/>
      </c>
      <c r="D48" s="223" t="str">
        <f>IF(Inputs!$D110="","",Inputs!$D110)</f>
        <v/>
      </c>
      <c r="E48" s="316" t="str">
        <f>IF(B48="","",IF(D48="Wood",Inputs!K110,VLOOKUP(D48,'Fuel Energy Content'!$A$15:$B$21,2,FALSE)*Inputs!K110))</f>
        <v/>
      </c>
      <c r="F48" s="218" t="str">
        <f>IF(B48="","",(Inputs!$K110*(VLOOKUP(Inputs!$D110&amp;"CO",'Emission Factors'!$C$4:$D$59,2,FALSE))/2000))</f>
        <v/>
      </c>
      <c r="G48" s="218" t="str">
        <f>IF(B48="","",(Inputs!$K110*(VLOOKUP(Inputs!$D110&amp;"NOX",'Emission Factors'!$C$4:$D$59,2,FALSE))/2000))</f>
        <v/>
      </c>
      <c r="H48" s="218" t="str">
        <f>IF(B48="","",(IF(Inputs!$D110=Inputs!$M$20,Inputs!$K110*38*Inputs!$G110,IF(Inputs!$D110=Inputs!$M$21,Inputs!$K110*35*Inputs!$G110,IF(Inputs!$D110=Inputs!$M$25,Inputs!$K110*142*Inputs!$G110,IF(Inputs!$D110=Inputs!$M$26,Inputs!$K110*157*Inputs!$G110,IF(Inputs!$D110=Inputs!$M$22,Inputs!$K110*142*Inputs!$G110,Inputs!$K110*(VLOOKUP(Inputs!$D110&amp;"SO2",'Emission Factors'!$C$4:$D$59,2,FALSE))))))))/2000)</f>
        <v/>
      </c>
      <c r="I48" s="218" t="str">
        <f>IF(B48="","",(Inputs!$K110*(VLOOKUP(Inputs!$D110&amp;"VOC",'Emission Factors'!$C$4:$D$59,2,FALSE))/2000))</f>
        <v/>
      </c>
      <c r="J48" s="218" t="str">
        <f>IF(B48="","",(IF(Inputs!$D110=Inputs!$M$26,Inputs!$K110*(8.34*(1.12*Inputs!$G110+0.37)+1.5),Inputs!$K110*(VLOOKUP(Inputs!$D110&amp;"Total PM",'Emission Factors'!$C$4:$D$59,2,FALSE))))/2000)</f>
        <v/>
      </c>
      <c r="K48" s="218" t="str">
        <f>IF(B48="","",(IF(Inputs!$D110=Inputs!$M$26,((Inputs!$K110*7.17*(1.12*Inputs!$G110+0.37))+1.5),Inputs!$K110*(VLOOKUP(Inputs!$D110&amp;"PM10",'Emission Factors'!$C$4:$D$59,2,FALSE))))/2000)</f>
        <v/>
      </c>
      <c r="L48" s="219" t="str">
        <f>IF(B48="","",(IF(Inputs!$D110=Inputs!$M$26,((Inputs!$K110*4.67*(1.12*Inputs!$G110+0.37))+1.5),Inputs!$K110*(VLOOKUP(Inputs!$D110&amp;"PM2.5",'Emission Factors'!$C$4:$D$59,2,FALSE))))/2000)</f>
        <v/>
      </c>
    </row>
    <row r="49" spans="1:12" x14ac:dyDescent="0.25">
      <c r="A49" s="4"/>
      <c r="B49" s="222" t="str">
        <f>IF(Inputs!$B111="","",Inputs!$B111)</f>
        <v/>
      </c>
      <c r="C49" s="223" t="str">
        <f>IF(Inputs!$C111="","",Inputs!$C111)</f>
        <v/>
      </c>
      <c r="D49" s="223" t="str">
        <f>IF(Inputs!$D111="","",Inputs!$D111)</f>
        <v/>
      </c>
      <c r="E49" s="316" t="str">
        <f>IF(B49="","",IF(D49="Wood",Inputs!K111,VLOOKUP(D49,'Fuel Energy Content'!$A$15:$B$21,2,FALSE)*Inputs!K111))</f>
        <v/>
      </c>
      <c r="F49" s="218" t="str">
        <f>IF(B49="","",(Inputs!$K111*(VLOOKUP(Inputs!$D111&amp;"CO",'Emission Factors'!$C$4:$D$59,2,FALSE))/2000))</f>
        <v/>
      </c>
      <c r="G49" s="218" t="str">
        <f>IF(B49="","",(Inputs!$K111*(VLOOKUP(Inputs!$D111&amp;"NOX",'Emission Factors'!$C$4:$D$59,2,FALSE))/2000))</f>
        <v/>
      </c>
      <c r="H49" s="218" t="str">
        <f>IF(B49="","",(IF(Inputs!$D111=Inputs!$M$20,Inputs!$K111*38*Inputs!$G111,IF(Inputs!$D111=Inputs!$M$21,Inputs!$K111*35*Inputs!$G111,IF(Inputs!$D111=Inputs!$M$25,Inputs!$K111*142*Inputs!$G111,IF(Inputs!$D111=Inputs!$M$26,Inputs!$K111*157*Inputs!$G111,IF(Inputs!$D111=Inputs!$M$22,Inputs!$K111*142*Inputs!$G111,Inputs!$K111*(VLOOKUP(Inputs!$D111&amp;"SO2",'Emission Factors'!$C$4:$D$59,2,FALSE))))))))/2000)</f>
        <v/>
      </c>
      <c r="I49" s="218" t="str">
        <f>IF(B49="","",(Inputs!$K111*(VLOOKUP(Inputs!$D111&amp;"VOC",'Emission Factors'!$C$4:$D$59,2,FALSE))/2000))</f>
        <v/>
      </c>
      <c r="J49" s="218" t="str">
        <f>IF(B49="","",(IF(Inputs!$D111=Inputs!$M$26,Inputs!$K111*(8.34*(1.12*Inputs!$G111+0.37)+1.5),Inputs!$K111*(VLOOKUP(Inputs!$D111&amp;"Total PM",'Emission Factors'!$C$4:$D$59,2,FALSE))))/2000)</f>
        <v/>
      </c>
      <c r="K49" s="218" t="str">
        <f>IF(B49="","",(IF(Inputs!$D111=Inputs!$M$26,((Inputs!$K111*7.17*(1.12*Inputs!$G111+0.37))+1.5),Inputs!$K111*(VLOOKUP(Inputs!$D111&amp;"PM10",'Emission Factors'!$C$4:$D$59,2,FALSE))))/2000)</f>
        <v/>
      </c>
      <c r="L49" s="219" t="str">
        <f>IF(B49="","",(IF(Inputs!$D111=Inputs!$M$26,((Inputs!$K111*4.67*(1.12*Inputs!$G111+0.37))+1.5),Inputs!$K111*(VLOOKUP(Inputs!$D111&amp;"PM2.5",'Emission Factors'!$C$4:$D$59,2,FALSE))))/2000)</f>
        <v/>
      </c>
    </row>
    <row r="50" spans="1:12" x14ac:dyDescent="0.25">
      <c r="A50" s="4"/>
      <c r="B50" s="222" t="str">
        <f>IF(Inputs!$B112="","",Inputs!$B112)</f>
        <v/>
      </c>
      <c r="C50" s="223" t="str">
        <f>IF(Inputs!$C112="","",Inputs!$C112)</f>
        <v/>
      </c>
      <c r="D50" s="223" t="str">
        <f>IF(Inputs!$D112="","",Inputs!$D112)</f>
        <v/>
      </c>
      <c r="E50" s="316" t="str">
        <f>IF(B50="","",IF(D50="Wood",Inputs!K112,VLOOKUP(D50,'Fuel Energy Content'!$A$15:$B$21,2,FALSE)*Inputs!K112))</f>
        <v/>
      </c>
      <c r="F50" s="218" t="str">
        <f>IF(B50="","",(Inputs!$K112*(VLOOKUP(Inputs!$D112&amp;"CO",'Emission Factors'!$C$4:$D$59,2,FALSE))/2000))</f>
        <v/>
      </c>
      <c r="G50" s="218" t="str">
        <f>IF(B50="","",(Inputs!$K112*(VLOOKUP(Inputs!$D112&amp;"NOX",'Emission Factors'!$C$4:$D$59,2,FALSE))/2000))</f>
        <v/>
      </c>
      <c r="H50" s="218" t="str">
        <f>IF(B50="","",(IF(Inputs!$D112=Inputs!$M$20,Inputs!$K112*38*Inputs!$G112,IF(Inputs!$D112=Inputs!$M$21,Inputs!$K112*35*Inputs!$G112,IF(Inputs!$D112=Inputs!$M$25,Inputs!$K112*142*Inputs!$G112,IF(Inputs!$D112=Inputs!$M$26,Inputs!$K112*157*Inputs!$G112,IF(Inputs!$D112=Inputs!$M$22,Inputs!$K112*142*Inputs!$G112,Inputs!$K112*(VLOOKUP(Inputs!$D112&amp;"SO2",'Emission Factors'!$C$4:$D$59,2,FALSE))))))))/2000)</f>
        <v/>
      </c>
      <c r="I50" s="218" t="str">
        <f>IF(B50="","",(Inputs!$K112*(VLOOKUP(Inputs!$D112&amp;"VOC",'Emission Factors'!$C$4:$D$59,2,FALSE))/2000))</f>
        <v/>
      </c>
      <c r="J50" s="218" t="str">
        <f>IF(B50="","",(IF(Inputs!$D112=Inputs!$M$26,Inputs!$K112*(8.34*(1.12*Inputs!$G112+0.37)+1.5),Inputs!$K112*(VLOOKUP(Inputs!$D112&amp;"Total PM",'Emission Factors'!$C$4:$D$59,2,FALSE))))/2000)</f>
        <v/>
      </c>
      <c r="K50" s="218" t="str">
        <f>IF(B50="","",(IF(Inputs!$D112=Inputs!$M$26,((Inputs!$K112*7.17*(1.12*Inputs!$G112+0.37))+1.5),Inputs!$K112*(VLOOKUP(Inputs!$D112&amp;"PM10",'Emission Factors'!$C$4:$D$59,2,FALSE))))/2000)</f>
        <v/>
      </c>
      <c r="L50" s="219" t="str">
        <f>IF(B50="","",(IF(Inputs!$D112=Inputs!$M$26,((Inputs!$K112*4.67*(1.12*Inputs!$G112+0.37))+1.5),Inputs!$K112*(VLOOKUP(Inputs!$D112&amp;"PM2.5",'Emission Factors'!$C$4:$D$59,2,FALSE))))/2000)</f>
        <v/>
      </c>
    </row>
    <row r="51" spans="1:12" x14ac:dyDescent="0.25">
      <c r="A51" s="4"/>
      <c r="B51" s="222" t="str">
        <f>IF(Inputs!$B113="","",Inputs!$B113)</f>
        <v/>
      </c>
      <c r="C51" s="223" t="str">
        <f>IF(Inputs!$C113="","",Inputs!$C113)</f>
        <v/>
      </c>
      <c r="D51" s="223" t="str">
        <f>IF(Inputs!$D113="","",Inputs!$D113)</f>
        <v/>
      </c>
      <c r="E51" s="316" t="str">
        <f>IF(B51="","",IF(D51="Wood",Inputs!K113,VLOOKUP(D51,'Fuel Energy Content'!$A$15:$B$21,2,FALSE)*Inputs!K113))</f>
        <v/>
      </c>
      <c r="F51" s="218" t="str">
        <f>IF(B51="","",(Inputs!$K113*(VLOOKUP(Inputs!$D113&amp;"CO",'Emission Factors'!$C$4:$D$59,2,FALSE))/2000))</f>
        <v/>
      </c>
      <c r="G51" s="218" t="str">
        <f>IF(B51="","",(Inputs!$K113*(VLOOKUP(Inputs!$D113&amp;"NOX",'Emission Factors'!$C$4:$D$59,2,FALSE))/2000))</f>
        <v/>
      </c>
      <c r="H51" s="218" t="str">
        <f>IF(B51="","",(IF(Inputs!$D113=Inputs!$M$20,Inputs!$K113*38*Inputs!$G113,IF(Inputs!$D113=Inputs!$M$21,Inputs!$K113*35*Inputs!$G113,IF(Inputs!$D113=Inputs!$M$25,Inputs!$K113*142*Inputs!$G113,IF(Inputs!$D113=Inputs!$M$26,Inputs!$K113*157*Inputs!$G113,IF(Inputs!$D113=Inputs!$M$22,Inputs!$K113*142*Inputs!$G113,Inputs!$K113*(VLOOKUP(Inputs!$D113&amp;"SO2",'Emission Factors'!$C$4:$D$59,2,FALSE))))))))/2000)</f>
        <v/>
      </c>
      <c r="I51" s="218" t="str">
        <f>IF(B51="","",(Inputs!$K113*(VLOOKUP(Inputs!$D113&amp;"VOC",'Emission Factors'!$C$4:$D$59,2,FALSE))/2000))</f>
        <v/>
      </c>
      <c r="J51" s="218" t="str">
        <f>IF(B51="","",(IF(Inputs!$D113=Inputs!$M$26,Inputs!$K113*(8.34*(1.12*Inputs!$G113+0.37)+1.5),Inputs!$K113*(VLOOKUP(Inputs!$D113&amp;"Total PM",'Emission Factors'!$C$4:$D$59,2,FALSE))))/2000)</f>
        <v/>
      </c>
      <c r="K51" s="218" t="str">
        <f>IF(B51="","",(IF(Inputs!$D113=Inputs!$M$26,((Inputs!$K113*7.17*(1.12*Inputs!$G113+0.37))+1.5),Inputs!$K113*(VLOOKUP(Inputs!$D113&amp;"PM10",'Emission Factors'!$C$4:$D$59,2,FALSE))))/2000)</f>
        <v/>
      </c>
      <c r="L51" s="219" t="str">
        <f>IF(B51="","",(IF(Inputs!$D113=Inputs!$M$26,((Inputs!$K113*4.67*(1.12*Inputs!$G113+0.37))+1.5),Inputs!$K113*(VLOOKUP(Inputs!$D113&amp;"PM2.5",'Emission Factors'!$C$4:$D$59,2,FALSE))))/2000)</f>
        <v/>
      </c>
    </row>
    <row r="52" spans="1:12" x14ac:dyDescent="0.25">
      <c r="A52" s="4"/>
      <c r="B52" s="222" t="str">
        <f>IF(Inputs!$B114="","",Inputs!$B114)</f>
        <v/>
      </c>
      <c r="C52" s="223" t="str">
        <f>IF(Inputs!$C114="","",Inputs!$C114)</f>
        <v/>
      </c>
      <c r="D52" s="223" t="str">
        <f>IF(Inputs!$D114="","",Inputs!$D114)</f>
        <v/>
      </c>
      <c r="E52" s="316" t="str">
        <f>IF(B52="","",IF(D52="Wood",Inputs!K114,VLOOKUP(D52,'Fuel Energy Content'!$A$15:$B$21,2,FALSE)*Inputs!K114))</f>
        <v/>
      </c>
      <c r="F52" s="218" t="str">
        <f>IF(B52="","",(Inputs!$K114*(VLOOKUP(Inputs!$D114&amp;"CO",'Emission Factors'!$C$4:$D$59,2,FALSE))/2000))</f>
        <v/>
      </c>
      <c r="G52" s="218" t="str">
        <f>IF(B52="","",(Inputs!$K114*(VLOOKUP(Inputs!$D114&amp;"NOX",'Emission Factors'!$C$4:$D$59,2,FALSE))/2000))</f>
        <v/>
      </c>
      <c r="H52" s="218" t="str">
        <f>IF(B52="","",(IF(Inputs!$D114=Inputs!$M$20,Inputs!$K114*38*Inputs!$G114,IF(Inputs!$D114=Inputs!$M$21,Inputs!$K114*35*Inputs!$G114,IF(Inputs!$D114=Inputs!$M$25,Inputs!$K114*142*Inputs!$G114,IF(Inputs!$D114=Inputs!$M$26,Inputs!$K114*157*Inputs!$G114,IF(Inputs!$D114=Inputs!$M$22,Inputs!$K114*142*Inputs!$G114,Inputs!$K114*(VLOOKUP(Inputs!$D114&amp;"SO2",'Emission Factors'!$C$4:$D$59,2,FALSE))))))))/2000)</f>
        <v/>
      </c>
      <c r="I52" s="218" t="str">
        <f>IF(B52="","",(Inputs!$K114*(VLOOKUP(Inputs!$D114&amp;"VOC",'Emission Factors'!$C$4:$D$59,2,FALSE))/2000))</f>
        <v/>
      </c>
      <c r="J52" s="218" t="str">
        <f>IF(B52="","",(IF(Inputs!$D114=Inputs!$M$26,Inputs!$K114*(8.34*(1.12*Inputs!$G114+0.37)+1.5),Inputs!$K114*(VLOOKUP(Inputs!$D114&amp;"Total PM",'Emission Factors'!$C$4:$D$59,2,FALSE))))/2000)</f>
        <v/>
      </c>
      <c r="K52" s="218" t="str">
        <f>IF(B52="","",(IF(Inputs!$D114=Inputs!$M$26,((Inputs!$K114*7.17*(1.12*Inputs!$G114+0.37))+1.5),Inputs!$K114*(VLOOKUP(Inputs!$D114&amp;"PM10",'Emission Factors'!$C$4:$D$59,2,FALSE))))/2000)</f>
        <v/>
      </c>
      <c r="L52" s="219" t="str">
        <f>IF(B52="","",(IF(Inputs!$D114=Inputs!$M$26,((Inputs!$K114*4.67*(1.12*Inputs!$G114+0.37))+1.5),Inputs!$K114*(VLOOKUP(Inputs!$D114&amp;"PM2.5",'Emission Factors'!$C$4:$D$59,2,FALSE))))/2000)</f>
        <v/>
      </c>
    </row>
    <row r="53" spans="1:12" x14ac:dyDescent="0.25">
      <c r="A53" s="4"/>
      <c r="B53" s="222" t="str">
        <f>IF(Inputs!$B115="","",Inputs!$B115)</f>
        <v/>
      </c>
      <c r="C53" s="223" t="str">
        <f>IF(Inputs!$C115="","",Inputs!$C115)</f>
        <v/>
      </c>
      <c r="D53" s="223" t="str">
        <f>IF(Inputs!$D115="","",Inputs!$D115)</f>
        <v/>
      </c>
      <c r="E53" s="316" t="str">
        <f>IF(B53="","",IF(D53="Wood",Inputs!K115,VLOOKUP(D53,'Fuel Energy Content'!$A$15:$B$21,2,FALSE)*Inputs!K115))</f>
        <v/>
      </c>
      <c r="F53" s="218" t="str">
        <f>IF(B53="","",(Inputs!$K115*(VLOOKUP(Inputs!$D115&amp;"CO",'Emission Factors'!$C$4:$D$59,2,FALSE))/2000))</f>
        <v/>
      </c>
      <c r="G53" s="218" t="str">
        <f>IF(B53="","",(Inputs!$K115*(VLOOKUP(Inputs!$D115&amp;"NOX",'Emission Factors'!$C$4:$D$59,2,FALSE))/2000))</f>
        <v/>
      </c>
      <c r="H53" s="218" t="str">
        <f>IF(B53="","",(IF(Inputs!$D115=Inputs!$M$20,Inputs!$K115*38*Inputs!$G115,IF(Inputs!$D115=Inputs!$M$21,Inputs!$K115*35*Inputs!$G115,IF(Inputs!$D115=Inputs!$M$25,Inputs!$K115*142*Inputs!$G115,IF(Inputs!$D115=Inputs!$M$26,Inputs!$K115*157*Inputs!$G115,IF(Inputs!$D115=Inputs!$M$22,Inputs!$K115*142*Inputs!$G115,Inputs!$K115*(VLOOKUP(Inputs!$D115&amp;"SO2",'Emission Factors'!$C$4:$D$59,2,FALSE))))))))/2000)</f>
        <v/>
      </c>
      <c r="I53" s="218" t="str">
        <f>IF(B53="","",(Inputs!$K115*(VLOOKUP(Inputs!$D115&amp;"VOC",'Emission Factors'!$C$4:$D$59,2,FALSE))/2000))</f>
        <v/>
      </c>
      <c r="J53" s="218" t="str">
        <f>IF(B53="","",(IF(Inputs!$D115=Inputs!$M$26,Inputs!$K115*(8.34*(1.12*Inputs!$G115+0.37)+1.5),Inputs!$K115*(VLOOKUP(Inputs!$D115&amp;"Total PM",'Emission Factors'!$C$4:$D$59,2,FALSE))))/2000)</f>
        <v/>
      </c>
      <c r="K53" s="218" t="str">
        <f>IF(B53="","",(IF(Inputs!$D115=Inputs!$M$26,((Inputs!$K115*7.17*(1.12*Inputs!$G115+0.37))+1.5),Inputs!$K115*(VLOOKUP(Inputs!$D115&amp;"PM10",'Emission Factors'!$C$4:$D$59,2,FALSE))))/2000)</f>
        <v/>
      </c>
      <c r="L53" s="219" t="str">
        <f>IF(B53="","",(IF(Inputs!$D115=Inputs!$M$26,((Inputs!$K115*4.67*(1.12*Inputs!$G115+0.37))+1.5),Inputs!$K115*(VLOOKUP(Inputs!$D115&amp;"PM2.5",'Emission Factors'!$C$4:$D$59,2,FALSE))))/2000)</f>
        <v/>
      </c>
    </row>
    <row r="54" spans="1:12" ht="13.8" thickBot="1" x14ac:dyDescent="0.3">
      <c r="A54" s="4"/>
      <c r="B54" s="224" t="str">
        <f>IF(Inputs!$B116="","",Inputs!$B116)</f>
        <v/>
      </c>
      <c r="C54" s="225" t="str">
        <f>IF(Inputs!$C116="","",Inputs!$C116)</f>
        <v/>
      </c>
      <c r="D54" s="225" t="str">
        <f>IF(Inputs!$D116="","",Inputs!$D116)</f>
        <v/>
      </c>
      <c r="E54" s="317" t="str">
        <f>IF(B54="","",IF(D54="Wood",Inputs!K116,VLOOKUP(D54,'Fuel Energy Content'!$A$15:$B$21,2,FALSE)*Inputs!K116))</f>
        <v/>
      </c>
      <c r="F54" s="226" t="str">
        <f>IF(B54="","",(Inputs!$K116*(VLOOKUP(Inputs!$D116&amp;"CO",'Emission Factors'!$C$4:$D$59,2,FALSE))/2000))</f>
        <v/>
      </c>
      <c r="G54" s="226" t="str">
        <f>IF(B54="","",(Inputs!$K116*(VLOOKUP(Inputs!$D116&amp;"NOX",'Emission Factors'!$C$4:$D$59,2,FALSE))/2000))</f>
        <v/>
      </c>
      <c r="H54" s="226" t="str">
        <f>IF(B54="","",(IF(Inputs!$D116=Inputs!$M$20,Inputs!$K116*38*Inputs!$G116,IF(Inputs!$D116=Inputs!$M$21,Inputs!$K116*35*Inputs!$G116,IF(Inputs!$D116=Inputs!$M$25,Inputs!$K116*142*Inputs!$G116,IF(Inputs!$D116=Inputs!$M$26,Inputs!$K116*157*Inputs!$G116,IF(Inputs!$D116=Inputs!$M$22,Inputs!$K116*142*Inputs!$G116,Inputs!$K116*(VLOOKUP(Inputs!$D116&amp;"SO2",'Emission Factors'!$C$4:$D$59,2,FALSE))))))))/2000)</f>
        <v/>
      </c>
      <c r="I54" s="226" t="str">
        <f>IF(B54="","",(Inputs!$K116*(VLOOKUP(Inputs!$D116&amp;"VOC",'Emission Factors'!$C$4:$D$59,2,FALSE))/2000))</f>
        <v/>
      </c>
      <c r="J54" s="226" t="str">
        <f>IF(B54="","",(IF(Inputs!$D116=Inputs!$M$26,Inputs!$K116*(8.34*(1.12*Inputs!$G116+0.37)+1.5),Inputs!$K116*(VLOOKUP(Inputs!$D116&amp;"Total PM",'Emission Factors'!$C$4:$D$59,2,FALSE))))/2000)</f>
        <v/>
      </c>
      <c r="K54" s="226" t="str">
        <f>IF(B54="","",(IF(Inputs!$D116=Inputs!$M$26,((Inputs!$K116*7.17*(1.12*Inputs!$G116+0.37))+1.5),Inputs!$K116*(VLOOKUP(Inputs!$D116&amp;"PM10",'Emission Factors'!$C$4:$D$59,2,FALSE))))/2000)</f>
        <v/>
      </c>
      <c r="L54" s="227" t="str">
        <f>IF(B54="","",(IF(Inputs!$D116=Inputs!$M$26,((Inputs!$K116*4.67*(1.12*Inputs!$G116+0.37))+1.5),Inputs!$K116*(VLOOKUP(Inputs!$D116&amp;"PM2.5",'Emission Factors'!$C$4:$D$59,2,FALSE))))/2000)</f>
        <v/>
      </c>
    </row>
    <row r="55" spans="1:12" x14ac:dyDescent="0.25">
      <c r="A55" s="4"/>
      <c r="B55" s="14"/>
      <c r="C55" s="5"/>
      <c r="D55" s="5"/>
      <c r="E55" s="5"/>
      <c r="F55" s="15"/>
      <c r="G55" s="15"/>
      <c r="H55" s="15"/>
      <c r="I55" s="15"/>
      <c r="J55" s="15"/>
      <c r="K55" s="15"/>
      <c r="L55" s="15"/>
    </row>
    <row r="56" spans="1:12" x14ac:dyDescent="0.25">
      <c r="A56" s="4"/>
      <c r="B56" s="14"/>
      <c r="C56" s="5"/>
      <c r="D56" s="5"/>
      <c r="E56" s="5"/>
      <c r="F56" s="15"/>
      <c r="G56" s="15"/>
      <c r="H56" s="15"/>
      <c r="I56" s="15"/>
      <c r="J56" s="15"/>
      <c r="K56" s="15"/>
      <c r="L56" s="15"/>
    </row>
    <row r="57" spans="1:12" x14ac:dyDescent="0.25">
      <c r="A57" s="4"/>
      <c r="B57" s="14"/>
      <c r="C57" s="5"/>
      <c r="D57" s="5"/>
      <c r="E57" s="5"/>
      <c r="F57" s="15"/>
      <c r="G57" s="15"/>
      <c r="H57" s="15"/>
      <c r="I57" s="15"/>
      <c r="J57" s="15"/>
      <c r="K57" s="15"/>
      <c r="L57" s="15"/>
    </row>
    <row r="58" spans="1:12" x14ac:dyDescent="0.25">
      <c r="A58" s="4"/>
      <c r="B58" s="14"/>
      <c r="C58" s="5"/>
      <c r="D58" s="5"/>
      <c r="E58" s="5"/>
      <c r="F58" s="15"/>
      <c r="G58" s="15"/>
      <c r="H58" s="15"/>
      <c r="I58" s="15"/>
      <c r="J58" s="15"/>
      <c r="K58" s="15"/>
      <c r="L58" s="15"/>
    </row>
    <row r="59" spans="1:12" x14ac:dyDescent="0.25">
      <c r="A59" s="4"/>
      <c r="B59" s="14"/>
      <c r="C59" s="5"/>
      <c r="D59" s="5"/>
      <c r="E59" s="5"/>
      <c r="F59" s="15"/>
      <c r="G59" s="15"/>
      <c r="H59" s="15"/>
      <c r="I59" s="15"/>
      <c r="J59" s="15"/>
      <c r="K59" s="15"/>
      <c r="L59" s="15"/>
    </row>
    <row r="60" spans="1:12" x14ac:dyDescent="0.25">
      <c r="A60" s="4"/>
      <c r="B60" s="14"/>
      <c r="C60" s="5"/>
      <c r="D60" s="5"/>
      <c r="E60" s="5"/>
      <c r="F60" s="15"/>
      <c r="G60" s="15"/>
      <c r="H60" s="15"/>
      <c r="I60" s="15"/>
      <c r="J60" s="15"/>
      <c r="K60" s="15"/>
      <c r="L60" s="15"/>
    </row>
    <row r="61" spans="1:12" x14ac:dyDescent="0.25">
      <c r="A61" s="4"/>
      <c r="B61" s="14"/>
      <c r="C61" s="5"/>
      <c r="D61" s="5"/>
      <c r="E61" s="5"/>
      <c r="F61" s="15"/>
      <c r="G61" s="15"/>
      <c r="H61" s="15"/>
      <c r="I61" s="15"/>
      <c r="J61" s="15"/>
      <c r="K61" s="15"/>
      <c r="L61" s="15"/>
    </row>
    <row r="62" spans="1:12" x14ac:dyDescent="0.25">
      <c r="A62" s="4"/>
      <c r="B62" s="14"/>
      <c r="C62" s="5"/>
      <c r="D62" s="5"/>
      <c r="E62" s="5"/>
      <c r="F62" s="15"/>
      <c r="G62" s="15"/>
      <c r="H62" s="15"/>
      <c r="I62" s="15"/>
      <c r="J62" s="15"/>
      <c r="K62" s="15"/>
      <c r="L62" s="15"/>
    </row>
    <row r="63" spans="1:12" x14ac:dyDescent="0.25">
      <c r="A63" s="4"/>
      <c r="B63" s="14"/>
      <c r="C63" s="5"/>
      <c r="D63" s="5"/>
      <c r="E63" s="5"/>
      <c r="F63" s="15"/>
      <c r="G63" s="15"/>
      <c r="H63" s="15"/>
      <c r="I63" s="15"/>
      <c r="J63" s="15"/>
      <c r="K63" s="15"/>
      <c r="L63" s="15"/>
    </row>
    <row r="64" spans="1:12" x14ac:dyDescent="0.25">
      <c r="A64" s="4"/>
      <c r="B64" s="14"/>
      <c r="C64" s="5"/>
      <c r="D64" s="5"/>
      <c r="E64" s="5"/>
      <c r="F64" s="15"/>
      <c r="G64" s="15"/>
      <c r="H64" s="15"/>
      <c r="I64" s="15"/>
      <c r="J64" s="15"/>
      <c r="K64" s="15"/>
      <c r="L64" s="15"/>
    </row>
    <row r="65" spans="1:12" x14ac:dyDescent="0.25">
      <c r="A65" s="4"/>
      <c r="B65" s="14"/>
      <c r="C65" s="5"/>
      <c r="D65" s="5"/>
      <c r="E65" s="5"/>
      <c r="F65" s="15"/>
      <c r="G65" s="15"/>
      <c r="H65" s="15"/>
      <c r="I65" s="15"/>
      <c r="J65" s="15"/>
      <c r="K65" s="15"/>
      <c r="L65" s="15"/>
    </row>
    <row r="66" spans="1:12" x14ac:dyDescent="0.25">
      <c r="A66" s="4"/>
      <c r="B66" s="14"/>
      <c r="C66" s="5"/>
      <c r="D66" s="5"/>
      <c r="E66" s="5"/>
      <c r="F66" s="15"/>
      <c r="G66" s="15"/>
      <c r="H66" s="15"/>
      <c r="I66" s="15"/>
      <c r="J66" s="15"/>
      <c r="K66" s="15"/>
      <c r="L66" s="15"/>
    </row>
    <row r="67" spans="1:12" x14ac:dyDescent="0.25">
      <c r="A67" s="4"/>
      <c r="B67" s="14"/>
      <c r="C67" s="5"/>
      <c r="D67" s="5"/>
      <c r="E67" s="5"/>
      <c r="F67" s="15"/>
      <c r="G67" s="15"/>
      <c r="H67" s="15"/>
      <c r="I67" s="15"/>
      <c r="J67" s="15"/>
      <c r="K67" s="15"/>
      <c r="L67" s="15"/>
    </row>
    <row r="68" spans="1:12" x14ac:dyDescent="0.25">
      <c r="A68" s="4"/>
      <c r="B68" s="14"/>
      <c r="C68" s="5"/>
      <c r="D68" s="5"/>
      <c r="E68" s="5"/>
      <c r="F68" s="15"/>
      <c r="G68" s="15"/>
      <c r="H68" s="15"/>
      <c r="I68" s="15"/>
      <c r="J68" s="15"/>
      <c r="K68" s="15"/>
      <c r="L68" s="15"/>
    </row>
    <row r="69" spans="1:12" x14ac:dyDescent="0.25">
      <c r="A69" s="4"/>
      <c r="B69" s="14"/>
      <c r="C69" s="5"/>
      <c r="D69" s="5"/>
      <c r="E69" s="5"/>
      <c r="F69" s="15"/>
      <c r="G69" s="15"/>
      <c r="H69" s="15"/>
      <c r="I69" s="15"/>
      <c r="J69" s="15"/>
      <c r="K69" s="15"/>
      <c r="L69" s="15"/>
    </row>
    <row r="70" spans="1:12" x14ac:dyDescent="0.25">
      <c r="A70" s="4"/>
      <c r="B70" s="14"/>
      <c r="C70" s="5"/>
      <c r="D70" s="5"/>
      <c r="E70" s="5"/>
      <c r="F70" s="15"/>
      <c r="G70" s="15"/>
      <c r="H70" s="15"/>
      <c r="I70" s="15"/>
      <c r="J70" s="15"/>
      <c r="K70" s="15"/>
      <c r="L70" s="15"/>
    </row>
    <row r="71" spans="1:12" x14ac:dyDescent="0.25">
      <c r="A71" s="4"/>
      <c r="B71" s="14"/>
      <c r="C71" s="5"/>
      <c r="D71" s="5"/>
      <c r="E71" s="5"/>
      <c r="F71" s="15"/>
      <c r="G71" s="15"/>
      <c r="H71" s="15"/>
      <c r="I71" s="15"/>
      <c r="J71" s="15"/>
      <c r="K71" s="15"/>
      <c r="L71" s="15"/>
    </row>
    <row r="72" spans="1:12" x14ac:dyDescent="0.25">
      <c r="A72" s="4"/>
      <c r="B72" s="14"/>
      <c r="C72" s="5"/>
      <c r="D72" s="5"/>
      <c r="E72" s="5"/>
      <c r="F72" s="15"/>
      <c r="G72" s="15"/>
      <c r="H72" s="15"/>
      <c r="I72" s="15"/>
      <c r="J72" s="15"/>
      <c r="K72" s="15"/>
      <c r="L72" s="15"/>
    </row>
    <row r="73" spans="1:12" x14ac:dyDescent="0.25">
      <c r="A73" s="4"/>
      <c r="B73" s="14"/>
      <c r="C73" s="5"/>
      <c r="D73" s="5"/>
      <c r="E73" s="5"/>
      <c r="F73" s="15"/>
      <c r="G73" s="15"/>
      <c r="H73" s="15"/>
      <c r="I73" s="15"/>
      <c r="J73" s="15"/>
      <c r="K73" s="15"/>
      <c r="L73" s="15"/>
    </row>
    <row r="74" spans="1:12" x14ac:dyDescent="0.25">
      <c r="A74" s="4"/>
      <c r="B74" s="14"/>
      <c r="C74" s="5"/>
      <c r="D74" s="5"/>
      <c r="E74" s="5"/>
      <c r="F74" s="15"/>
      <c r="G74" s="15"/>
      <c r="H74" s="15"/>
      <c r="I74" s="15"/>
      <c r="J74" s="15"/>
      <c r="K74" s="15"/>
      <c r="L74" s="15"/>
    </row>
    <row r="75" spans="1:12" x14ac:dyDescent="0.25">
      <c r="A75" s="4"/>
      <c r="B75" s="14"/>
      <c r="C75" s="5"/>
      <c r="D75" s="5"/>
      <c r="E75" s="5"/>
      <c r="F75" s="15"/>
      <c r="G75" s="15"/>
      <c r="H75" s="15"/>
      <c r="I75" s="15"/>
      <c r="J75" s="15"/>
      <c r="K75" s="15"/>
      <c r="L75" s="15"/>
    </row>
    <row r="76" spans="1:12" x14ac:dyDescent="0.25">
      <c r="A76" s="4"/>
      <c r="B76" s="14"/>
      <c r="C76" s="5"/>
      <c r="D76" s="5"/>
      <c r="E76" s="5"/>
      <c r="F76" s="15"/>
      <c r="G76" s="15"/>
      <c r="H76" s="15"/>
      <c r="I76" s="15"/>
      <c r="J76" s="15"/>
      <c r="K76" s="15"/>
      <c r="L76" s="15"/>
    </row>
    <row r="77" spans="1:12" x14ac:dyDescent="0.25">
      <c r="A77" s="4"/>
      <c r="B77" s="14"/>
      <c r="C77" s="5"/>
      <c r="D77" s="5"/>
      <c r="E77" s="5"/>
      <c r="F77" s="15"/>
      <c r="G77" s="15"/>
      <c r="H77" s="15"/>
      <c r="I77" s="15"/>
      <c r="J77" s="15"/>
      <c r="K77" s="15"/>
      <c r="L77" s="15"/>
    </row>
    <row r="78" spans="1:12" x14ac:dyDescent="0.25">
      <c r="A78" s="4"/>
      <c r="B78" s="14"/>
      <c r="C78" s="5"/>
      <c r="D78" s="5"/>
      <c r="E78" s="5"/>
      <c r="F78" s="15"/>
      <c r="G78" s="15"/>
      <c r="H78" s="15"/>
      <c r="I78" s="15"/>
      <c r="J78" s="15"/>
      <c r="K78" s="15"/>
      <c r="L78" s="15"/>
    </row>
    <row r="79" spans="1:12" x14ac:dyDescent="0.25">
      <c r="A79" s="4"/>
      <c r="B79" s="14"/>
      <c r="C79" s="5"/>
      <c r="D79" s="5"/>
      <c r="E79" s="5"/>
      <c r="F79" s="15"/>
      <c r="G79" s="15"/>
      <c r="H79" s="15"/>
      <c r="I79" s="15"/>
      <c r="J79" s="15"/>
      <c r="K79" s="15"/>
      <c r="L79" s="15"/>
    </row>
    <row r="80" spans="1:12" x14ac:dyDescent="0.25">
      <c r="A80" s="4"/>
      <c r="B80" s="14"/>
      <c r="C80" s="5"/>
      <c r="D80" s="5"/>
      <c r="E80" s="5"/>
      <c r="F80" s="15"/>
      <c r="G80" s="15"/>
      <c r="H80" s="15"/>
      <c r="I80" s="15"/>
      <c r="J80" s="15"/>
      <c r="K80" s="15"/>
      <c r="L80" s="15"/>
    </row>
    <row r="81" spans="1:12" x14ac:dyDescent="0.25">
      <c r="A81" s="4"/>
      <c r="B81" s="14"/>
      <c r="C81" s="5"/>
      <c r="D81" s="5"/>
      <c r="E81" s="5"/>
      <c r="F81" s="15"/>
      <c r="G81" s="15"/>
      <c r="H81" s="15"/>
      <c r="I81" s="15"/>
      <c r="J81" s="15"/>
      <c r="K81" s="15"/>
      <c r="L81" s="15"/>
    </row>
    <row r="82" spans="1:12" x14ac:dyDescent="0.25">
      <c r="A82" s="4"/>
      <c r="B82" s="14"/>
      <c r="C82" s="5"/>
      <c r="D82" s="5"/>
      <c r="E82" s="5"/>
      <c r="F82" s="15"/>
      <c r="G82" s="15"/>
      <c r="H82" s="15"/>
      <c r="I82" s="15"/>
      <c r="J82" s="15"/>
      <c r="K82" s="15"/>
      <c r="L82" s="15"/>
    </row>
    <row r="83" spans="1:12" x14ac:dyDescent="0.25">
      <c r="A83" s="4"/>
      <c r="B83" s="14"/>
      <c r="C83" s="5"/>
      <c r="D83" s="5"/>
      <c r="E83" s="5"/>
      <c r="F83" s="15"/>
      <c r="G83" s="15"/>
      <c r="H83" s="15"/>
      <c r="I83" s="15"/>
      <c r="J83" s="15"/>
      <c r="K83" s="15"/>
      <c r="L83" s="15"/>
    </row>
    <row r="84" spans="1:12" x14ac:dyDescent="0.25">
      <c r="A84" s="4"/>
      <c r="B84" s="14"/>
      <c r="C84" s="5"/>
      <c r="D84" s="5"/>
      <c r="E84" s="5"/>
      <c r="F84" s="15"/>
      <c r="G84" s="15"/>
      <c r="H84" s="15"/>
      <c r="I84" s="15"/>
      <c r="J84" s="15"/>
      <c r="K84" s="15"/>
      <c r="L84" s="15"/>
    </row>
    <row r="85" spans="1:12" x14ac:dyDescent="0.25">
      <c r="A85" s="4"/>
      <c r="B85" s="14"/>
      <c r="C85" s="5"/>
      <c r="D85" s="5"/>
      <c r="E85" s="5"/>
      <c r="F85" s="15"/>
      <c r="G85" s="15"/>
      <c r="H85" s="15"/>
      <c r="I85" s="15"/>
      <c r="J85" s="15"/>
      <c r="K85" s="15"/>
      <c r="L85" s="15"/>
    </row>
    <row r="86" spans="1:12" x14ac:dyDescent="0.25">
      <c r="A86" s="4"/>
      <c r="B86" s="14"/>
      <c r="C86" s="5"/>
      <c r="D86" s="5"/>
      <c r="E86" s="5"/>
      <c r="F86" s="15"/>
      <c r="G86" s="15"/>
      <c r="H86" s="15"/>
      <c r="I86" s="15"/>
      <c r="J86" s="15"/>
      <c r="K86" s="15"/>
      <c r="L86" s="15"/>
    </row>
    <row r="87" spans="1:12" x14ac:dyDescent="0.25">
      <c r="A87" s="4"/>
      <c r="B87" s="14"/>
      <c r="C87" s="5"/>
      <c r="D87" s="5"/>
      <c r="E87" s="5"/>
      <c r="F87" s="15"/>
      <c r="G87" s="15"/>
      <c r="H87" s="15"/>
      <c r="I87" s="15"/>
      <c r="J87" s="15"/>
      <c r="K87" s="15"/>
      <c r="L87" s="15"/>
    </row>
    <row r="88" spans="1:12" x14ac:dyDescent="0.25">
      <c r="A88" s="4"/>
      <c r="B88" s="14"/>
      <c r="C88" s="5"/>
      <c r="D88" s="5"/>
      <c r="E88" s="5"/>
      <c r="F88" s="15"/>
      <c r="G88" s="15"/>
      <c r="H88" s="15"/>
      <c r="I88" s="15"/>
      <c r="J88" s="15"/>
      <c r="K88" s="15"/>
      <c r="L88" s="15"/>
    </row>
    <row r="89" spans="1:12" x14ac:dyDescent="0.25">
      <c r="A89" s="4"/>
      <c r="B89" s="14"/>
      <c r="C89" s="5"/>
      <c r="D89" s="5"/>
      <c r="E89" s="5"/>
      <c r="F89" s="15"/>
      <c r="G89" s="15"/>
      <c r="H89" s="15"/>
      <c r="I89" s="15"/>
      <c r="J89" s="15"/>
      <c r="K89" s="15"/>
      <c r="L89" s="15"/>
    </row>
    <row r="90" spans="1:12" x14ac:dyDescent="0.25">
      <c r="A90" s="4"/>
      <c r="B90" s="14"/>
      <c r="C90" s="5"/>
      <c r="D90" s="5"/>
      <c r="E90" s="5"/>
      <c r="F90" s="15"/>
      <c r="G90" s="15"/>
      <c r="H90" s="15"/>
      <c r="I90" s="15"/>
      <c r="J90" s="15"/>
      <c r="K90" s="15"/>
      <c r="L90" s="15"/>
    </row>
    <row r="91" spans="1:12" x14ac:dyDescent="0.25">
      <c r="A91" s="4"/>
      <c r="B91" s="14"/>
      <c r="C91" s="5"/>
      <c r="D91" s="5"/>
      <c r="E91" s="5"/>
      <c r="F91" s="15"/>
      <c r="G91" s="15"/>
      <c r="H91" s="15"/>
      <c r="I91" s="15"/>
      <c r="J91" s="15"/>
      <c r="K91" s="15"/>
      <c r="L91" s="15"/>
    </row>
    <row r="92" spans="1:12" x14ac:dyDescent="0.25">
      <c r="A92" s="4"/>
      <c r="B92" s="14"/>
      <c r="C92" s="5"/>
      <c r="D92" s="5"/>
      <c r="E92" s="5"/>
      <c r="F92" s="15"/>
      <c r="G92" s="15"/>
      <c r="H92" s="15"/>
      <c r="I92" s="15"/>
      <c r="J92" s="15"/>
      <c r="K92" s="15"/>
      <c r="L92" s="15"/>
    </row>
    <row r="93" spans="1:12" x14ac:dyDescent="0.25">
      <c r="A93" s="4"/>
      <c r="B93" s="14"/>
      <c r="C93" s="5"/>
      <c r="D93" s="5"/>
      <c r="E93" s="5"/>
      <c r="F93" s="15"/>
      <c r="G93" s="15"/>
      <c r="H93" s="15"/>
      <c r="I93" s="15"/>
      <c r="J93" s="15"/>
      <c r="K93" s="15"/>
      <c r="L93" s="15"/>
    </row>
    <row r="94" spans="1:12" x14ac:dyDescent="0.25">
      <c r="A94" s="4"/>
      <c r="B94" s="14"/>
      <c r="C94" s="5"/>
      <c r="D94" s="5"/>
      <c r="E94" s="5"/>
      <c r="F94" s="15"/>
      <c r="G94" s="15"/>
      <c r="H94" s="15"/>
      <c r="I94" s="15"/>
      <c r="J94" s="15"/>
      <c r="K94" s="15"/>
      <c r="L94" s="15"/>
    </row>
    <row r="95" spans="1:12" x14ac:dyDescent="0.25">
      <c r="A95" s="4"/>
      <c r="B95" s="14"/>
      <c r="C95" s="5"/>
      <c r="D95" s="5"/>
      <c r="E95" s="5"/>
      <c r="F95" s="15"/>
      <c r="G95" s="15"/>
      <c r="H95" s="15"/>
      <c r="I95" s="15"/>
      <c r="J95" s="15"/>
      <c r="K95" s="15"/>
      <c r="L95" s="15"/>
    </row>
    <row r="96" spans="1:12" x14ac:dyDescent="0.25">
      <c r="A96" s="4"/>
      <c r="B96" s="14"/>
      <c r="C96" s="5"/>
      <c r="D96" s="5"/>
      <c r="E96" s="5"/>
      <c r="F96" s="15"/>
      <c r="G96" s="15"/>
      <c r="H96" s="15"/>
      <c r="I96" s="15"/>
      <c r="J96" s="15"/>
      <c r="K96" s="15"/>
      <c r="L96" s="15"/>
    </row>
    <row r="97" spans="1:12" x14ac:dyDescent="0.25">
      <c r="A97" s="4"/>
      <c r="B97" s="14"/>
      <c r="C97" s="5"/>
      <c r="D97" s="5"/>
      <c r="E97" s="5"/>
      <c r="F97" s="15"/>
      <c r="G97" s="15"/>
      <c r="H97" s="15"/>
      <c r="I97" s="15"/>
      <c r="J97" s="15"/>
      <c r="K97" s="15"/>
      <c r="L97" s="15"/>
    </row>
    <row r="98" spans="1:12" x14ac:dyDescent="0.25">
      <c r="A98" s="4"/>
      <c r="B98" s="14"/>
      <c r="C98" s="5"/>
      <c r="D98" s="5"/>
      <c r="E98" s="5"/>
      <c r="F98" s="15"/>
      <c r="G98" s="15"/>
      <c r="H98" s="15"/>
      <c r="I98" s="15"/>
      <c r="J98" s="15"/>
      <c r="K98" s="15"/>
      <c r="L98" s="15"/>
    </row>
    <row r="99" spans="1:12" x14ac:dyDescent="0.25">
      <c r="A99" s="4"/>
      <c r="B99" s="14"/>
      <c r="C99" s="5"/>
      <c r="D99" s="5"/>
      <c r="E99" s="5"/>
      <c r="F99" s="15"/>
      <c r="G99" s="15"/>
      <c r="H99" s="15"/>
      <c r="I99" s="15"/>
      <c r="J99" s="15"/>
      <c r="K99" s="15"/>
      <c r="L99" s="15"/>
    </row>
    <row r="100" spans="1:12" x14ac:dyDescent="0.25">
      <c r="A100" s="4"/>
      <c r="B100" s="14"/>
      <c r="C100" s="5"/>
      <c r="D100" s="5"/>
      <c r="E100" s="5"/>
      <c r="F100" s="15"/>
      <c r="G100" s="15"/>
      <c r="H100" s="15"/>
      <c r="I100" s="15"/>
      <c r="J100" s="15"/>
      <c r="K100" s="15"/>
      <c r="L100" s="15"/>
    </row>
    <row r="101" spans="1:12" x14ac:dyDescent="0.25">
      <c r="A101" s="4"/>
      <c r="B101" s="14"/>
      <c r="C101" s="5"/>
      <c r="D101" s="5"/>
      <c r="E101" s="5"/>
      <c r="F101" s="15"/>
      <c r="G101" s="15"/>
      <c r="H101" s="15"/>
      <c r="I101" s="15"/>
      <c r="J101" s="15"/>
      <c r="K101" s="15"/>
      <c r="L101" s="15"/>
    </row>
    <row r="102" spans="1:12" x14ac:dyDescent="0.25">
      <c r="A102" s="4"/>
      <c r="B102" s="14"/>
      <c r="C102" s="5"/>
      <c r="D102" s="5"/>
      <c r="E102" s="5"/>
      <c r="F102" s="15"/>
      <c r="G102" s="15"/>
      <c r="H102" s="15"/>
      <c r="I102" s="15"/>
      <c r="J102" s="15"/>
      <c r="K102" s="15"/>
      <c r="L102" s="15"/>
    </row>
    <row r="103" spans="1:12" x14ac:dyDescent="0.25">
      <c r="A103" s="4"/>
      <c r="B103" s="14"/>
      <c r="C103" s="5"/>
      <c r="D103" s="5"/>
      <c r="E103" s="5"/>
      <c r="F103" s="15"/>
      <c r="G103" s="15"/>
      <c r="H103" s="15"/>
      <c r="I103" s="15"/>
      <c r="J103" s="15"/>
      <c r="K103" s="15"/>
      <c r="L103" s="15"/>
    </row>
    <row r="104" spans="1:12" x14ac:dyDescent="0.25">
      <c r="A104" s="4"/>
      <c r="B104" s="14"/>
      <c r="C104" s="5"/>
      <c r="D104" s="5"/>
      <c r="E104" s="5"/>
      <c r="F104" s="15"/>
      <c r="G104" s="15"/>
      <c r="H104" s="15"/>
      <c r="I104" s="15"/>
      <c r="J104" s="15"/>
      <c r="K104" s="15"/>
      <c r="L104" s="15"/>
    </row>
    <row r="105" spans="1:12" x14ac:dyDescent="0.25">
      <c r="A105" s="4"/>
      <c r="B105" s="14"/>
      <c r="C105" s="5"/>
      <c r="D105" s="5"/>
      <c r="E105" s="5"/>
      <c r="F105" s="15"/>
      <c r="G105" s="15"/>
      <c r="H105" s="15"/>
      <c r="I105" s="15"/>
      <c r="J105" s="15"/>
      <c r="K105" s="15"/>
      <c r="L105" s="15"/>
    </row>
    <row r="106" spans="1:12" x14ac:dyDescent="0.25">
      <c r="A106" s="4"/>
      <c r="B106" s="14"/>
      <c r="C106" s="5"/>
      <c r="D106" s="5"/>
      <c r="E106" s="5"/>
      <c r="F106" s="15"/>
      <c r="G106" s="15"/>
      <c r="H106" s="15"/>
      <c r="I106" s="15"/>
      <c r="J106" s="15"/>
      <c r="K106" s="15"/>
      <c r="L106" s="15"/>
    </row>
    <row r="107" spans="1:12" x14ac:dyDescent="0.25">
      <c r="A107" s="4"/>
      <c r="B107" s="14"/>
      <c r="C107" s="5"/>
      <c r="D107" s="5"/>
      <c r="E107" s="5"/>
      <c r="F107" s="15"/>
      <c r="G107" s="15"/>
      <c r="H107" s="15"/>
      <c r="I107" s="15"/>
      <c r="J107" s="15"/>
      <c r="K107" s="15"/>
      <c r="L107" s="15"/>
    </row>
    <row r="108" spans="1:12" x14ac:dyDescent="0.25">
      <c r="A108" s="4"/>
      <c r="B108" s="14"/>
      <c r="C108" s="5"/>
      <c r="D108" s="5"/>
      <c r="E108" s="5"/>
      <c r="F108" s="15"/>
      <c r="G108" s="15"/>
      <c r="H108" s="15"/>
      <c r="I108" s="15"/>
      <c r="J108" s="15"/>
      <c r="K108" s="15"/>
      <c r="L108" s="15"/>
    </row>
    <row r="109" spans="1:12" x14ac:dyDescent="0.25">
      <c r="A109" s="4"/>
      <c r="B109" s="14"/>
      <c r="C109" s="5"/>
      <c r="D109" s="5"/>
      <c r="E109" s="5"/>
      <c r="F109" s="15"/>
      <c r="G109" s="15"/>
      <c r="H109" s="15"/>
      <c r="I109" s="15"/>
      <c r="J109" s="15"/>
      <c r="K109" s="15"/>
      <c r="L109" s="15"/>
    </row>
    <row r="110" spans="1:12" x14ac:dyDescent="0.25">
      <c r="A110" s="4"/>
      <c r="B110" s="14"/>
      <c r="C110" s="5"/>
      <c r="D110" s="5"/>
      <c r="E110" s="5"/>
      <c r="F110" s="15"/>
      <c r="G110" s="15"/>
      <c r="H110" s="15"/>
      <c r="I110" s="15"/>
      <c r="J110" s="15"/>
      <c r="K110" s="15"/>
      <c r="L110" s="15"/>
    </row>
    <row r="111" spans="1:12" x14ac:dyDescent="0.25">
      <c r="A111" s="4"/>
      <c r="B111" s="14"/>
      <c r="C111" s="5"/>
      <c r="D111" s="5"/>
      <c r="E111" s="5"/>
      <c r="F111" s="15"/>
      <c r="G111" s="15"/>
      <c r="H111" s="15"/>
      <c r="I111" s="15"/>
      <c r="J111" s="15"/>
      <c r="K111" s="15"/>
      <c r="L111" s="15"/>
    </row>
    <row r="112" spans="1:12" x14ac:dyDescent="0.25">
      <c r="A112" s="4"/>
      <c r="B112" s="14"/>
      <c r="C112" s="5"/>
      <c r="D112" s="5"/>
      <c r="E112" s="5"/>
      <c r="F112" s="15"/>
      <c r="G112" s="15"/>
      <c r="H112" s="15"/>
      <c r="I112" s="15"/>
      <c r="J112" s="15"/>
      <c r="K112" s="15"/>
      <c r="L112" s="15"/>
    </row>
    <row r="113" spans="1:12" x14ac:dyDescent="0.25">
      <c r="A113" s="4"/>
      <c r="B113" s="14"/>
      <c r="C113" s="5"/>
      <c r="D113" s="5"/>
      <c r="E113" s="5"/>
      <c r="F113" s="15"/>
      <c r="G113" s="15"/>
      <c r="H113" s="15"/>
      <c r="I113" s="15"/>
      <c r="J113" s="15"/>
      <c r="K113" s="15"/>
      <c r="L113" s="15"/>
    </row>
    <row r="114" spans="1:12" x14ac:dyDescent="0.25">
      <c r="A114" s="4"/>
      <c r="B114" s="14"/>
      <c r="C114" s="5"/>
      <c r="D114" s="5"/>
      <c r="E114" s="5"/>
      <c r="F114" s="15"/>
      <c r="G114" s="15"/>
      <c r="H114" s="15"/>
      <c r="I114" s="15"/>
      <c r="J114" s="15"/>
      <c r="K114" s="15"/>
      <c r="L114" s="15"/>
    </row>
    <row r="115" spans="1:12" x14ac:dyDescent="0.25">
      <c r="A115" s="4"/>
      <c r="B115" s="14"/>
      <c r="C115" s="5"/>
      <c r="D115" s="5"/>
      <c r="E115" s="5"/>
      <c r="F115" s="15"/>
      <c r="G115" s="15"/>
      <c r="H115" s="15"/>
      <c r="I115" s="15"/>
      <c r="J115" s="15"/>
      <c r="K115" s="15"/>
      <c r="L115" s="15"/>
    </row>
    <row r="116" spans="1:12" x14ac:dyDescent="0.25">
      <c r="A116" s="4"/>
      <c r="B116" s="14"/>
      <c r="C116" s="5"/>
      <c r="D116" s="5"/>
      <c r="E116" s="5"/>
      <c r="F116" s="15"/>
      <c r="G116" s="15"/>
      <c r="H116" s="15"/>
      <c r="I116" s="15"/>
      <c r="J116" s="15"/>
      <c r="K116" s="15"/>
      <c r="L116" s="15"/>
    </row>
    <row r="117" spans="1:12" x14ac:dyDescent="0.25">
      <c r="A117" s="4"/>
      <c r="B117" s="14"/>
      <c r="C117" s="5"/>
      <c r="D117" s="5"/>
      <c r="E117" s="5"/>
      <c r="F117" s="15"/>
      <c r="G117" s="15"/>
      <c r="H117" s="15"/>
      <c r="I117" s="15"/>
      <c r="J117" s="15"/>
      <c r="K117" s="15"/>
      <c r="L117" s="15"/>
    </row>
    <row r="118" spans="1:12" x14ac:dyDescent="0.25">
      <c r="A118" s="4"/>
      <c r="B118" s="14"/>
      <c r="C118" s="5"/>
      <c r="D118" s="5"/>
      <c r="E118" s="5"/>
      <c r="F118" s="15"/>
      <c r="G118" s="15"/>
      <c r="H118" s="15"/>
      <c r="I118" s="15"/>
      <c r="J118" s="15"/>
      <c r="K118" s="15"/>
      <c r="L118" s="15"/>
    </row>
    <row r="119" spans="1:12" x14ac:dyDescent="0.25">
      <c r="A119" s="4"/>
      <c r="B119" s="14"/>
      <c r="C119" s="5"/>
      <c r="D119" s="5"/>
      <c r="E119" s="5"/>
      <c r="F119" s="15"/>
      <c r="G119" s="15"/>
      <c r="H119" s="15"/>
      <c r="I119" s="15"/>
      <c r="J119" s="15"/>
      <c r="K119" s="15"/>
      <c r="L119" s="15"/>
    </row>
    <row r="120" spans="1:12" x14ac:dyDescent="0.25">
      <c r="A120" s="4"/>
      <c r="B120" s="14"/>
      <c r="C120" s="5"/>
      <c r="D120" s="5"/>
      <c r="E120" s="5"/>
      <c r="F120" s="15"/>
      <c r="G120" s="15"/>
      <c r="H120" s="15"/>
      <c r="I120" s="15"/>
      <c r="J120" s="15"/>
      <c r="K120" s="15"/>
      <c r="L120" s="15"/>
    </row>
    <row r="121" spans="1:12" x14ac:dyDescent="0.25">
      <c r="A121" s="4"/>
      <c r="B121" s="14"/>
      <c r="C121" s="5"/>
      <c r="D121" s="5"/>
      <c r="E121" s="5"/>
      <c r="F121" s="15"/>
      <c r="G121" s="15"/>
      <c r="H121" s="15"/>
      <c r="I121" s="15"/>
      <c r="J121" s="15"/>
      <c r="K121" s="15"/>
      <c r="L121" s="15"/>
    </row>
    <row r="122" spans="1:12" x14ac:dyDescent="0.25">
      <c r="A122" s="4"/>
      <c r="B122" s="14"/>
      <c r="C122" s="5"/>
      <c r="D122" s="5"/>
      <c r="E122" s="5"/>
      <c r="F122" s="15"/>
      <c r="G122" s="15"/>
      <c r="H122" s="15"/>
      <c r="I122" s="15"/>
      <c r="J122" s="15"/>
      <c r="K122" s="15"/>
      <c r="L122" s="15"/>
    </row>
    <row r="123" spans="1:12" x14ac:dyDescent="0.25">
      <c r="A123" s="4"/>
      <c r="B123" s="14"/>
      <c r="C123" s="5"/>
      <c r="D123" s="5"/>
      <c r="E123" s="5"/>
      <c r="F123" s="15"/>
      <c r="G123" s="15"/>
      <c r="H123" s="15"/>
      <c r="I123" s="15"/>
      <c r="J123" s="15"/>
      <c r="K123" s="15"/>
      <c r="L123" s="15"/>
    </row>
    <row r="124" spans="1:12" x14ac:dyDescent="0.25">
      <c r="A124" s="4"/>
      <c r="B124" s="14"/>
      <c r="C124" s="5"/>
      <c r="D124" s="5"/>
      <c r="E124" s="5"/>
      <c r="F124" s="15"/>
      <c r="G124" s="15"/>
      <c r="H124" s="15"/>
      <c r="I124" s="15"/>
      <c r="J124" s="15"/>
      <c r="K124" s="15"/>
      <c r="L124" s="15"/>
    </row>
    <row r="125" spans="1:12" x14ac:dyDescent="0.25">
      <c r="A125" s="4"/>
      <c r="B125" s="14"/>
      <c r="C125" s="5"/>
      <c r="D125" s="5"/>
      <c r="E125" s="5"/>
      <c r="F125" s="15"/>
      <c r="G125" s="15"/>
      <c r="H125" s="15"/>
      <c r="I125" s="15"/>
      <c r="J125" s="15"/>
      <c r="K125" s="15"/>
      <c r="L125" s="15"/>
    </row>
    <row r="126" spans="1:12" x14ac:dyDescent="0.25">
      <c r="A126" s="4"/>
      <c r="B126" s="14"/>
      <c r="C126" s="5"/>
      <c r="D126" s="5"/>
      <c r="E126" s="5"/>
      <c r="F126" s="15"/>
      <c r="G126" s="15"/>
      <c r="H126" s="15"/>
      <c r="I126" s="15"/>
      <c r="J126" s="15"/>
      <c r="K126" s="15"/>
      <c r="L126" s="15"/>
    </row>
    <row r="127" spans="1:12" x14ac:dyDescent="0.25">
      <c r="A127" s="4"/>
      <c r="B127" s="14"/>
      <c r="C127" s="5"/>
      <c r="D127" s="5"/>
      <c r="E127" s="5"/>
      <c r="F127" s="15"/>
      <c r="G127" s="15"/>
      <c r="H127" s="15"/>
      <c r="I127" s="15"/>
      <c r="J127" s="15"/>
      <c r="K127" s="15"/>
      <c r="L127" s="15"/>
    </row>
    <row r="128" spans="1:12" x14ac:dyDescent="0.25">
      <c r="A128" s="4"/>
      <c r="B128" s="14"/>
      <c r="C128" s="5"/>
      <c r="D128" s="5"/>
      <c r="E128" s="5"/>
      <c r="F128" s="15"/>
      <c r="G128" s="15"/>
      <c r="H128" s="15"/>
      <c r="I128" s="15"/>
      <c r="J128" s="15"/>
      <c r="K128" s="15"/>
      <c r="L128" s="15"/>
    </row>
    <row r="129" spans="1:12" x14ac:dyDescent="0.25">
      <c r="A129" s="4"/>
      <c r="B129" s="14"/>
      <c r="C129" s="5"/>
      <c r="D129" s="5"/>
      <c r="E129" s="5"/>
      <c r="F129" s="15"/>
      <c r="G129" s="15"/>
      <c r="H129" s="15"/>
      <c r="I129" s="15"/>
      <c r="J129" s="15"/>
      <c r="K129" s="15"/>
      <c r="L129" s="15"/>
    </row>
    <row r="130" spans="1:12" x14ac:dyDescent="0.25">
      <c r="A130" s="4"/>
      <c r="B130" s="14"/>
      <c r="C130" s="5"/>
      <c r="D130" s="5"/>
      <c r="E130" s="5"/>
      <c r="F130" s="15"/>
      <c r="G130" s="15"/>
      <c r="H130" s="15"/>
      <c r="I130" s="15"/>
      <c r="J130" s="15"/>
      <c r="K130" s="15"/>
      <c r="L130" s="15"/>
    </row>
    <row r="131" spans="1:12" x14ac:dyDescent="0.25">
      <c r="A131" s="4"/>
      <c r="B131" s="14"/>
      <c r="C131" s="5"/>
      <c r="D131" s="5"/>
      <c r="E131" s="5"/>
      <c r="F131" s="15"/>
      <c r="G131" s="15"/>
      <c r="H131" s="15"/>
      <c r="I131" s="15"/>
      <c r="J131" s="15"/>
      <c r="K131" s="15"/>
      <c r="L131" s="15"/>
    </row>
    <row r="132" spans="1:12" x14ac:dyDescent="0.25">
      <c r="A132" s="4"/>
      <c r="B132" s="14"/>
      <c r="C132" s="5"/>
      <c r="D132" s="5"/>
      <c r="E132" s="5"/>
      <c r="F132" s="15"/>
      <c r="G132" s="15"/>
      <c r="H132" s="15"/>
      <c r="I132" s="15"/>
      <c r="J132" s="15"/>
      <c r="K132" s="15"/>
      <c r="L132" s="15"/>
    </row>
    <row r="133" spans="1:12" x14ac:dyDescent="0.25">
      <c r="A133" s="4"/>
      <c r="B133" s="14"/>
      <c r="C133" s="5"/>
      <c r="D133" s="5"/>
      <c r="E133" s="5"/>
      <c r="F133" s="15"/>
      <c r="G133" s="15"/>
      <c r="H133" s="15"/>
      <c r="I133" s="15"/>
      <c r="J133" s="15"/>
      <c r="K133" s="15"/>
      <c r="L133" s="15"/>
    </row>
    <row r="134" spans="1:12" x14ac:dyDescent="0.25">
      <c r="A134" s="4"/>
      <c r="B134" s="14"/>
      <c r="C134" s="5"/>
      <c r="D134" s="5"/>
      <c r="E134" s="5"/>
      <c r="F134" s="15"/>
      <c r="G134" s="15"/>
      <c r="H134" s="15"/>
      <c r="I134" s="15"/>
      <c r="J134" s="15"/>
      <c r="K134" s="15"/>
      <c r="L134" s="15"/>
    </row>
    <row r="135" spans="1:12" x14ac:dyDescent="0.25">
      <c r="A135" s="4"/>
      <c r="B135" s="14"/>
      <c r="C135" s="5"/>
      <c r="D135" s="5"/>
      <c r="E135" s="5"/>
      <c r="F135" s="15"/>
      <c r="G135" s="15"/>
      <c r="H135" s="15"/>
      <c r="I135" s="15"/>
      <c r="J135" s="15"/>
      <c r="K135" s="15"/>
      <c r="L135" s="15"/>
    </row>
    <row r="136" spans="1:12" x14ac:dyDescent="0.25">
      <c r="A136" s="4"/>
      <c r="B136" s="14"/>
      <c r="C136" s="5"/>
      <c r="D136" s="5"/>
      <c r="E136" s="5"/>
      <c r="F136" s="15"/>
      <c r="G136" s="15"/>
      <c r="H136" s="15"/>
      <c r="I136" s="15"/>
      <c r="J136" s="15"/>
      <c r="K136" s="15"/>
      <c r="L136" s="15"/>
    </row>
    <row r="137" spans="1:12" x14ac:dyDescent="0.25">
      <c r="A137" s="4"/>
      <c r="B137" s="14"/>
      <c r="C137" s="5"/>
      <c r="D137" s="5"/>
      <c r="E137" s="5"/>
      <c r="F137" s="15"/>
      <c r="G137" s="15"/>
      <c r="H137" s="15"/>
      <c r="I137" s="15"/>
      <c r="J137" s="15"/>
      <c r="K137" s="15"/>
      <c r="L137" s="15"/>
    </row>
    <row r="138" spans="1:12" x14ac:dyDescent="0.25">
      <c r="A138" s="4"/>
      <c r="B138" s="14"/>
      <c r="C138" s="5"/>
      <c r="D138" s="5"/>
      <c r="E138" s="5"/>
      <c r="F138" s="15"/>
      <c r="G138" s="15"/>
      <c r="H138" s="15"/>
      <c r="I138" s="15"/>
      <c r="J138" s="15"/>
      <c r="K138" s="15"/>
      <c r="L138" s="15"/>
    </row>
    <row r="139" spans="1:12" x14ac:dyDescent="0.25">
      <c r="A139" s="4"/>
      <c r="B139" s="14"/>
      <c r="C139" s="5"/>
      <c r="D139" s="5"/>
      <c r="E139" s="5"/>
      <c r="F139" s="15"/>
      <c r="G139" s="15"/>
      <c r="H139" s="15"/>
      <c r="I139" s="15"/>
      <c r="J139" s="15"/>
      <c r="K139" s="15"/>
      <c r="L139" s="15"/>
    </row>
    <row r="140" spans="1:12" x14ac:dyDescent="0.25">
      <c r="A140" s="4"/>
      <c r="B140" s="14"/>
      <c r="C140" s="5"/>
      <c r="D140" s="5"/>
      <c r="E140" s="5"/>
      <c r="F140" s="15"/>
      <c r="G140" s="15"/>
      <c r="H140" s="15"/>
      <c r="I140" s="15"/>
      <c r="J140" s="15"/>
      <c r="K140" s="15"/>
      <c r="L140" s="15"/>
    </row>
    <row r="141" spans="1:12" x14ac:dyDescent="0.25">
      <c r="A141" s="4"/>
      <c r="B141" s="14"/>
      <c r="C141" s="5"/>
      <c r="D141" s="5"/>
      <c r="E141" s="5"/>
      <c r="F141" s="15"/>
      <c r="G141" s="15"/>
      <c r="H141" s="15"/>
      <c r="I141" s="15"/>
      <c r="J141" s="15"/>
      <c r="K141" s="15"/>
      <c r="L141" s="15"/>
    </row>
    <row r="142" spans="1:12" x14ac:dyDescent="0.25">
      <c r="A142" s="4"/>
      <c r="B142" s="14"/>
      <c r="C142" s="5"/>
      <c r="D142" s="5"/>
      <c r="E142" s="5"/>
      <c r="F142" s="15"/>
      <c r="G142" s="15"/>
      <c r="H142" s="15"/>
      <c r="I142" s="15"/>
      <c r="J142" s="15"/>
      <c r="K142" s="15"/>
      <c r="L142" s="15"/>
    </row>
    <row r="143" spans="1:12" x14ac:dyDescent="0.25">
      <c r="A143" s="4"/>
      <c r="B143" s="14"/>
      <c r="C143" s="5"/>
      <c r="D143" s="5"/>
      <c r="E143" s="5"/>
      <c r="F143" s="15"/>
      <c r="G143" s="15"/>
      <c r="H143" s="15"/>
      <c r="I143" s="15"/>
      <c r="J143" s="15"/>
      <c r="K143" s="15"/>
      <c r="L143" s="15"/>
    </row>
    <row r="144" spans="1:12" x14ac:dyDescent="0.25">
      <c r="A144" s="4"/>
      <c r="B144" s="14"/>
      <c r="C144" s="5"/>
      <c r="D144" s="5"/>
      <c r="E144" s="5"/>
      <c r="F144" s="15"/>
      <c r="G144" s="15"/>
      <c r="H144" s="15"/>
      <c r="I144" s="15"/>
      <c r="J144" s="15"/>
      <c r="K144" s="15"/>
      <c r="L144" s="15"/>
    </row>
    <row r="145" spans="1:13" x14ac:dyDescent="0.25">
      <c r="A145" s="4"/>
      <c r="B145" s="14"/>
      <c r="C145" s="5"/>
      <c r="D145" s="5"/>
      <c r="E145" s="5"/>
      <c r="F145" s="15"/>
      <c r="G145" s="15"/>
      <c r="H145" s="15"/>
      <c r="I145" s="15"/>
      <c r="J145" s="15"/>
      <c r="K145" s="15"/>
      <c r="L145" s="15"/>
    </row>
    <row r="146" spans="1:13" x14ac:dyDescent="0.25">
      <c r="A146" s="4"/>
      <c r="B146" s="14"/>
      <c r="C146" s="5"/>
      <c r="D146" s="5"/>
      <c r="E146" s="5"/>
      <c r="F146" s="15"/>
      <c r="G146" s="15"/>
      <c r="H146" s="15"/>
      <c r="I146" s="15"/>
      <c r="J146" s="15"/>
      <c r="K146" s="15"/>
      <c r="L146" s="15"/>
    </row>
    <row r="147" spans="1:13" x14ac:dyDescent="0.25">
      <c r="A147" s="4"/>
      <c r="B147" s="14"/>
      <c r="C147" s="5"/>
      <c r="D147" s="5"/>
      <c r="E147" s="5"/>
      <c r="F147" s="15"/>
      <c r="G147" s="15"/>
      <c r="H147" s="15"/>
      <c r="I147" s="15"/>
      <c r="J147" s="15"/>
      <c r="K147" s="15"/>
      <c r="L147" s="15"/>
    </row>
    <row r="148" spans="1:13" x14ac:dyDescent="0.25">
      <c r="A148" s="4"/>
      <c r="B148" s="14"/>
      <c r="C148" s="5"/>
      <c r="D148" s="5"/>
      <c r="E148" s="5"/>
      <c r="F148" s="15"/>
      <c r="G148" s="15"/>
      <c r="H148" s="15"/>
      <c r="I148" s="15"/>
      <c r="J148" s="15"/>
      <c r="K148" s="15"/>
      <c r="L148" s="15"/>
    </row>
    <row r="149" spans="1:13" x14ac:dyDescent="0.25">
      <c r="A149" s="4"/>
      <c r="B149" s="14"/>
      <c r="C149" s="5"/>
      <c r="D149" s="5"/>
      <c r="E149" s="5"/>
      <c r="F149" s="15"/>
      <c r="G149" s="15"/>
      <c r="H149" s="15"/>
      <c r="I149" s="15"/>
      <c r="J149" s="15"/>
      <c r="K149" s="15"/>
      <c r="L149" s="15"/>
    </row>
    <row r="150" spans="1:13" x14ac:dyDescent="0.25">
      <c r="A150" s="4"/>
      <c r="B150" s="14"/>
      <c r="C150" s="5"/>
      <c r="D150" s="5"/>
      <c r="E150" s="5"/>
      <c r="F150" s="15"/>
      <c r="G150" s="15"/>
      <c r="H150" s="15"/>
      <c r="I150" s="15"/>
      <c r="J150" s="15"/>
      <c r="K150" s="15"/>
      <c r="L150" s="15"/>
    </row>
    <row r="151" spans="1:13" x14ac:dyDescent="0.25">
      <c r="A151" s="4"/>
      <c r="B151" s="14"/>
      <c r="C151" s="5"/>
      <c r="D151" s="5"/>
      <c r="E151" s="5"/>
      <c r="F151" s="15"/>
      <c r="G151" s="15"/>
      <c r="H151" s="15"/>
      <c r="I151" s="15"/>
      <c r="J151" s="15"/>
      <c r="K151" s="15"/>
      <c r="L151" s="15"/>
    </row>
    <row r="152" spans="1:13" x14ac:dyDescent="0.25">
      <c r="A152" s="4"/>
      <c r="B152" s="14"/>
      <c r="C152" s="5"/>
      <c r="D152" s="5"/>
      <c r="E152" s="5"/>
      <c r="F152" s="15"/>
      <c r="G152" s="15"/>
      <c r="H152" s="15"/>
      <c r="I152" s="15"/>
      <c r="J152" s="15"/>
      <c r="K152" s="15"/>
      <c r="L152" s="15"/>
    </row>
    <row r="153" spans="1:13" x14ac:dyDescent="0.25">
      <c r="A153" s="4"/>
      <c r="B153" s="14"/>
      <c r="C153" s="5"/>
      <c r="D153" s="5"/>
      <c r="E153" s="5"/>
      <c r="F153" s="15"/>
      <c r="G153" s="15"/>
      <c r="H153" s="15"/>
      <c r="I153" s="15"/>
      <c r="J153" s="15"/>
      <c r="K153" s="15"/>
      <c r="L153" s="15"/>
    </row>
    <row r="154" spans="1:13" x14ac:dyDescent="0.25">
      <c r="A154" s="4"/>
      <c r="B154" s="14"/>
      <c r="C154" s="5"/>
      <c r="D154" s="5"/>
      <c r="E154" s="5"/>
      <c r="F154" s="15"/>
      <c r="G154" s="15"/>
      <c r="H154" s="15"/>
      <c r="I154" s="15"/>
      <c r="J154" s="15"/>
      <c r="K154" s="15"/>
      <c r="L154" s="15"/>
    </row>
    <row r="155" spans="1:13" x14ac:dyDescent="0.25">
      <c r="A155" s="4"/>
      <c r="B155" s="14"/>
      <c r="C155" s="5"/>
      <c r="D155" s="5"/>
      <c r="E155" s="5"/>
      <c r="F155" s="15"/>
      <c r="G155" s="15"/>
      <c r="H155" s="8"/>
      <c r="I155" s="8"/>
      <c r="J155" s="8"/>
      <c r="K155" s="8"/>
      <c r="L155" s="8"/>
    </row>
    <row r="156" spans="1:13" x14ac:dyDescent="0.25">
      <c r="B156" s="7"/>
      <c r="C156" s="1"/>
      <c r="D156" s="1"/>
      <c r="E156" s="1"/>
      <c r="F156" s="3"/>
      <c r="G156" s="3"/>
      <c r="H156" s="2"/>
      <c r="I156" s="2"/>
      <c r="J156" s="2"/>
      <c r="K156" s="2"/>
      <c r="L156" s="2"/>
      <c r="M156" s="2"/>
    </row>
    <row r="157" spans="1:13" x14ac:dyDescent="0.25">
      <c r="B157" s="7"/>
      <c r="C157" s="1"/>
      <c r="D157" s="1"/>
      <c r="E157" s="1"/>
      <c r="F157" s="3"/>
      <c r="G157" s="3"/>
      <c r="H157" s="2"/>
      <c r="I157" s="2"/>
      <c r="J157" s="2"/>
      <c r="K157" s="2"/>
      <c r="L157" s="2"/>
      <c r="M157" s="2"/>
    </row>
    <row r="158" spans="1:13" x14ac:dyDescent="0.25">
      <c r="B158" s="7"/>
      <c r="C158" s="1"/>
      <c r="D158" s="1"/>
      <c r="E158" s="1"/>
      <c r="F158" s="3"/>
      <c r="G158" s="3"/>
      <c r="H158" s="2"/>
      <c r="I158" s="2"/>
      <c r="J158" s="2"/>
      <c r="K158" s="2"/>
      <c r="L158" s="2"/>
      <c r="M158" s="2"/>
    </row>
    <row r="159" spans="1:13" x14ac:dyDescent="0.25">
      <c r="B159" s="7"/>
      <c r="C159" s="1"/>
      <c r="D159" s="1"/>
      <c r="E159" s="1"/>
      <c r="F159" s="3"/>
      <c r="G159" s="3"/>
      <c r="H159" s="2"/>
      <c r="I159" s="2"/>
      <c r="J159" s="2"/>
      <c r="K159" s="2"/>
      <c r="L159" s="2"/>
      <c r="M159" s="2"/>
    </row>
    <row r="160" spans="1:13" x14ac:dyDescent="0.25">
      <c r="B160" s="7"/>
      <c r="C160" s="1"/>
      <c r="D160" s="1"/>
      <c r="E160" s="1"/>
      <c r="F160" s="3"/>
      <c r="G160" s="3"/>
      <c r="H160" s="2"/>
      <c r="I160" s="2"/>
      <c r="J160" s="2"/>
      <c r="K160" s="2"/>
      <c r="L160" s="2"/>
      <c r="M160" s="2"/>
    </row>
    <row r="161" spans="2:13" x14ac:dyDescent="0.25">
      <c r="B161" s="7"/>
      <c r="C161" s="1"/>
      <c r="D161" s="1"/>
      <c r="E161" s="1"/>
      <c r="F161" s="3"/>
      <c r="G161" s="3"/>
      <c r="H161" s="2"/>
      <c r="I161" s="2"/>
      <c r="J161" s="2"/>
      <c r="K161" s="2"/>
      <c r="L161" s="2"/>
      <c r="M161" s="2"/>
    </row>
    <row r="162" spans="2:13" x14ac:dyDescent="0.25">
      <c r="B162" s="7"/>
      <c r="C162" s="1"/>
      <c r="D162" s="1"/>
      <c r="E162" s="1"/>
      <c r="F162" s="3"/>
      <c r="G162" s="3"/>
      <c r="H162" s="2"/>
      <c r="I162" s="2"/>
      <c r="J162" s="2"/>
      <c r="K162" s="2"/>
      <c r="L162" s="2"/>
      <c r="M162" s="2"/>
    </row>
    <row r="163" spans="2:13" x14ac:dyDescent="0.25">
      <c r="B163" s="7"/>
      <c r="C163" s="1"/>
      <c r="D163" s="1"/>
      <c r="E163" s="1"/>
      <c r="F163" s="3"/>
      <c r="G163" s="3"/>
      <c r="H163" s="2"/>
      <c r="I163" s="2"/>
      <c r="J163" s="2"/>
      <c r="K163" s="2"/>
      <c r="L163" s="2"/>
      <c r="M163" s="2"/>
    </row>
    <row r="164" spans="2:13" x14ac:dyDescent="0.25">
      <c r="B164" s="7"/>
      <c r="C164" s="1"/>
      <c r="D164" s="1"/>
      <c r="E164" s="1"/>
      <c r="F164" s="3"/>
      <c r="G164" s="3"/>
      <c r="H164" s="2"/>
      <c r="I164" s="2"/>
      <c r="J164" s="2"/>
      <c r="K164" s="2"/>
      <c r="L164" s="2"/>
      <c r="M164" s="2"/>
    </row>
    <row r="165" spans="2:13" x14ac:dyDescent="0.25">
      <c r="B165" s="7"/>
      <c r="C165" s="1"/>
      <c r="D165" s="1"/>
      <c r="E165" s="1"/>
      <c r="F165" s="3"/>
      <c r="G165" s="3"/>
      <c r="H165" s="2"/>
      <c r="I165" s="2"/>
      <c r="J165" s="2"/>
      <c r="K165" s="2"/>
      <c r="L165" s="2"/>
      <c r="M165" s="2"/>
    </row>
    <row r="166" spans="2:13" x14ac:dyDescent="0.25">
      <c r="B166" s="7"/>
      <c r="C166" s="1"/>
      <c r="D166" s="1"/>
      <c r="E166" s="1"/>
      <c r="F166" s="3"/>
      <c r="G166" s="3"/>
      <c r="H166" s="2"/>
      <c r="I166" s="2"/>
      <c r="J166" s="2"/>
      <c r="K166" s="2"/>
      <c r="L166" s="2"/>
      <c r="M166" s="2"/>
    </row>
    <row r="167" spans="2:13" x14ac:dyDescent="0.25">
      <c r="B167" s="7"/>
      <c r="C167" s="1"/>
      <c r="D167" s="1"/>
      <c r="E167" s="1"/>
      <c r="F167" s="3"/>
      <c r="G167" s="3"/>
      <c r="H167" s="2"/>
      <c r="I167" s="2"/>
      <c r="J167" s="2"/>
      <c r="K167" s="2"/>
      <c r="L167" s="2"/>
      <c r="M167" s="2"/>
    </row>
    <row r="168" spans="2:13" x14ac:dyDescent="0.25">
      <c r="B168" s="7"/>
      <c r="C168" s="1"/>
      <c r="D168" s="1"/>
      <c r="E168" s="1"/>
      <c r="F168" s="3"/>
      <c r="G168" s="3"/>
      <c r="H168" s="2"/>
      <c r="I168" s="2"/>
      <c r="J168" s="2"/>
      <c r="K168" s="2"/>
      <c r="L168" s="2"/>
      <c r="M168" s="2"/>
    </row>
    <row r="169" spans="2:13" x14ac:dyDescent="0.25">
      <c r="B169" s="7"/>
      <c r="C169" s="1"/>
      <c r="D169" s="1"/>
      <c r="E169" s="1"/>
      <c r="F169" s="3"/>
      <c r="G169" s="3"/>
      <c r="H169" s="2"/>
      <c r="I169" s="2"/>
      <c r="J169" s="2"/>
      <c r="K169" s="2"/>
      <c r="L169" s="2"/>
      <c r="M169" s="2"/>
    </row>
    <row r="170" spans="2:13" x14ac:dyDescent="0.25">
      <c r="B170" s="7"/>
      <c r="C170" s="1"/>
      <c r="D170" s="1"/>
      <c r="E170" s="1"/>
      <c r="F170" s="3"/>
      <c r="G170" s="3"/>
      <c r="H170" s="2"/>
      <c r="I170" s="2"/>
      <c r="J170" s="2"/>
      <c r="K170" s="2"/>
      <c r="L170" s="2"/>
      <c r="M170" s="2"/>
    </row>
    <row r="171" spans="2:13" x14ac:dyDescent="0.25">
      <c r="B171" s="7"/>
      <c r="C171" s="1"/>
      <c r="D171" s="1"/>
      <c r="E171" s="1"/>
      <c r="F171" s="3"/>
      <c r="G171" s="3"/>
      <c r="H171" s="2"/>
      <c r="I171" s="2"/>
      <c r="J171" s="2"/>
      <c r="K171" s="2"/>
      <c r="L171" s="2"/>
      <c r="M171" s="2"/>
    </row>
    <row r="172" spans="2:13" x14ac:dyDescent="0.25">
      <c r="B172" s="7"/>
      <c r="C172" s="1"/>
      <c r="D172" s="1"/>
      <c r="E172" s="1"/>
      <c r="F172" s="3"/>
      <c r="G172" s="3"/>
      <c r="H172" s="2"/>
      <c r="I172" s="2"/>
      <c r="J172" s="2"/>
      <c r="K172" s="2"/>
      <c r="L172" s="2"/>
      <c r="M172" s="2"/>
    </row>
    <row r="173" spans="2:13" x14ac:dyDescent="0.25">
      <c r="B173" s="7"/>
      <c r="C173" s="1"/>
      <c r="D173" s="1"/>
      <c r="E173" s="1"/>
      <c r="F173" s="3"/>
      <c r="G173" s="3"/>
      <c r="H173" s="2"/>
      <c r="I173" s="2"/>
      <c r="J173" s="2"/>
      <c r="K173" s="2"/>
      <c r="L173" s="2"/>
      <c r="M173" s="2"/>
    </row>
    <row r="174" spans="2:13" x14ac:dyDescent="0.25">
      <c r="B174" s="7"/>
      <c r="C174" s="1"/>
      <c r="D174" s="1"/>
      <c r="E174" s="1"/>
      <c r="F174" s="3"/>
      <c r="G174" s="3"/>
      <c r="H174" s="2"/>
      <c r="I174" s="2"/>
      <c r="J174" s="2"/>
      <c r="K174" s="2"/>
      <c r="L174" s="2"/>
      <c r="M174" s="2"/>
    </row>
    <row r="175" spans="2:13" x14ac:dyDescent="0.25">
      <c r="B175" s="7"/>
      <c r="C175" s="1"/>
      <c r="D175" s="1"/>
      <c r="E175" s="1"/>
      <c r="F175" s="3"/>
      <c r="G175" s="3"/>
      <c r="H175" s="2"/>
      <c r="I175" s="2"/>
      <c r="J175" s="2"/>
      <c r="K175" s="2"/>
      <c r="L175" s="2"/>
      <c r="M175" s="2"/>
    </row>
    <row r="176" spans="2:13" x14ac:dyDescent="0.25">
      <c r="B176" s="7"/>
      <c r="C176" s="1"/>
      <c r="D176" s="1"/>
      <c r="E176" s="1"/>
      <c r="F176" s="3"/>
      <c r="G176" s="3"/>
      <c r="H176" s="2"/>
      <c r="I176" s="2"/>
      <c r="J176" s="2"/>
      <c r="K176" s="2"/>
      <c r="L176" s="2"/>
      <c r="M176" s="2"/>
    </row>
    <row r="177" spans="2:13" x14ac:dyDescent="0.25">
      <c r="B177" s="7"/>
      <c r="C177" s="1"/>
      <c r="D177" s="1"/>
      <c r="E177" s="1"/>
      <c r="F177" s="3"/>
      <c r="G177" s="3"/>
      <c r="H177" s="2"/>
      <c r="I177" s="2"/>
      <c r="J177" s="2"/>
      <c r="K177" s="2"/>
      <c r="L177" s="2"/>
      <c r="M177" s="2"/>
    </row>
    <row r="178" spans="2:13" x14ac:dyDescent="0.25">
      <c r="B178" s="7"/>
      <c r="C178" s="1"/>
      <c r="D178" s="1"/>
      <c r="E178" s="1"/>
      <c r="F178" s="3"/>
      <c r="G178" s="3"/>
      <c r="H178" s="2"/>
      <c r="I178" s="2"/>
      <c r="J178" s="2"/>
      <c r="K178" s="2"/>
      <c r="L178" s="2"/>
      <c r="M178" s="2"/>
    </row>
    <row r="179" spans="2:13" x14ac:dyDescent="0.25">
      <c r="B179" s="7"/>
      <c r="C179" s="1"/>
      <c r="D179" s="1"/>
      <c r="E179" s="1"/>
      <c r="F179" s="3"/>
      <c r="G179" s="3"/>
      <c r="H179" s="2"/>
      <c r="I179" s="2"/>
      <c r="J179" s="2"/>
      <c r="K179" s="2"/>
      <c r="L179" s="2"/>
      <c r="M179" s="2"/>
    </row>
    <row r="180" spans="2:13" x14ac:dyDescent="0.25">
      <c r="B180" s="7"/>
      <c r="C180" s="1"/>
      <c r="D180" s="1"/>
      <c r="E180" s="1"/>
      <c r="F180" s="3"/>
      <c r="G180" s="3"/>
      <c r="H180" s="2"/>
      <c r="I180" s="2"/>
      <c r="J180" s="2"/>
      <c r="K180" s="2"/>
      <c r="L180" s="2"/>
      <c r="M180" s="2"/>
    </row>
    <row r="181" spans="2:13" x14ac:dyDescent="0.25">
      <c r="B181" s="7"/>
      <c r="C181" s="1"/>
      <c r="D181" s="1"/>
      <c r="E181" s="1"/>
      <c r="F181" s="3"/>
      <c r="G181" s="3"/>
      <c r="H181" s="2"/>
      <c r="I181" s="2"/>
      <c r="J181" s="2"/>
      <c r="K181" s="2"/>
      <c r="L181" s="2"/>
      <c r="M181" s="2"/>
    </row>
    <row r="182" spans="2:13" x14ac:dyDescent="0.25">
      <c r="B182" s="7"/>
      <c r="C182" s="1"/>
      <c r="D182" s="1"/>
      <c r="E182" s="1"/>
      <c r="F182" s="3"/>
      <c r="G182" s="3"/>
      <c r="H182" s="2"/>
      <c r="I182" s="2"/>
      <c r="J182" s="2"/>
      <c r="K182" s="2"/>
      <c r="L182" s="2"/>
      <c r="M182" s="2"/>
    </row>
    <row r="183" spans="2:13" x14ac:dyDescent="0.25">
      <c r="B183" s="7"/>
      <c r="C183" s="1"/>
      <c r="D183" s="1"/>
      <c r="E183" s="1"/>
      <c r="F183" s="3"/>
      <c r="G183" s="3"/>
      <c r="H183" s="2"/>
      <c r="I183" s="2"/>
      <c r="J183" s="2"/>
      <c r="K183" s="2"/>
      <c r="L183" s="2"/>
      <c r="M183" s="2"/>
    </row>
    <row r="184" spans="2:13" x14ac:dyDescent="0.25">
      <c r="B184" s="7"/>
      <c r="C184" s="1"/>
      <c r="D184" s="1"/>
      <c r="E184" s="1"/>
      <c r="F184" s="3"/>
      <c r="G184" s="3"/>
      <c r="H184" s="2"/>
      <c r="I184" s="2"/>
      <c r="J184" s="2"/>
      <c r="K184" s="2"/>
      <c r="L184" s="2"/>
      <c r="M184" s="2"/>
    </row>
    <row r="185" spans="2:13" x14ac:dyDescent="0.25">
      <c r="B185" s="7"/>
      <c r="C185" s="1"/>
      <c r="D185" s="1"/>
      <c r="E185" s="1"/>
      <c r="F185" s="3"/>
      <c r="G185" s="3"/>
      <c r="H185" s="2"/>
      <c r="I185" s="2"/>
      <c r="J185" s="2"/>
      <c r="K185" s="2"/>
      <c r="L185" s="2"/>
      <c r="M185" s="2"/>
    </row>
    <row r="186" spans="2:13" x14ac:dyDescent="0.25">
      <c r="B186" s="7"/>
      <c r="C186" s="1"/>
      <c r="D186" s="1"/>
      <c r="E186" s="1"/>
      <c r="F186" s="3"/>
      <c r="G186" s="3"/>
      <c r="H186" s="2"/>
      <c r="I186" s="2"/>
      <c r="J186" s="2"/>
      <c r="K186" s="2"/>
      <c r="L186" s="2"/>
      <c r="M186" s="2"/>
    </row>
    <row r="187" spans="2:13" x14ac:dyDescent="0.25">
      <c r="B187" s="7"/>
      <c r="C187" s="1"/>
      <c r="D187" s="1"/>
      <c r="E187" s="1"/>
      <c r="F187" s="3"/>
      <c r="G187" s="3"/>
      <c r="H187" s="2"/>
      <c r="I187" s="2"/>
      <c r="J187" s="2"/>
      <c r="K187" s="2"/>
      <c r="L187" s="2"/>
      <c r="M187" s="2"/>
    </row>
    <row r="188" spans="2:13" x14ac:dyDescent="0.25">
      <c r="B188" s="7"/>
      <c r="C188" s="1"/>
      <c r="D188" s="1"/>
      <c r="E188" s="1"/>
      <c r="F188" s="3"/>
      <c r="G188" s="3"/>
      <c r="H188" s="2"/>
      <c r="I188" s="2"/>
      <c r="J188" s="2"/>
      <c r="K188" s="2"/>
      <c r="L188" s="2"/>
      <c r="M188" s="2"/>
    </row>
    <row r="189" spans="2:13" x14ac:dyDescent="0.25">
      <c r="B189" s="7"/>
      <c r="C189" s="1"/>
      <c r="D189" s="1"/>
      <c r="E189" s="1"/>
      <c r="F189" s="3"/>
      <c r="G189" s="3"/>
      <c r="H189" s="2"/>
      <c r="I189" s="2"/>
      <c r="J189" s="2"/>
      <c r="K189" s="2"/>
      <c r="L189" s="2"/>
      <c r="M189" s="2"/>
    </row>
    <row r="190" spans="2:13" x14ac:dyDescent="0.25">
      <c r="B190" s="7"/>
      <c r="C190" s="1"/>
      <c r="D190" s="1"/>
      <c r="E190" s="1"/>
      <c r="F190" s="3"/>
      <c r="G190" s="3"/>
      <c r="H190" s="2"/>
      <c r="I190" s="2"/>
      <c r="J190" s="2"/>
      <c r="K190" s="2"/>
      <c r="L190" s="2"/>
      <c r="M190" s="2"/>
    </row>
    <row r="191" spans="2:13" x14ac:dyDescent="0.25">
      <c r="B191" s="7"/>
      <c r="C191" s="1"/>
      <c r="D191" s="1"/>
      <c r="E191" s="1"/>
      <c r="F191" s="3"/>
      <c r="G191" s="3"/>
      <c r="H191" s="2"/>
      <c r="I191" s="2"/>
      <c r="J191" s="2"/>
      <c r="K191" s="2"/>
      <c r="L191" s="2"/>
      <c r="M191" s="2"/>
    </row>
    <row r="192" spans="2:13" x14ac:dyDescent="0.25">
      <c r="B192" s="7"/>
      <c r="C192" s="1"/>
      <c r="D192" s="1"/>
      <c r="E192" s="1"/>
      <c r="F192" s="3"/>
      <c r="G192" s="3"/>
      <c r="H192" s="2"/>
      <c r="I192" s="2"/>
      <c r="J192" s="2"/>
      <c r="K192" s="2"/>
      <c r="L192" s="2"/>
      <c r="M192" s="2"/>
    </row>
    <row r="193" spans="2:13" x14ac:dyDescent="0.25">
      <c r="B193" s="7"/>
      <c r="C193" s="1"/>
      <c r="D193" s="1"/>
      <c r="E193" s="1"/>
      <c r="F193" s="3"/>
      <c r="G193" s="3"/>
      <c r="H193" s="2"/>
      <c r="I193" s="2"/>
      <c r="J193" s="2"/>
      <c r="K193" s="2"/>
      <c r="L193" s="2"/>
      <c r="M193" s="2"/>
    </row>
    <row r="194" spans="2:13" x14ac:dyDescent="0.25">
      <c r="B194" s="7"/>
      <c r="C194" s="1"/>
      <c r="D194" s="1"/>
      <c r="E194" s="1"/>
      <c r="F194" s="3"/>
      <c r="G194" s="3"/>
      <c r="H194" s="2"/>
      <c r="I194" s="2"/>
      <c r="J194" s="2"/>
      <c r="K194" s="2"/>
      <c r="L194" s="2"/>
      <c r="M194" s="2"/>
    </row>
    <row r="195" spans="2:13" x14ac:dyDescent="0.25">
      <c r="B195" s="7"/>
      <c r="C195" s="1"/>
      <c r="D195" s="1"/>
      <c r="E195" s="1"/>
      <c r="F195" s="3"/>
      <c r="G195" s="3"/>
      <c r="H195" s="2"/>
      <c r="I195" s="2"/>
      <c r="J195" s="2"/>
      <c r="K195" s="2"/>
      <c r="L195" s="2"/>
      <c r="M195" s="2"/>
    </row>
    <row r="196" spans="2:13" x14ac:dyDescent="0.25">
      <c r="B196" s="7"/>
      <c r="C196" s="1"/>
      <c r="D196" s="1"/>
      <c r="E196" s="1"/>
      <c r="F196" s="3"/>
      <c r="G196" s="3"/>
      <c r="H196" s="2"/>
      <c r="I196" s="2"/>
      <c r="J196" s="2"/>
      <c r="K196" s="2"/>
      <c r="L196" s="2"/>
      <c r="M196" s="2"/>
    </row>
    <row r="197" spans="2:13" x14ac:dyDescent="0.25">
      <c r="B197" s="7"/>
      <c r="C197" s="1"/>
      <c r="D197" s="1"/>
      <c r="E197" s="1"/>
      <c r="F197" s="3"/>
      <c r="G197" s="3"/>
      <c r="H197" s="2"/>
      <c r="I197" s="2"/>
      <c r="J197" s="2"/>
      <c r="K197" s="2"/>
      <c r="L197" s="2"/>
      <c r="M197" s="2"/>
    </row>
    <row r="198" spans="2:13" x14ac:dyDescent="0.25">
      <c r="B198" s="7"/>
      <c r="C198" s="1"/>
      <c r="D198" s="1"/>
      <c r="E198" s="1"/>
      <c r="F198" s="3"/>
      <c r="G198" s="3"/>
      <c r="H198" s="2"/>
      <c r="I198" s="2"/>
      <c r="J198" s="2"/>
      <c r="K198" s="2"/>
      <c r="L198" s="2"/>
      <c r="M198" s="2"/>
    </row>
    <row r="199" spans="2:13" x14ac:dyDescent="0.25">
      <c r="B199" s="7"/>
      <c r="C199" s="1"/>
      <c r="D199" s="1"/>
      <c r="E199" s="1"/>
      <c r="F199" s="3"/>
      <c r="G199" s="3"/>
      <c r="H199" s="2"/>
      <c r="I199" s="2"/>
      <c r="J199" s="2"/>
      <c r="K199" s="2"/>
      <c r="L199" s="2"/>
      <c r="M199" s="2"/>
    </row>
    <row r="200" spans="2:13" x14ac:dyDescent="0.25">
      <c r="B200" s="7"/>
      <c r="C200" s="1"/>
      <c r="D200" s="1"/>
      <c r="E200" s="1"/>
      <c r="F200" s="3"/>
      <c r="G200" s="3"/>
      <c r="H200" s="2"/>
      <c r="I200" s="2"/>
      <c r="J200" s="2"/>
      <c r="K200" s="2"/>
      <c r="L200" s="2"/>
      <c r="M200" s="2"/>
    </row>
    <row r="201" spans="2:13" x14ac:dyDescent="0.25">
      <c r="B201" s="7"/>
      <c r="C201" s="1"/>
      <c r="D201" s="1"/>
      <c r="E201" s="1"/>
      <c r="F201" s="3"/>
      <c r="G201" s="3"/>
      <c r="H201" s="2"/>
      <c r="I201" s="2"/>
      <c r="J201" s="2"/>
      <c r="K201" s="2"/>
      <c r="L201" s="2"/>
      <c r="M201" s="2"/>
    </row>
    <row r="202" spans="2:13" x14ac:dyDescent="0.25">
      <c r="B202" s="7"/>
      <c r="C202" s="1"/>
      <c r="D202" s="1"/>
      <c r="E202" s="1"/>
      <c r="F202" s="3"/>
      <c r="G202" s="3"/>
      <c r="H202" s="2"/>
      <c r="I202" s="2"/>
      <c r="J202" s="2"/>
      <c r="K202" s="2"/>
      <c r="L202" s="2"/>
      <c r="M202" s="2"/>
    </row>
    <row r="203" spans="2:13" x14ac:dyDescent="0.25">
      <c r="B203" s="7"/>
      <c r="C203" s="1"/>
      <c r="D203" s="1"/>
      <c r="E203" s="1"/>
      <c r="F203" s="3"/>
      <c r="G203" s="3"/>
      <c r="H203" s="2"/>
      <c r="I203" s="2"/>
      <c r="J203" s="2"/>
      <c r="K203" s="2"/>
      <c r="L203" s="2"/>
      <c r="M203" s="2"/>
    </row>
    <row r="204" spans="2:13" x14ac:dyDescent="0.25">
      <c r="B204" s="7"/>
      <c r="C204" s="1"/>
      <c r="D204" s="1"/>
      <c r="E204" s="1"/>
      <c r="F204" s="3"/>
      <c r="G204" s="3"/>
      <c r="H204" s="2"/>
      <c r="I204" s="2"/>
      <c r="J204" s="2"/>
      <c r="K204" s="2"/>
      <c r="L204" s="2"/>
      <c r="M204" s="2"/>
    </row>
    <row r="205" spans="2:13" x14ac:dyDescent="0.25">
      <c r="B205" s="7"/>
      <c r="C205" s="1"/>
      <c r="D205" s="1"/>
      <c r="E205" s="1"/>
      <c r="F205" s="3"/>
      <c r="G205" s="3"/>
      <c r="H205" s="2"/>
      <c r="I205" s="2"/>
      <c r="J205" s="2"/>
      <c r="K205" s="2"/>
      <c r="L205" s="2"/>
      <c r="M205" s="2"/>
    </row>
    <row r="206" spans="2:13" x14ac:dyDescent="0.25">
      <c r="B206" s="7"/>
      <c r="C206" s="1"/>
      <c r="D206" s="1"/>
      <c r="E206" s="1"/>
      <c r="F206" s="3"/>
      <c r="G206" s="3"/>
      <c r="H206" s="2"/>
      <c r="I206" s="2"/>
      <c r="J206" s="2"/>
      <c r="K206" s="2"/>
      <c r="L206" s="2"/>
      <c r="M206" s="2"/>
    </row>
    <row r="207" spans="2:13" x14ac:dyDescent="0.25">
      <c r="B207" s="7"/>
      <c r="C207" s="1"/>
      <c r="D207" s="1"/>
      <c r="E207" s="1"/>
      <c r="F207" s="3"/>
      <c r="G207" s="3"/>
      <c r="H207" s="2"/>
      <c r="I207" s="2"/>
      <c r="J207" s="2"/>
      <c r="K207" s="2"/>
      <c r="L207" s="2"/>
      <c r="M207" s="2"/>
    </row>
    <row r="208" spans="2:13" x14ac:dyDescent="0.25">
      <c r="B208" s="7"/>
      <c r="C208" s="1"/>
      <c r="D208" s="1"/>
      <c r="E208" s="1"/>
      <c r="F208" s="3"/>
      <c r="G208" s="3"/>
      <c r="H208" s="2"/>
      <c r="I208" s="2"/>
      <c r="J208" s="2"/>
      <c r="K208" s="2"/>
      <c r="L208" s="2"/>
      <c r="M208" s="2"/>
    </row>
    <row r="209" spans="2:13" x14ac:dyDescent="0.25">
      <c r="B209" s="7"/>
      <c r="C209" s="1"/>
      <c r="D209" s="1"/>
      <c r="E209" s="1"/>
      <c r="F209" s="3"/>
      <c r="G209" s="3"/>
      <c r="H209" s="2"/>
      <c r="I209" s="2"/>
      <c r="J209" s="2"/>
      <c r="K209" s="2"/>
      <c r="L209" s="2"/>
      <c r="M209" s="2"/>
    </row>
    <row r="210" spans="2:13" x14ac:dyDescent="0.25">
      <c r="B210" s="7"/>
      <c r="C210" s="1"/>
      <c r="D210" s="1"/>
      <c r="E210" s="1"/>
      <c r="F210" s="3"/>
      <c r="G210" s="3"/>
      <c r="H210" s="2"/>
      <c r="I210" s="2"/>
      <c r="J210" s="2"/>
      <c r="K210" s="2"/>
      <c r="L210" s="2"/>
      <c r="M210" s="2"/>
    </row>
    <row r="211" spans="2:13" x14ac:dyDescent="0.25">
      <c r="B211" s="7"/>
      <c r="C211" s="1"/>
      <c r="D211" s="1"/>
      <c r="E211" s="1"/>
      <c r="F211" s="3"/>
      <c r="G211" s="3"/>
      <c r="H211" s="2"/>
      <c r="I211" s="2"/>
      <c r="J211" s="2"/>
      <c r="K211" s="2"/>
      <c r="L211" s="2"/>
      <c r="M211" s="2"/>
    </row>
    <row r="212" spans="2:13" x14ac:dyDescent="0.25">
      <c r="B212" s="7"/>
      <c r="C212" s="1"/>
      <c r="D212" s="1"/>
      <c r="E212" s="1"/>
      <c r="F212" s="3"/>
      <c r="G212" s="3"/>
      <c r="H212" s="2"/>
      <c r="I212" s="2"/>
      <c r="J212" s="2"/>
      <c r="K212" s="2"/>
      <c r="L212" s="2"/>
      <c r="M212" s="2"/>
    </row>
    <row r="213" spans="2:13" x14ac:dyDescent="0.25">
      <c r="B213" s="7"/>
      <c r="C213" s="1"/>
      <c r="D213" s="1"/>
      <c r="E213" s="1"/>
      <c r="F213" s="3"/>
      <c r="G213" s="3"/>
      <c r="H213" s="2"/>
      <c r="I213" s="2"/>
      <c r="J213" s="2"/>
      <c r="K213" s="2"/>
      <c r="L213" s="2"/>
      <c r="M213" s="2"/>
    </row>
    <row r="214" spans="2:13" x14ac:dyDescent="0.25">
      <c r="B214" s="7"/>
      <c r="C214" s="1"/>
      <c r="D214" s="1"/>
      <c r="E214" s="1"/>
      <c r="F214" s="3"/>
      <c r="G214" s="3"/>
      <c r="H214" s="2"/>
      <c r="I214" s="2"/>
      <c r="J214" s="2"/>
      <c r="K214" s="2"/>
      <c r="L214" s="2"/>
      <c r="M214" s="2"/>
    </row>
    <row r="215" spans="2:13" x14ac:dyDescent="0.25">
      <c r="B215" s="7"/>
      <c r="C215" s="1"/>
      <c r="D215" s="1"/>
      <c r="E215" s="1"/>
      <c r="F215" s="3"/>
      <c r="G215" s="3"/>
      <c r="H215" s="2"/>
      <c r="I215" s="2"/>
      <c r="J215" s="2"/>
      <c r="K215" s="2"/>
      <c r="L215" s="2"/>
      <c r="M215" s="2"/>
    </row>
    <row r="216" spans="2:13" x14ac:dyDescent="0.25">
      <c r="B216" s="7"/>
      <c r="C216" s="1"/>
      <c r="D216" s="1"/>
      <c r="E216" s="1"/>
      <c r="F216" s="3"/>
      <c r="G216" s="3"/>
      <c r="H216" s="2"/>
      <c r="I216" s="2"/>
      <c r="J216" s="2"/>
      <c r="K216" s="2"/>
      <c r="L216" s="2"/>
      <c r="M216" s="2"/>
    </row>
    <row r="217" spans="2:13" x14ac:dyDescent="0.25">
      <c r="B217" s="7"/>
      <c r="C217" s="1"/>
      <c r="D217" s="1"/>
      <c r="E217" s="1"/>
      <c r="F217" s="3"/>
      <c r="G217" s="3"/>
      <c r="H217" s="2"/>
      <c r="I217" s="2"/>
      <c r="J217" s="2"/>
      <c r="K217" s="2"/>
      <c r="L217" s="2"/>
      <c r="M217" s="2"/>
    </row>
    <row r="218" spans="2:13" x14ac:dyDescent="0.25">
      <c r="B218" s="7"/>
      <c r="C218" s="1"/>
      <c r="D218" s="1"/>
      <c r="E218" s="1"/>
      <c r="F218" s="3"/>
      <c r="G218" s="3"/>
      <c r="H218" s="2"/>
      <c r="I218" s="2"/>
      <c r="J218" s="2"/>
      <c r="K218" s="2"/>
      <c r="L218" s="2"/>
      <c r="M218" s="2"/>
    </row>
    <row r="219" spans="2:13" x14ac:dyDescent="0.25">
      <c r="B219" s="7"/>
      <c r="C219" s="1"/>
      <c r="D219" s="1"/>
      <c r="E219" s="1"/>
      <c r="F219" s="3"/>
      <c r="G219" s="3"/>
      <c r="H219" s="2"/>
      <c r="I219" s="2"/>
      <c r="J219" s="2"/>
      <c r="K219" s="2"/>
      <c r="L219" s="2"/>
      <c r="M219" s="2"/>
    </row>
    <row r="220" spans="2:13" x14ac:dyDescent="0.25">
      <c r="B220" s="7"/>
      <c r="C220" s="1"/>
      <c r="D220" s="1"/>
      <c r="E220" s="1"/>
      <c r="F220" s="3"/>
      <c r="G220" s="3"/>
      <c r="H220" s="2"/>
      <c r="I220" s="2"/>
      <c r="J220" s="2"/>
      <c r="K220" s="2"/>
      <c r="L220" s="2"/>
      <c r="M220" s="2"/>
    </row>
    <row r="221" spans="2:13" x14ac:dyDescent="0.25">
      <c r="B221" s="7"/>
      <c r="C221" s="1"/>
      <c r="D221" s="1"/>
      <c r="E221" s="1"/>
      <c r="F221" s="3"/>
      <c r="G221" s="3"/>
      <c r="H221" s="2"/>
      <c r="I221" s="2"/>
      <c r="J221" s="2"/>
      <c r="K221" s="2"/>
      <c r="L221" s="2"/>
      <c r="M221" s="2"/>
    </row>
  </sheetData>
  <mergeCells count="5">
    <mergeCell ref="B3:B4"/>
    <mergeCell ref="C3:C4"/>
    <mergeCell ref="F4:L4"/>
    <mergeCell ref="D3:D4"/>
    <mergeCell ref="E3:E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J59"/>
  <sheetViews>
    <sheetView zoomScaleNormal="100" workbookViewId="0">
      <pane ySplit="3" topLeftCell="A4" activePane="bottomLeft" state="frozen"/>
      <selection pane="bottomLeft"/>
    </sheetView>
  </sheetViews>
  <sheetFormatPr defaultRowHeight="13.2" x14ac:dyDescent="0.25"/>
  <cols>
    <col min="1" max="1" width="24.88671875" style="12" bestFit="1" customWidth="1"/>
    <col min="2" max="2" width="17" customWidth="1"/>
    <col min="3" max="3" width="27.5546875" bestFit="1" customWidth="1"/>
    <col min="4" max="4" width="28.88671875" style="19" bestFit="1" customWidth="1"/>
    <col min="5" max="5" width="28.109375" style="19" bestFit="1" customWidth="1"/>
    <col min="6" max="6" width="17" customWidth="1"/>
    <col min="7" max="7" width="19.6640625" customWidth="1"/>
    <col min="8" max="8" width="40.6640625" customWidth="1"/>
  </cols>
  <sheetData>
    <row r="1" spans="1:10" ht="17.399999999999999" x14ac:dyDescent="0.3">
      <c r="A1" s="6" t="s">
        <v>32</v>
      </c>
    </row>
    <row r="2" spans="1:10" ht="13.8" thickBot="1" x14ac:dyDescent="0.3"/>
    <row r="3" spans="1:10" x14ac:dyDescent="0.25">
      <c r="A3" s="38" t="s">
        <v>33</v>
      </c>
      <c r="B3" s="39" t="s">
        <v>0</v>
      </c>
      <c r="C3" s="39" t="s">
        <v>34</v>
      </c>
      <c r="D3" s="40" t="s">
        <v>426</v>
      </c>
      <c r="E3" s="40" t="s">
        <v>425</v>
      </c>
      <c r="F3" s="39" t="s">
        <v>36</v>
      </c>
      <c r="G3" s="39" t="s">
        <v>35</v>
      </c>
      <c r="H3" s="49" t="s">
        <v>72</v>
      </c>
    </row>
    <row r="4" spans="1:10" x14ac:dyDescent="0.25">
      <c r="A4" s="29" t="s">
        <v>108</v>
      </c>
      <c r="B4" s="13" t="s">
        <v>3</v>
      </c>
      <c r="C4" s="13" t="str">
        <f t="shared" ref="C4:C59" si="0">A4&amp;B4</f>
        <v>Coal - BituminousVOC</v>
      </c>
      <c r="D4" s="20">
        <v>0.05</v>
      </c>
      <c r="E4" s="20">
        <f t="shared" ref="E4:E59" si="1">D4</f>
        <v>0.05</v>
      </c>
      <c r="F4" s="17" t="s">
        <v>78</v>
      </c>
      <c r="G4" s="17" t="s">
        <v>82</v>
      </c>
      <c r="H4" s="47" t="s">
        <v>129</v>
      </c>
      <c r="J4" s="9"/>
    </row>
    <row r="5" spans="1:10" ht="15.6" x14ac:dyDescent="0.25">
      <c r="A5" s="29" t="s">
        <v>108</v>
      </c>
      <c r="B5" s="17" t="s">
        <v>52</v>
      </c>
      <c r="C5" s="13" t="str">
        <f t="shared" si="0"/>
        <v>Coal - BituminousNOx</v>
      </c>
      <c r="D5" s="20">
        <v>11</v>
      </c>
      <c r="E5" s="20">
        <f t="shared" si="1"/>
        <v>11</v>
      </c>
      <c r="F5" s="17" t="s">
        <v>78</v>
      </c>
      <c r="G5" s="17" t="s">
        <v>82</v>
      </c>
      <c r="H5" s="47" t="s">
        <v>129</v>
      </c>
      <c r="J5" s="9"/>
    </row>
    <row r="6" spans="1:10" x14ac:dyDescent="0.25">
      <c r="A6" s="29" t="s">
        <v>108</v>
      </c>
      <c r="B6" s="17" t="s">
        <v>49</v>
      </c>
      <c r="C6" s="13" t="str">
        <f t="shared" si="0"/>
        <v>Coal - BituminousCO</v>
      </c>
      <c r="D6" s="20">
        <v>5</v>
      </c>
      <c r="E6" s="20">
        <f t="shared" si="1"/>
        <v>5</v>
      </c>
      <c r="F6" s="17" t="s">
        <v>78</v>
      </c>
      <c r="G6" s="17" t="s">
        <v>82</v>
      </c>
      <c r="H6" s="47" t="s">
        <v>129</v>
      </c>
      <c r="J6" s="9"/>
    </row>
    <row r="7" spans="1:10" ht="15.6" x14ac:dyDescent="0.25">
      <c r="A7" s="29" t="s">
        <v>108</v>
      </c>
      <c r="B7" s="17" t="s">
        <v>53</v>
      </c>
      <c r="C7" s="13" t="str">
        <f t="shared" si="0"/>
        <v>Coal - BituminousSO2</v>
      </c>
      <c r="D7" s="21" t="s">
        <v>73</v>
      </c>
      <c r="E7" s="20">
        <f>38*Inputs!$I$119</f>
        <v>38</v>
      </c>
      <c r="F7" s="17" t="s">
        <v>78</v>
      </c>
      <c r="G7" s="17" t="s">
        <v>82</v>
      </c>
      <c r="H7" s="47" t="s">
        <v>129</v>
      </c>
    </row>
    <row r="8" spans="1:10" x14ac:dyDescent="0.25">
      <c r="A8" s="29" t="s">
        <v>108</v>
      </c>
      <c r="B8" s="17" t="s">
        <v>46</v>
      </c>
      <c r="C8" s="13" t="str">
        <f t="shared" si="0"/>
        <v>Coal - BituminousTotal PM</v>
      </c>
      <c r="D8" s="20">
        <f>D9/0.28</f>
        <v>46.571428571428562</v>
      </c>
      <c r="E8" s="20">
        <f t="shared" si="1"/>
        <v>46.571428571428562</v>
      </c>
      <c r="F8" s="17" t="s">
        <v>78</v>
      </c>
      <c r="G8" s="17" t="s">
        <v>82</v>
      </c>
      <c r="H8" s="47" t="s">
        <v>104</v>
      </c>
    </row>
    <row r="9" spans="1:10" ht="15.6" x14ac:dyDescent="0.25">
      <c r="A9" s="29" t="s">
        <v>108</v>
      </c>
      <c r="B9" s="17" t="s">
        <v>54</v>
      </c>
      <c r="C9" s="13" t="str">
        <f t="shared" si="0"/>
        <v>Coal - BituminousPM10</v>
      </c>
      <c r="D9" s="20">
        <v>13.04</v>
      </c>
      <c r="E9" s="20">
        <f t="shared" si="1"/>
        <v>13.04</v>
      </c>
      <c r="F9" s="17" t="s">
        <v>78</v>
      </c>
      <c r="G9" s="17" t="s">
        <v>82</v>
      </c>
      <c r="H9" s="47" t="s">
        <v>129</v>
      </c>
    </row>
    <row r="10" spans="1:10" ht="15.6" x14ac:dyDescent="0.25">
      <c r="A10" s="29" t="s">
        <v>108</v>
      </c>
      <c r="B10" s="17" t="s">
        <v>55</v>
      </c>
      <c r="C10" s="13" t="str">
        <f t="shared" si="0"/>
        <v>Coal - BituminousPM2.5</v>
      </c>
      <c r="D10" s="20">
        <v>2.44</v>
      </c>
      <c r="E10" s="20">
        <f t="shared" si="1"/>
        <v>2.44</v>
      </c>
      <c r="F10" s="17" t="s">
        <v>78</v>
      </c>
      <c r="G10" s="17" t="s">
        <v>82</v>
      </c>
      <c r="H10" s="47" t="s">
        <v>129</v>
      </c>
    </row>
    <row r="11" spans="1:10" x14ac:dyDescent="0.25">
      <c r="A11" s="29" t="s">
        <v>109</v>
      </c>
      <c r="B11" s="13" t="s">
        <v>3</v>
      </c>
      <c r="C11" s="13" t="str">
        <f t="shared" si="0"/>
        <v>Coal - SubbituminousVOC</v>
      </c>
      <c r="D11" s="20">
        <v>0.05</v>
      </c>
      <c r="E11" s="20">
        <f t="shared" ref="E11:E13" si="2">D11</f>
        <v>0.05</v>
      </c>
      <c r="F11" s="17" t="s">
        <v>78</v>
      </c>
      <c r="G11" s="17" t="s">
        <v>82</v>
      </c>
      <c r="H11" s="47" t="s">
        <v>129</v>
      </c>
    </row>
    <row r="12" spans="1:10" ht="15.6" x14ac:dyDescent="0.25">
      <c r="A12" s="29" t="s">
        <v>109</v>
      </c>
      <c r="B12" s="17" t="s">
        <v>52</v>
      </c>
      <c r="C12" s="13" t="str">
        <f t="shared" si="0"/>
        <v>Coal - SubbituminousNOx</v>
      </c>
      <c r="D12" s="20">
        <v>8.8000000000000007</v>
      </c>
      <c r="E12" s="20">
        <f t="shared" si="2"/>
        <v>8.8000000000000007</v>
      </c>
      <c r="F12" s="17" t="s">
        <v>78</v>
      </c>
      <c r="G12" s="17" t="s">
        <v>82</v>
      </c>
      <c r="H12" s="47" t="s">
        <v>112</v>
      </c>
    </row>
    <row r="13" spans="1:10" x14ac:dyDescent="0.25">
      <c r="A13" s="29" t="s">
        <v>109</v>
      </c>
      <c r="B13" s="17" t="s">
        <v>49</v>
      </c>
      <c r="C13" s="13" t="str">
        <f t="shared" si="0"/>
        <v>Coal - SubbituminousCO</v>
      </c>
      <c r="D13" s="20">
        <v>5</v>
      </c>
      <c r="E13" s="20">
        <f t="shared" si="2"/>
        <v>5</v>
      </c>
      <c r="F13" s="17" t="s">
        <v>78</v>
      </c>
      <c r="G13" s="17" t="s">
        <v>82</v>
      </c>
      <c r="H13" s="47" t="s">
        <v>112</v>
      </c>
    </row>
    <row r="14" spans="1:10" ht="15.6" x14ac:dyDescent="0.25">
      <c r="A14" s="29" t="s">
        <v>109</v>
      </c>
      <c r="B14" s="17" t="s">
        <v>53</v>
      </c>
      <c r="C14" s="13" t="str">
        <f t="shared" si="0"/>
        <v>Coal - SubbituminousSO2</v>
      </c>
      <c r="D14" s="21" t="s">
        <v>111</v>
      </c>
      <c r="E14" s="20">
        <f>35*Inputs!$I$120</f>
        <v>35</v>
      </c>
      <c r="F14" s="17" t="s">
        <v>78</v>
      </c>
      <c r="G14" s="17" t="s">
        <v>82</v>
      </c>
      <c r="H14" s="47" t="s">
        <v>112</v>
      </c>
    </row>
    <row r="15" spans="1:10" x14ac:dyDescent="0.25">
      <c r="A15" s="29" t="s">
        <v>109</v>
      </c>
      <c r="B15" s="17" t="s">
        <v>46</v>
      </c>
      <c r="C15" s="13" t="str">
        <f t="shared" si="0"/>
        <v>Coal - SubbituminousTotal PM</v>
      </c>
      <c r="D15" s="20">
        <f>D16/0.28</f>
        <v>46.571428571428562</v>
      </c>
      <c r="E15" s="20">
        <f t="shared" ref="E15:E17" si="3">D15</f>
        <v>46.571428571428562</v>
      </c>
      <c r="F15" s="17" t="s">
        <v>78</v>
      </c>
      <c r="G15" s="17" t="s">
        <v>82</v>
      </c>
      <c r="H15" s="47" t="s">
        <v>129</v>
      </c>
    </row>
    <row r="16" spans="1:10" ht="15.6" x14ac:dyDescent="0.25">
      <c r="A16" s="29" t="s">
        <v>109</v>
      </c>
      <c r="B16" s="17" t="s">
        <v>54</v>
      </c>
      <c r="C16" s="13" t="str">
        <f t="shared" si="0"/>
        <v>Coal - SubbituminousPM10</v>
      </c>
      <c r="D16" s="20">
        <v>13.04</v>
      </c>
      <c r="E16" s="20">
        <f t="shared" si="3"/>
        <v>13.04</v>
      </c>
      <c r="F16" s="17" t="s">
        <v>78</v>
      </c>
      <c r="G16" s="17" t="s">
        <v>82</v>
      </c>
      <c r="H16" s="47" t="s">
        <v>129</v>
      </c>
    </row>
    <row r="17" spans="1:8" ht="15.6" x14ac:dyDescent="0.25">
      <c r="A17" s="29" t="s">
        <v>109</v>
      </c>
      <c r="B17" s="17" t="s">
        <v>55</v>
      </c>
      <c r="C17" s="13" t="str">
        <f t="shared" si="0"/>
        <v>Coal - SubbituminousPM2.5</v>
      </c>
      <c r="D17" s="20">
        <v>2.44</v>
      </c>
      <c r="E17" s="20">
        <f t="shared" si="3"/>
        <v>2.44</v>
      </c>
      <c r="F17" s="17" t="s">
        <v>78</v>
      </c>
      <c r="G17" s="17" t="s">
        <v>82</v>
      </c>
      <c r="H17" s="47" t="s">
        <v>129</v>
      </c>
    </row>
    <row r="18" spans="1:8" x14ac:dyDescent="0.25">
      <c r="A18" s="29" t="s">
        <v>56</v>
      </c>
      <c r="B18" s="13" t="s">
        <v>3</v>
      </c>
      <c r="C18" s="13" t="str">
        <f t="shared" si="0"/>
        <v>Oil - DistillateVOC</v>
      </c>
      <c r="D18" s="20">
        <v>0.2</v>
      </c>
      <c r="E18" s="20">
        <f t="shared" si="1"/>
        <v>0.2</v>
      </c>
      <c r="F18" s="17" t="s">
        <v>78</v>
      </c>
      <c r="G18" s="17" t="s">
        <v>79</v>
      </c>
      <c r="H18" s="47" t="s">
        <v>129</v>
      </c>
    </row>
    <row r="19" spans="1:8" ht="15.6" x14ac:dyDescent="0.25">
      <c r="A19" s="29" t="s">
        <v>56</v>
      </c>
      <c r="B19" s="17" t="s">
        <v>52</v>
      </c>
      <c r="C19" s="13" t="str">
        <f t="shared" si="0"/>
        <v>Oil - DistillateNOx</v>
      </c>
      <c r="D19" s="20">
        <v>20</v>
      </c>
      <c r="E19" s="20">
        <f t="shared" si="1"/>
        <v>20</v>
      </c>
      <c r="F19" s="17" t="s">
        <v>78</v>
      </c>
      <c r="G19" s="17" t="s">
        <v>79</v>
      </c>
      <c r="H19" s="47" t="s">
        <v>129</v>
      </c>
    </row>
    <row r="20" spans="1:8" x14ac:dyDescent="0.25">
      <c r="A20" s="29" t="s">
        <v>56</v>
      </c>
      <c r="B20" s="17" t="s">
        <v>49</v>
      </c>
      <c r="C20" s="13" t="str">
        <f t="shared" si="0"/>
        <v>Oil - DistillateCO</v>
      </c>
      <c r="D20" s="20">
        <v>5</v>
      </c>
      <c r="E20" s="20">
        <f t="shared" si="1"/>
        <v>5</v>
      </c>
      <c r="F20" s="17" t="s">
        <v>78</v>
      </c>
      <c r="G20" s="17" t="s">
        <v>79</v>
      </c>
      <c r="H20" s="47" t="s">
        <v>129</v>
      </c>
    </row>
    <row r="21" spans="1:8" ht="15.6" x14ac:dyDescent="0.25">
      <c r="A21" s="29" t="s">
        <v>56</v>
      </c>
      <c r="B21" s="17" t="s">
        <v>53</v>
      </c>
      <c r="C21" s="13" t="str">
        <f t="shared" si="0"/>
        <v>Oil - DistillateSO2</v>
      </c>
      <c r="D21" s="21" t="s">
        <v>74</v>
      </c>
      <c r="E21" s="20">
        <f>142*Inputs!$I$122</f>
        <v>71</v>
      </c>
      <c r="F21" s="17" t="s">
        <v>78</v>
      </c>
      <c r="G21" s="17" t="s">
        <v>79</v>
      </c>
      <c r="H21" s="47" t="s">
        <v>129</v>
      </c>
    </row>
    <row r="22" spans="1:8" x14ac:dyDescent="0.25">
      <c r="A22" s="29" t="s">
        <v>56</v>
      </c>
      <c r="B22" s="17" t="s">
        <v>46</v>
      </c>
      <c r="C22" s="13" t="str">
        <f t="shared" si="0"/>
        <v>Oil - DistillateTotal PM</v>
      </c>
      <c r="D22" s="20">
        <v>4.5999999999999996</v>
      </c>
      <c r="E22" s="20">
        <f t="shared" si="1"/>
        <v>4.5999999999999996</v>
      </c>
      <c r="F22" s="17" t="s">
        <v>78</v>
      </c>
      <c r="G22" s="17" t="s">
        <v>79</v>
      </c>
      <c r="H22" s="47" t="s">
        <v>129</v>
      </c>
    </row>
    <row r="23" spans="1:8" ht="15.6" x14ac:dyDescent="0.25">
      <c r="A23" s="29" t="s">
        <v>56</v>
      </c>
      <c r="B23" s="17" t="s">
        <v>54</v>
      </c>
      <c r="C23" s="13" t="str">
        <f t="shared" si="0"/>
        <v>Oil - DistillatePM10</v>
      </c>
      <c r="D23" s="20">
        <v>2.2999999999999998</v>
      </c>
      <c r="E23" s="20">
        <f t="shared" si="1"/>
        <v>2.2999999999999998</v>
      </c>
      <c r="F23" s="17" t="s">
        <v>78</v>
      </c>
      <c r="G23" s="17" t="s">
        <v>79</v>
      </c>
      <c r="H23" s="47" t="s">
        <v>129</v>
      </c>
    </row>
    <row r="24" spans="1:8" ht="15.6" x14ac:dyDescent="0.25">
      <c r="A24" s="29" t="s">
        <v>56</v>
      </c>
      <c r="B24" s="17" t="s">
        <v>55</v>
      </c>
      <c r="C24" s="13" t="str">
        <f t="shared" si="0"/>
        <v>Oil - DistillatePM2.5</v>
      </c>
      <c r="D24" s="20">
        <v>1.55</v>
      </c>
      <c r="E24" s="20">
        <f t="shared" si="1"/>
        <v>1.55</v>
      </c>
      <c r="F24" s="17" t="s">
        <v>78</v>
      </c>
      <c r="G24" s="17" t="s">
        <v>79</v>
      </c>
      <c r="H24" s="47" t="s">
        <v>129</v>
      </c>
    </row>
    <row r="25" spans="1:8" x14ac:dyDescent="0.25">
      <c r="A25" s="29" t="s">
        <v>57</v>
      </c>
      <c r="B25" s="13" t="s">
        <v>3</v>
      </c>
      <c r="C25" s="13" t="str">
        <f t="shared" si="0"/>
        <v>Oil - ResidualVOC</v>
      </c>
      <c r="D25" s="20">
        <v>0.28000000000000003</v>
      </c>
      <c r="E25" s="20">
        <f t="shared" si="1"/>
        <v>0.28000000000000003</v>
      </c>
      <c r="F25" s="17" t="s">
        <v>78</v>
      </c>
      <c r="G25" s="17" t="s">
        <v>79</v>
      </c>
      <c r="H25" s="47" t="s">
        <v>129</v>
      </c>
    </row>
    <row r="26" spans="1:8" ht="15.6" x14ac:dyDescent="0.25">
      <c r="A26" s="29" t="s">
        <v>57</v>
      </c>
      <c r="B26" s="17" t="s">
        <v>52</v>
      </c>
      <c r="C26" s="13" t="str">
        <f t="shared" si="0"/>
        <v>Oil - ResidualNOx</v>
      </c>
      <c r="D26" s="20">
        <v>55</v>
      </c>
      <c r="E26" s="20">
        <f t="shared" si="1"/>
        <v>55</v>
      </c>
      <c r="F26" s="17" t="s">
        <v>78</v>
      </c>
      <c r="G26" s="17" t="s">
        <v>79</v>
      </c>
      <c r="H26" s="47" t="s">
        <v>129</v>
      </c>
    </row>
    <row r="27" spans="1:8" x14ac:dyDescent="0.25">
      <c r="A27" s="29" t="s">
        <v>57</v>
      </c>
      <c r="B27" s="17" t="s">
        <v>49</v>
      </c>
      <c r="C27" s="13" t="str">
        <f t="shared" si="0"/>
        <v>Oil - ResidualCO</v>
      </c>
      <c r="D27" s="20">
        <v>5</v>
      </c>
      <c r="E27" s="20">
        <f t="shared" si="1"/>
        <v>5</v>
      </c>
      <c r="F27" s="17" t="s">
        <v>78</v>
      </c>
      <c r="G27" s="17" t="s">
        <v>79</v>
      </c>
      <c r="H27" s="47" t="s">
        <v>129</v>
      </c>
    </row>
    <row r="28" spans="1:8" ht="15.6" x14ac:dyDescent="0.25">
      <c r="A28" s="29" t="s">
        <v>57</v>
      </c>
      <c r="B28" s="17" t="s">
        <v>53</v>
      </c>
      <c r="C28" s="13" t="str">
        <f t="shared" si="0"/>
        <v>Oil - ResidualSO2</v>
      </c>
      <c r="D28" s="21" t="s">
        <v>75</v>
      </c>
      <c r="E28" s="20">
        <f>157*Inputs!$I$123</f>
        <v>274.75</v>
      </c>
      <c r="F28" s="17" t="s">
        <v>78</v>
      </c>
      <c r="G28" s="17" t="s">
        <v>79</v>
      </c>
      <c r="H28" s="47" t="s">
        <v>129</v>
      </c>
    </row>
    <row r="29" spans="1:8" x14ac:dyDescent="0.25">
      <c r="A29" s="29" t="s">
        <v>57</v>
      </c>
      <c r="B29" s="17" t="s">
        <v>46</v>
      </c>
      <c r="C29" s="13" t="str">
        <f t="shared" si="0"/>
        <v>Oil - ResidualTotal PM</v>
      </c>
      <c r="D29" s="41" t="s">
        <v>83</v>
      </c>
      <c r="E29" s="20">
        <f>8.34*(1.12*Inputs!$I$123+0.37)+1.5</f>
        <v>20.932200000000002</v>
      </c>
      <c r="F29" s="17" t="s">
        <v>78</v>
      </c>
      <c r="G29" s="17" t="s">
        <v>79</v>
      </c>
      <c r="H29" s="47" t="s">
        <v>129</v>
      </c>
    </row>
    <row r="30" spans="1:8" ht="15.6" x14ac:dyDescent="0.25">
      <c r="A30" s="29" t="s">
        <v>57</v>
      </c>
      <c r="B30" s="17" t="s">
        <v>54</v>
      </c>
      <c r="C30" s="13" t="str">
        <f t="shared" si="0"/>
        <v>Oil - ResidualPM10</v>
      </c>
      <c r="D30" s="21" t="s">
        <v>76</v>
      </c>
      <c r="E30" s="20">
        <f>7.17*(1.12*Inputs!$I$123+0.37)+1.5</f>
        <v>18.206099999999999</v>
      </c>
      <c r="F30" s="17" t="s">
        <v>78</v>
      </c>
      <c r="G30" s="17" t="s">
        <v>79</v>
      </c>
      <c r="H30" s="47" t="s">
        <v>129</v>
      </c>
    </row>
    <row r="31" spans="1:8" ht="15.6" x14ac:dyDescent="0.25">
      <c r="A31" s="29" t="s">
        <v>57</v>
      </c>
      <c r="B31" s="17" t="s">
        <v>55</v>
      </c>
      <c r="C31" s="13" t="str">
        <f t="shared" si="0"/>
        <v>Oil - ResidualPM2.5</v>
      </c>
      <c r="D31" s="21" t="s">
        <v>77</v>
      </c>
      <c r="E31" s="20">
        <f>4.67*(1.12*Inputs!$I$123+0.37)+1.5</f>
        <v>12.3811</v>
      </c>
      <c r="F31" s="17" t="s">
        <v>78</v>
      </c>
      <c r="G31" s="17" t="s">
        <v>79</v>
      </c>
      <c r="H31" s="47" t="s">
        <v>129</v>
      </c>
    </row>
    <row r="32" spans="1:8" x14ac:dyDescent="0.25">
      <c r="A32" s="29" t="s">
        <v>59</v>
      </c>
      <c r="B32" s="13" t="s">
        <v>3</v>
      </c>
      <c r="C32" s="13" t="str">
        <f t="shared" si="0"/>
        <v>Natural GasVOC</v>
      </c>
      <c r="D32" s="20">
        <v>5.5</v>
      </c>
      <c r="E32" s="20">
        <f t="shared" si="1"/>
        <v>5.5</v>
      </c>
      <c r="F32" s="17" t="s">
        <v>78</v>
      </c>
      <c r="G32" s="17" t="s">
        <v>465</v>
      </c>
      <c r="H32" s="47" t="s">
        <v>129</v>
      </c>
    </row>
    <row r="33" spans="1:8" ht="15.6" x14ac:dyDescent="0.25">
      <c r="A33" s="29" t="s">
        <v>59</v>
      </c>
      <c r="B33" s="17" t="s">
        <v>52</v>
      </c>
      <c r="C33" s="13" t="str">
        <f t="shared" si="0"/>
        <v>Natural GasNOx</v>
      </c>
      <c r="D33" s="20">
        <v>100</v>
      </c>
      <c r="E33" s="20">
        <f t="shared" si="1"/>
        <v>100</v>
      </c>
      <c r="F33" s="17" t="s">
        <v>78</v>
      </c>
      <c r="G33" s="17" t="s">
        <v>465</v>
      </c>
      <c r="H33" s="47" t="s">
        <v>129</v>
      </c>
    </row>
    <row r="34" spans="1:8" x14ac:dyDescent="0.25">
      <c r="A34" s="29" t="s">
        <v>59</v>
      </c>
      <c r="B34" s="17" t="s">
        <v>49</v>
      </c>
      <c r="C34" s="13" t="str">
        <f t="shared" si="0"/>
        <v>Natural GasCO</v>
      </c>
      <c r="D34" s="20">
        <v>84</v>
      </c>
      <c r="E34" s="20">
        <f t="shared" si="1"/>
        <v>84</v>
      </c>
      <c r="F34" s="17" t="s">
        <v>78</v>
      </c>
      <c r="G34" s="17" t="s">
        <v>465</v>
      </c>
      <c r="H34" s="47" t="s">
        <v>129</v>
      </c>
    </row>
    <row r="35" spans="1:8" ht="15.6" x14ac:dyDescent="0.25">
      <c r="A35" s="29" t="s">
        <v>59</v>
      </c>
      <c r="B35" s="17" t="s">
        <v>53</v>
      </c>
      <c r="C35" s="13" t="str">
        <f t="shared" si="0"/>
        <v>Natural GasSO2</v>
      </c>
      <c r="D35" s="20">
        <v>0.6</v>
      </c>
      <c r="E35" s="20">
        <f>D35*Natural_Gas_Allowable_Sulfur_Content/Natural_Gas_Actual_Sulfur_Content</f>
        <v>143.99999999999997</v>
      </c>
      <c r="F35" s="17" t="s">
        <v>78</v>
      </c>
      <c r="G35" s="17" t="s">
        <v>465</v>
      </c>
      <c r="H35" s="47" t="s">
        <v>129</v>
      </c>
    </row>
    <row r="36" spans="1:8" x14ac:dyDescent="0.25">
      <c r="A36" s="29" t="s">
        <v>59</v>
      </c>
      <c r="B36" s="17" t="s">
        <v>46</v>
      </c>
      <c r="C36" s="13" t="str">
        <f t="shared" si="0"/>
        <v>Natural GasTotal PM</v>
      </c>
      <c r="D36" s="42">
        <v>0.52</v>
      </c>
      <c r="E36" s="20">
        <f t="shared" si="1"/>
        <v>0.52</v>
      </c>
      <c r="F36" s="17" t="s">
        <v>78</v>
      </c>
      <c r="G36" s="17" t="s">
        <v>465</v>
      </c>
      <c r="H36" s="47" t="s">
        <v>129</v>
      </c>
    </row>
    <row r="37" spans="1:8" ht="15.6" x14ac:dyDescent="0.25">
      <c r="A37" s="29" t="s">
        <v>59</v>
      </c>
      <c r="B37" s="17" t="s">
        <v>54</v>
      </c>
      <c r="C37" s="13" t="str">
        <f t="shared" si="0"/>
        <v>Natural GasPM10</v>
      </c>
      <c r="D37" s="20">
        <v>0.52</v>
      </c>
      <c r="E37" s="20">
        <f t="shared" si="1"/>
        <v>0.52</v>
      </c>
      <c r="F37" s="17" t="s">
        <v>78</v>
      </c>
      <c r="G37" s="17" t="s">
        <v>465</v>
      </c>
      <c r="H37" s="47" t="s">
        <v>129</v>
      </c>
    </row>
    <row r="38" spans="1:8" ht="15.6" x14ac:dyDescent="0.25">
      <c r="A38" s="29" t="s">
        <v>59</v>
      </c>
      <c r="B38" s="17" t="s">
        <v>55</v>
      </c>
      <c r="C38" s="13" t="str">
        <f t="shared" si="0"/>
        <v>Natural GasPM2.5</v>
      </c>
      <c r="D38" s="20">
        <v>0.43</v>
      </c>
      <c r="E38" s="20">
        <f t="shared" si="1"/>
        <v>0.43</v>
      </c>
      <c r="F38" s="17" t="s">
        <v>78</v>
      </c>
      <c r="G38" s="17" t="s">
        <v>465</v>
      </c>
      <c r="H38" s="47" t="s">
        <v>129</v>
      </c>
    </row>
    <row r="39" spans="1:8" x14ac:dyDescent="0.25">
      <c r="A39" s="29" t="s">
        <v>58</v>
      </c>
      <c r="B39" s="13" t="s">
        <v>3</v>
      </c>
      <c r="C39" s="13" t="str">
        <f t="shared" si="0"/>
        <v>LPGVOC</v>
      </c>
      <c r="D39" s="20">
        <v>0.52</v>
      </c>
      <c r="E39" s="20">
        <f t="shared" si="1"/>
        <v>0.52</v>
      </c>
      <c r="F39" s="17" t="s">
        <v>78</v>
      </c>
      <c r="G39" s="17" t="s">
        <v>79</v>
      </c>
      <c r="H39" s="47" t="s">
        <v>129</v>
      </c>
    </row>
    <row r="40" spans="1:8" ht="15.6" x14ac:dyDescent="0.25">
      <c r="A40" s="29" t="s">
        <v>58</v>
      </c>
      <c r="B40" s="17" t="s">
        <v>52</v>
      </c>
      <c r="C40" s="13" t="str">
        <f t="shared" si="0"/>
        <v>LPGNOx</v>
      </c>
      <c r="D40" s="20">
        <v>14.23</v>
      </c>
      <c r="E40" s="20">
        <f t="shared" si="1"/>
        <v>14.23</v>
      </c>
      <c r="F40" s="17" t="s">
        <v>78</v>
      </c>
      <c r="G40" s="17" t="s">
        <v>79</v>
      </c>
      <c r="H40" s="47" t="s">
        <v>129</v>
      </c>
    </row>
    <row r="41" spans="1:8" x14ac:dyDescent="0.25">
      <c r="A41" s="29" t="s">
        <v>58</v>
      </c>
      <c r="B41" s="17" t="s">
        <v>49</v>
      </c>
      <c r="C41" s="13" t="str">
        <f t="shared" si="0"/>
        <v>LPGCO</v>
      </c>
      <c r="D41" s="20">
        <v>7.97</v>
      </c>
      <c r="E41" s="20">
        <f t="shared" si="1"/>
        <v>7.97</v>
      </c>
      <c r="F41" s="17" t="s">
        <v>78</v>
      </c>
      <c r="G41" s="17" t="s">
        <v>79</v>
      </c>
      <c r="H41" s="47" t="s">
        <v>129</v>
      </c>
    </row>
    <row r="42" spans="1:8" ht="15.6" x14ac:dyDescent="0.25">
      <c r="A42" s="29" t="s">
        <v>58</v>
      </c>
      <c r="B42" s="17" t="s">
        <v>53</v>
      </c>
      <c r="C42" s="13" t="str">
        <f t="shared" si="0"/>
        <v>LPGSO2</v>
      </c>
      <c r="D42" s="20">
        <v>0.06</v>
      </c>
      <c r="E42" s="20">
        <f>D42*LPG_Allowable_Sulfur_Content/LPG_Actual_Sulfur_Content</f>
        <v>14.399999999999999</v>
      </c>
      <c r="F42" s="17" t="s">
        <v>78</v>
      </c>
      <c r="G42" s="17" t="s">
        <v>79</v>
      </c>
      <c r="H42" s="47" t="s">
        <v>129</v>
      </c>
    </row>
    <row r="43" spans="1:8" x14ac:dyDescent="0.25">
      <c r="A43" s="29" t="s">
        <v>58</v>
      </c>
      <c r="B43" s="17" t="s">
        <v>46</v>
      </c>
      <c r="C43" s="13" t="str">
        <f t="shared" si="0"/>
        <v>LPGTotal PM</v>
      </c>
      <c r="D43" s="42">
        <v>0.05</v>
      </c>
      <c r="E43" s="20">
        <f t="shared" si="1"/>
        <v>0.05</v>
      </c>
      <c r="F43" s="17" t="s">
        <v>78</v>
      </c>
      <c r="G43" s="17" t="s">
        <v>79</v>
      </c>
      <c r="H43" s="47" t="s">
        <v>129</v>
      </c>
    </row>
    <row r="44" spans="1:8" ht="15.6" x14ac:dyDescent="0.25">
      <c r="A44" s="29" t="s">
        <v>58</v>
      </c>
      <c r="B44" s="17" t="s">
        <v>54</v>
      </c>
      <c r="C44" s="13" t="str">
        <f t="shared" si="0"/>
        <v>LPGPM10</v>
      </c>
      <c r="D44" s="20">
        <v>0.05</v>
      </c>
      <c r="E44" s="20">
        <f t="shared" si="1"/>
        <v>0.05</v>
      </c>
      <c r="F44" s="17" t="s">
        <v>78</v>
      </c>
      <c r="G44" s="17" t="s">
        <v>79</v>
      </c>
      <c r="H44" s="47" t="s">
        <v>129</v>
      </c>
    </row>
    <row r="45" spans="1:8" ht="15.6" x14ac:dyDescent="0.25">
      <c r="A45" s="29" t="s">
        <v>58</v>
      </c>
      <c r="B45" s="17" t="s">
        <v>55</v>
      </c>
      <c r="C45" s="13" t="str">
        <f t="shared" si="0"/>
        <v>LPGPM2.5</v>
      </c>
      <c r="D45" s="20">
        <v>0.04</v>
      </c>
      <c r="E45" s="20">
        <f t="shared" si="1"/>
        <v>0.04</v>
      </c>
      <c r="F45" s="17" t="s">
        <v>78</v>
      </c>
      <c r="G45" s="17" t="s">
        <v>79</v>
      </c>
      <c r="H45" s="47" t="s">
        <v>129</v>
      </c>
    </row>
    <row r="46" spans="1:8" x14ac:dyDescent="0.25">
      <c r="A46" s="29" t="s">
        <v>62</v>
      </c>
      <c r="B46" s="13" t="s">
        <v>3</v>
      </c>
      <c r="C46" s="13" t="str">
        <f t="shared" si="0"/>
        <v>WoodVOC</v>
      </c>
      <c r="D46" s="20">
        <v>1.7000000000000001E-2</v>
      </c>
      <c r="E46" s="20">
        <f t="shared" si="1"/>
        <v>1.7000000000000001E-2</v>
      </c>
      <c r="F46" s="17" t="s">
        <v>78</v>
      </c>
      <c r="G46" s="17" t="s">
        <v>81</v>
      </c>
      <c r="H46" s="47" t="s">
        <v>129</v>
      </c>
    </row>
    <row r="47" spans="1:8" ht="15.6" x14ac:dyDescent="0.25">
      <c r="A47" s="29" t="s">
        <v>62</v>
      </c>
      <c r="B47" s="17" t="s">
        <v>52</v>
      </c>
      <c r="C47" s="13" t="str">
        <f t="shared" si="0"/>
        <v>WoodNOx</v>
      </c>
      <c r="D47" s="20">
        <v>0.22</v>
      </c>
      <c r="E47" s="20">
        <f t="shared" si="1"/>
        <v>0.22</v>
      </c>
      <c r="F47" s="17" t="s">
        <v>78</v>
      </c>
      <c r="G47" s="17" t="s">
        <v>81</v>
      </c>
      <c r="H47" s="47" t="s">
        <v>129</v>
      </c>
    </row>
    <row r="48" spans="1:8" x14ac:dyDescent="0.25">
      <c r="A48" s="29" t="s">
        <v>62</v>
      </c>
      <c r="B48" s="17" t="s">
        <v>49</v>
      </c>
      <c r="C48" s="13" t="str">
        <f t="shared" si="0"/>
        <v>WoodCO</v>
      </c>
      <c r="D48" s="20">
        <v>0.6</v>
      </c>
      <c r="E48" s="20">
        <f t="shared" si="1"/>
        <v>0.6</v>
      </c>
      <c r="F48" s="17" t="s">
        <v>78</v>
      </c>
      <c r="G48" s="17" t="s">
        <v>81</v>
      </c>
      <c r="H48" s="47" t="s">
        <v>129</v>
      </c>
    </row>
    <row r="49" spans="1:8" ht="15.6" x14ac:dyDescent="0.25">
      <c r="A49" s="29" t="s">
        <v>62</v>
      </c>
      <c r="B49" s="17" t="s">
        <v>53</v>
      </c>
      <c r="C49" s="13" t="str">
        <f t="shared" si="0"/>
        <v>WoodSO2</v>
      </c>
      <c r="D49" s="20">
        <v>2.5000000000000001E-2</v>
      </c>
      <c r="E49" s="20">
        <f t="shared" si="1"/>
        <v>2.5000000000000001E-2</v>
      </c>
      <c r="F49" s="17" t="s">
        <v>78</v>
      </c>
      <c r="G49" s="17" t="s">
        <v>81</v>
      </c>
      <c r="H49" s="47" t="s">
        <v>129</v>
      </c>
    </row>
    <row r="50" spans="1:8" x14ac:dyDescent="0.25">
      <c r="A50" s="29" t="s">
        <v>62</v>
      </c>
      <c r="B50" s="17" t="s">
        <v>46</v>
      </c>
      <c r="C50" s="13" t="str">
        <f t="shared" si="0"/>
        <v>WoodTotal PM</v>
      </c>
      <c r="D50" s="20">
        <f>D51/0.9</f>
        <v>0.57444444444444442</v>
      </c>
      <c r="E50" s="20">
        <f t="shared" si="1"/>
        <v>0.57444444444444442</v>
      </c>
      <c r="F50" s="17" t="s">
        <v>78</v>
      </c>
      <c r="G50" s="17" t="s">
        <v>81</v>
      </c>
      <c r="H50" s="47" t="s">
        <v>104</v>
      </c>
    </row>
    <row r="51" spans="1:8" ht="15.6" x14ac:dyDescent="0.25">
      <c r="A51" s="29" t="s">
        <v>62</v>
      </c>
      <c r="B51" s="17" t="s">
        <v>54</v>
      </c>
      <c r="C51" s="13" t="str">
        <f t="shared" si="0"/>
        <v>WoodPM10</v>
      </c>
      <c r="D51" s="20">
        <v>0.51700000000000002</v>
      </c>
      <c r="E51" s="20">
        <f t="shared" si="1"/>
        <v>0.51700000000000002</v>
      </c>
      <c r="F51" s="17" t="s">
        <v>78</v>
      </c>
      <c r="G51" s="17" t="s">
        <v>81</v>
      </c>
      <c r="H51" s="47" t="s">
        <v>129</v>
      </c>
    </row>
    <row r="52" spans="1:8" ht="15.6" x14ac:dyDescent="0.25">
      <c r="A52" s="29" t="s">
        <v>62</v>
      </c>
      <c r="B52" s="17" t="s">
        <v>55</v>
      </c>
      <c r="C52" s="13" t="str">
        <f t="shared" si="0"/>
        <v>WoodPM2.5</v>
      </c>
      <c r="D52" s="20">
        <v>0.44700000000000001</v>
      </c>
      <c r="E52" s="20">
        <f t="shared" si="1"/>
        <v>0.44700000000000001</v>
      </c>
      <c r="F52" s="17" t="s">
        <v>78</v>
      </c>
      <c r="G52" s="17" t="s">
        <v>81</v>
      </c>
      <c r="H52" s="47" t="s">
        <v>129</v>
      </c>
    </row>
    <row r="53" spans="1:8" x14ac:dyDescent="0.25">
      <c r="A53" s="29" t="s">
        <v>60</v>
      </c>
      <c r="B53" s="13" t="s">
        <v>3</v>
      </c>
      <c r="C53" s="13" t="str">
        <f t="shared" si="0"/>
        <v>KeroseneVOC</v>
      </c>
      <c r="D53" s="20">
        <v>0.19</v>
      </c>
      <c r="E53" s="20">
        <f t="shared" si="1"/>
        <v>0.19</v>
      </c>
      <c r="F53" s="17" t="s">
        <v>78</v>
      </c>
      <c r="G53" s="17" t="s">
        <v>79</v>
      </c>
      <c r="H53" s="47" t="s">
        <v>129</v>
      </c>
    </row>
    <row r="54" spans="1:8" ht="15.6" x14ac:dyDescent="0.25">
      <c r="A54" s="29" t="s">
        <v>60</v>
      </c>
      <c r="B54" s="17" t="s">
        <v>52</v>
      </c>
      <c r="C54" s="13" t="str">
        <f t="shared" si="0"/>
        <v>KeroseneNOx</v>
      </c>
      <c r="D54" s="20">
        <v>19.29</v>
      </c>
      <c r="E54" s="20">
        <f t="shared" si="1"/>
        <v>19.29</v>
      </c>
      <c r="F54" s="17" t="s">
        <v>78</v>
      </c>
      <c r="G54" s="17" t="s">
        <v>79</v>
      </c>
      <c r="H54" s="47" t="s">
        <v>129</v>
      </c>
    </row>
    <row r="55" spans="1:8" x14ac:dyDescent="0.25">
      <c r="A55" s="29" t="s">
        <v>60</v>
      </c>
      <c r="B55" s="17" t="s">
        <v>49</v>
      </c>
      <c r="C55" s="13" t="str">
        <f t="shared" si="0"/>
        <v>KeroseneCO</v>
      </c>
      <c r="D55" s="20">
        <v>4.82</v>
      </c>
      <c r="E55" s="20">
        <f t="shared" si="1"/>
        <v>4.82</v>
      </c>
      <c r="F55" s="17" t="s">
        <v>78</v>
      </c>
      <c r="G55" s="17" t="s">
        <v>79</v>
      </c>
      <c r="H55" s="47" t="s">
        <v>129</v>
      </c>
    </row>
    <row r="56" spans="1:8" ht="15.6" x14ac:dyDescent="0.25">
      <c r="A56" s="29" t="s">
        <v>60</v>
      </c>
      <c r="B56" s="17" t="s">
        <v>53</v>
      </c>
      <c r="C56" s="13" t="str">
        <f t="shared" si="0"/>
        <v>KeroseneSO2</v>
      </c>
      <c r="D56" s="21" t="s">
        <v>74</v>
      </c>
      <c r="E56" s="20">
        <f>142*Inputs!$I$121</f>
        <v>42.6</v>
      </c>
      <c r="F56" s="17" t="s">
        <v>78</v>
      </c>
      <c r="G56" s="17" t="s">
        <v>79</v>
      </c>
      <c r="H56" s="47" t="s">
        <v>129</v>
      </c>
    </row>
    <row r="57" spans="1:8" x14ac:dyDescent="0.25">
      <c r="A57" s="29" t="s">
        <v>60</v>
      </c>
      <c r="B57" s="17" t="s">
        <v>46</v>
      </c>
      <c r="C57" s="13" t="str">
        <f t="shared" si="0"/>
        <v>KeroseneTotal PM</v>
      </c>
      <c r="D57" s="20">
        <f>D58/0.5</f>
        <v>4.42</v>
      </c>
      <c r="E57" s="20">
        <f t="shared" si="1"/>
        <v>4.42</v>
      </c>
      <c r="F57" s="17" t="s">
        <v>78</v>
      </c>
      <c r="G57" s="17" t="s">
        <v>79</v>
      </c>
      <c r="H57" s="47" t="s">
        <v>104</v>
      </c>
    </row>
    <row r="58" spans="1:8" ht="15.6" x14ac:dyDescent="0.25">
      <c r="A58" s="29" t="s">
        <v>60</v>
      </c>
      <c r="B58" s="17" t="s">
        <v>54</v>
      </c>
      <c r="C58" s="13" t="str">
        <f t="shared" si="0"/>
        <v>KerosenePM10</v>
      </c>
      <c r="D58" s="20">
        <v>2.21</v>
      </c>
      <c r="E58" s="20">
        <f t="shared" si="1"/>
        <v>2.21</v>
      </c>
      <c r="F58" s="17" t="s">
        <v>78</v>
      </c>
      <c r="G58" s="17" t="s">
        <v>79</v>
      </c>
      <c r="H58" s="47" t="s">
        <v>129</v>
      </c>
    </row>
    <row r="59" spans="1:8" ht="16.2" thickBot="1" x14ac:dyDescent="0.3">
      <c r="A59" s="31" t="s">
        <v>60</v>
      </c>
      <c r="B59" s="43" t="s">
        <v>55</v>
      </c>
      <c r="C59" s="44" t="str">
        <f t="shared" si="0"/>
        <v>KerosenePM2.5</v>
      </c>
      <c r="D59" s="45">
        <v>1.49</v>
      </c>
      <c r="E59" s="45">
        <f t="shared" si="1"/>
        <v>1.49</v>
      </c>
      <c r="F59" s="43" t="s">
        <v>78</v>
      </c>
      <c r="G59" s="43" t="s">
        <v>79</v>
      </c>
      <c r="H59" s="48" t="s">
        <v>129</v>
      </c>
    </row>
  </sheetData>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26</vt:i4>
      </vt:variant>
    </vt:vector>
  </HeadingPairs>
  <TitlesOfParts>
    <vt:vector size="38" baseType="lpstr">
      <vt:lpstr>Registration FAQs</vt:lpstr>
      <vt:lpstr>Instructions</vt:lpstr>
      <vt:lpstr>Inputs</vt:lpstr>
      <vt:lpstr>Controls and Restrictions</vt:lpstr>
      <vt:lpstr>Total Emissions</vt:lpstr>
      <vt:lpstr>Output-Summary Printout</vt:lpstr>
      <vt:lpstr>Change Log</vt:lpstr>
      <vt:lpstr>Emissions Calculation - Annual</vt:lpstr>
      <vt:lpstr>Emission Factors</vt:lpstr>
      <vt:lpstr>Fuel Energy Content</vt:lpstr>
      <vt:lpstr>Additional References</vt:lpstr>
      <vt:lpstr>EPA Regional Contact Info</vt:lpstr>
      <vt:lpstr>Bituminous_Coal_Actual_Sulfur_Content</vt:lpstr>
      <vt:lpstr>Bituminous_Coal_Allowable_Sulfur_Content</vt:lpstr>
      <vt:lpstr>Boiler_ID</vt:lpstr>
      <vt:lpstr>CO_PM10_Attainment_List</vt:lpstr>
      <vt:lpstr>Emission_Rate_Unit_List</vt:lpstr>
      <vt:lpstr>Fuel_Type</vt:lpstr>
      <vt:lpstr>Kerosene_Actual_Sulfur_Content</vt:lpstr>
      <vt:lpstr>Kerosene_Allowable_Sulfur_Content</vt:lpstr>
      <vt:lpstr>LPG_Actual_Sulfur_Content</vt:lpstr>
      <vt:lpstr>LPG_Allowable_Sulfur_Content</vt:lpstr>
      <vt:lpstr>Natural_Gas_Actual_Sulfur_Content</vt:lpstr>
      <vt:lpstr>Natural_Gas_Allowable_Sulfur_Content</vt:lpstr>
      <vt:lpstr>Oil_Distillate_Actual_Sulfur_Content</vt:lpstr>
      <vt:lpstr>Oil_Distillate_Allowable_Sulfur_Content</vt:lpstr>
      <vt:lpstr>Oil_Residual_Actual_Sulfur_Content</vt:lpstr>
      <vt:lpstr>Oil_Residual_Allowable_Sulfur_Content</vt:lpstr>
      <vt:lpstr>Ozone_Attainment_List</vt:lpstr>
      <vt:lpstr>Inputs!Print_Area</vt:lpstr>
      <vt:lpstr>Instructions!Print_Area</vt:lpstr>
      <vt:lpstr>'Output-Summary Printout'!Print_Area</vt:lpstr>
      <vt:lpstr>'Registration FAQs'!Print_Area</vt:lpstr>
      <vt:lpstr>'Total Emissions'!Print_Area</vt:lpstr>
      <vt:lpstr>SO2_PM25_Attainment_List</vt:lpstr>
      <vt:lpstr>State_List</vt:lpstr>
      <vt:lpstr>Subbituminous_Coal_Actual_Sulfur_Content</vt:lpstr>
      <vt:lpstr>Subbituminous_Coal_Allowable_Sulfur_Content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OF HAP/VOC USE PER MONTH</dc:title>
  <dc:creator>PPI</dc:creator>
  <dc:description>BY USE</dc:description>
  <cp:lastModifiedBy>Dixon, Danielle</cp:lastModifiedBy>
  <cp:lastPrinted>2013-02-02T15:33:25Z</cp:lastPrinted>
  <dcterms:created xsi:type="dcterms:W3CDTF">1999-01-25T20:14:01Z</dcterms:created>
  <dcterms:modified xsi:type="dcterms:W3CDTF">2016-02-03T18:03:31Z</dcterms:modified>
</cp:coreProperties>
</file>