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1032" windowWidth="15480" windowHeight="10620" tabRatio="759"/>
  </bookViews>
  <sheets>
    <sheet name="Registration FAQs" sheetId="29" r:id="rId1"/>
    <sheet name="Instructions" sheetId="1" r:id="rId2"/>
    <sheet name="Inputs" sheetId="13" r:id="rId3"/>
    <sheet name="Controls and Restrictions" sheetId="26" r:id="rId4"/>
    <sheet name="Total Emissions" sheetId="25" r:id="rId5"/>
    <sheet name="Output-Summary Printout" sheetId="8" r:id="rId6"/>
    <sheet name="Change Log" sheetId="14" state="hidden" r:id="rId7"/>
    <sheet name="Emission Factors" sheetId="9" state="hidden" r:id="rId8"/>
    <sheet name="Collection Efficiencies" sheetId="28" state="hidden" r:id="rId9"/>
    <sheet name="Additional References" sheetId="20" state="hidden" r:id="rId10"/>
    <sheet name="EPA Regional Contact Info" sheetId="24" state="hidden" r:id="rId11"/>
  </sheets>
  <definedNames>
    <definedName name="_xlnm._FilterDatabase" localSheetId="10" hidden="1">'EPA Regional Contact Info'!$A$4:$N$55</definedName>
    <definedName name="Allowable_Controlled_NMOC_Concentration">'Total Emissions'!$K$12</definedName>
    <definedName name="Before_After_1992">Inputs!$E$31:$E$32</definedName>
    <definedName name="CO_concentration">Inputs!$E$85</definedName>
    <definedName name="Co_Disposal">Inputs!$C$44</definedName>
    <definedName name="CO_Molecular_Weight">'Additional References'!$B$5</definedName>
    <definedName name="CO_PM10_Attainment_List">Inputs!$E$3:$E$5</definedName>
    <definedName name="Collection_Efficiency">'Additional References'!$B$10</definedName>
    <definedName name="Control_Technology_Types">'Controls and Restrictions'!$F$10:$F$13</definedName>
    <definedName name="Control_Type">'Controls and Restrictions'!$C$5</definedName>
    <definedName name="Controlled_CO_Concentration">'Controls and Restrictions'!$C$9</definedName>
    <definedName name="Controlled_NOx_Concentration">'Controls and Restrictions'!$C$7</definedName>
    <definedName name="Controlled_PM_Concentration">'Controls and Restrictions'!$C$11</definedName>
    <definedName name="Controls_Required">'Total Emissions'!$K$9</definedName>
    <definedName name="Cubic_meters_to_cubic_feet">'Additional References'!$B$9</definedName>
    <definedName name="Design_Capacity">Inputs!$C$45</definedName>
    <definedName name="Gas_Temperature">Inputs!$E$28</definedName>
    <definedName name="Have_Control">'Controls and Restrictions'!$C$4</definedName>
    <definedName name="Hexane_Molecular_Weight">'Additional References'!$B$6</definedName>
    <definedName name="Kg_to_Pounds">'Additional References'!$B$8</definedName>
    <definedName name="Landfill_Status">Inputs!$C$42</definedName>
    <definedName name="Methane_Rate">Inputs!$C$73</definedName>
    <definedName name="NMOC_concentration">Inputs!$E$82</definedName>
    <definedName name="Open_Closed">Inputs!$E$20:$E$21</definedName>
    <definedName name="Open_Year">Inputs!$C$41</definedName>
    <definedName name="Ozone_Attainment_List">Inputs!$E$8:$E$13</definedName>
    <definedName name="_xlnm.Print_Area" localSheetId="3">'Controls and Restrictions'!$A$1:$C$13</definedName>
    <definedName name="_xlnm.Print_Area" localSheetId="2">Inputs!$A$1:$C$75</definedName>
    <definedName name="_xlnm.Print_Area" localSheetId="1">Instructions!$A$1:$E$53</definedName>
    <definedName name="_xlnm.Print_Area" localSheetId="5">'Output-Summary Printout'!$A$1:$F$42</definedName>
    <definedName name="_xlnm.Print_Area" localSheetId="0">'Registration FAQs'!$B$1:$C$37</definedName>
    <definedName name="_xlnm.Print_Area" localSheetId="4">'Total Emissions'!$A$1:$J$13</definedName>
    <definedName name="Rainfall">Inputs!$C$48</definedName>
    <definedName name="SO2_Concentration">Inputs!$E$88</definedName>
    <definedName name="SO2_PM25_Attainment_List">Inputs!$E$16:$E$17</definedName>
    <definedName name="State_List">Inputs!$E$35:$E$79</definedName>
    <definedName name="Sulfur_Molecular_Weight">'Additional References'!$B$7</definedName>
    <definedName name="Tons_to_Mg">'Additional References'!$B$16</definedName>
    <definedName name="Uncontrolled_NMOC">'Total Emissions'!$K$6</definedName>
    <definedName name="Yes_No_Controls_Restrictions">'Controls and Restrictions'!$F$5:$F$6</definedName>
    <definedName name="Yes_No_Inputs">Inputs!$E$24:$E$25</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C72" i="13" l="1"/>
  <c r="E79" i="13" l="1"/>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10" i="9" l="1"/>
  <c r="E11" i="9"/>
  <c r="E13" i="9"/>
  <c r="E14" i="9"/>
  <c r="E15" i="9"/>
  <c r="E16" i="9"/>
  <c r="E17" i="9"/>
  <c r="E18" i="9"/>
  <c r="E19" i="9"/>
  <c r="E20" i="9"/>
  <c r="E21" i="9"/>
  <c r="E22" i="9"/>
  <c r="E23" i="9"/>
  <c r="E24" i="9"/>
  <c r="E25" i="9"/>
  <c r="E26" i="9"/>
  <c r="E27" i="9"/>
  <c r="E28" i="9"/>
  <c r="E9" i="9"/>
  <c r="D7" i="9"/>
  <c r="D6" i="9"/>
  <c r="D5" i="9"/>
  <c r="C6" i="9"/>
  <c r="C7" i="9"/>
  <c r="C5" i="9"/>
  <c r="C71" i="13"/>
  <c r="E5" i="9" l="1"/>
  <c r="C59" i="13"/>
  <c r="E88" i="13"/>
  <c r="E7" i="9"/>
  <c r="C55" i="13"/>
  <c r="E82" i="13"/>
  <c r="E6" i="9"/>
  <c r="E85" i="13"/>
  <c r="C57" i="13"/>
  <c r="C68" i="13"/>
  <c r="C73" i="13" s="1"/>
  <c r="K12" i="25" l="1"/>
  <c r="C6" i="28"/>
  <c r="C7" i="28"/>
  <c r="C8" i="28"/>
  <c r="C5" i="28"/>
  <c r="C50" i="13" l="1"/>
  <c r="E28" i="13" s="1"/>
  <c r="F5" i="25" l="1"/>
  <c r="C5" i="25"/>
  <c r="E5" i="25"/>
  <c r="E6" i="25"/>
  <c r="K6" i="25"/>
  <c r="K9" i="25" s="1"/>
  <c r="E12" i="9"/>
  <c r="C25" i="9"/>
  <c r="C26" i="9"/>
  <c r="C27" i="9"/>
  <c r="C28" i="9"/>
  <c r="C24" i="9"/>
  <c r="C20" i="9"/>
  <c r="C21" i="9"/>
  <c r="C22" i="9"/>
  <c r="C23" i="9"/>
  <c r="C19" i="9"/>
  <c r="C15" i="9"/>
  <c r="C16" i="9"/>
  <c r="C17" i="9"/>
  <c r="C18" i="9"/>
  <c r="C14" i="9"/>
  <c r="C10" i="9"/>
  <c r="C11" i="9"/>
  <c r="C12" i="9"/>
  <c r="C13" i="9"/>
  <c r="C9" i="9"/>
  <c r="F11" i="25" l="1"/>
  <c r="G12" i="25"/>
  <c r="E11" i="25"/>
  <c r="E7" i="25"/>
  <c r="E12" i="25"/>
  <c r="C11" i="26"/>
  <c r="C9" i="26"/>
  <c r="C6" i="25" s="1"/>
  <c r="C7" i="25" s="1"/>
  <c r="C7" i="26"/>
  <c r="D6" i="25" s="1"/>
  <c r="D7" i="25" s="1"/>
  <c r="L22" i="8"/>
  <c r="L20" i="8"/>
  <c r="L18" i="8"/>
  <c r="L16" i="8"/>
  <c r="L14" i="8"/>
  <c r="L12" i="8"/>
  <c r="C11" i="25" l="1"/>
  <c r="G6" i="25"/>
  <c r="H6" i="25"/>
  <c r="D11" i="25"/>
  <c r="C12" i="25"/>
  <c r="H12" i="25"/>
  <c r="D12" i="25"/>
  <c r="F13" i="25"/>
  <c r="E13" i="25"/>
  <c r="F7" i="25"/>
  <c r="E5" i="8"/>
  <c r="E4" i="8"/>
  <c r="E3" i="8"/>
  <c r="C13" i="25" l="1"/>
  <c r="D13" i="25"/>
  <c r="H7" i="25"/>
  <c r="H11" i="25"/>
  <c r="H13" i="25" s="1"/>
  <c r="G7" i="25"/>
  <c r="C20" i="8" s="1"/>
  <c r="G11" i="25"/>
  <c r="G13" i="25" s="1"/>
  <c r="C22" i="8"/>
  <c r="C14" i="8"/>
  <c r="C12" i="8"/>
  <c r="B5" i="8" l="1"/>
  <c r="B4" i="8"/>
  <c r="F22" i="8" l="1"/>
  <c r="F20" i="8"/>
  <c r="F18" i="8"/>
  <c r="F16" i="8"/>
  <c r="F14" i="8"/>
  <c r="F12" i="8"/>
  <c r="A33" i="8" l="1"/>
  <c r="C25" i="13"/>
  <c r="D38" i="8" s="1"/>
  <c r="C24" i="13"/>
  <c r="D37" i="8" s="1"/>
  <c r="C23" i="13"/>
  <c r="D36" i="8" s="1"/>
  <c r="C22" i="13"/>
  <c r="D35" i="8" s="1"/>
  <c r="C21" i="13"/>
  <c r="C20" i="13"/>
  <c r="C19" i="13"/>
  <c r="C18" i="13"/>
  <c r="D41" i="8" s="1"/>
  <c r="C17" i="13"/>
  <c r="D40" i="8" s="1"/>
  <c r="C16" i="13"/>
  <c r="D34" i="8" s="1"/>
  <c r="B15" i="13"/>
  <c r="E18" i="8" l="1"/>
  <c r="E14" i="8"/>
  <c r="E12" i="8"/>
  <c r="E22" i="8"/>
  <c r="E20" i="8"/>
  <c r="E16" i="8"/>
  <c r="C16" i="8"/>
  <c r="B3" i="8"/>
  <c r="K16" i="8" l="1"/>
  <c r="M16" i="8"/>
  <c r="K20" i="8"/>
  <c r="M20" i="8"/>
  <c r="K18" i="8"/>
  <c r="M18" i="8"/>
  <c r="K22" i="8"/>
  <c r="M22" i="8"/>
  <c r="K14" i="8"/>
  <c r="M14" i="8"/>
  <c r="M12" i="8"/>
  <c r="K12" i="8"/>
  <c r="A30" i="8" l="1"/>
  <c r="A32" i="8" s="1"/>
  <c r="B2" i="1" l="1"/>
  <c r="B1" i="1" l="1"/>
  <c r="C18" i="8" l="1"/>
</calcChain>
</file>

<file path=xl/sharedStrings.xml><?xml version="1.0" encoding="utf-8"?>
<sst xmlns="http://schemas.openxmlformats.org/spreadsheetml/2006/main" count="1066" uniqueCount="505">
  <si>
    <t>Pollutant</t>
  </si>
  <si>
    <t>(tons/yr)</t>
  </si>
  <si>
    <t>volatile organic compound</t>
  </si>
  <si>
    <t>VOC</t>
  </si>
  <si>
    <t>Purpose</t>
  </si>
  <si>
    <t>Facility Information</t>
  </si>
  <si>
    <t>Name</t>
  </si>
  <si>
    <t>Address</t>
  </si>
  <si>
    <t>Telephone</t>
  </si>
  <si>
    <t>Email</t>
  </si>
  <si>
    <t>Facility Contact</t>
  </si>
  <si>
    <t>Attainment</t>
  </si>
  <si>
    <t>Source Category Description</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</si>
  <si>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</si>
  <si>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</si>
  <si>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</si>
  <si>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</si>
  <si>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</si>
  <si>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</si>
  <si>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</si>
  <si>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</si>
  <si>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</si>
  <si>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</si>
  <si>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</si>
  <si>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</si>
  <si>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</si>
  <si>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</si>
  <si>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</si>
  <si>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</si>
  <si>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</si>
  <si>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</si>
  <si>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</si>
  <si>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</si>
  <si>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</si>
  <si>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</si>
  <si>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</si>
  <si>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</si>
  <si>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</si>
  <si>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</si>
  <si>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</si>
  <si>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</si>
  <si>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</si>
  <si>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</si>
  <si>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</si>
  <si>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</si>
  <si>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</si>
  <si>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</si>
  <si>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</si>
  <si>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</si>
  <si>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Additional References</t>
  </si>
  <si>
    <t>Data Element</t>
  </si>
  <si>
    <t>new source review</t>
  </si>
  <si>
    <t>Yes</t>
  </si>
  <si>
    <t>No</t>
  </si>
  <si>
    <t>Fuel and Process</t>
  </si>
  <si>
    <t xml:space="preserve">Value </t>
  </si>
  <si>
    <t>N/A</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</si>
  <si>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</si>
  <si>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</si>
  <si>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</si>
  <si>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</si>
  <si>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</si>
  <si>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</si>
  <si>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</si>
  <si>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</si>
  <si>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</si>
  <si>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Total PM</t>
  </si>
  <si>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</si>
  <si>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</si>
  <si>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</si>
  <si>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carbon monoxide</t>
  </si>
  <si>
    <t>nitrogen oxides</t>
  </si>
  <si>
    <t>sulfur dioxide</t>
  </si>
  <si>
    <t>Units</t>
  </si>
  <si>
    <t xml:space="preserve">jonathan_dorn@abtassoc.com </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</si>
  <si>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</si>
  <si>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</si>
  <si>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</si>
  <si>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</si>
  <si>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</si>
  <si>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</si>
  <si>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</si>
  <si>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</si>
  <si>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</si>
  <si>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</si>
  <si>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</si>
  <si>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</si>
  <si>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</si>
  <si>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</si>
  <si>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</si>
  <si>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</si>
  <si>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</si>
  <si>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</si>
  <si>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</si>
  <si>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</si>
  <si>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</si>
  <si>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</si>
  <si>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</si>
  <si>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</si>
  <si>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</si>
  <si>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</si>
  <si>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</si>
  <si>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</si>
  <si>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</si>
  <si>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</si>
  <si>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</si>
  <si>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</si>
  <si>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</si>
  <si>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</si>
  <si>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</si>
  <si>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</si>
  <si>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</si>
  <si>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</si>
  <si>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</si>
  <si>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</si>
  <si>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</si>
  <si>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</si>
  <si>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</si>
  <si>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</si>
  <si>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</si>
  <si>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</si>
  <si>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</si>
  <si>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</si>
  <si>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</si>
  <si>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</si>
  <si>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</si>
  <si>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</si>
  <si>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</si>
  <si>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</si>
  <si>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</si>
  <si>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</si>
  <si>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</si>
  <si>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</si>
  <si>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</si>
  <si>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</si>
  <si>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</si>
  <si>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</si>
  <si>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</si>
  <si>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</si>
  <si>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</si>
  <si>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</si>
  <si>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</si>
  <si>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</si>
  <si>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</si>
  <si>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</si>
  <si>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</si>
  <si>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</si>
  <si>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</si>
  <si>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</si>
  <si>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</si>
  <si>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</si>
  <si>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</si>
  <si>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</si>
  <si>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</si>
  <si>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</si>
  <si>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</si>
  <si>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</si>
  <si>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</si>
  <si>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</si>
  <si>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</si>
  <si>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</si>
  <si>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</si>
  <si>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</si>
  <si>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</si>
  <si>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</si>
  <si>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</si>
  <si>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</si>
  <si>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</si>
  <si>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</si>
  <si>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</si>
  <si>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</si>
  <si>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</si>
  <si>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</si>
  <si>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</si>
  <si>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</si>
  <si>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</si>
  <si>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</si>
  <si>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</si>
  <si>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</si>
  <si>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</si>
  <si>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</si>
  <si>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</si>
  <si>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</si>
  <si>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</si>
  <si>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</si>
  <si>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</si>
  <si>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</si>
  <si>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</si>
  <si>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</si>
  <si>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</si>
  <si>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</si>
  <si>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</si>
  <si>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</si>
  <si>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</si>
  <si>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</si>
  <si>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</si>
  <si>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</si>
  <si>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</si>
  <si>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</si>
  <si>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</si>
  <si>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</si>
  <si>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</si>
  <si>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</si>
  <si>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</si>
  <si>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</si>
  <si>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</si>
  <si>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</si>
  <si>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</si>
  <si>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</si>
  <si>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</si>
  <si>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</si>
  <si>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</si>
  <si>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</si>
  <si>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</si>
  <si>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</si>
  <si>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</si>
  <si>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</si>
  <si>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</si>
  <si>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</si>
  <si>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</si>
  <si>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</si>
  <si>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</si>
  <si>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</si>
  <si>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</si>
  <si>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</si>
  <si>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</si>
  <si>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</si>
  <si>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</si>
  <si>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</si>
  <si>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</si>
  <si>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</si>
  <si>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</si>
  <si>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</si>
  <si>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</si>
  <si>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</si>
  <si>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</si>
  <si>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</si>
  <si>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</si>
  <si>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</si>
  <si>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</si>
  <si>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</si>
  <si>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</si>
  <si>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</si>
  <si>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</si>
  <si>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</si>
  <si>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</si>
  <si>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</si>
  <si>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</si>
  <si>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</si>
  <si>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</si>
  <si>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</si>
  <si>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</si>
  <si>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</si>
  <si>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</si>
  <si>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</si>
  <si>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</si>
  <si>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Albuquerque</t>
  </si>
  <si>
    <t>Zip Code</t>
  </si>
  <si>
    <t>Primary Contact Name</t>
  </si>
  <si>
    <t>Primary Contact Telephone</t>
  </si>
  <si>
    <t>Primary Contact Email</t>
  </si>
  <si>
    <t>Alternate Contact Name</t>
  </si>
  <si>
    <t>Alternate Contact Telephone</t>
  </si>
  <si>
    <t>Alternate Contact Email</t>
  </si>
  <si>
    <t>Name:</t>
  </si>
  <si>
    <t>Address:</t>
  </si>
  <si>
    <t>Telephone:</t>
  </si>
  <si>
    <t>1997 8-Hr Ozone Attainment Status (select one):</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</si>
  <si>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</si>
  <si>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</si>
  <si>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</si>
  <si>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</si>
  <si>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</si>
  <si>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</si>
  <si>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Registration Calculator Inputs</t>
  </si>
  <si>
    <t>Explanation of Text Colors and Cell Shading</t>
  </si>
  <si>
    <t>Cells shaded gray do not need to be completed.</t>
  </si>
  <si>
    <t>Acronyms/Definitions</t>
  </si>
  <si>
    <t>NSR</t>
  </si>
  <si>
    <t>particulate matter less than or equal to 10 micrometers (µm) in size</t>
  </si>
  <si>
    <t>particulate matter less than or equal to 2.5 micrometers (µm) in size</t>
  </si>
  <si>
    <t>EF</t>
  </si>
  <si>
    <t>emission factor</t>
  </si>
  <si>
    <t xml:space="preserve">http://www.epa.gov/oar/oaqps/greenbk/ancl.html </t>
  </si>
  <si>
    <t>Total Emissions</t>
  </si>
  <si>
    <t>Threshold</t>
  </si>
  <si>
    <t>Registration Summary</t>
  </si>
  <si>
    <r>
      <t>NO</t>
    </r>
    <r>
      <rPr>
        <vertAlign val="subscript"/>
        <sz val="10"/>
        <rFont val="Arial"/>
        <family val="2"/>
      </rPr>
      <t>X</t>
    </r>
  </si>
  <si>
    <t>EPA</t>
  </si>
  <si>
    <t>U.S. Environmental Protection Agency</t>
  </si>
  <si>
    <t>Emissions Source:</t>
  </si>
  <si>
    <t>TOTAL</t>
  </si>
  <si>
    <r>
      <t>PM</t>
    </r>
    <r>
      <rPr>
        <vertAlign val="subscript"/>
        <sz val="10"/>
        <rFont val="Arial"/>
        <family val="2"/>
      </rPr>
      <t>2.5</t>
    </r>
    <r>
      <rPr>
        <sz val="10"/>
        <rFont val="Arial"/>
        <family val="2"/>
      </rPr>
      <t xml:space="preserve"> Attainment Status (select one):</t>
    </r>
  </si>
  <si>
    <t>Emission Control Questions</t>
  </si>
  <si>
    <t>CE</t>
  </si>
  <si>
    <t>Registration Determination</t>
  </si>
  <si>
    <t>Major Source</t>
  </si>
  <si>
    <t>Exceeds major source threshold.</t>
  </si>
  <si>
    <t>Exceeds Major Source Threshold Determination</t>
  </si>
  <si>
    <t>Allowable Emissions</t>
  </si>
  <si>
    <t>Estimated Actual Emissions</t>
  </si>
  <si>
    <t>Allowable Emissions (tons/yr):</t>
  </si>
  <si>
    <r>
      <t xml:space="preserve">On the </t>
    </r>
    <r>
      <rPr>
        <b/>
        <i/>
        <sz val="10"/>
        <rFont val="Arial"/>
        <family val="2"/>
      </rPr>
      <t>Inputs</t>
    </r>
    <r>
      <rPr>
        <sz val="10"/>
        <rFont val="Arial"/>
        <family val="2"/>
      </rPr>
      <t xml:space="preserve"> worksheet, replace the default facility information with information specific to your facility.</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</si>
  <si>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</si>
  <si>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control efficiency</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</si>
  <si>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</si>
  <si>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 xml:space="preserve">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 </t>
  </si>
  <si>
    <t>TRIBAL NEW SOURCE REVIEW PROGRAM</t>
  </si>
  <si>
    <t>Registration for Existing True Minor Sources of Air Pollution in Indian Country</t>
  </si>
  <si>
    <t>What is the Tribal New Source Review Rule?</t>
  </si>
  <si>
    <t>Do I need to register my minor source?</t>
  </si>
  <si>
    <t>How do I register my true minor source?</t>
  </si>
  <si>
    <t>How often must I register?</t>
  </si>
  <si>
    <t>This is a one-time registration for your true minor source.  However, after registration, you must notify your EPA Regional Office in writing if:</t>
  </si>
  <si>
    <t>May I register using my own emission information, rather than using the Registration Calculators?</t>
  </si>
  <si>
    <t>How does registration relate to obtaining a permit?</t>
  </si>
  <si>
    <t>Registration steps for existing true minor sources:</t>
  </si>
  <si>
    <r>
      <t xml:space="preserve">How do I determine if my source is a </t>
    </r>
    <r>
      <rPr>
        <b/>
        <i/>
        <sz val="10"/>
        <rFont val="Arial"/>
        <family val="2"/>
      </rPr>
      <t>true minor</t>
    </r>
    <r>
      <rPr>
        <b/>
        <sz val="10"/>
        <rFont val="Arial"/>
        <family val="2"/>
      </rPr>
      <t xml:space="preserve"> source?</t>
    </r>
  </si>
  <si>
    <t>1.</t>
  </si>
  <si>
    <t>2.</t>
  </si>
  <si>
    <t>3.</t>
  </si>
  <si>
    <t>4.</t>
  </si>
  <si>
    <t>5.</t>
  </si>
  <si>
    <t>If you have any questions about registration or completing the calculators, please contact your EPA Regional Office.</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</si>
  <si>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</si>
  <si>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6:  Emissions Summaries</t>
  </si>
  <si>
    <t>5: Emission Controls and
    Operational Restrictions</t>
  </si>
  <si>
    <t>Emission Controls and Operational Restrictions</t>
  </si>
  <si>
    <t>Once completed, the calculator’s Output-Summary Printout worksheet will provide information on your registration requirements.</t>
  </si>
  <si>
    <t>Note: For a source that did not operate for the entire 2012 calendar year, the inputs requested below should be annual estimates for calendar year 2012.</t>
  </si>
  <si>
    <t>11201 Renner Boulevard</t>
  </si>
  <si>
    <t>MC: AWMD/APCO</t>
  </si>
  <si>
    <t>Lenexa</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</si>
  <si>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</si>
  <si>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</si>
  <si>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</si>
  <si>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</si>
  <si>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t>Flare</t>
  </si>
  <si>
    <t>Uncontrolled Emissions Factors</t>
  </si>
  <si>
    <t>NOx</t>
  </si>
  <si>
    <t>PM10</t>
  </si>
  <si>
    <t>PM2.5</t>
  </si>
  <si>
    <t>Internal Combustion Engine</t>
  </si>
  <si>
    <t>Boiler/Steam Turbine</t>
  </si>
  <si>
    <t>Gas Turbine</t>
  </si>
  <si>
    <r>
      <t>10</t>
    </r>
    <r>
      <rPr>
        <vertAlign val="superscript"/>
        <sz val="10"/>
        <rFont val="Arial"/>
        <family val="2"/>
      </rPr>
      <t>6</t>
    </r>
    <r>
      <rPr>
        <sz val="10"/>
        <rFont val="Arial"/>
        <family val="2"/>
      </rPr>
      <t xml:space="preserve"> dscf Methane</t>
    </r>
  </si>
  <si>
    <t>Control Device</t>
  </si>
  <si>
    <t>Constituent</t>
  </si>
  <si>
    <t>Control Efficiency (%)</t>
  </si>
  <si>
    <t>Typical Range Rating</t>
  </si>
  <si>
    <t>NMOC</t>
  </si>
  <si>
    <t>96-99+</t>
  </si>
  <si>
    <t>D</t>
  </si>
  <si>
    <t>E</t>
  </si>
  <si>
    <r>
      <t>What is the methane generation rate constant, k, at your landfill? (in years</t>
    </r>
    <r>
      <rPr>
        <vertAlign val="superscript"/>
        <sz val="10"/>
        <rFont val="Arial"/>
        <family val="2"/>
      </rPr>
      <t>-1</t>
    </r>
    <r>
      <rPr>
        <sz val="10"/>
        <rFont val="Arial"/>
        <family val="2"/>
      </rPr>
      <t>) (Enter 0 if unknown)</t>
    </r>
  </si>
  <si>
    <t xml:space="preserve">Methane generation rate constant, k </t>
  </si>
  <si>
    <t>Landfill Open/Closed</t>
  </si>
  <si>
    <t>Open</t>
  </si>
  <si>
    <t>Closed</t>
  </si>
  <si>
    <t>Yes/No</t>
  </si>
  <si>
    <t>Control Technology Types</t>
  </si>
  <si>
    <t>Enter a specific estimate of NMOC concentrations in gases from your landfill (in ppmv as hexane) (Enter 0 if you do not have this information)</t>
  </si>
  <si>
    <t>Enter a site specific estimate of CO concentration in gases from your landfill (in ppmv) (Enter 0 if you do not have this information)</t>
  </si>
  <si>
    <t>ppmv as hexane</t>
  </si>
  <si>
    <t>ppmv</t>
  </si>
  <si>
    <t>Landfill Gases</t>
  </si>
  <si>
    <t>lb/kg</t>
  </si>
  <si>
    <t>Temperature of landfill gases (in °F)</t>
  </si>
  <si>
    <t>Temperature of Landfill Gases (in °C)</t>
  </si>
  <si>
    <t>g/mol</t>
  </si>
  <si>
    <t>CO molecular weight</t>
  </si>
  <si>
    <t>Pounds to kilogram conversion</t>
  </si>
  <si>
    <t>Hexane molecular weight</t>
  </si>
  <si>
    <t>Cubic meters to cubic feet conversion</t>
  </si>
  <si>
    <r>
      <t>ft</t>
    </r>
    <r>
      <rPr>
        <vertAlign val="superscript"/>
        <sz val="10"/>
        <rFont val="Arial"/>
        <family val="2"/>
      </rPr>
      <t>3</t>
    </r>
    <r>
      <rPr>
        <sz val="10"/>
        <rFont val="Arial"/>
        <family val="2"/>
      </rPr>
      <t>/m</t>
    </r>
    <r>
      <rPr>
        <vertAlign val="superscript"/>
        <sz val="10"/>
        <rFont val="Arial"/>
        <family val="2"/>
      </rPr>
      <t>3</t>
    </r>
  </si>
  <si>
    <t>Collection Efficiencies</t>
  </si>
  <si>
    <t>Data Key</t>
  </si>
  <si>
    <t>Assumed landfill gas collection efficiency</t>
  </si>
  <si>
    <t>%</t>
  </si>
  <si>
    <t>How many years has it been since your landfill closed? (If your landfill is still open, enter 0)</t>
  </si>
  <si>
    <t>Default methane generation potential</t>
  </si>
  <si>
    <t>Methane generation potential input range</t>
  </si>
  <si>
    <r>
      <t>m</t>
    </r>
    <r>
      <rPr>
        <vertAlign val="superscript"/>
        <sz val="10"/>
        <rFont val="Arial"/>
        <family val="2"/>
      </rPr>
      <t>3</t>
    </r>
    <r>
      <rPr>
        <sz val="10"/>
        <rFont val="Arial"/>
        <family val="2"/>
      </rPr>
      <t xml:space="preserve"> CH</t>
    </r>
    <r>
      <rPr>
        <vertAlign val="subscript"/>
        <sz val="10"/>
        <rFont val="Arial"/>
        <family val="2"/>
      </rPr>
      <t>4</t>
    </r>
    <r>
      <rPr>
        <sz val="10"/>
        <rFont val="Arial"/>
        <family val="2"/>
      </rPr>
      <t>/Mg refuse</t>
    </r>
  </si>
  <si>
    <t>0 - 300</t>
  </si>
  <si>
    <t>Based on observed ranges noted in United States Environmental Protection Agency (EPA). 2008. AP 42 Compilation of Air Pollution Emissions Factors Fifth Edition, Volume I: Municipal Solid Waste Landfills (Draft Edition). Accessible electronically at: http://www.epa.gov/ttn/chief/ap42/ch02/draft/d02s04.pdf.</t>
  </si>
  <si>
    <t>United States Environmental Protection Agency (EPA). 2008. AP 42 Compilation of Air Pollution Emissions Factors Fifth Edition, Volume I: Municipal Solid Waste Landfills (Draft Edition). Accessible electronically at: http://www.epa.gov/ttn/chief/ap42/ch02/draft/d02s04.pdf.</t>
  </si>
  <si>
    <t>How much rainfall does your landfill typically receive per year? (in inches)</t>
  </si>
  <si>
    <t>Default k value for landfills receiving &gt;25 inches of rain/year</t>
  </si>
  <si>
    <t>Default k value for landfills receiving &lt;25 inches of rain/year</t>
  </si>
  <si>
    <t>Default k value for "wet" landfills</t>
  </si>
  <si>
    <r>
      <t>years</t>
    </r>
    <r>
      <rPr>
        <vertAlign val="superscript"/>
        <sz val="10"/>
        <rFont val="Arial"/>
        <family val="2"/>
      </rPr>
      <t>-1</t>
    </r>
  </si>
  <si>
    <t>Site Specific Pollutant Concentrations</t>
  </si>
  <si>
    <t xml:space="preserve">Is your landfill considered a wet landfill? </t>
  </si>
  <si>
    <r>
      <t>Enter a site specific estimate of the amount of methane released from your facility in calendar year 2012. (in m</t>
    </r>
    <r>
      <rPr>
        <vertAlign val="superscript"/>
        <sz val="10"/>
        <rFont val="Arial"/>
        <family val="2"/>
      </rPr>
      <t>3</t>
    </r>
    <r>
      <rPr>
        <sz val="10"/>
        <rFont val="Arial"/>
        <family val="2"/>
      </rPr>
      <t>/yr) (Enter 0 if you do not have this information)</t>
    </r>
  </si>
  <si>
    <t>General Questions</t>
  </si>
  <si>
    <t>Questions for Methane Generation Estimate</t>
  </si>
  <si>
    <t>Was the majority of waste in your landfill placed before or after 1992?</t>
  </si>
  <si>
    <t>Waste Placement</t>
  </si>
  <si>
    <t>Before 1992</t>
  </si>
  <si>
    <t>After 1992</t>
  </si>
  <si>
    <r>
      <t>CO concentration (in lb/10</t>
    </r>
    <r>
      <rPr>
        <vertAlign val="superscript"/>
        <sz val="10"/>
        <rFont val="Arial"/>
        <family val="2"/>
      </rPr>
      <t>6</t>
    </r>
    <r>
      <rPr>
        <sz val="10"/>
        <rFont val="Arial"/>
        <family val="2"/>
      </rPr>
      <t xml:space="preserve"> dscf Methane) </t>
    </r>
  </si>
  <si>
    <r>
      <t>PM concentration (in lb/10</t>
    </r>
    <r>
      <rPr>
        <vertAlign val="superscript"/>
        <sz val="10"/>
        <rFont val="Arial"/>
        <family val="2"/>
      </rPr>
      <t>6</t>
    </r>
    <r>
      <rPr>
        <sz val="10"/>
        <rFont val="Arial"/>
        <family val="2"/>
      </rPr>
      <t xml:space="preserve"> dscf Methane) </t>
    </r>
  </si>
  <si>
    <t>Landfill Gas</t>
  </si>
  <si>
    <t>SO2</t>
  </si>
  <si>
    <t>Enter a site specific estimate of total reduced sulfur concentration in gases from your landfill. (in ppmv as sulfur) (Enter 0 if you do not have this information)</t>
  </si>
  <si>
    <t>United States Environmental Protection Agency (EPA). 2008. AP 42 Compilation of Air Pollution Emissions Factors Fifth Edition, Volume I: Municipal Solid Waste Landfills (Draft Edition). Tables 2.4-1 and 2.4-2. Accessible electronically at: http://www.epa.gov/ttn/chief/ap42/ch02/draft/d02s04.pdf.</t>
  </si>
  <si>
    <t>ppmv as sulfur</t>
  </si>
  <si>
    <t>United States Environmental Protection Agency (EPA). 2008. AP 42 Compilation of Air Pollution Emissions Factors Fifth Edition, Volume I: Municipal Solid Waste Landfills (Draft Edition). Tables 2.4-4. Accessible electronically at: http://www.epa.gov/ttn/chief/ap42/ch02/draft/d02s04.pdf.</t>
  </si>
  <si>
    <t>Secondary Emissions Factors</t>
  </si>
  <si>
    <t>United States Environmental Protection Agency (EPA). 2008. AP 42 Compilation of Air Pollution Emissions Factors Fifth Edition, Volume I: Municipal Solid Waste Landfills (Draft Edition). Table 2.4-3. Accessible electronically at: http://www.epa.gov/ttn/chief/ap42/ch02/draft/d02s04.pdf.</t>
  </si>
  <si>
    <t>86-99+</t>
  </si>
  <si>
    <t>92-97</t>
  </si>
  <si>
    <t>95-99+</t>
  </si>
  <si>
    <t>A</t>
  </si>
  <si>
    <t>Sulfur molecular weight</t>
  </si>
  <si>
    <t>dscf</t>
  </si>
  <si>
    <t>dry standard cubic feet</t>
  </si>
  <si>
    <t>parts per million by volume</t>
  </si>
  <si>
    <t>Mg</t>
  </si>
  <si>
    <t>megagrams</t>
  </si>
  <si>
    <t>In what year did your landfill first begin accepting waste?</t>
  </si>
  <si>
    <t>Tons to megagrams conversion</t>
  </si>
  <si>
    <t>tons/Mg</t>
  </si>
  <si>
    <t>Controls Required for Allowable Emissions?</t>
  </si>
  <si>
    <t>Uncontrolled NMOC Emissions (Mg/yr)</t>
  </si>
  <si>
    <t>LFG</t>
  </si>
  <si>
    <t>landfill gases</t>
  </si>
  <si>
    <r>
      <t>Enter a site specific estimate of the concentration of CO</t>
    </r>
    <r>
      <rPr>
        <vertAlign val="subscript"/>
        <sz val="10"/>
        <rFont val="Arial"/>
        <family val="2"/>
      </rPr>
      <t>2</t>
    </r>
    <r>
      <rPr>
        <sz val="10"/>
        <rFont val="Arial"/>
        <family val="2"/>
      </rPr>
      <t xml:space="preserve"> in gases from your landfill. (in ppmv)</t>
    </r>
  </si>
  <si>
    <r>
      <t>Enter a site specific estimate of the concentration of CH</t>
    </r>
    <r>
      <rPr>
        <vertAlign val="subscript"/>
        <sz val="10"/>
        <rFont val="Arial"/>
        <family val="2"/>
      </rPr>
      <t>4</t>
    </r>
    <r>
      <rPr>
        <sz val="10"/>
        <rFont val="Arial"/>
        <family val="2"/>
      </rPr>
      <t xml:space="preserve"> in gases from your landfill. (in ppmv)</t>
    </r>
  </si>
  <si>
    <r>
      <t>Enter a site specific estimate of the concentration of O</t>
    </r>
    <r>
      <rPr>
        <vertAlign val="subscript"/>
        <sz val="10"/>
        <rFont val="Arial"/>
        <family val="2"/>
      </rPr>
      <t>2</t>
    </r>
    <r>
      <rPr>
        <sz val="10"/>
        <rFont val="Arial"/>
        <family val="2"/>
      </rPr>
      <t xml:space="preserve"> in gases from your landfill. (in ppmv)</t>
    </r>
  </si>
  <si>
    <r>
      <t>Enter a site specific estimate of the concentration of N</t>
    </r>
    <r>
      <rPr>
        <vertAlign val="subscript"/>
        <sz val="10"/>
        <rFont val="Arial"/>
        <family val="2"/>
      </rPr>
      <t>2</t>
    </r>
    <r>
      <rPr>
        <sz val="10"/>
        <rFont val="Arial"/>
        <family val="2"/>
      </rPr>
      <t xml:space="preserve"> in gases from your landfill. (in ppmv)</t>
    </r>
  </si>
  <si>
    <t>nitrogen gas</t>
  </si>
  <si>
    <r>
      <t>N</t>
    </r>
    <r>
      <rPr>
        <vertAlign val="subscript"/>
        <sz val="10"/>
        <rFont val="Arial"/>
        <family val="2"/>
      </rPr>
      <t>2</t>
    </r>
  </si>
  <si>
    <r>
      <t>O</t>
    </r>
    <r>
      <rPr>
        <vertAlign val="subscript"/>
        <sz val="10"/>
        <rFont val="Arial"/>
        <family val="2"/>
      </rPr>
      <t>2</t>
    </r>
  </si>
  <si>
    <t>oxygen</t>
  </si>
  <si>
    <t>non-methane organic compounds</t>
  </si>
  <si>
    <r>
      <t>Pre-control methane emissions (m</t>
    </r>
    <r>
      <rPr>
        <vertAlign val="superscript"/>
        <sz val="10"/>
        <rFont val="Arial"/>
        <family val="2"/>
      </rPr>
      <t>3</t>
    </r>
    <r>
      <rPr>
        <sz val="10"/>
        <rFont val="Arial"/>
        <family val="2"/>
      </rPr>
      <t>/yr)</t>
    </r>
  </si>
  <si>
    <r>
      <t>Methane generation potential (m</t>
    </r>
    <r>
      <rPr>
        <vertAlign val="superscript"/>
        <sz val="10"/>
        <rFont val="Arial"/>
        <family val="2"/>
      </rPr>
      <t>3</t>
    </r>
    <r>
      <rPr>
        <sz val="10"/>
        <rFont val="Arial"/>
        <family val="2"/>
      </rPr>
      <t xml:space="preserve"> CH</t>
    </r>
    <r>
      <rPr>
        <vertAlign val="subscript"/>
        <sz val="10"/>
        <rFont val="Arial"/>
        <family val="2"/>
      </rPr>
      <t>4</t>
    </r>
    <r>
      <rPr>
        <sz val="10"/>
        <rFont val="Arial"/>
        <family val="2"/>
      </rPr>
      <t>/tons of refuse)</t>
    </r>
  </si>
  <si>
    <t>Allowable NMOC concentration from control device</t>
  </si>
  <si>
    <t>Allowable Controlled VOC concentration (ppmv as hexane)</t>
  </si>
  <si>
    <t>Georgia</t>
  </si>
  <si>
    <t>Louisiana</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</si>
  <si>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</si>
  <si>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</si>
  <si>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</si>
  <si>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</si>
  <si>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</si>
  <si>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</si>
  <si>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</si>
  <si>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</si>
  <si>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</si>
  <si>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</si>
  <si>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</si>
  <si>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</si>
  <si>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r>
      <t xml:space="preserve">Owners/operators of landfills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</si>
  <si>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</si>
  <si>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t>Landfill Registration Calculator</t>
  </si>
  <si>
    <t>Matt Hynson
Jonathan Dorn</t>
  </si>
  <si>
    <t>Tracey Westfield</t>
  </si>
  <si>
    <r>
      <rPr>
        <sz val="10"/>
        <rFont val="Calibri"/>
        <family val="2"/>
      </rPr>
      <t>°</t>
    </r>
    <r>
      <rPr>
        <sz val="10"/>
        <rFont val="Arial"/>
        <family val="2"/>
      </rPr>
      <t>F</t>
    </r>
  </si>
  <si>
    <t>degrees Fahrenheit</t>
  </si>
  <si>
    <t>List of States with Federally Recognized Tribes</t>
  </si>
  <si>
    <t>Estimated Actual Emissions for 2012 (tons/yr):</t>
  </si>
  <si>
    <t>Estimated Actual Emissions 
for 2012</t>
  </si>
  <si>
    <t>Did your facility co-dispose municipal solid waste and non-residential waste in 2012?</t>
  </si>
  <si>
    <t>What was the temperature of landfill gases released at your facility in 2012?  (in °F) (Enter 0 if you do not have this information)</t>
  </si>
  <si>
    <t>carbon dioxide</t>
  </si>
  <si>
    <r>
      <t>CO</t>
    </r>
    <r>
      <rPr>
        <vertAlign val="subscript"/>
        <sz val="10"/>
        <rFont val="Arial"/>
        <family val="2"/>
      </rPr>
      <t>2</t>
    </r>
  </si>
  <si>
    <r>
      <t>CH</t>
    </r>
    <r>
      <rPr>
        <vertAlign val="subscript"/>
        <sz val="10"/>
        <rFont val="Arial"/>
        <family val="2"/>
      </rPr>
      <t>4</t>
    </r>
  </si>
  <si>
    <t>methane</t>
  </si>
  <si>
    <r>
      <t>What was the methane generation potential of your landfill in 2012? (in m</t>
    </r>
    <r>
      <rPr>
        <vertAlign val="superscript"/>
        <sz val="10"/>
        <rFont val="Arial"/>
        <family val="2"/>
      </rPr>
      <t>3</t>
    </r>
    <r>
      <rPr>
        <sz val="10"/>
        <rFont val="Arial"/>
        <family val="2"/>
      </rPr>
      <t xml:space="preserve"> CH</t>
    </r>
    <r>
      <rPr>
        <vertAlign val="subscript"/>
        <sz val="10"/>
        <rFont val="Arial"/>
        <family val="2"/>
      </rPr>
      <t>4</t>
    </r>
    <r>
      <rPr>
        <sz val="10"/>
        <rFont val="Arial"/>
        <family val="2"/>
      </rPr>
      <t>/tons of refuse) (Enter 0 if you do not have this information)</t>
    </r>
  </si>
  <si>
    <t>Acme Landfill</t>
  </si>
  <si>
    <t>Did your landfill use emission control technology in calendar year 2012?</t>
  </si>
  <si>
    <t>What type of emission control technology did your landfill use in 2012?</t>
  </si>
  <si>
    <r>
      <t>Enter the emissions factor for CO exiting your control device in 2012, if the vendor provided you with this information. (in lb/10</t>
    </r>
    <r>
      <rPr>
        <vertAlign val="superscript"/>
        <sz val="10"/>
        <rFont val="Arial"/>
        <family val="2"/>
      </rPr>
      <t>6</t>
    </r>
    <r>
      <rPr>
        <sz val="10"/>
        <rFont val="Arial"/>
        <family val="2"/>
      </rPr>
      <t xml:space="preserve"> dscf Methane) (Enter 0 if you do not have this information).</t>
    </r>
  </si>
  <si>
    <r>
      <t>Enter the emissions factor for total particulate matter (PM) exiting your control device in 2012, if the vendor provided you with this information. (in lb/10</t>
    </r>
    <r>
      <rPr>
        <vertAlign val="superscript"/>
        <sz val="10"/>
        <rFont val="Arial"/>
        <family val="2"/>
      </rPr>
      <t>6</t>
    </r>
    <r>
      <rPr>
        <sz val="10"/>
        <rFont val="Arial"/>
        <family val="2"/>
      </rPr>
      <t xml:space="preserve"> dscf Methane) (Enter 0 if you do not have this information).</t>
    </r>
  </si>
  <si>
    <t>Actual Emission Factor</t>
  </si>
  <si>
    <t>Allowable Emission Factor</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</si>
  <si>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</si>
  <si>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t>Was your landfill open (accepting new waste) or closed (no longer accepting any new waste) for the majority of calendar year 2012?</t>
  </si>
  <si>
    <t>What is the design capacity of your landfill in millions of cubic meters?</t>
  </si>
  <si>
    <t>NMOC Concentration</t>
  </si>
  <si>
    <t>CO Concentration</t>
  </si>
  <si>
    <t>Reduced Sulfur Concentration</t>
  </si>
  <si>
    <t>NMOC concentration (in ppmv as hexane)</t>
  </si>
  <si>
    <t>CO concentration (in ppmv)</t>
  </si>
  <si>
    <t>Reduced sulfur concentration (in ppmv as sulfur)</t>
  </si>
  <si>
    <t>Number of years since landfill first began accepting waste</t>
  </si>
  <si>
    <r>
      <t>Landfills are parcels of land that are specially designed to receive waste from municipal and commercial uses. In 2006, approximately 55% of all solid waste produced in the U.S. was sent to landfills. Waste in landfills is layered and compacted over a heavy liner that prevents polluted leachate from seeping into groundwater. After a certain amount of waste has been layered over a particular area of a landfill it may be covered by a layer of soil, clay, synthetic material, and vegetation. Emissions from landfills consist of gases that result from the decomposition of below-ground waste, including methane (CH</t>
    </r>
    <r>
      <rPr>
        <vertAlign val="subscript"/>
        <sz val="10"/>
        <rFont val="Arial"/>
        <family val="2"/>
      </rPr>
      <t>4</t>
    </r>
    <r>
      <rPr>
        <sz val="10"/>
        <rFont val="Arial"/>
        <family val="2"/>
      </rPr>
      <t>), carbon dioxide (CO</t>
    </r>
    <r>
      <rPr>
        <vertAlign val="subscript"/>
        <sz val="10"/>
        <rFont val="Arial"/>
        <family val="2"/>
      </rPr>
      <t>2</t>
    </r>
    <r>
      <rPr>
        <sz val="10"/>
        <rFont val="Arial"/>
        <family val="2"/>
      </rPr>
      <t>), nitrogen gas (N</t>
    </r>
    <r>
      <rPr>
        <vertAlign val="subscript"/>
        <sz val="10"/>
        <rFont val="Arial"/>
        <family val="2"/>
      </rPr>
      <t>2</t>
    </r>
    <r>
      <rPr>
        <sz val="10"/>
        <rFont val="Arial"/>
        <family val="2"/>
      </rPr>
      <t>), hydrogen sulfide (H</t>
    </r>
    <r>
      <rPr>
        <vertAlign val="subscript"/>
        <sz val="10"/>
        <rFont val="Arial"/>
        <family val="2"/>
      </rPr>
      <t>2</t>
    </r>
    <r>
      <rPr>
        <sz val="10"/>
        <rFont val="Arial"/>
        <family val="2"/>
      </rPr>
      <t>S), non-methane organic compounds (NMOCs), and volatile organic compounds (VOCs). Many landfills use control technologies, such as flares or turbines, that capture and combust landfill gases. Combustion within these control technologies can release carbon monoxide (CO), sulfur dioxide (SO</t>
    </r>
    <r>
      <rPr>
        <vertAlign val="subscript"/>
        <sz val="10"/>
        <rFont val="Arial"/>
        <family val="2"/>
      </rPr>
      <t>2</t>
    </r>
    <r>
      <rPr>
        <sz val="10"/>
        <rFont val="Arial"/>
        <family val="2"/>
      </rPr>
      <t>), nitrogen oxides (NO</t>
    </r>
    <r>
      <rPr>
        <vertAlign val="subscript"/>
        <sz val="10"/>
        <rFont val="Arial"/>
        <family val="2"/>
      </rPr>
      <t>x</t>
    </r>
    <r>
      <rPr>
        <sz val="10"/>
        <rFont val="Arial"/>
        <family val="2"/>
      </rPr>
      <t xml:space="preserve">), and particulate matter (PM). </t>
    </r>
  </si>
  <si>
    <r>
      <t xml:space="preserve">You will need to enter information on the landfill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</si>
  <si>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 xml:space="preserve">What is the average annual refuse acceptance rate during the active life of your landfill (in tons of refuse/yr)?  Any landfill segments that accept only non-degradable waste may be excluded from this rate. </t>
  </si>
  <si>
    <r>
      <t>NO</t>
    </r>
    <r>
      <rPr>
        <vertAlign val="subscript"/>
        <sz val="10"/>
        <rFont val="Arial"/>
        <family val="2"/>
      </rPr>
      <t>x</t>
    </r>
    <r>
      <rPr>
        <sz val="10"/>
        <rFont val="Arial"/>
        <family val="2"/>
      </rPr>
      <t xml:space="preserve"> concentration (in lb/10</t>
    </r>
    <r>
      <rPr>
        <vertAlign val="superscript"/>
        <sz val="10"/>
        <rFont val="Arial"/>
        <family val="2"/>
      </rPr>
      <t>6</t>
    </r>
    <r>
      <rPr>
        <sz val="10"/>
        <rFont val="Arial"/>
        <family val="2"/>
      </rPr>
      <t xml:space="preserve"> dscf Methane) </t>
    </r>
  </si>
  <si>
    <r>
      <t>Enter the emissions factor for NO</t>
    </r>
    <r>
      <rPr>
        <vertAlign val="subscript"/>
        <sz val="10"/>
        <rFont val="Arial"/>
        <family val="2"/>
      </rPr>
      <t>x</t>
    </r>
    <r>
      <rPr>
        <sz val="10"/>
        <rFont val="Arial"/>
        <family val="2"/>
      </rPr>
      <t xml:space="preserve"> exiting your control device in 2012, if the vendor provided you with this information. (in lb/10</t>
    </r>
    <r>
      <rPr>
        <vertAlign val="superscript"/>
        <sz val="10"/>
        <rFont val="Arial"/>
        <family val="2"/>
      </rPr>
      <t>6</t>
    </r>
    <r>
      <rPr>
        <sz val="10"/>
        <rFont val="Arial"/>
        <family val="2"/>
      </rPr>
      <t xml:space="preserve"> dscf Methane) (Enter 0 if you do not have this information).</t>
    </r>
  </si>
  <si>
    <r>
      <t xml:space="preserve">On the </t>
    </r>
    <r>
      <rPr>
        <b/>
        <i/>
        <sz val="10"/>
        <rFont val="Arial"/>
        <family val="2"/>
      </rPr>
      <t>Controls and Restrictions</t>
    </r>
    <r>
      <rPr>
        <sz val="10"/>
        <rFont val="Arial"/>
        <family val="2"/>
      </rPr>
      <t xml:space="preserve"> worksheet, indicate whether or not your facility employs emissions controls for landfill gases. If your facility does not use emission controls, you may proceed to the </t>
    </r>
    <r>
      <rPr>
        <b/>
        <i/>
        <sz val="10"/>
        <rFont val="Arial"/>
        <family val="2"/>
      </rPr>
      <t>Total Emissions</t>
    </r>
    <r>
      <rPr>
        <sz val="10"/>
        <rFont val="Arial"/>
        <family val="2"/>
      </rPr>
      <t xml:space="preserve"> tab. If your facility uses an emissions control technology, select it from the drop-down list. If the vendor for your control technology has provided you with emissions factors for CO, NO</t>
    </r>
    <r>
      <rPr>
        <vertAlign val="subscript"/>
        <sz val="10"/>
        <rFont val="Arial"/>
        <family val="2"/>
      </rPr>
      <t>x</t>
    </r>
    <r>
      <rPr>
        <sz val="10"/>
        <rFont val="Arial"/>
        <family val="2"/>
      </rPr>
      <t>, or PM, enter them in the respective input boxes (in lb/10</t>
    </r>
    <r>
      <rPr>
        <vertAlign val="superscript"/>
        <sz val="10"/>
        <rFont val="Arial"/>
        <family val="2"/>
      </rPr>
      <t>6</t>
    </r>
    <r>
      <rPr>
        <sz val="10"/>
        <rFont val="Arial"/>
        <family val="2"/>
      </rPr>
      <t xml:space="preserve"> dscf Methane). If the vendor has not provided you with emissions factors, enter 0, and factors will be selected for you. The emissions factors selected for each pollutant will be shown in brown text below each input box. </t>
    </r>
  </si>
  <si>
    <r>
      <t xml:space="preserve">On the </t>
    </r>
    <r>
      <rPr>
        <b/>
        <i/>
        <sz val="10"/>
        <rFont val="Arial"/>
        <family val="2"/>
      </rPr>
      <t>Inputs</t>
    </r>
    <r>
      <rPr>
        <sz val="10"/>
        <rFont val="Arial"/>
        <family val="2"/>
      </rPr>
      <t xml:space="preserve"> worksheet, answer all questions in the General Questions, Site Specific Pollutant Concentrations, and Questions for Methane Generation Estimate boxes. In the General Questions box, use the drop-down list to select whether your facility is currently open or closed. Indicate whether your facility co-disposes municipal and non-residential waste, and input the design capacity of your landfill in millions of cubic meters. Enter the year that your landfill first began accepting waste, and select whether the majority of waste at your landfill was in place before or after 1992. Indicate whether your facility is considered a "wet" landfill, meaning a landfill that adds a large amount of water to its waste. Enter an estimate of the amount of rain that your landfill receives per year, and an estimate of the temperature (in degrees Fahrenheit) of gases released from your landfill. If you do not have information on LFG temperature, enter 0 and a default value will be selected for you. 
In the Site Specific Pollutant Concentrations box, if you have measured pollutant concentrations (i.e. by using EPA Reference Method 25C) of NMOC, CO, of SO</t>
    </r>
    <r>
      <rPr>
        <vertAlign val="subscript"/>
        <sz val="10"/>
        <rFont val="Arial"/>
        <family val="2"/>
      </rPr>
      <t>2</t>
    </r>
    <r>
      <rPr>
        <sz val="10"/>
        <rFont val="Arial"/>
        <family val="2"/>
      </rPr>
      <t>, enter these concentrations in their respective input boxes (in ppmv). If you do not have measured concentrations for any of these pollutants, enter 0 and the concentration will be selected for you. If applicable, enter site specific estimates of the concentrations (in ppmv) of carbon dioxide, methane, nitrogen gas, and oxygen in gases released from your landfill. This information should be found in the source test report for your landfill. 
In the Questions for Methane Generation Estimate box, enter a site specific estimate of the amount of methane released at your facility during calendar year 2012, if you have this information. If you do not have this information, enter 0, and answer the remaining questions. If you have information on the methane generation potential (in cubic meters of methane per megagram of refuse) of your landfill, enter this information. If you do not have this information, enter 0 and a default value will be selected for you. Enter the average refuse acceptance rate (in megagrams per year) of your landfill during its active life. If you have site-specific information on the methane generation constant (in years</t>
    </r>
    <r>
      <rPr>
        <vertAlign val="superscript"/>
        <sz val="10"/>
        <rFont val="Arial"/>
        <family val="2"/>
      </rPr>
      <t>-1</t>
    </r>
    <r>
      <rPr>
        <sz val="10"/>
        <rFont val="Arial"/>
        <family val="2"/>
      </rPr>
      <t xml:space="preserve">) of your landfill, enter this in the corresponding input box. If you do not have this information, enter 0 and a value will be selected for you. </t>
    </r>
  </si>
  <si>
    <t>2/10/2013</t>
  </si>
  <si>
    <t>2/21/2013</t>
  </si>
  <si>
    <t>Updated region 6 telephone number.</t>
  </si>
  <si>
    <t>Jonathan Dorn</t>
  </si>
  <si>
    <t>2/26/2013</t>
  </si>
  <si>
    <t>Updated data validations to be compatible with Excel 2007.</t>
  </si>
  <si>
    <t>v1.2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</si>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</sst>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
    <numFmt numFmtId="166" formatCode="#,##0.0"/>
    <numFmt numFmtId="167" formatCode="#,##0.000"/>
    <numFmt numFmtId="168" formatCode="m/d/yyyy;@"/>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sz val="11"/>
      <color theme="1"/>
      <name val="Calibri"/>
      <family val="2"/>
      <scheme val="minor"/>
    </font>
    <font>
      <u/>
      <sz val="11"/>
      <color theme="10"/>
      <name val="Calibri"/>
      <family val="2"/>
      <scheme val="minor"/>
    </font>
    <font>
      <sz val="10"/>
      <color indexed="8"/>
      <name val="Arial"/>
      <family val="2"/>
    </font>
    <font>
      <sz val="10"/>
      <color theme="1"/>
      <name val="Arial"/>
      <family val="2"/>
    </font>
    <font>
      <sz val="10"/>
      <color rgb="FFCC6600"/>
      <name val="Arial"/>
      <family val="2"/>
    </font>
    <font>
      <b/>
      <sz val="11"/>
      <color rgb="FFFF0000"/>
      <name val="Arial"/>
      <family val="2"/>
    </font>
    <font>
      <b/>
      <sz val="11"/>
      <name val="Arial"/>
      <family val="2"/>
    </font>
    <font>
      <b/>
      <sz val="12"/>
      <name val="Arial"/>
      <family val="2"/>
    </font>
    <font>
      <b/>
      <sz val="10"/>
      <color rgb="FFFF0000"/>
      <name val="Arial"/>
      <family val="2"/>
    </font>
    <font>
      <b/>
      <sz val="10"/>
      <color rgb="FFCC6600"/>
      <name val="Arial"/>
      <family val="2"/>
    </font>
    <font>
      <sz val="11"/>
      <name val="Arial"/>
      <family val="2"/>
    </font>
    <font>
      <b/>
      <i/>
      <sz val="10"/>
      <color rgb="FFFF0000"/>
      <name val="Arial"/>
      <family val="2"/>
    </font>
    <font>
      <sz val="10"/>
      <color theme="9" tint="-0.249977111117893"/>
      <name val="Arial"/>
      <family val="2"/>
    </font>
    <font>
      <sz val="10"/>
      <color rgb="FF000000"/>
      <name val="Arial"/>
      <family val="2"/>
    </font>
    <font>
      <b/>
      <sz val="10"/>
      <color rgb="FF000000"/>
      <name val="Arial"/>
      <family val="2"/>
    </font>
    <font>
      <sz val="10"/>
      <name val="Calibri"/>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tint="-0.24994659260841701"/>
        <bgColor indexed="64"/>
      </patternFill>
    </fill>
  </fills>
  <borders count="77">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2">
    <xf numFmtId="2" fontId="0" fillId="0" borderId="0"/>
    <xf numFmtId="2" fontId="17" fillId="0" borderId="0" applyNumberFormat="0" applyFill="0" applyBorder="0" applyAlignment="0" applyProtection="0"/>
    <xf numFmtId="2" fontId="5" fillId="0" borderId="0"/>
    <xf numFmtId="0" fontId="3" fillId="0" borderId="0"/>
    <xf numFmtId="0" fontId="17" fillId="0" borderId="0" applyNumberFormat="0" applyFill="0" applyBorder="0" applyAlignment="0" applyProtection="0">
      <alignment vertical="top"/>
      <protection locked="0"/>
    </xf>
    <xf numFmtId="0" fontId="24" fillId="0" borderId="0"/>
    <xf numFmtId="0" fontId="5" fillId="0" borderId="0"/>
    <xf numFmtId="0" fontId="25" fillId="0" borderId="0"/>
    <xf numFmtId="9"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cellStyleXfs>
  <cellXfs count="408">
    <xf numFmtId="2" fontId="0" fillId="0" borderId="0" xfId="0"/>
    <xf numFmtId="2" fontId="14" fillId="0" borderId="0" xfId="0" applyFont="1"/>
    <xf numFmtId="2" fontId="5" fillId="0" borderId="0" xfId="0" applyFont="1"/>
    <xf numFmtId="1" fontId="0" fillId="0" borderId="0" xfId="0" applyNumberFormat="1" applyAlignment="1">
      <alignment horizontal="center" vertical="center"/>
    </xf>
    <xf numFmtId="1" fontId="0" fillId="0" borderId="6" xfId="0" applyNumberFormat="1" applyBorder="1" applyAlignment="1">
      <alignment horizontal="center" vertical="center"/>
    </xf>
    <xf numFmtId="1" fontId="5"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2" fontId="5" fillId="0" borderId="6" xfId="0" applyFont="1" applyBorder="1" applyAlignment="1">
      <alignment horizontal="center"/>
    </xf>
    <xf numFmtId="2" fontId="5" fillId="0" borderId="12" xfId="0" applyFont="1" applyBorder="1"/>
    <xf numFmtId="164" fontId="0" fillId="0" borderId="0" xfId="0" applyNumberFormat="1" applyAlignment="1">
      <alignment horizontal="center"/>
    </xf>
    <xf numFmtId="2" fontId="14" fillId="0" borderId="0" xfId="0" applyFont="1" applyProtection="1"/>
    <xf numFmtId="2" fontId="5" fillId="0" borderId="0" xfId="0" applyFont="1" applyBorder="1" applyProtection="1"/>
    <xf numFmtId="2" fontId="0" fillId="0" borderId="0" xfId="0" applyProtection="1"/>
    <xf numFmtId="2" fontId="0" fillId="0" borderId="0" xfId="0" applyBorder="1" applyProtection="1"/>
    <xf numFmtId="2" fontId="0" fillId="0" borderId="29" xfId="0" applyBorder="1" applyProtection="1"/>
    <xf numFmtId="2" fontId="0" fillId="0" borderId="15" xfId="0" applyBorder="1" applyProtection="1"/>
    <xf numFmtId="2" fontId="0" fillId="0" borderId="27" xfId="0" applyBorder="1" applyProtection="1"/>
    <xf numFmtId="2" fontId="4" fillId="0" borderId="3" xfId="0" applyFont="1" applyBorder="1" applyAlignment="1" applyProtection="1">
      <alignment horizontal="right"/>
    </xf>
    <xf numFmtId="2" fontId="0" fillId="0" borderId="17" xfId="0" applyBorder="1" applyProtection="1"/>
    <xf numFmtId="2" fontId="0" fillId="0" borderId="3" xfId="0" applyBorder="1" applyProtection="1"/>
    <xf numFmtId="2" fontId="5" fillId="0" borderId="36" xfId="0" applyFont="1" applyFill="1" applyBorder="1" applyAlignment="1" applyProtection="1">
      <alignment horizontal="center"/>
    </xf>
    <xf numFmtId="2" fontId="0" fillId="0" borderId="3" xfId="0" applyBorder="1" applyAlignment="1" applyProtection="1">
      <alignment horizontal="left" indent="1"/>
    </xf>
    <xf numFmtId="2" fontId="0" fillId="0" borderId="34" xfId="0" applyBorder="1" applyProtection="1"/>
    <xf numFmtId="2" fontId="4" fillId="0" borderId="3" xfId="0" applyFont="1" applyBorder="1" applyAlignment="1" applyProtection="1">
      <alignment horizontal="center"/>
    </xf>
    <xf numFmtId="2" fontId="4"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8" xfId="0" applyBorder="1" applyProtection="1"/>
    <xf numFmtId="2" fontId="4" fillId="0" borderId="35" xfId="0" applyFont="1" applyBorder="1" applyAlignment="1" applyProtection="1">
      <alignment horizontal="center"/>
    </xf>
    <xf numFmtId="2" fontId="16" fillId="0" borderId="8" xfId="0" applyFont="1" applyBorder="1" applyProtection="1">
      <protection locked="0"/>
    </xf>
    <xf numFmtId="2" fontId="16" fillId="0" borderId="9" xfId="0" applyFont="1" applyBorder="1" applyProtection="1">
      <protection locked="0"/>
    </xf>
    <xf numFmtId="2" fontId="5" fillId="4" borderId="6" xfId="0" applyFont="1" applyFill="1" applyBorder="1" applyProtection="1"/>
    <xf numFmtId="2" fontId="16" fillId="0" borderId="18" xfId="0" applyFont="1" applyBorder="1" applyProtection="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wrapText="1"/>
      <protection locked="0"/>
    </xf>
    <xf numFmtId="2" fontId="5" fillId="0" borderId="0" xfId="0" applyFont="1" applyProtection="1"/>
    <xf numFmtId="2" fontId="0" fillId="0" borderId="0" xfId="0" applyAlignment="1" applyProtection="1">
      <alignment horizontal="center" vertical="center"/>
    </xf>
    <xf numFmtId="2" fontId="4" fillId="0" borderId="30" xfId="0" applyNumberFormat="1" applyFont="1" applyBorder="1" applyAlignment="1" applyProtection="1">
      <alignment horizontal="left" indent="1"/>
    </xf>
    <xf numFmtId="2" fontId="0" fillId="0" borderId="30" xfId="0" applyNumberFormat="1" applyBorder="1" applyAlignment="1" applyProtection="1">
      <alignment horizontal="left" indent="1"/>
    </xf>
    <xf numFmtId="2" fontId="0" fillId="0" borderId="41" xfId="0" applyBorder="1" applyAlignment="1" applyProtection="1">
      <alignment horizontal="left" indent="1"/>
    </xf>
    <xf numFmtId="2" fontId="4" fillId="0" borderId="0" xfId="0" applyFont="1" applyBorder="1" applyAlignment="1" applyProtection="1">
      <alignment horizontal="center" wrapText="1"/>
    </xf>
    <xf numFmtId="2" fontId="5" fillId="0" borderId="0" xfId="0" applyFont="1" applyAlignment="1">
      <alignment horizontal="center"/>
    </xf>
    <xf numFmtId="166" fontId="7" fillId="0" borderId="4" xfId="0" applyNumberFormat="1" applyFont="1" applyBorder="1" applyAlignment="1" applyProtection="1">
      <alignment horizontal="right" indent="3"/>
    </xf>
    <xf numFmtId="2" fontId="14" fillId="0" borderId="0" xfId="0" applyFont="1" applyAlignment="1">
      <alignment horizontal="center"/>
    </xf>
    <xf numFmtId="2" fontId="0" fillId="0" borderId="14" xfId="0" applyBorder="1" applyAlignment="1" applyProtection="1">
      <alignment horizontal="left" indent="2"/>
    </xf>
    <xf numFmtId="2" fontId="0" fillId="0" borderId="12" xfId="0" applyBorder="1" applyAlignment="1" applyProtection="1">
      <alignment horizontal="left" indent="2"/>
    </xf>
    <xf numFmtId="2" fontId="5" fillId="0" borderId="22" xfId="0" applyFont="1" applyBorder="1" applyAlignment="1" applyProtection="1">
      <alignment horizontal="left" indent="2"/>
    </xf>
    <xf numFmtId="2" fontId="0" fillId="0" borderId="22" xfId="0" applyBorder="1" applyAlignment="1" applyProtection="1">
      <alignment horizontal="left" indent="2"/>
    </xf>
    <xf numFmtId="2" fontId="5" fillId="0" borderId="0" xfId="0" applyFont="1" applyFill="1" applyBorder="1" applyAlignment="1" applyProtection="1">
      <alignment wrapText="1"/>
    </xf>
    <xf numFmtId="2" fontId="0" fillId="0" borderId="29" xfId="0" applyNumberFormat="1" applyBorder="1" applyAlignment="1" applyProtection="1">
      <alignment horizontal="left" indent="1"/>
    </xf>
    <xf numFmtId="2" fontId="0" fillId="0" borderId="39" xfId="0" applyNumberFormat="1" applyBorder="1" applyAlignment="1" applyProtection="1">
      <alignment horizontal="left" indent="1"/>
    </xf>
    <xf numFmtId="2" fontId="0" fillId="0" borderId="15" xfId="0" applyNumberFormat="1" applyBorder="1" applyProtection="1"/>
    <xf numFmtId="2" fontId="0" fillId="0" borderId="42" xfId="0" applyBorder="1" applyProtection="1"/>
    <xf numFmtId="2" fontId="0" fillId="0" borderId="30" xfId="0" applyBorder="1" applyAlignment="1" applyProtection="1">
      <alignment horizontal="left" indent="1"/>
    </xf>
    <xf numFmtId="2" fontId="5" fillId="0" borderId="30" xfId="0" applyNumberFormat="1" applyFont="1" applyBorder="1" applyAlignment="1" applyProtection="1">
      <alignment horizontal="left" indent="1"/>
    </xf>
    <xf numFmtId="2" fontId="4" fillId="0" borderId="30" xfId="0" applyFont="1" applyBorder="1" applyAlignment="1" applyProtection="1">
      <alignment horizontal="left" indent="1"/>
    </xf>
    <xf numFmtId="2" fontId="4" fillId="0" borderId="17" xfId="0" applyFont="1" applyBorder="1" applyAlignment="1" applyProtection="1">
      <alignment horizontal="center"/>
    </xf>
    <xf numFmtId="165" fontId="0" fillId="0" borderId="0" xfId="0" applyNumberFormat="1" applyBorder="1" applyAlignment="1">
      <alignment horizontal="center"/>
    </xf>
    <xf numFmtId="2" fontId="0" fillId="0" borderId="6" xfId="0" applyBorder="1"/>
    <xf numFmtId="2" fontId="4" fillId="4" borderId="11" xfId="0" applyFont="1" applyFill="1" applyBorder="1" applyProtection="1"/>
    <xf numFmtId="2" fontId="4" fillId="4" borderId="10" xfId="0" applyFont="1" applyFill="1" applyBorder="1" applyProtection="1"/>
    <xf numFmtId="2" fontId="11" fillId="0" borderId="0" xfId="0" applyFont="1" applyProtection="1"/>
    <xf numFmtId="2" fontId="8" fillId="0" borderId="0" xfId="0" applyFont="1" applyProtection="1"/>
    <xf numFmtId="2" fontId="0" fillId="0" borderId="15" xfId="0" applyBorder="1" applyAlignment="1" applyProtection="1"/>
    <xf numFmtId="2" fontId="0" fillId="0" borderId="0" xfId="0" applyBorder="1" applyAlignment="1" applyProtection="1"/>
    <xf numFmtId="2" fontId="4" fillId="4" borderId="29" xfId="0" applyFont="1" applyFill="1" applyBorder="1" applyAlignment="1" applyProtection="1"/>
    <xf numFmtId="2" fontId="6" fillId="4" borderId="15" xfId="0" applyFont="1" applyFill="1" applyBorder="1" applyAlignment="1" applyProtection="1"/>
    <xf numFmtId="2" fontId="6" fillId="4" borderId="27" xfId="0" applyFont="1" applyFill="1" applyBorder="1" applyAlignment="1" applyProtection="1"/>
    <xf numFmtId="2" fontId="5" fillId="4" borderId="19"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0" fillId="0" borderId="0" xfId="0" applyBorder="1" applyAlignment="1" applyProtection="1">
      <alignment horizontal="left" indent="2"/>
    </xf>
    <xf numFmtId="2" fontId="16" fillId="0" borderId="0" xfId="0" applyFont="1" applyBorder="1" applyProtection="1"/>
    <xf numFmtId="2" fontId="14" fillId="0" borderId="0" xfId="2" applyFont="1" applyAlignment="1"/>
    <xf numFmtId="0" fontId="23" fillId="0" borderId="0" xfId="1" applyNumberFormat="1" applyFont="1" applyAlignment="1">
      <alignment horizontal="left" vertical="center"/>
    </xf>
    <xf numFmtId="0" fontId="23" fillId="0" borderId="0" xfId="1" applyNumberFormat="1" applyFont="1" applyAlignment="1"/>
    <xf numFmtId="0" fontId="17" fillId="0" borderId="0" xfId="1" applyNumberFormat="1" applyAlignment="1">
      <alignment horizontal="left" vertical="center"/>
    </xf>
    <xf numFmtId="2" fontId="5" fillId="0" borderId="47" xfId="2" applyBorder="1" applyAlignment="1" applyProtection="1">
      <alignment horizontal="left" indent="2"/>
    </xf>
    <xf numFmtId="2" fontId="26" fillId="0" borderId="27" xfId="2" applyFont="1" applyBorder="1" applyProtection="1"/>
    <xf numFmtId="2" fontId="5" fillId="0" borderId="12" xfId="2" applyBorder="1" applyAlignment="1" applyProtection="1">
      <alignment horizontal="left" indent="2"/>
    </xf>
    <xf numFmtId="2" fontId="26" fillId="0" borderId="8" xfId="2" applyFont="1" applyBorder="1" applyProtection="1"/>
    <xf numFmtId="2" fontId="5" fillId="0" borderId="48" xfId="2" applyBorder="1" applyAlignment="1" applyProtection="1">
      <alignment horizontal="left" indent="2"/>
    </xf>
    <xf numFmtId="2" fontId="26" fillId="0" borderId="21" xfId="2" applyFont="1" applyBorder="1" applyProtection="1"/>
    <xf numFmtId="2" fontId="5" fillId="0" borderId="48" xfId="2" applyBorder="1" applyProtection="1"/>
    <xf numFmtId="2" fontId="26" fillId="0" borderId="17" xfId="2" applyFont="1" applyBorder="1" applyProtection="1"/>
    <xf numFmtId="2" fontId="5" fillId="0" borderId="49" xfId="2" applyBorder="1" applyProtection="1"/>
    <xf numFmtId="2" fontId="26" fillId="0" borderId="28" xfId="2" applyFont="1" applyBorder="1" applyAlignment="1" applyProtection="1">
      <alignment vertical="top"/>
    </xf>
    <xf numFmtId="2" fontId="5" fillId="0" borderId="29" xfId="2" applyBorder="1" applyProtection="1"/>
    <xf numFmtId="2" fontId="29" fillId="0" borderId="15" xfId="2" applyFont="1" applyBorder="1" applyAlignment="1" applyProtection="1">
      <alignment horizontal="left" indent="3"/>
    </xf>
    <xf numFmtId="2" fontId="5" fillId="0" borderId="27" xfId="2" applyBorder="1" applyProtection="1"/>
    <xf numFmtId="2" fontId="5" fillId="0" borderId="3" xfId="2" applyBorder="1" applyProtection="1"/>
    <xf numFmtId="2" fontId="29" fillId="0" borderId="0" xfId="2" applyFont="1" applyBorder="1" applyAlignment="1" applyProtection="1">
      <alignment horizontal="left" indent="3"/>
    </xf>
    <xf numFmtId="2" fontId="5" fillId="0" borderId="17" xfId="2" applyBorder="1" applyProtection="1"/>
    <xf numFmtId="2" fontId="5" fillId="0" borderId="2" xfId="2" applyBorder="1" applyProtection="1"/>
    <xf numFmtId="2" fontId="5" fillId="0" borderId="1" xfId="2" applyBorder="1" applyProtection="1"/>
    <xf numFmtId="2" fontId="5" fillId="0" borderId="28" xfId="2" applyBorder="1" applyProtection="1"/>
    <xf numFmtId="2" fontId="5" fillId="0" borderId="31" xfId="0" applyFont="1" applyBorder="1" applyAlignment="1" applyProtection="1">
      <alignment vertical="center"/>
    </xf>
    <xf numFmtId="2" fontId="16" fillId="0" borderId="17" xfId="0" applyFont="1" applyBorder="1" applyAlignment="1" applyProtection="1">
      <alignment horizontal="center" vertical="center"/>
      <protection locked="0"/>
    </xf>
    <xf numFmtId="2" fontId="5" fillId="0" borderId="12" xfId="0" applyFont="1" applyBorder="1" applyAlignment="1" applyProtection="1">
      <alignment vertical="center"/>
    </xf>
    <xf numFmtId="2" fontId="16" fillId="0" borderId="8" xfId="0" applyFont="1" applyBorder="1" applyAlignment="1" applyProtection="1">
      <alignment horizontal="center" vertical="center"/>
    </xf>
    <xf numFmtId="2" fontId="16" fillId="0" borderId="8" xfId="0" applyFont="1" applyBorder="1" applyAlignment="1" applyProtection="1">
      <alignment horizontal="center" vertical="center"/>
      <protection locked="0"/>
    </xf>
    <xf numFmtId="2" fontId="0" fillId="0" borderId="12" xfId="0" applyBorder="1" applyAlignment="1" applyProtection="1">
      <alignment vertical="center"/>
    </xf>
    <xf numFmtId="2" fontId="0" fillId="0" borderId="8" xfId="0" applyBorder="1" applyAlignment="1" applyProtection="1">
      <alignment horizontal="center" vertical="center"/>
    </xf>
    <xf numFmtId="2" fontId="0" fillId="0" borderId="22" xfId="0" applyBorder="1" applyAlignment="1" applyProtection="1">
      <alignment vertical="center"/>
    </xf>
    <xf numFmtId="2" fontId="0" fillId="0" borderId="9" xfId="0" applyBorder="1" applyAlignment="1" applyProtection="1">
      <alignment horizontal="center" vertical="center"/>
    </xf>
    <xf numFmtId="2" fontId="4" fillId="3" borderId="6" xfId="2" applyFont="1" applyFill="1" applyBorder="1" applyProtection="1"/>
    <xf numFmtId="2" fontId="5" fillId="4" borderId="6" xfId="2" applyFont="1" applyFill="1" applyBorder="1" applyAlignment="1" applyProtection="1">
      <alignment horizontal="left"/>
    </xf>
    <xf numFmtId="2" fontId="5" fillId="0" borderId="0" xfId="2" applyProtection="1"/>
    <xf numFmtId="2" fontId="5" fillId="0" borderId="52" xfId="0" applyFont="1" applyBorder="1" applyAlignment="1" applyProtection="1">
      <alignment vertical="center" wrapText="1"/>
    </xf>
    <xf numFmtId="2" fontId="4" fillId="0" borderId="0" xfId="0" applyFont="1" applyBorder="1" applyAlignment="1" applyProtection="1">
      <alignment horizontal="left"/>
    </xf>
    <xf numFmtId="168" fontId="0" fillId="0" borderId="6" xfId="0" applyNumberFormat="1" applyBorder="1" applyAlignment="1" applyProtection="1">
      <alignment horizontal="center" vertical="center"/>
      <protection locked="0"/>
    </xf>
    <xf numFmtId="168" fontId="0" fillId="0" borderId="0" xfId="0" applyNumberFormat="1" applyAlignment="1">
      <alignment horizontal="center"/>
    </xf>
    <xf numFmtId="2" fontId="5" fillId="0" borderId="51" xfId="0" applyFont="1" applyBorder="1" applyAlignment="1" applyProtection="1">
      <alignment vertical="center"/>
    </xf>
    <xf numFmtId="2" fontId="5" fillId="0" borderId="23" xfId="0" applyFont="1" applyBorder="1" applyAlignment="1" applyProtection="1">
      <alignment horizontal="left" vertical="center"/>
    </xf>
    <xf numFmtId="2" fontId="0" fillId="0" borderId="24" xfId="0" applyBorder="1" applyAlignment="1" applyProtection="1">
      <alignment horizontal="left" vertical="center"/>
    </xf>
    <xf numFmtId="2" fontId="5" fillId="0" borderId="20" xfId="0" applyFont="1" applyBorder="1" applyAlignment="1" applyProtection="1">
      <alignment horizontal="left" vertical="center"/>
    </xf>
    <xf numFmtId="2" fontId="5" fillId="0" borderId="52" xfId="0" applyFont="1" applyBorder="1" applyAlignment="1" applyProtection="1">
      <alignment vertical="center"/>
    </xf>
    <xf numFmtId="2" fontId="5"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5" fillId="0" borderId="53" xfId="0" applyFont="1" applyBorder="1" applyAlignment="1" applyProtection="1">
      <alignment vertical="center"/>
    </xf>
    <xf numFmtId="2" fontId="28" fillId="0" borderId="15" xfId="2" applyFont="1" applyBorder="1" applyProtection="1"/>
    <xf numFmtId="2" fontId="28" fillId="0" borderId="0" xfId="2" applyFont="1" applyBorder="1" applyProtection="1"/>
    <xf numFmtId="2" fontId="32" fillId="0" borderId="15" xfId="2" applyFont="1" applyBorder="1" applyProtection="1"/>
    <xf numFmtId="2" fontId="32" fillId="0" borderId="0" xfId="2" applyFont="1" applyBorder="1" applyProtection="1"/>
    <xf numFmtId="0" fontId="14" fillId="0" borderId="0" xfId="6" applyFont="1" applyProtection="1"/>
    <xf numFmtId="2" fontId="4" fillId="4" borderId="37" xfId="0" applyFont="1" applyFill="1" applyBorder="1" applyProtection="1"/>
    <xf numFmtId="2" fontId="4" fillId="4" borderId="57" xfId="0" applyFont="1" applyFill="1" applyBorder="1" applyAlignment="1" applyProtection="1">
      <alignment horizontal="center"/>
    </xf>
    <xf numFmtId="2" fontId="4" fillId="4" borderId="58" xfId="0" applyFont="1" applyFill="1" applyBorder="1" applyAlignment="1" applyProtection="1">
      <alignment horizontal="center"/>
    </xf>
    <xf numFmtId="2" fontId="4" fillId="4" borderId="38" xfId="0" applyFont="1" applyFill="1" applyBorder="1" applyAlignment="1" applyProtection="1">
      <alignment horizontal="center"/>
    </xf>
    <xf numFmtId="2" fontId="5" fillId="0" borderId="0" xfId="0" applyFont="1" applyFill="1" applyBorder="1" applyProtection="1"/>
    <xf numFmtId="2" fontId="7" fillId="0" borderId="0" xfId="0" applyNumberFormat="1" applyFont="1" applyFill="1" applyBorder="1" applyAlignment="1" applyProtection="1">
      <alignment horizontal="left"/>
    </xf>
    <xf numFmtId="2" fontId="4" fillId="4" borderId="63" xfId="0" applyFont="1" applyFill="1" applyBorder="1" applyAlignment="1" applyProtection="1">
      <alignment horizontal="center"/>
    </xf>
    <xf numFmtId="2" fontId="4" fillId="4" borderId="64" xfId="0" applyFont="1" applyFill="1" applyBorder="1" applyAlignment="1" applyProtection="1">
      <alignment horizontal="center"/>
    </xf>
    <xf numFmtId="2" fontId="4" fillId="4" borderId="65" xfId="0" applyFont="1" applyFill="1" applyBorder="1" applyAlignment="1" applyProtection="1">
      <alignment horizontal="center"/>
    </xf>
    <xf numFmtId="2" fontId="4" fillId="4" borderId="29" xfId="0" applyFont="1" applyFill="1" applyBorder="1" applyProtection="1"/>
    <xf numFmtId="2" fontId="4" fillId="4" borderId="32" xfId="0" applyFont="1" applyFill="1" applyBorder="1" applyAlignment="1" applyProtection="1">
      <alignment horizontal="center"/>
    </xf>
    <xf numFmtId="2" fontId="26" fillId="0" borderId="12" xfId="0" applyFont="1" applyFill="1" applyBorder="1" applyAlignment="1" applyProtection="1"/>
    <xf numFmtId="2" fontId="31" fillId="0" borderId="37" xfId="0" applyFont="1" applyFill="1" applyBorder="1" applyAlignment="1" applyProtection="1"/>
    <xf numFmtId="4" fontId="31" fillId="0" borderId="58" xfId="0" applyNumberFormat="1" applyFont="1" applyFill="1" applyBorder="1" applyAlignment="1" applyProtection="1">
      <alignment horizontal="right"/>
    </xf>
    <xf numFmtId="4" fontId="31" fillId="0" borderId="38" xfId="0" applyNumberFormat="1" applyFont="1" applyFill="1" applyBorder="1" applyAlignment="1" applyProtection="1">
      <alignment horizontal="right"/>
    </xf>
    <xf numFmtId="167" fontId="7" fillId="0" borderId="4" xfId="0" applyNumberFormat="1" applyFont="1" applyBorder="1" applyAlignment="1" applyProtection="1">
      <alignment horizontal="right" indent="6"/>
    </xf>
    <xf numFmtId="4" fontId="4" fillId="0" borderId="4" xfId="0" applyNumberFormat="1" applyFont="1" applyBorder="1" applyAlignment="1" applyProtection="1">
      <alignment horizontal="right" indent="7"/>
    </xf>
    <xf numFmtId="164" fontId="4" fillId="0" borderId="4" xfId="0" applyNumberFormat="1" applyFont="1" applyBorder="1" applyAlignment="1" applyProtection="1">
      <alignment horizontal="right" indent="7"/>
    </xf>
    <xf numFmtId="167" fontId="4" fillId="0" borderId="0" xfId="0" applyNumberFormat="1" applyFont="1" applyBorder="1" applyAlignment="1" applyProtection="1">
      <alignment horizontal="right" indent="8"/>
    </xf>
    <xf numFmtId="164" fontId="4" fillId="0" borderId="4" xfId="0" applyNumberFormat="1" applyFont="1" applyBorder="1" applyAlignment="1" applyProtection="1">
      <alignment horizontal="right" indent="8"/>
    </xf>
    <xf numFmtId="2" fontId="4" fillId="0" borderId="3" xfId="0" applyNumberFormat="1" applyFont="1" applyBorder="1" applyAlignment="1" applyProtection="1">
      <alignment horizontal="left" indent="3"/>
    </xf>
    <xf numFmtId="2" fontId="0" fillId="0" borderId="3" xfId="0" applyBorder="1" applyAlignment="1" applyProtection="1">
      <alignment horizontal="left" indent="3"/>
    </xf>
    <xf numFmtId="2" fontId="0" fillId="0" borderId="3" xfId="0" applyNumberFormat="1" applyBorder="1" applyAlignment="1" applyProtection="1">
      <alignment horizontal="left" indent="3"/>
    </xf>
    <xf numFmtId="2" fontId="5" fillId="0" borderId="3" xfId="0" applyNumberFormat="1" applyFont="1" applyBorder="1" applyAlignment="1" applyProtection="1">
      <alignment horizontal="left" indent="3"/>
    </xf>
    <xf numFmtId="2" fontId="4" fillId="0" borderId="3" xfId="0" applyFont="1" applyBorder="1" applyAlignment="1" applyProtection="1">
      <alignment horizontal="left" indent="3"/>
    </xf>
    <xf numFmtId="164" fontId="4" fillId="0" borderId="17" xfId="2" applyNumberFormat="1" applyFont="1" applyFill="1" applyBorder="1" applyAlignment="1" applyProtection="1">
      <alignment horizontal="right" indent="8"/>
    </xf>
    <xf numFmtId="164" fontId="5" fillId="0" borderId="17" xfId="2" applyNumberFormat="1" applyFont="1" applyFill="1" applyBorder="1" applyAlignment="1" applyProtection="1">
      <alignment horizontal="right" indent="8"/>
    </xf>
    <xf numFmtId="167" fontId="4" fillId="0" borderId="4" xfId="0" applyNumberFormat="1" applyFont="1" applyBorder="1" applyAlignment="1" applyProtection="1">
      <alignment horizontal="right" indent="7"/>
    </xf>
    <xf numFmtId="2" fontId="4" fillId="0" borderId="0" xfId="0" applyFont="1" applyBorder="1" applyProtection="1"/>
    <xf numFmtId="2" fontId="0" fillId="0" borderId="0" xfId="0" applyFill="1" applyBorder="1" applyAlignment="1" applyProtection="1">
      <alignment horizontal="center"/>
    </xf>
    <xf numFmtId="2" fontId="0" fillId="0" borderId="0" xfId="0" applyAlignment="1" applyProtection="1">
      <alignment horizontal="center"/>
    </xf>
    <xf numFmtId="2" fontId="0" fillId="0" borderId="0" xfId="0" applyBorder="1" applyAlignment="1" applyProtection="1">
      <alignment horizontal="center"/>
    </xf>
    <xf numFmtId="164" fontId="4"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164" fontId="4" fillId="0" borderId="0" xfId="2" applyNumberFormat="1" applyFont="1" applyFill="1" applyBorder="1" applyAlignment="1" applyProtection="1">
      <alignment horizontal="right" indent="3"/>
    </xf>
    <xf numFmtId="164" fontId="5" fillId="0" borderId="0" xfId="2" applyNumberFormat="1" applyFont="1" applyFill="1" applyBorder="1" applyAlignment="1" applyProtection="1">
      <alignment horizontal="right" indent="3"/>
    </xf>
    <xf numFmtId="2" fontId="4" fillId="0" borderId="0" xfId="0" applyFont="1" applyFill="1" applyBorder="1" applyAlignment="1" applyProtection="1">
      <alignment horizontal="right" vertical="center"/>
    </xf>
    <xf numFmtId="167" fontId="7" fillId="0" borderId="69" xfId="0" applyNumberFormat="1" applyFont="1" applyBorder="1" applyAlignment="1" applyProtection="1">
      <alignment horizontal="right" indent="3"/>
    </xf>
    <xf numFmtId="166" fontId="7" fillId="0" borderId="69" xfId="0" applyNumberFormat="1" applyFont="1" applyBorder="1" applyAlignment="1" applyProtection="1">
      <alignment horizontal="right" indent="3"/>
    </xf>
    <xf numFmtId="2" fontId="0" fillId="0" borderId="31" xfId="0" applyBorder="1" applyAlignment="1" applyProtection="1">
      <alignment horizontal="left" indent="2"/>
    </xf>
    <xf numFmtId="2" fontId="16" fillId="0" borderId="33" xfId="0" applyFont="1" applyBorder="1" applyProtection="1">
      <protection locked="0"/>
    </xf>
    <xf numFmtId="1" fontId="16" fillId="0" borderId="9" xfId="0" applyNumberFormat="1" applyFont="1" applyBorder="1" applyAlignment="1" applyProtection="1">
      <alignment horizontal="left"/>
      <protection locked="0"/>
    </xf>
    <xf numFmtId="2" fontId="0" fillId="0" borderId="6" xfId="0" applyBorder="1" applyAlignment="1">
      <alignment horizontal="center"/>
    </xf>
    <xf numFmtId="2" fontId="5" fillId="0" borderId="50" xfId="0" applyFont="1" applyFill="1" applyBorder="1" applyAlignment="1" applyProtection="1">
      <alignment horizontal="left" vertical="center" wrapText="1"/>
    </xf>
    <xf numFmtId="2" fontId="5" fillId="0" borderId="51" xfId="0" applyFont="1" applyFill="1" applyBorder="1" applyAlignment="1" applyProtection="1">
      <alignment horizontal="left" vertical="center" wrapText="1"/>
    </xf>
    <xf numFmtId="2" fontId="5" fillId="0" borderId="52" xfId="0" applyFont="1" applyFill="1" applyBorder="1" applyAlignment="1" applyProtection="1">
      <alignment vertical="center" wrapText="1"/>
    </xf>
    <xf numFmtId="2" fontId="4" fillId="0" borderId="0" xfId="0" applyFont="1" applyAlignment="1" applyProtection="1">
      <alignment vertical="center" wrapText="1"/>
    </xf>
    <xf numFmtId="2" fontId="5" fillId="0" borderId="0" xfId="0" applyFont="1" applyAlignment="1" applyProtection="1">
      <alignment vertical="center" wrapText="1"/>
    </xf>
    <xf numFmtId="2" fontId="5" fillId="0" borderId="0" xfId="0" quotePrefix="1" applyFont="1" applyAlignment="1" applyProtection="1">
      <alignment horizontal="right" vertical="top"/>
    </xf>
    <xf numFmtId="2" fontId="5" fillId="0" borderId="0" xfId="0" applyFont="1" applyAlignment="1" applyProtection="1">
      <alignment horizontal="left" vertical="center" wrapText="1" indent="1"/>
    </xf>
    <xf numFmtId="2" fontId="17" fillId="0" borderId="0" xfId="1" applyFont="1" applyAlignment="1" applyProtection="1">
      <alignment vertical="center" wrapText="1"/>
    </xf>
    <xf numFmtId="2" fontId="5" fillId="0" borderId="0" xfId="0" applyFont="1" applyAlignment="1" applyProtection="1">
      <alignment horizontal="left" vertical="top" wrapText="1" indent="1"/>
    </xf>
    <xf numFmtId="2" fontId="5" fillId="0" borderId="0" xfId="0" applyFont="1" applyAlignment="1" applyProtection="1">
      <alignment wrapText="1"/>
    </xf>
    <xf numFmtId="2" fontId="26" fillId="0" borderId="6" xfId="0" applyFont="1" applyBorder="1" applyProtection="1"/>
    <xf numFmtId="2" fontId="4" fillId="4" borderId="27" xfId="0" applyFont="1" applyFill="1" applyBorder="1" applyProtection="1"/>
    <xf numFmtId="2" fontId="5" fillId="4" borderId="11" xfId="0" applyFont="1" applyFill="1" applyBorder="1" applyAlignment="1" applyProtection="1">
      <alignment horizontal="left"/>
    </xf>
    <xf numFmtId="2" fontId="5" fillId="4" borderId="10" xfId="0" applyFont="1" applyFill="1" applyBorder="1" applyAlignment="1" applyProtection="1">
      <alignment horizontal="left"/>
    </xf>
    <xf numFmtId="1" fontId="4" fillId="4" borderId="37" xfId="0" applyNumberFormat="1" applyFont="1" applyFill="1" applyBorder="1" applyAlignment="1">
      <alignment horizontal="center" vertical="center"/>
    </xf>
    <xf numFmtId="1" fontId="4" fillId="4" borderId="58" xfId="0" applyNumberFormat="1" applyFont="1" applyFill="1" applyBorder="1" applyAlignment="1">
      <alignment horizontal="center" vertical="center"/>
    </xf>
    <xf numFmtId="165" fontId="4" fillId="4" borderId="58" xfId="0" applyNumberFormat="1" applyFont="1" applyFill="1" applyBorder="1" applyAlignment="1">
      <alignment horizontal="center" vertical="center"/>
    </xf>
    <xf numFmtId="1" fontId="4" fillId="4" borderId="38" xfId="0" applyNumberFormat="1" applyFont="1" applyFill="1" applyBorder="1" applyAlignment="1">
      <alignment horizontal="left" vertical="center"/>
    </xf>
    <xf numFmtId="2" fontId="4" fillId="4" borderId="58" xfId="0" applyFont="1" applyFill="1" applyBorder="1" applyAlignment="1">
      <alignment horizontal="center"/>
    </xf>
    <xf numFmtId="168" fontId="5" fillId="0" borderId="16" xfId="0" quotePrefix="1" applyNumberFormat="1" applyFont="1" applyBorder="1" applyAlignment="1">
      <alignment horizontal="center" vertical="center"/>
    </xf>
    <xf numFmtId="2" fontId="5" fillId="0" borderId="16" xfId="0" applyFont="1" applyBorder="1" applyAlignment="1">
      <alignment vertical="center" wrapText="1"/>
    </xf>
    <xf numFmtId="2" fontId="5" fillId="0" borderId="16" xfId="0" applyFont="1" applyBorder="1" applyAlignment="1">
      <alignment horizontal="center" vertical="center"/>
    </xf>
    <xf numFmtId="2" fontId="0" fillId="0" borderId="16" xfId="0" applyBorder="1" applyAlignment="1">
      <alignment horizontal="center" vertical="center"/>
    </xf>
    <xf numFmtId="164" fontId="6" fillId="4" borderId="37" xfId="0" applyNumberFormat="1" applyFont="1" applyFill="1" applyBorder="1" applyAlignment="1">
      <alignment horizontal="center"/>
    </xf>
    <xf numFmtId="168" fontId="6" fillId="4" borderId="58" xfId="0" applyNumberFormat="1" applyFont="1" applyFill="1" applyBorder="1" applyAlignment="1">
      <alignment horizontal="center"/>
    </xf>
    <xf numFmtId="2" fontId="6" fillId="4" borderId="58" xfId="0" applyFont="1" applyFill="1" applyBorder="1" applyAlignment="1">
      <alignment horizontal="center"/>
    </xf>
    <xf numFmtId="2" fontId="6" fillId="4" borderId="38" xfId="0" applyFont="1" applyFill="1" applyBorder="1" applyAlignment="1">
      <alignment horizontal="center"/>
    </xf>
    <xf numFmtId="164" fontId="0" fillId="0" borderId="14" xfId="0" applyNumberFormat="1" applyBorder="1" applyAlignment="1">
      <alignment horizontal="center" vertical="center"/>
    </xf>
    <xf numFmtId="164" fontId="0" fillId="0" borderId="12" xfId="0" applyNumberFormat="1" applyBorder="1" applyAlignment="1" applyProtection="1">
      <alignment horizontal="center" vertical="center"/>
      <protection locked="0"/>
    </xf>
    <xf numFmtId="2" fontId="0" fillId="0" borderId="8" xfId="0" applyBorder="1" applyAlignment="1" applyProtection="1">
      <alignment vertical="center"/>
      <protection locked="0"/>
    </xf>
    <xf numFmtId="164" fontId="0" fillId="0" borderId="2" xfId="0" applyNumberFormat="1" applyBorder="1" applyAlignment="1">
      <alignment horizontal="center"/>
    </xf>
    <xf numFmtId="168" fontId="0" fillId="0" borderId="1" xfId="0" applyNumberFormat="1" applyBorder="1" applyAlignment="1">
      <alignment horizontal="center"/>
    </xf>
    <xf numFmtId="2" fontId="0" fillId="0" borderId="1" xfId="0" applyBorder="1"/>
    <xf numFmtId="2" fontId="0" fillId="0" borderId="1" xfId="0" applyBorder="1" applyAlignment="1">
      <alignment horizontal="center"/>
    </xf>
    <xf numFmtId="2" fontId="0" fillId="0" borderId="28" xfId="0" applyBorder="1"/>
    <xf numFmtId="0" fontId="16" fillId="0" borderId="8" xfId="0" applyNumberFormat="1" applyFont="1" applyBorder="1" applyProtection="1">
      <protection locked="0"/>
    </xf>
    <xf numFmtId="2" fontId="5" fillId="0" borderId="59" xfId="0" applyFont="1" applyBorder="1"/>
    <xf numFmtId="1" fontId="5" fillId="0" borderId="60" xfId="0" applyNumberFormat="1" applyFont="1" applyBorder="1" applyAlignment="1">
      <alignment horizontal="center" vertical="center"/>
    </xf>
    <xf numFmtId="1" fontId="0" fillId="0" borderId="60" xfId="0" applyNumberFormat="1" applyBorder="1" applyAlignment="1">
      <alignment horizontal="center" vertical="center"/>
    </xf>
    <xf numFmtId="165" fontId="0" fillId="0" borderId="60" xfId="0" applyNumberFormat="1" applyBorder="1" applyAlignment="1">
      <alignment horizontal="center" vertical="center"/>
    </xf>
    <xf numFmtId="2" fontId="5" fillId="0" borderId="6" xfId="0" applyFont="1" applyBorder="1"/>
    <xf numFmtId="1" fontId="0" fillId="0" borderId="6" xfId="0" applyNumberFormat="1" applyFill="1" applyBorder="1" applyAlignment="1">
      <alignment horizontal="center" vertical="center"/>
    </xf>
    <xf numFmtId="1" fontId="5" fillId="0" borderId="6" xfId="0" applyNumberFormat="1" applyFont="1" applyBorder="1" applyAlignment="1">
      <alignment horizontal="left" vertical="center"/>
    </xf>
    <xf numFmtId="165" fontId="0" fillId="0" borderId="6" xfId="0" applyNumberFormat="1" applyBorder="1" applyAlignment="1">
      <alignment horizontal="center"/>
    </xf>
    <xf numFmtId="2" fontId="4" fillId="3" borderId="6" xfId="0" applyFont="1" applyFill="1" applyBorder="1" applyProtection="1"/>
    <xf numFmtId="2" fontId="5" fillId="0" borderId="6" xfId="0" applyFont="1" applyFill="1" applyBorder="1"/>
    <xf numFmtId="2" fontId="5" fillId="0" borderId="6" xfId="0" applyFont="1" applyFill="1" applyBorder="1" applyAlignment="1">
      <alignment wrapText="1"/>
    </xf>
    <xf numFmtId="2" fontId="26" fillId="0" borderId="6" xfId="0" applyFont="1" applyFill="1" applyBorder="1" applyProtection="1"/>
    <xf numFmtId="2" fontId="4" fillId="3" borderId="6" xfId="0" applyFont="1" applyFill="1" applyBorder="1" applyAlignment="1" applyProtection="1">
      <alignment horizontal="left"/>
    </xf>
    <xf numFmtId="2" fontId="0" fillId="4" borderId="6" xfId="0" applyFill="1" applyBorder="1" applyAlignment="1" applyProtection="1">
      <alignment horizontal="left"/>
    </xf>
    <xf numFmtId="2" fontId="35" fillId="0" borderId="6" xfId="0" applyFont="1" applyBorder="1" applyAlignment="1">
      <alignment horizontal="center" vertical="center" wrapText="1"/>
    </xf>
    <xf numFmtId="2" fontId="35" fillId="0" borderId="6" xfId="0" applyFont="1" applyBorder="1" applyAlignment="1">
      <alignment vertical="center" wrapText="1"/>
    </xf>
    <xf numFmtId="2" fontId="26" fillId="0" borderId="6" xfId="0" quotePrefix="1" applyFont="1" applyBorder="1" applyProtection="1"/>
    <xf numFmtId="2" fontId="34" fillId="0" borderId="0" xfId="0" applyFont="1" applyBorder="1" applyAlignment="1" applyProtection="1">
      <alignment horizontal="center"/>
    </xf>
    <xf numFmtId="2" fontId="26" fillId="0" borderId="0" xfId="0" applyFont="1" applyBorder="1" applyAlignment="1" applyProtection="1">
      <alignment horizontal="center"/>
    </xf>
    <xf numFmtId="2" fontId="0" fillId="4" borderId="6" xfId="0" applyFill="1" applyBorder="1" applyProtection="1"/>
    <xf numFmtId="2" fontId="26" fillId="0" borderId="8" xfId="0" applyFont="1" applyFill="1" applyBorder="1" applyProtection="1"/>
    <xf numFmtId="2" fontId="5" fillId="0" borderId="20" xfId="0" applyFont="1" applyFill="1" applyBorder="1" applyAlignment="1" applyProtection="1">
      <alignment horizontal="left" vertical="center" wrapText="1"/>
    </xf>
    <xf numFmtId="2" fontId="0" fillId="0" borderId="21" xfId="0" applyFill="1" applyBorder="1" applyAlignment="1" applyProtection="1">
      <alignment horizontal="left" vertical="center" wrapText="1"/>
    </xf>
    <xf numFmtId="2" fontId="4" fillId="4" borderId="37" xfId="0" applyFont="1" applyFill="1" applyBorder="1"/>
    <xf numFmtId="2" fontId="4" fillId="4" borderId="38" xfId="0" applyFont="1" applyFill="1" applyBorder="1"/>
    <xf numFmtId="2" fontId="5" fillId="4" borderId="6" xfId="0" quotePrefix="1" applyFont="1" applyFill="1" applyBorder="1" applyAlignment="1" applyProtection="1">
      <alignment horizontal="center"/>
    </xf>
    <xf numFmtId="2" fontId="0" fillId="4" borderId="6" xfId="0" applyFill="1" applyBorder="1" applyAlignment="1" applyProtection="1">
      <alignment horizontal="center"/>
    </xf>
    <xf numFmtId="2" fontId="5" fillId="0" borderId="20" xfId="0" applyFont="1" applyFill="1" applyBorder="1" applyAlignment="1" applyProtection="1">
      <alignment horizontal="left" vertical="center"/>
    </xf>
    <xf numFmtId="2" fontId="26" fillId="0" borderId="48" xfId="0" applyFont="1" applyFill="1" applyBorder="1" applyAlignment="1" applyProtection="1"/>
    <xf numFmtId="2" fontId="26" fillId="0" borderId="75" xfId="0" applyFont="1" applyBorder="1" applyProtection="1"/>
    <xf numFmtId="2" fontId="26" fillId="0" borderId="75" xfId="0" quotePrefix="1" applyFont="1" applyBorder="1" applyProtection="1"/>
    <xf numFmtId="2" fontId="26" fillId="0" borderId="75" xfId="0" applyFont="1" applyFill="1" applyBorder="1" applyProtection="1"/>
    <xf numFmtId="2" fontId="26" fillId="0" borderId="76" xfId="0" applyFont="1" applyFill="1" applyBorder="1" applyProtection="1"/>
    <xf numFmtId="2" fontId="4" fillId="3" borderId="6" xfId="0" applyFont="1" applyFill="1" applyBorder="1" applyAlignment="1" applyProtection="1">
      <alignment wrapText="1"/>
    </xf>
    <xf numFmtId="2" fontId="26" fillId="0" borderId="6" xfId="0" applyNumberFormat="1" applyFont="1" applyFill="1" applyBorder="1" applyProtection="1"/>
    <xf numFmtId="2" fontId="26" fillId="0" borderId="75" xfId="0" applyNumberFormat="1" applyFont="1" applyFill="1" applyBorder="1" applyProtection="1"/>
    <xf numFmtId="0" fontId="2" fillId="0" borderId="0" xfId="9" applyAlignment="1">
      <alignment horizontal="center"/>
    </xf>
    <xf numFmtId="0" fontId="2" fillId="0" borderId="0" xfId="9" applyAlignment="1"/>
    <xf numFmtId="0" fontId="22" fillId="4" borderId="6" xfId="9" applyFont="1" applyFill="1" applyBorder="1" applyAlignment="1"/>
    <xf numFmtId="0" fontId="22" fillId="4" borderId="6" xfId="9" applyFont="1" applyFill="1" applyBorder="1" applyAlignment="1">
      <alignment horizontal="center"/>
    </xf>
    <xf numFmtId="0" fontId="2" fillId="0" borderId="0" xfId="9" applyFont="1" applyAlignment="1">
      <alignment horizontal="left" vertical="center"/>
    </xf>
    <xf numFmtId="0" fontId="2" fillId="0" borderId="0" xfId="9" applyFont="1" applyAlignment="1"/>
    <xf numFmtId="0" fontId="2" fillId="0" borderId="0" xfId="9" applyFont="1" applyAlignment="1">
      <alignment horizontal="center"/>
    </xf>
    <xf numFmtId="2" fontId="17" fillId="0" borderId="0" xfId="1" applyProtection="1"/>
    <xf numFmtId="2" fontId="5" fillId="0" borderId="16" xfId="0" applyFont="1" applyBorder="1" applyAlignment="1">
      <alignment horizontal="center" vertical="center" wrapText="1"/>
    </xf>
    <xf numFmtId="2" fontId="17" fillId="0" borderId="18" xfId="1" applyBorder="1" applyAlignment="1">
      <alignment horizontal="center" vertical="center"/>
    </xf>
    <xf numFmtId="2" fontId="26" fillId="0" borderId="7" xfId="0" applyFont="1" applyBorder="1" applyProtection="1"/>
    <xf numFmtId="2" fontId="5" fillId="0" borderId="23" xfId="0" applyFont="1" applyFill="1" applyBorder="1" applyAlignment="1" applyProtection="1">
      <alignment horizontal="left" vertical="center" wrapText="1"/>
    </xf>
    <xf numFmtId="2" fontId="5" fillId="0" borderId="0" xfId="0" applyFont="1" applyAlignment="1" applyProtection="1">
      <alignment horizontal="left" vertical="center" wrapText="1"/>
    </xf>
    <xf numFmtId="2" fontId="15" fillId="0" borderId="0" xfId="0" applyFont="1" applyAlignment="1" applyProtection="1">
      <alignment horizontal="left" vertical="top"/>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5" fillId="0" borderId="24" xfId="0" applyFont="1" applyFill="1" applyBorder="1" applyAlignment="1" applyProtection="1">
      <alignment horizontal="left" vertical="center" wrapText="1"/>
    </xf>
    <xf numFmtId="2" fontId="4" fillId="0" borderId="4" xfId="0" applyFont="1" applyBorder="1" applyAlignment="1" applyProtection="1">
      <alignment horizontal="center"/>
    </xf>
    <xf numFmtId="2" fontId="5" fillId="0" borderId="12" xfId="0" applyFont="1" applyFill="1" applyBorder="1" applyAlignment="1" applyProtection="1">
      <alignment horizontal="left" vertical="center" wrapText="1"/>
    </xf>
    <xf numFmtId="2" fontId="5" fillId="0" borderId="12" xfId="0" applyFont="1" applyFill="1" applyBorder="1" applyAlignment="1" applyProtection="1">
      <alignment vertical="center" wrapText="1"/>
    </xf>
    <xf numFmtId="2" fontId="5" fillId="0" borderId="12" xfId="0" applyFont="1" applyFill="1" applyBorder="1" applyAlignment="1" applyProtection="1">
      <alignment horizontal="left" vertical="center"/>
    </xf>
    <xf numFmtId="2" fontId="5" fillId="0" borderId="22" xfId="0" applyFont="1" applyFill="1" applyBorder="1" applyAlignment="1" applyProtection="1">
      <alignment vertical="center" wrapText="1"/>
    </xf>
    <xf numFmtId="2" fontId="26" fillId="0" borderId="9" xfId="0" applyFont="1" applyBorder="1" applyAlignment="1" applyProtection="1">
      <alignment horizontal="center" vertical="center"/>
    </xf>
    <xf numFmtId="2" fontId="5" fillId="0" borderId="14" xfId="0" applyFont="1" applyFill="1" applyBorder="1" applyAlignment="1" applyProtection="1">
      <alignment vertical="center" wrapText="1"/>
    </xf>
    <xf numFmtId="2" fontId="26" fillId="0" borderId="8" xfId="0" applyFont="1" applyFill="1" applyBorder="1" applyAlignment="1" applyProtection="1">
      <alignment horizontal="center" vertical="center"/>
    </xf>
    <xf numFmtId="2" fontId="5" fillId="0" borderId="59" xfId="0" applyFont="1" applyFill="1" applyBorder="1" applyAlignment="1" applyProtection="1">
      <alignment vertical="center" wrapText="1"/>
    </xf>
    <xf numFmtId="2" fontId="26" fillId="0" borderId="61" xfId="0" applyFont="1" applyFill="1" applyBorder="1" applyAlignment="1" applyProtection="1">
      <alignment horizontal="center" vertical="center"/>
    </xf>
    <xf numFmtId="2" fontId="5" fillId="0" borderId="14" xfId="0" applyFont="1" applyFill="1" applyBorder="1" applyAlignment="1" applyProtection="1">
      <alignment horizontal="left" vertical="center" wrapText="1"/>
    </xf>
    <xf numFmtId="2" fontId="5" fillId="0" borderId="22" xfId="0" applyFont="1" applyFill="1" applyBorder="1" applyAlignment="1" applyProtection="1">
      <alignment horizontal="left" vertical="center" wrapText="1"/>
    </xf>
    <xf numFmtId="2" fontId="5" fillId="0" borderId="14" xfId="0" applyFont="1" applyBorder="1" applyAlignment="1" applyProtection="1">
      <alignment vertical="center" wrapText="1"/>
    </xf>
    <xf numFmtId="2" fontId="5" fillId="0" borderId="12" xfId="0" applyFont="1" applyBorder="1" applyAlignment="1" applyProtection="1">
      <alignment vertical="center" wrapText="1"/>
    </xf>
    <xf numFmtId="2" fontId="26" fillId="0" borderId="8" xfId="0" applyFont="1" applyBorder="1" applyAlignment="1" applyProtection="1">
      <alignment horizontal="center" vertical="center"/>
    </xf>
    <xf numFmtId="3" fontId="26" fillId="0" borderId="9" xfId="0" applyNumberFormat="1" applyFont="1" applyBorder="1" applyAlignment="1" applyProtection="1">
      <alignment horizontal="center" vertical="center"/>
    </xf>
    <xf numFmtId="2" fontId="5" fillId="0" borderId="6" xfId="0" applyFont="1" applyBorder="1" applyAlignment="1" applyProtection="1">
      <alignment vertical="center" wrapText="1"/>
    </xf>
    <xf numFmtId="2" fontId="26" fillId="0" borderId="6" xfId="0" applyFont="1" applyBorder="1" applyAlignment="1" applyProtection="1">
      <alignment horizontal="center" vertical="center"/>
    </xf>
    <xf numFmtId="2" fontId="5" fillId="0" borderId="6" xfId="0" applyFont="1" applyFill="1" applyBorder="1" applyAlignment="1" applyProtection="1">
      <alignment vertical="center" wrapText="1"/>
    </xf>
    <xf numFmtId="2" fontId="16" fillId="0" borderId="6" xfId="0" applyFont="1" applyBorder="1" applyAlignment="1" applyProtection="1">
      <alignment horizontal="center" vertical="center"/>
      <protection locked="0"/>
    </xf>
    <xf numFmtId="1" fontId="16" fillId="0" borderId="8" xfId="0" applyNumberFormat="1" applyFont="1" applyFill="1" applyBorder="1" applyAlignment="1" applyProtection="1">
      <alignment horizontal="center" vertical="center"/>
      <protection locked="0"/>
    </xf>
    <xf numFmtId="2" fontId="16" fillId="0" borderId="8" xfId="0" applyFont="1" applyFill="1" applyBorder="1" applyAlignment="1" applyProtection="1">
      <alignment horizontal="center" vertical="center"/>
      <protection locked="0"/>
    </xf>
    <xf numFmtId="1" fontId="16" fillId="0" borderId="8" xfId="0" applyNumberFormat="1" applyFont="1" applyBorder="1" applyAlignment="1" applyProtection="1">
      <alignment horizontal="center" vertical="center"/>
      <protection locked="0"/>
    </xf>
    <xf numFmtId="2" fontId="16" fillId="0" borderId="18" xfId="0" applyFont="1" applyBorder="1" applyAlignment="1" applyProtection="1">
      <alignment horizontal="center" vertical="center"/>
      <protection locked="0"/>
    </xf>
    <xf numFmtId="2" fontId="16" fillId="0" borderId="18" xfId="0" applyFont="1" applyFill="1" applyBorder="1" applyAlignment="1" applyProtection="1">
      <alignment horizontal="center" vertical="center" wrapText="1"/>
      <protection locked="0"/>
    </xf>
    <xf numFmtId="2" fontId="16" fillId="0" borderId="8" xfId="0" applyFont="1" applyFill="1" applyBorder="1" applyAlignment="1" applyProtection="1">
      <alignment horizontal="center" vertical="center" wrapText="1"/>
      <protection locked="0"/>
    </xf>
    <xf numFmtId="2" fontId="16" fillId="0" borderId="9" xfId="0" applyFont="1" applyFill="1" applyBorder="1" applyAlignment="1" applyProtection="1">
      <alignment horizontal="center" vertical="center" wrapText="1"/>
      <protection locked="0"/>
    </xf>
    <xf numFmtId="2" fontId="16" fillId="0" borderId="18" xfId="0" applyFont="1" applyFill="1" applyBorder="1" applyAlignment="1" applyProtection="1">
      <alignment horizontal="center" vertical="center"/>
      <protection locked="0"/>
    </xf>
    <xf numFmtId="4" fontId="16" fillId="0" borderId="8" xfId="0" applyNumberFormat="1" applyFont="1" applyBorder="1" applyAlignment="1" applyProtection="1">
      <alignment horizontal="center" vertical="center"/>
      <protection locked="0"/>
    </xf>
    <xf numFmtId="0" fontId="1" fillId="0" borderId="0" xfId="9" applyFont="1" applyAlignment="1"/>
    <xf numFmtId="168" fontId="0" fillId="0" borderId="6" xfId="0" quotePrefix="1" applyNumberFormat="1" applyBorder="1" applyAlignment="1" applyProtection="1">
      <alignment horizontal="center" vertical="center"/>
      <protection locked="0"/>
    </xf>
    <xf numFmtId="2" fontId="17" fillId="0" borderId="8" xfId="1" applyBorder="1" applyAlignment="1" applyProtection="1">
      <alignment horizontal="center" vertical="center"/>
      <protection locked="0"/>
    </xf>
    <xf numFmtId="2" fontId="4" fillId="0" borderId="0" xfId="0" applyFont="1" applyAlignment="1" applyProtection="1">
      <alignment horizontal="left" vertical="center" wrapText="1"/>
    </xf>
    <xf numFmtId="2" fontId="5" fillId="0" borderId="0" xfId="0" applyFont="1" applyAlignment="1" applyProtection="1">
      <alignment horizontal="left" vertical="center" wrapText="1"/>
    </xf>
    <xf numFmtId="2" fontId="5" fillId="0" borderId="0" xfId="0" applyFont="1" applyAlignment="1" applyProtection="1">
      <alignment horizontal="left" wrapText="1"/>
    </xf>
    <xf numFmtId="2" fontId="17" fillId="0" borderId="0" xfId="1" applyAlignment="1" applyProtection="1">
      <alignment horizontal="left" vertical="center" wrapText="1"/>
    </xf>
    <xf numFmtId="2" fontId="14" fillId="0" borderId="0" xfId="0" applyFont="1" applyAlignment="1" applyProtection="1">
      <alignment horizontal="left" vertical="center" wrapText="1"/>
    </xf>
    <xf numFmtId="2" fontId="29" fillId="0" borderId="0" xfId="0" applyFont="1" applyAlignment="1" applyProtection="1">
      <alignment horizontal="left" vertical="center" wrapText="1"/>
    </xf>
    <xf numFmtId="2" fontId="5" fillId="0" borderId="55" xfId="0" applyFont="1" applyBorder="1" applyAlignment="1" applyProtection="1">
      <alignment horizontal="left" vertical="center" wrapText="1"/>
    </xf>
    <xf numFmtId="2" fontId="5" fillId="0" borderId="24" xfId="0" applyFont="1" applyBorder="1" applyAlignment="1" applyProtection="1">
      <alignment horizontal="left" vertical="center" wrapText="1"/>
    </xf>
    <xf numFmtId="2" fontId="0" fillId="0" borderId="25" xfId="0" applyBorder="1" applyAlignment="1" applyProtection="1">
      <alignment horizontal="left" vertical="center"/>
    </xf>
    <xf numFmtId="2" fontId="0" fillId="0" borderId="26" xfId="0" applyBorder="1" applyAlignment="1" applyProtection="1">
      <alignment horizontal="left" vertical="center"/>
    </xf>
    <xf numFmtId="2" fontId="5" fillId="0" borderId="70" xfId="0" applyFont="1" applyBorder="1" applyAlignment="1" applyProtection="1">
      <alignment horizontal="left" vertical="top" wrapText="1"/>
    </xf>
    <xf numFmtId="2" fontId="5" fillId="0" borderId="43" xfId="0" applyFont="1" applyBorder="1" applyAlignment="1" applyProtection="1">
      <alignment horizontal="left" vertical="top" wrapText="1"/>
    </xf>
    <xf numFmtId="2" fontId="5" fillId="0" borderId="44" xfId="0" applyFont="1" applyBorder="1" applyAlignment="1" applyProtection="1">
      <alignment horizontal="left" vertical="top" wrapText="1"/>
    </xf>
    <xf numFmtId="2" fontId="5" fillId="0" borderId="24" xfId="0" applyFont="1" applyBorder="1" applyAlignment="1" applyProtection="1">
      <alignment horizontal="left" vertical="top" wrapText="1"/>
    </xf>
    <xf numFmtId="2" fontId="5" fillId="0" borderId="62" xfId="0" applyFont="1" applyBorder="1" applyAlignment="1" applyProtection="1">
      <alignment horizontal="left" vertical="top" wrapText="1"/>
    </xf>
    <xf numFmtId="2" fontId="5" fillId="0" borderId="26" xfId="0" applyFont="1" applyBorder="1" applyAlignment="1" applyProtection="1">
      <alignment horizontal="left" vertical="top" wrapText="1"/>
    </xf>
    <xf numFmtId="2" fontId="17" fillId="0" borderId="44" xfId="1" applyBorder="1" applyAlignment="1" applyProtection="1">
      <alignment horizontal="center" vertical="center" wrapText="1"/>
    </xf>
    <xf numFmtId="2" fontId="0" fillId="0" borderId="24" xfId="0" applyBorder="1" applyAlignment="1" applyProtection="1">
      <alignment horizontal="center" vertical="center" wrapText="1"/>
    </xf>
    <xf numFmtId="49" fontId="5" fillId="0" borderId="31" xfId="0" applyNumberFormat="1" applyFont="1" applyBorder="1" applyAlignment="1" applyProtection="1">
      <alignment horizontal="left" vertical="top"/>
    </xf>
    <xf numFmtId="49" fontId="5" fillId="0" borderId="32" xfId="0" applyNumberFormat="1" applyFont="1" applyBorder="1" applyAlignment="1" applyProtection="1">
      <alignment horizontal="left" vertical="top"/>
    </xf>
    <xf numFmtId="49" fontId="5" fillId="0" borderId="12"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5" fillId="0" borderId="22" xfId="0" applyNumberFormat="1" applyFont="1" applyBorder="1" applyAlignment="1" applyProtection="1">
      <alignment horizontal="left" vertical="top"/>
    </xf>
    <xf numFmtId="49" fontId="5" fillId="0" borderId="7" xfId="0" applyNumberFormat="1" applyFont="1" applyBorder="1" applyAlignment="1" applyProtection="1">
      <alignment horizontal="left" vertical="top"/>
    </xf>
    <xf numFmtId="49" fontId="5" fillId="0" borderId="71" xfId="0" applyNumberFormat="1" applyFont="1" applyBorder="1" applyAlignment="1" applyProtection="1">
      <alignment horizontal="left" vertical="top"/>
    </xf>
    <xf numFmtId="49" fontId="5" fillId="0" borderId="56" xfId="0" applyNumberFormat="1" applyFont="1" applyBorder="1" applyAlignment="1" applyProtection="1">
      <alignment horizontal="left" vertical="top"/>
    </xf>
    <xf numFmtId="2" fontId="0" fillId="0" borderId="72" xfId="0" applyBorder="1" applyAlignment="1" applyProtection="1">
      <alignment horizontal="left" vertical="top"/>
    </xf>
    <xf numFmtId="2" fontId="0" fillId="0" borderId="46" xfId="0" applyBorder="1" applyAlignment="1" applyProtection="1">
      <alignment horizontal="left" vertical="top"/>
    </xf>
    <xf numFmtId="49" fontId="5" fillId="0" borderId="13" xfId="0" applyNumberFormat="1" applyFont="1" applyFill="1" applyBorder="1" applyAlignment="1" applyProtection="1">
      <alignment horizontal="left" vertical="top" wrapText="1"/>
    </xf>
    <xf numFmtId="49" fontId="5" fillId="0" borderId="45" xfId="0" applyNumberFormat="1" applyFont="1" applyFill="1" applyBorder="1" applyAlignment="1" applyProtection="1">
      <alignment horizontal="left" vertical="top" wrapText="1"/>
    </xf>
    <xf numFmtId="2" fontId="15" fillId="0" borderId="0" xfId="0" applyFont="1" applyAlignment="1" applyProtection="1">
      <alignment horizontal="left" vertical="top"/>
    </xf>
    <xf numFmtId="2" fontId="5" fillId="0" borderId="0" xfId="0" applyFont="1" applyAlignment="1" applyProtection="1">
      <alignment horizontal="left" vertical="top" wrapText="1"/>
    </xf>
    <xf numFmtId="2" fontId="8" fillId="0" borderId="0" xfId="0" applyFont="1" applyAlignment="1" applyProtection="1">
      <alignment horizontal="left" vertical="top" wrapText="1"/>
    </xf>
    <xf numFmtId="2" fontId="4" fillId="4" borderId="11" xfId="0" applyFont="1" applyFill="1" applyBorder="1" applyAlignment="1" applyProtection="1">
      <alignment horizontal="left"/>
    </xf>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21" fillId="0" borderId="0" xfId="0" applyFont="1" applyFill="1" applyAlignment="1" applyProtection="1">
      <alignment horizontal="left" vertical="center" wrapText="1"/>
    </xf>
    <xf numFmtId="2" fontId="5"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5"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5" fillId="8" borderId="22" xfId="0" applyFont="1" applyFill="1" applyBorder="1" applyAlignment="1" applyProtection="1"/>
    <xf numFmtId="2" fontId="0" fillId="8" borderId="7" xfId="0" applyFill="1" applyBorder="1" applyAlignment="1" applyProtection="1"/>
    <xf numFmtId="2" fontId="0" fillId="8" borderId="9" xfId="0" applyFill="1" applyBorder="1" applyAlignment="1" applyProtection="1"/>
    <xf numFmtId="2" fontId="4" fillId="4" borderId="19" xfId="0" applyFont="1" applyFill="1" applyBorder="1" applyAlignment="1" applyProtection="1">
      <alignment horizontal="left"/>
    </xf>
    <xf numFmtId="2" fontId="4" fillId="4" borderId="10" xfId="0" applyFont="1" applyFill="1" applyBorder="1" applyAlignment="1" applyProtection="1">
      <alignment horizontal="left"/>
    </xf>
    <xf numFmtId="2" fontId="0" fillId="0" borderId="20" xfId="0" applyBorder="1" applyAlignment="1" applyProtection="1">
      <alignment horizontal="left" vertical="center"/>
    </xf>
    <xf numFmtId="2" fontId="0" fillId="0" borderId="21" xfId="0" applyBorder="1" applyAlignment="1" applyProtection="1">
      <alignment horizontal="left" vertical="center"/>
    </xf>
    <xf numFmtId="2" fontId="5"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5" fillId="0" borderId="54" xfId="0" applyFont="1" applyFill="1" applyBorder="1" applyAlignment="1" applyProtection="1">
      <alignment horizontal="left" vertical="center" wrapText="1"/>
    </xf>
    <xf numFmtId="2" fontId="0" fillId="0" borderId="43" xfId="0" applyFill="1" applyBorder="1" applyAlignment="1" applyProtection="1">
      <alignment horizontal="left" vertical="center" wrapText="1"/>
    </xf>
    <xf numFmtId="2" fontId="5" fillId="0" borderId="55" xfId="0" applyFont="1" applyFill="1" applyBorder="1" applyAlignment="1" applyProtection="1">
      <alignment horizontal="left" vertical="center" wrapText="1"/>
    </xf>
    <xf numFmtId="2" fontId="0" fillId="0" borderId="24" xfId="0" applyFill="1" applyBorder="1" applyAlignment="1" applyProtection="1">
      <alignment horizontal="left" vertical="center" wrapText="1"/>
    </xf>
    <xf numFmtId="2" fontId="5" fillId="0" borderId="24" xfId="0" applyFont="1" applyFill="1" applyBorder="1" applyAlignment="1" applyProtection="1">
      <alignment horizontal="left" vertical="center" wrapText="1"/>
    </xf>
    <xf numFmtId="2" fontId="4" fillId="4" borderId="11" xfId="0" applyFont="1" applyFill="1" applyBorder="1" applyAlignment="1" applyProtection="1">
      <alignment horizontal="left" wrapText="1"/>
    </xf>
    <xf numFmtId="2" fontId="4" fillId="4" borderId="10" xfId="0" applyFont="1" applyFill="1" applyBorder="1" applyAlignment="1" applyProtection="1">
      <alignment horizontal="left" wrapText="1"/>
    </xf>
    <xf numFmtId="2" fontId="6" fillId="4" borderId="11" xfId="0" applyFont="1" applyFill="1" applyBorder="1" applyAlignment="1" applyProtection="1">
      <alignment horizontal="left"/>
    </xf>
    <xf numFmtId="2" fontId="4" fillId="4" borderId="37" xfId="0" applyFont="1" applyFill="1" applyBorder="1" applyAlignment="1" applyProtection="1">
      <alignment horizontal="left"/>
    </xf>
    <xf numFmtId="2" fontId="4" fillId="4" borderId="38" xfId="0" applyFont="1" applyFill="1" applyBorder="1" applyAlignment="1" applyProtection="1">
      <alignment horizontal="left"/>
    </xf>
    <xf numFmtId="2" fontId="4" fillId="4" borderId="11" xfId="2" applyFont="1" applyFill="1" applyBorder="1" applyAlignment="1" applyProtection="1">
      <alignment horizontal="left"/>
    </xf>
    <xf numFmtId="2" fontId="4" fillId="4" borderId="10" xfId="2" applyFont="1" applyFill="1" applyBorder="1" applyAlignment="1" applyProtection="1">
      <alignment horizontal="left"/>
    </xf>
    <xf numFmtId="2" fontId="5" fillId="4" borderId="29" xfId="0" applyFont="1" applyFill="1" applyBorder="1" applyAlignment="1" applyProtection="1">
      <alignment horizontal="left"/>
    </xf>
    <xf numFmtId="2" fontId="5" fillId="4" borderId="27" xfId="0" applyFont="1" applyFill="1" applyBorder="1" applyAlignment="1" applyProtection="1">
      <alignment horizontal="left"/>
    </xf>
    <xf numFmtId="2" fontId="4" fillId="5" borderId="11" xfId="0" applyFont="1" applyFill="1" applyBorder="1" applyAlignment="1" applyProtection="1">
      <alignment horizontal="center"/>
    </xf>
    <xf numFmtId="2" fontId="4" fillId="5" borderId="19" xfId="0" applyFont="1" applyFill="1" applyBorder="1" applyAlignment="1" applyProtection="1">
      <alignment horizontal="center"/>
    </xf>
    <xf numFmtId="2" fontId="4" fillId="5" borderId="10" xfId="0" applyFont="1" applyFill="1" applyBorder="1" applyAlignment="1" applyProtection="1">
      <alignment horizontal="center"/>
    </xf>
    <xf numFmtId="2" fontId="9" fillId="2" borderId="2" xfId="0" applyFont="1" applyFill="1" applyBorder="1" applyAlignment="1" applyProtection="1">
      <alignment horizontal="center" vertical="center"/>
    </xf>
    <xf numFmtId="2" fontId="9" fillId="2" borderId="1" xfId="0" applyFont="1" applyFill="1" applyBorder="1" applyAlignment="1" applyProtection="1">
      <alignment horizontal="center" vertical="center"/>
    </xf>
    <xf numFmtId="2" fontId="9" fillId="2" borderId="28" xfId="0" applyFont="1" applyFill="1" applyBorder="1" applyAlignment="1" applyProtection="1">
      <alignment horizontal="center" vertical="center"/>
    </xf>
    <xf numFmtId="2" fontId="4" fillId="0" borderId="66" xfId="0" applyFont="1" applyBorder="1" applyAlignment="1" applyProtection="1">
      <alignment horizontal="center" vertical="center"/>
    </xf>
    <xf numFmtId="2" fontId="4" fillId="0" borderId="67" xfId="0" applyFont="1" applyBorder="1" applyAlignment="1" applyProtection="1">
      <alignment horizontal="center" vertical="center"/>
    </xf>
    <xf numFmtId="2" fontId="4" fillId="0" borderId="68" xfId="0" applyFont="1" applyBorder="1" applyAlignment="1" applyProtection="1">
      <alignment horizontal="center" vertical="center"/>
    </xf>
    <xf numFmtId="2" fontId="4" fillId="0" borderId="30" xfId="0" applyFont="1" applyBorder="1" applyAlignment="1" applyProtection="1">
      <alignment horizontal="center" wrapText="1"/>
    </xf>
    <xf numFmtId="2" fontId="4" fillId="0" borderId="4" xfId="0" applyFont="1" applyBorder="1" applyAlignment="1" applyProtection="1">
      <alignment horizontal="center" wrapText="1"/>
    </xf>
    <xf numFmtId="2" fontId="4" fillId="0" borderId="30" xfId="0" applyFont="1" applyBorder="1" applyAlignment="1" applyProtection="1">
      <alignment horizontal="center"/>
    </xf>
    <xf numFmtId="2" fontId="4" fillId="0" borderId="4" xfId="0" applyFont="1" applyBorder="1" applyAlignment="1" applyProtection="1">
      <alignment horizontal="center"/>
    </xf>
    <xf numFmtId="2" fontId="5" fillId="0" borderId="40" xfId="0" applyFont="1" applyBorder="1" applyAlignment="1" applyProtection="1">
      <alignment horizontal="center"/>
    </xf>
    <xf numFmtId="2" fontId="5" fillId="0" borderId="5" xfId="0" applyFont="1" applyBorder="1" applyAlignment="1" applyProtection="1">
      <alignment horizontal="center"/>
    </xf>
    <xf numFmtId="2" fontId="0" fillId="0" borderId="40" xfId="0" applyBorder="1" applyAlignment="1" applyProtection="1">
      <alignment horizontal="center"/>
    </xf>
    <xf numFmtId="2" fontId="0" fillId="0" borderId="5" xfId="0" applyBorder="1" applyAlignment="1" applyProtection="1">
      <alignment horizontal="center"/>
    </xf>
    <xf numFmtId="2" fontId="4" fillId="0" borderId="0" xfId="0" applyFont="1" applyAlignment="1" applyProtection="1">
      <alignment horizontal="center" wrapText="1"/>
    </xf>
    <xf numFmtId="2" fontId="4" fillId="0" borderId="0" xfId="0" applyFont="1" applyAlignment="1" applyProtection="1">
      <alignment horizontal="center" vertical="center" wrapText="1"/>
    </xf>
    <xf numFmtId="2" fontId="27" fillId="0" borderId="2" xfId="2" applyFont="1" applyBorder="1" applyAlignment="1" applyProtection="1">
      <alignment horizontal="justify" vertical="top" wrapText="1"/>
    </xf>
    <xf numFmtId="2" fontId="27" fillId="0" borderId="1" xfId="2" applyFont="1" applyBorder="1" applyAlignment="1" applyProtection="1">
      <alignment horizontal="justify" vertical="top" wrapText="1"/>
    </xf>
    <xf numFmtId="2" fontId="27" fillId="0" borderId="28" xfId="2" applyFont="1" applyBorder="1" applyAlignment="1" applyProtection="1">
      <alignment horizontal="justify" vertical="top" wrapText="1"/>
    </xf>
    <xf numFmtId="2" fontId="28" fillId="7" borderId="11" xfId="2" applyFont="1" applyFill="1" applyBorder="1" applyAlignment="1" applyProtection="1">
      <alignment horizontal="center" vertical="top" wrapText="1"/>
    </xf>
    <xf numFmtId="2" fontId="28" fillId="7" borderId="19" xfId="2" applyFont="1" applyFill="1" applyBorder="1" applyAlignment="1" applyProtection="1">
      <alignment horizontal="center" vertical="top" wrapText="1"/>
    </xf>
    <xf numFmtId="2" fontId="28" fillId="7" borderId="10" xfId="2" applyFont="1" applyFill="1" applyBorder="1" applyAlignment="1" applyProtection="1">
      <alignment horizontal="center" vertical="top" wrapText="1"/>
    </xf>
    <xf numFmtId="2" fontId="4" fillId="0" borderId="13" xfId="0" applyFont="1" applyBorder="1" applyAlignment="1" applyProtection="1">
      <alignment horizontal="center" vertical="center"/>
    </xf>
    <xf numFmtId="2" fontId="4" fillId="0" borderId="23" xfId="0" applyFont="1" applyBorder="1" applyAlignment="1" applyProtection="1">
      <alignment horizontal="center" vertical="center"/>
    </xf>
    <xf numFmtId="2" fontId="4" fillId="0" borderId="24" xfId="0" applyFont="1" applyBorder="1" applyAlignment="1" applyProtection="1">
      <alignment horizontal="center" vertical="center"/>
    </xf>
    <xf numFmtId="2" fontId="27" fillId="6" borderId="11" xfId="2" applyFont="1" applyFill="1" applyBorder="1" applyAlignment="1" applyProtection="1">
      <alignment horizontal="center" vertical="center"/>
    </xf>
    <xf numFmtId="2" fontId="27" fillId="6" borderId="19" xfId="2" applyFont="1" applyFill="1" applyBorder="1" applyAlignment="1" applyProtection="1">
      <alignment horizontal="center" vertical="center"/>
    </xf>
    <xf numFmtId="2" fontId="27" fillId="6" borderId="10" xfId="2" applyFont="1" applyFill="1" applyBorder="1" applyAlignment="1" applyProtection="1">
      <alignment horizontal="center" vertical="center"/>
    </xf>
    <xf numFmtId="2" fontId="15" fillId="0" borderId="0" xfId="0" applyFont="1" applyAlignment="1">
      <alignment horizontal="left" vertical="top"/>
    </xf>
    <xf numFmtId="2" fontId="14" fillId="0" borderId="0" xfId="0" applyFont="1" applyAlignment="1">
      <alignment horizontal="left"/>
    </xf>
    <xf numFmtId="1" fontId="4" fillId="3" borderId="73" xfId="0" applyNumberFormat="1" applyFont="1" applyFill="1" applyBorder="1" applyAlignment="1">
      <alignment horizontal="left" vertical="center"/>
    </xf>
    <xf numFmtId="1" fontId="4" fillId="3" borderId="74" xfId="0" applyNumberFormat="1" applyFont="1" applyFill="1" applyBorder="1" applyAlignment="1">
      <alignment horizontal="left" vertical="center"/>
    </xf>
    <xf numFmtId="1" fontId="4" fillId="3" borderId="43" xfId="0" applyNumberFormat="1" applyFont="1" applyFill="1" applyBorder="1" applyAlignment="1">
      <alignment horizontal="left" vertical="center"/>
    </xf>
    <xf numFmtId="1" fontId="4" fillId="3" borderId="13" xfId="0" applyNumberFormat="1" applyFont="1" applyFill="1" applyBorder="1" applyAlignment="1">
      <alignment horizontal="left" vertical="center"/>
    </xf>
    <xf numFmtId="1" fontId="4" fillId="3" borderId="23" xfId="0" applyNumberFormat="1" applyFont="1" applyFill="1" applyBorder="1" applyAlignment="1">
      <alignment horizontal="left" vertical="center"/>
    </xf>
    <xf numFmtId="1" fontId="4" fillId="3" borderId="24" xfId="0" applyNumberFormat="1" applyFont="1" applyFill="1" applyBorder="1" applyAlignment="1">
      <alignment horizontal="left" vertical="center"/>
    </xf>
    <xf numFmtId="2" fontId="36" fillId="4" borderId="6" xfId="0" applyFont="1" applyFill="1" applyBorder="1" applyAlignment="1">
      <alignment horizontal="center" vertical="center" wrapText="1"/>
    </xf>
    <xf numFmtId="2" fontId="36" fillId="4" borderId="44" xfId="0" applyFont="1" applyFill="1" applyBorder="1" applyAlignment="1">
      <alignment horizontal="center" vertical="center" wrapText="1"/>
    </xf>
    <xf numFmtId="2" fontId="36" fillId="4" borderId="23" xfId="0" applyFont="1" applyFill="1" applyBorder="1" applyAlignment="1">
      <alignment horizontal="center" vertical="center" wrapText="1"/>
    </xf>
    <xf numFmtId="2" fontId="36" fillId="4" borderId="45" xfId="0" applyFont="1" applyFill="1" applyBorder="1" applyAlignment="1">
      <alignment horizontal="center" vertical="center" wrapText="1"/>
    </xf>
    <xf numFmtId="2" fontId="36" fillId="4" borderId="60" xfId="0" applyFont="1" applyFill="1" applyBorder="1" applyAlignment="1">
      <alignment horizontal="center" vertical="center" wrapText="1"/>
    </xf>
    <xf numFmtId="2" fontId="36" fillId="4" borderId="16" xfId="0" applyFont="1" applyFill="1" applyBorder="1" applyAlignment="1">
      <alignment horizontal="center" vertical="center" wrapText="1"/>
    </xf>
    <xf numFmtId="2" fontId="4" fillId="4" borderId="6" xfId="0" applyFont="1" applyFill="1" applyBorder="1" applyAlignment="1">
      <alignment horizontal="center" vertical="center"/>
    </xf>
    <xf numFmtId="0" fontId="22" fillId="4" borderId="44" xfId="9" applyFont="1" applyFill="1" applyBorder="1" applyAlignment="1">
      <alignment horizontal="center"/>
    </xf>
    <xf numFmtId="0" fontId="22" fillId="4" borderId="23" xfId="9" applyFont="1" applyFill="1" applyBorder="1" applyAlignment="1">
      <alignment horizontal="center"/>
    </xf>
    <xf numFmtId="0" fontId="22" fillId="4" borderId="45" xfId="9" applyFont="1" applyFill="1" applyBorder="1" applyAlignment="1">
      <alignment horizontal="center"/>
    </xf>
  </cellXfs>
  <cellStyles count="12">
    <cellStyle name="Comma 2" xfId="10"/>
    <cellStyle name="Hyperlink" xfId="1" builtinId="8"/>
    <cellStyle name="Hyperlink 2" xfId="4"/>
    <cellStyle name="Normal" xfId="0" builtinId="0"/>
    <cellStyle name="Normal 2" xfId="2"/>
    <cellStyle name="Normal 2 2" xfId="5"/>
    <cellStyle name="Normal 2 3" xfId="6"/>
    <cellStyle name="Normal 3" xfId="3"/>
    <cellStyle name="Normal 3 2" xfId="9"/>
    <cellStyle name="Normal 3 3" xfId="11"/>
    <cellStyle name="Normal 4" xfId="7"/>
    <cellStyle name="Percent 2" xfId="8"/>
  </cellStyles>
  <dxfs count="12">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6600"/>
      <color rgb="FFCC660A"/>
      <color rgb="FF0000FF"/>
      <color rgb="FFCC33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1.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4"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38" customWidth="1"/>
    <col min="2" max="2" width="5.88671875" style="180" customWidth="1"/>
    <col min="3" max="3" width="120.88671875" style="14" customWidth="1"/>
    <col min="4" max="16384" width="9.109375" style="38"/>
  </cols>
  <sheetData>
    <row r="1" spans="2:6" ht="17.399999999999999" x14ac:dyDescent="0.25">
      <c r="B1" s="296" t="s">
        <v>307</v>
      </c>
      <c r="C1" s="296"/>
    </row>
    <row r="2" spans="2:6" ht="15.6" x14ac:dyDescent="0.25">
      <c r="B2" s="297" t="s">
        <v>308</v>
      </c>
      <c r="C2" s="297"/>
    </row>
    <row r="3" spans="2:6" x14ac:dyDescent="0.25">
      <c r="B3" s="174"/>
      <c r="C3" s="38"/>
    </row>
    <row r="4" spans="2:6" x14ac:dyDescent="0.25">
      <c r="B4" s="292" t="s">
        <v>309</v>
      </c>
      <c r="C4" s="292"/>
    </row>
    <row r="5" spans="2:6" ht="75" customHeight="1" x14ac:dyDescent="0.25">
      <c r="B5" s="293" t="s">
        <v>478</v>
      </c>
      <c r="C5" s="293"/>
      <c r="F5" s="250"/>
    </row>
    <row r="6" spans="2:6" ht="18" customHeight="1" x14ac:dyDescent="0.25">
      <c r="B6" s="295" t="s">
        <v>442</v>
      </c>
      <c r="C6" s="295"/>
      <c r="F6" s="250"/>
    </row>
    <row r="7" spans="2:6" ht="15" customHeight="1" x14ac:dyDescent="0.25">
      <c r="B7" s="175"/>
      <c r="C7" s="38"/>
    </row>
    <row r="8" spans="2:6" x14ac:dyDescent="0.25">
      <c r="B8" s="292" t="s">
        <v>310</v>
      </c>
      <c r="C8" s="292"/>
    </row>
    <row r="9" spans="2:6" ht="97.5" customHeight="1" x14ac:dyDescent="0.25">
      <c r="B9" s="293" t="s">
        <v>443</v>
      </c>
      <c r="C9" s="293"/>
    </row>
    <row r="10" spans="2:6" ht="15" customHeight="1" x14ac:dyDescent="0.25">
      <c r="B10" s="175"/>
      <c r="C10" s="38"/>
    </row>
    <row r="11" spans="2:6" x14ac:dyDescent="0.25">
      <c r="B11" s="292" t="s">
        <v>317</v>
      </c>
      <c r="C11" s="292"/>
    </row>
    <row r="12" spans="2:6" ht="84" customHeight="1" x14ac:dyDescent="0.25">
      <c r="B12" s="293" t="s">
        <v>444</v>
      </c>
      <c r="C12" s="293"/>
    </row>
    <row r="13" spans="2:6" ht="15" customHeight="1" x14ac:dyDescent="0.25">
      <c r="B13" s="175"/>
      <c r="C13" s="38"/>
    </row>
    <row r="14" spans="2:6" x14ac:dyDescent="0.25">
      <c r="B14" s="292" t="s">
        <v>311</v>
      </c>
      <c r="C14" s="292"/>
    </row>
    <row r="15" spans="2:6" ht="18.75" customHeight="1" x14ac:dyDescent="0.25">
      <c r="B15" s="293" t="s">
        <v>445</v>
      </c>
      <c r="C15" s="293"/>
    </row>
    <row r="16" spans="2:6" ht="15.75" customHeight="1" x14ac:dyDescent="0.25">
      <c r="B16" s="176" t="s">
        <v>318</v>
      </c>
      <c r="C16" s="179" t="s">
        <v>446</v>
      </c>
    </row>
    <row r="17" spans="2:3" ht="27.75" customHeight="1" x14ac:dyDescent="0.25">
      <c r="B17" s="176" t="s">
        <v>319</v>
      </c>
      <c r="C17" s="179" t="s">
        <v>503</v>
      </c>
    </row>
    <row r="18" spans="2:3" ht="9" customHeight="1" x14ac:dyDescent="0.25">
      <c r="B18" s="255"/>
      <c r="C18" s="38"/>
    </row>
    <row r="19" spans="2:3" x14ac:dyDescent="0.25">
      <c r="B19" s="292" t="s">
        <v>312</v>
      </c>
      <c r="C19" s="292"/>
    </row>
    <row r="20" spans="2:3" ht="18" customHeight="1" x14ac:dyDescent="0.25">
      <c r="B20" s="293" t="s">
        <v>313</v>
      </c>
      <c r="C20" s="293"/>
    </row>
    <row r="21" spans="2:3" x14ac:dyDescent="0.25">
      <c r="B21" s="176" t="s">
        <v>318</v>
      </c>
      <c r="C21" s="177" t="s">
        <v>447</v>
      </c>
    </row>
    <row r="22" spans="2:3" x14ac:dyDescent="0.25">
      <c r="B22" s="176" t="s">
        <v>319</v>
      </c>
      <c r="C22" s="177" t="s">
        <v>448</v>
      </c>
    </row>
    <row r="23" spans="2:3" x14ac:dyDescent="0.25">
      <c r="B23" s="176" t="s">
        <v>320</v>
      </c>
      <c r="C23" s="177" t="s">
        <v>449</v>
      </c>
    </row>
    <row r="24" spans="2:3" x14ac:dyDescent="0.25">
      <c r="B24" s="38"/>
      <c r="C24" s="255"/>
    </row>
    <row r="25" spans="2:3" x14ac:dyDescent="0.25">
      <c r="B25" s="292" t="s">
        <v>314</v>
      </c>
      <c r="C25" s="292"/>
    </row>
    <row r="26" spans="2:3" ht="51" customHeight="1" x14ac:dyDescent="0.25">
      <c r="B26" s="294" t="s">
        <v>450</v>
      </c>
      <c r="C26" s="294"/>
    </row>
    <row r="27" spans="2:3" ht="24" customHeight="1" x14ac:dyDescent="0.25">
      <c r="B27" s="295" t="s">
        <v>451</v>
      </c>
      <c r="C27" s="293"/>
    </row>
    <row r="28" spans="2:3" x14ac:dyDescent="0.25">
      <c r="B28" s="178"/>
      <c r="C28" s="38"/>
    </row>
    <row r="29" spans="2:3" x14ac:dyDescent="0.25">
      <c r="B29" s="292" t="s">
        <v>315</v>
      </c>
      <c r="C29" s="292"/>
    </row>
    <row r="30" spans="2:3" ht="53.25" customHeight="1" x14ac:dyDescent="0.25">
      <c r="B30" s="293" t="s">
        <v>452</v>
      </c>
      <c r="C30" s="293"/>
    </row>
    <row r="31" spans="2:3" x14ac:dyDescent="0.25">
      <c r="B31" s="175"/>
      <c r="C31" s="38"/>
    </row>
    <row r="32" spans="2:3" x14ac:dyDescent="0.25">
      <c r="B32" s="292" t="s">
        <v>316</v>
      </c>
      <c r="C32" s="292"/>
    </row>
    <row r="33" spans="2:3" x14ac:dyDescent="0.25">
      <c r="B33" s="176" t="s">
        <v>318</v>
      </c>
      <c r="C33" s="179" t="s">
        <v>453</v>
      </c>
    </row>
    <row r="34" spans="2:3" x14ac:dyDescent="0.25">
      <c r="B34" s="176" t="s">
        <v>319</v>
      </c>
      <c r="C34" s="179" t="s">
        <v>328</v>
      </c>
    </row>
    <row r="35" spans="2:3" ht="26.4" x14ac:dyDescent="0.25">
      <c r="B35" s="176" t="s">
        <v>320</v>
      </c>
      <c r="C35" s="179" t="s">
        <v>504</v>
      </c>
    </row>
    <row r="36" spans="2:3" ht="26.4" x14ac:dyDescent="0.25">
      <c r="B36" s="176" t="s">
        <v>321</v>
      </c>
      <c r="C36" s="179" t="s">
        <v>502</v>
      </c>
    </row>
    <row r="37" spans="2:3" x14ac:dyDescent="0.25">
      <c r="B37" s="176" t="s">
        <v>322</v>
      </c>
      <c r="C37" s="179" t="s">
        <v>323</v>
      </c>
    </row>
  </sheetData>
  <sheetProtection password="C969" sheet="1" objects="1" scenarios="1"/>
  <mergeCells count="19">
    <mergeCell ref="B19:C19"/>
    <mergeCell ref="B1:C1"/>
    <mergeCell ref="B2:C2"/>
    <mergeCell ref="B4:C4"/>
    <mergeCell ref="B5:C5"/>
    <mergeCell ref="B6:C6"/>
    <mergeCell ref="B8:C8"/>
    <mergeCell ref="B9:C9"/>
    <mergeCell ref="B11:C11"/>
    <mergeCell ref="B12:C12"/>
    <mergeCell ref="B14:C14"/>
    <mergeCell ref="B15:C15"/>
    <mergeCell ref="B32:C32"/>
    <mergeCell ref="B20:C20"/>
    <mergeCell ref="B25:C25"/>
    <mergeCell ref="B26:C26"/>
    <mergeCell ref="B27:C27"/>
    <mergeCell ref="B29:C29"/>
    <mergeCell ref="B30:C30"/>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7"/>
  <sheetViews>
    <sheetView workbookViewId="0"/>
  </sheetViews>
  <sheetFormatPr defaultRowHeight="13.2" x14ac:dyDescent="0.25"/>
  <cols>
    <col min="1" max="1" width="52.6640625" customWidth="1"/>
    <col min="2" max="3" width="20.6640625" style="6" customWidth="1"/>
    <col min="4" max="4" width="85.88671875" customWidth="1"/>
  </cols>
  <sheetData>
    <row r="1" spans="1:4" ht="17.399999999999999" x14ac:dyDescent="0.3">
      <c r="A1" s="1" t="s">
        <v>49</v>
      </c>
      <c r="B1" s="46"/>
      <c r="C1" s="46"/>
    </row>
    <row r="2" spans="1:4" ht="12" customHeight="1" thickBot="1" x14ac:dyDescent="0.3">
      <c r="A2" s="2"/>
      <c r="B2" s="44"/>
      <c r="C2" s="44"/>
    </row>
    <row r="3" spans="1:4" ht="12" customHeight="1" thickBot="1" x14ac:dyDescent="0.3">
      <c r="A3" s="230" t="s">
        <v>50</v>
      </c>
      <c r="B3" s="189" t="s">
        <v>55</v>
      </c>
      <c r="C3" s="189" t="s">
        <v>73</v>
      </c>
      <c r="D3" s="231" t="s">
        <v>37</v>
      </c>
    </row>
    <row r="4" spans="1:4" x14ac:dyDescent="0.25">
      <c r="A4" s="211" t="s">
        <v>12</v>
      </c>
      <c r="B4" s="9" t="s">
        <v>56</v>
      </c>
      <c r="C4" s="9"/>
      <c r="D4" s="211" t="s">
        <v>385</v>
      </c>
    </row>
    <row r="5" spans="1:4" x14ac:dyDescent="0.25">
      <c r="A5" s="217" t="s">
        <v>370</v>
      </c>
      <c r="B5" s="170">
        <v>28.01</v>
      </c>
      <c r="C5" s="9" t="s">
        <v>369</v>
      </c>
      <c r="D5" s="211" t="s">
        <v>385</v>
      </c>
    </row>
    <row r="6" spans="1:4" x14ac:dyDescent="0.25">
      <c r="A6" s="217" t="s">
        <v>372</v>
      </c>
      <c r="B6" s="170">
        <v>86.18</v>
      </c>
      <c r="C6" s="9" t="s">
        <v>369</v>
      </c>
      <c r="D6" s="211" t="s">
        <v>385</v>
      </c>
    </row>
    <row r="7" spans="1:4" x14ac:dyDescent="0.25">
      <c r="A7" s="217" t="s">
        <v>414</v>
      </c>
      <c r="B7" s="170">
        <v>32.07</v>
      </c>
      <c r="C7" s="9" t="s">
        <v>369</v>
      </c>
      <c r="D7" s="211"/>
    </row>
    <row r="8" spans="1:4" x14ac:dyDescent="0.25">
      <c r="A8" s="217" t="s">
        <v>371</v>
      </c>
      <c r="B8" s="170">
        <v>2.21</v>
      </c>
      <c r="C8" s="9" t="s">
        <v>366</v>
      </c>
      <c r="D8" s="211" t="s">
        <v>385</v>
      </c>
    </row>
    <row r="9" spans="1:4" ht="15.6" x14ac:dyDescent="0.25">
      <c r="A9" s="217" t="s">
        <v>373</v>
      </c>
      <c r="B9" s="170">
        <v>35.314700000000002</v>
      </c>
      <c r="C9" s="9" t="s">
        <v>374</v>
      </c>
      <c r="D9" s="61"/>
    </row>
    <row r="10" spans="1:4" x14ac:dyDescent="0.25">
      <c r="A10" s="217" t="s">
        <v>377</v>
      </c>
      <c r="B10" s="170">
        <v>75</v>
      </c>
      <c r="C10" s="9" t="s">
        <v>378</v>
      </c>
      <c r="D10" s="211" t="s">
        <v>385</v>
      </c>
    </row>
    <row r="11" spans="1:4" ht="16.8" x14ac:dyDescent="0.35">
      <c r="A11" s="217" t="s">
        <v>380</v>
      </c>
      <c r="B11" s="170">
        <v>100</v>
      </c>
      <c r="C11" s="9" t="s">
        <v>382</v>
      </c>
      <c r="D11" s="211" t="s">
        <v>385</v>
      </c>
    </row>
    <row r="12" spans="1:4" ht="16.8" x14ac:dyDescent="0.35">
      <c r="A12" s="217" t="s">
        <v>381</v>
      </c>
      <c r="B12" s="9" t="s">
        <v>383</v>
      </c>
      <c r="C12" s="9" t="s">
        <v>382</v>
      </c>
      <c r="D12" s="211" t="s">
        <v>384</v>
      </c>
    </row>
    <row r="13" spans="1:4" ht="15.6" x14ac:dyDescent="0.25">
      <c r="A13" s="217" t="s">
        <v>388</v>
      </c>
      <c r="B13" s="170">
        <v>0.02</v>
      </c>
      <c r="C13" s="9" t="s">
        <v>390</v>
      </c>
      <c r="D13" s="216" t="s">
        <v>385</v>
      </c>
    </row>
    <row r="14" spans="1:4" ht="15.6" x14ac:dyDescent="0.25">
      <c r="A14" s="217" t="s">
        <v>387</v>
      </c>
      <c r="B14" s="170">
        <v>0.04</v>
      </c>
      <c r="C14" s="9" t="s">
        <v>390</v>
      </c>
      <c r="D14" s="216" t="s">
        <v>385</v>
      </c>
    </row>
    <row r="15" spans="1:4" ht="15.6" x14ac:dyDescent="0.25">
      <c r="A15" s="217" t="s">
        <v>389</v>
      </c>
      <c r="B15" s="170">
        <v>0.3</v>
      </c>
      <c r="C15" s="9" t="s">
        <v>390</v>
      </c>
      <c r="D15" s="216" t="s">
        <v>385</v>
      </c>
    </row>
    <row r="16" spans="1:4" x14ac:dyDescent="0.25">
      <c r="A16" s="217" t="s">
        <v>421</v>
      </c>
      <c r="B16" s="170">
        <v>0.90700000000000003</v>
      </c>
      <c r="C16" s="9" t="s">
        <v>422</v>
      </c>
      <c r="D16" s="61"/>
    </row>
    <row r="17" spans="1:4" x14ac:dyDescent="0.25">
      <c r="A17" s="217" t="s">
        <v>438</v>
      </c>
      <c r="B17" s="170">
        <v>20</v>
      </c>
      <c r="C17" s="9" t="s">
        <v>363</v>
      </c>
      <c r="D17" s="216" t="s">
        <v>385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244" bestFit="1" customWidth="1"/>
    <col min="2" max="2" width="17.88671875" style="243" bestFit="1" customWidth="1"/>
    <col min="3" max="3" width="11" style="243" bestFit="1" customWidth="1"/>
    <col min="4" max="4" width="19.44140625" style="244" bestFit="1" customWidth="1"/>
    <col min="5" max="5" width="14.33203125" style="244" bestFit="1" customWidth="1"/>
    <col min="6" max="6" width="26" style="244" bestFit="1" customWidth="1"/>
    <col min="7" max="7" width="18.6640625" style="244" bestFit="1" customWidth="1"/>
    <col min="8" max="8" width="14.33203125" style="244" bestFit="1" customWidth="1"/>
    <col min="9" max="10" width="26" style="244" bestFit="1" customWidth="1"/>
    <col min="11" max="11" width="18.6640625" style="244" bestFit="1" customWidth="1"/>
    <col min="12" max="12" width="13.44140625" style="244" bestFit="1" customWidth="1"/>
    <col min="13" max="13" width="5.5546875" style="243" bestFit="1" customWidth="1"/>
    <col min="14" max="14" width="12.109375" style="243" bestFit="1" customWidth="1"/>
    <col min="15" max="16384" width="9.109375" style="244"/>
  </cols>
  <sheetData>
    <row r="1" spans="1:14" ht="17.399999999999999" x14ac:dyDescent="0.3">
      <c r="A1" s="76" t="s">
        <v>75</v>
      </c>
    </row>
    <row r="3" spans="1:14" x14ac:dyDescent="0.3">
      <c r="D3" s="405" t="s">
        <v>76</v>
      </c>
      <c r="E3" s="406"/>
      <c r="F3" s="406"/>
      <c r="G3" s="406"/>
      <c r="H3" s="406"/>
      <c r="I3" s="406"/>
      <c r="J3" s="406"/>
      <c r="K3" s="406"/>
      <c r="L3" s="406"/>
      <c r="M3" s="406"/>
      <c r="N3" s="407"/>
    </row>
    <row r="4" spans="1:14" x14ac:dyDescent="0.3">
      <c r="A4" s="245" t="s">
        <v>77</v>
      </c>
      <c r="B4" s="246" t="s">
        <v>78</v>
      </c>
      <c r="C4" s="246" t="s">
        <v>79</v>
      </c>
      <c r="D4" s="245" t="s">
        <v>6</v>
      </c>
      <c r="E4" s="245" t="s">
        <v>8</v>
      </c>
      <c r="F4" s="245" t="s">
        <v>9</v>
      </c>
      <c r="G4" s="245" t="s">
        <v>80</v>
      </c>
      <c r="H4" s="245" t="s">
        <v>81</v>
      </c>
      <c r="I4" s="245" t="s">
        <v>82</v>
      </c>
      <c r="J4" s="245" t="s">
        <v>83</v>
      </c>
      <c r="K4" s="245" t="s">
        <v>84</v>
      </c>
      <c r="L4" s="245" t="s">
        <v>85</v>
      </c>
      <c r="M4" s="246" t="s">
        <v>77</v>
      </c>
      <c r="N4" s="246" t="s">
        <v>86</v>
      </c>
    </row>
    <row r="5" spans="1:14" x14ac:dyDescent="0.3">
      <c r="A5" s="244" t="s">
        <v>87</v>
      </c>
      <c r="B5" s="243" t="s">
        <v>88</v>
      </c>
      <c r="C5" s="243">
        <v>4</v>
      </c>
      <c r="D5" s="247" t="s">
        <v>89</v>
      </c>
      <c r="E5" s="248" t="s">
        <v>90</v>
      </c>
      <c r="F5" s="77" t="s">
        <v>91</v>
      </c>
      <c r="G5" s="248" t="s">
        <v>92</v>
      </c>
      <c r="H5" s="248" t="s">
        <v>93</v>
      </c>
      <c r="I5" s="78" t="s">
        <v>94</v>
      </c>
      <c r="J5" s="248" t="s">
        <v>95</v>
      </c>
      <c r="K5" s="247" t="s">
        <v>96</v>
      </c>
      <c r="L5" s="248" t="s">
        <v>97</v>
      </c>
      <c r="M5" s="249" t="s">
        <v>98</v>
      </c>
      <c r="N5" s="249" t="s">
        <v>99</v>
      </c>
    </row>
    <row r="6" spans="1:14" x14ac:dyDescent="0.3">
      <c r="A6" s="244" t="s">
        <v>100</v>
      </c>
      <c r="B6" s="243" t="s">
        <v>101</v>
      </c>
      <c r="C6" s="243">
        <v>10</v>
      </c>
      <c r="D6" s="247" t="s">
        <v>102</v>
      </c>
      <c r="E6" s="247" t="s">
        <v>103</v>
      </c>
      <c r="F6" s="78" t="s">
        <v>104</v>
      </c>
      <c r="G6" s="247" t="s">
        <v>105</v>
      </c>
      <c r="H6" s="248"/>
      <c r="I6" s="248"/>
      <c r="J6" s="248" t="s">
        <v>106</v>
      </c>
      <c r="K6" s="248" t="s">
        <v>107</v>
      </c>
      <c r="L6" s="248" t="s">
        <v>108</v>
      </c>
      <c r="M6" s="249" t="s">
        <v>109</v>
      </c>
      <c r="N6" s="249">
        <v>98101</v>
      </c>
    </row>
    <row r="7" spans="1:14" x14ac:dyDescent="0.3">
      <c r="A7" s="244" t="s">
        <v>110</v>
      </c>
      <c r="B7" s="243" t="s">
        <v>111</v>
      </c>
      <c r="C7" s="243">
        <v>9</v>
      </c>
      <c r="D7" s="247" t="s">
        <v>112</v>
      </c>
      <c r="E7" s="248" t="s">
        <v>113</v>
      </c>
      <c r="F7" s="77" t="s">
        <v>114</v>
      </c>
      <c r="G7" s="247" t="s">
        <v>115</v>
      </c>
      <c r="H7" s="248" t="s">
        <v>116</v>
      </c>
      <c r="I7" s="77" t="s">
        <v>117</v>
      </c>
      <c r="J7" s="248" t="s">
        <v>118</v>
      </c>
      <c r="K7" s="248" t="s">
        <v>119</v>
      </c>
      <c r="L7" s="248" t="s">
        <v>120</v>
      </c>
      <c r="M7" s="249" t="s">
        <v>121</v>
      </c>
      <c r="N7" s="249">
        <v>94105</v>
      </c>
    </row>
    <row r="8" spans="1:14" x14ac:dyDescent="0.3">
      <c r="A8" s="244" t="s">
        <v>122</v>
      </c>
      <c r="B8" s="243" t="s">
        <v>123</v>
      </c>
      <c r="C8" s="243">
        <v>6</v>
      </c>
      <c r="D8" s="247" t="s">
        <v>124</v>
      </c>
      <c r="E8" s="248" t="s">
        <v>125</v>
      </c>
      <c r="F8" s="79" t="s">
        <v>126</v>
      </c>
      <c r="G8" s="248" t="s">
        <v>105</v>
      </c>
      <c r="H8" s="248"/>
      <c r="I8" s="248"/>
      <c r="J8" s="247" t="s">
        <v>127</v>
      </c>
      <c r="K8" s="247" t="s">
        <v>128</v>
      </c>
      <c r="L8" s="248" t="s">
        <v>129</v>
      </c>
      <c r="M8" s="249" t="s">
        <v>130</v>
      </c>
      <c r="N8" s="249" t="s">
        <v>131</v>
      </c>
    </row>
    <row r="9" spans="1:14" x14ac:dyDescent="0.3">
      <c r="A9" s="244" t="s">
        <v>132</v>
      </c>
      <c r="B9" s="243" t="s">
        <v>121</v>
      </c>
      <c r="C9" s="243">
        <v>9</v>
      </c>
      <c r="D9" s="247" t="s">
        <v>112</v>
      </c>
      <c r="E9" s="248" t="s">
        <v>113</v>
      </c>
      <c r="F9" s="77" t="s">
        <v>114</v>
      </c>
      <c r="G9" s="247" t="s">
        <v>115</v>
      </c>
      <c r="H9" s="248" t="s">
        <v>116</v>
      </c>
      <c r="I9" s="77" t="s">
        <v>117</v>
      </c>
      <c r="J9" s="248" t="s">
        <v>118</v>
      </c>
      <c r="K9" s="248" t="s">
        <v>119</v>
      </c>
      <c r="L9" s="248" t="s">
        <v>120</v>
      </c>
      <c r="M9" s="249" t="s">
        <v>121</v>
      </c>
      <c r="N9" s="249">
        <v>94105</v>
      </c>
    </row>
    <row r="10" spans="1:14" x14ac:dyDescent="0.3">
      <c r="A10" s="244" t="s">
        <v>133</v>
      </c>
      <c r="B10" s="243" t="s">
        <v>61</v>
      </c>
      <c r="C10" s="243">
        <v>8</v>
      </c>
      <c r="D10" s="247" t="s">
        <v>134</v>
      </c>
      <c r="E10" s="248" t="s">
        <v>135</v>
      </c>
      <c r="F10" s="77" t="s">
        <v>136</v>
      </c>
      <c r="G10" s="247" t="s">
        <v>137</v>
      </c>
      <c r="H10" s="248" t="s">
        <v>138</v>
      </c>
      <c r="I10" s="78" t="s">
        <v>139</v>
      </c>
      <c r="J10" s="247" t="s">
        <v>140</v>
      </c>
      <c r="K10" s="247" t="s">
        <v>141</v>
      </c>
      <c r="L10" s="248" t="s">
        <v>142</v>
      </c>
      <c r="M10" s="249" t="s">
        <v>61</v>
      </c>
      <c r="N10" s="249" t="s">
        <v>143</v>
      </c>
    </row>
    <row r="11" spans="1:14" x14ac:dyDescent="0.3">
      <c r="A11" s="244" t="s">
        <v>144</v>
      </c>
      <c r="B11" s="243" t="s">
        <v>145</v>
      </c>
      <c r="C11" s="243">
        <v>1</v>
      </c>
      <c r="D11" s="248" t="s">
        <v>146</v>
      </c>
      <c r="E11" s="248" t="s">
        <v>147</v>
      </c>
      <c r="F11" s="78" t="s">
        <v>148</v>
      </c>
      <c r="G11" s="248" t="s">
        <v>105</v>
      </c>
      <c r="H11" s="248"/>
      <c r="I11" s="248"/>
      <c r="J11" s="247" t="s">
        <v>149</v>
      </c>
      <c r="K11" s="247" t="s">
        <v>150</v>
      </c>
      <c r="L11" s="248" t="s">
        <v>151</v>
      </c>
      <c r="M11" s="249" t="s">
        <v>152</v>
      </c>
      <c r="N11" s="249" t="s">
        <v>153</v>
      </c>
    </row>
    <row r="12" spans="1:14" x14ac:dyDescent="0.3">
      <c r="A12" s="244" t="s">
        <v>154</v>
      </c>
      <c r="B12" s="243" t="s">
        <v>155</v>
      </c>
      <c r="C12" s="243">
        <v>4</v>
      </c>
      <c r="D12" s="247" t="s">
        <v>89</v>
      </c>
      <c r="E12" s="248" t="s">
        <v>90</v>
      </c>
      <c r="F12" s="77" t="s">
        <v>91</v>
      </c>
      <c r="G12" s="248" t="s">
        <v>92</v>
      </c>
      <c r="H12" s="248" t="s">
        <v>93</v>
      </c>
      <c r="I12" s="78" t="s">
        <v>94</v>
      </c>
      <c r="J12" s="248" t="s">
        <v>95</v>
      </c>
      <c r="K12" s="247" t="s">
        <v>96</v>
      </c>
      <c r="L12" s="248" t="s">
        <v>97</v>
      </c>
      <c r="M12" s="249" t="s">
        <v>98</v>
      </c>
      <c r="N12" s="249" t="s">
        <v>99</v>
      </c>
    </row>
    <row r="13" spans="1:14" x14ac:dyDescent="0.3">
      <c r="A13" s="248" t="s">
        <v>440</v>
      </c>
      <c r="B13" s="243" t="s">
        <v>98</v>
      </c>
      <c r="C13" s="243">
        <v>4</v>
      </c>
      <c r="D13" s="247" t="s">
        <v>89</v>
      </c>
      <c r="E13" s="248" t="s">
        <v>90</v>
      </c>
      <c r="F13" s="77" t="s">
        <v>91</v>
      </c>
      <c r="G13" s="248" t="s">
        <v>92</v>
      </c>
      <c r="H13" s="248" t="s">
        <v>93</v>
      </c>
      <c r="I13" s="78" t="s">
        <v>94</v>
      </c>
      <c r="J13" s="248" t="s">
        <v>95</v>
      </c>
      <c r="K13" s="247" t="s">
        <v>96</v>
      </c>
      <c r="L13" s="248" t="s">
        <v>97</v>
      </c>
      <c r="M13" s="249" t="s">
        <v>98</v>
      </c>
      <c r="N13" s="249" t="s">
        <v>99</v>
      </c>
    </row>
    <row r="14" spans="1:14" x14ac:dyDescent="0.3">
      <c r="A14" s="244" t="s">
        <v>156</v>
      </c>
      <c r="B14" s="243" t="s">
        <v>157</v>
      </c>
      <c r="C14" s="243">
        <v>9</v>
      </c>
      <c r="D14" s="247" t="s">
        <v>112</v>
      </c>
      <c r="E14" s="248" t="s">
        <v>113</v>
      </c>
      <c r="F14" s="77" t="s">
        <v>114</v>
      </c>
      <c r="G14" s="247" t="s">
        <v>115</v>
      </c>
      <c r="H14" s="248" t="s">
        <v>116</v>
      </c>
      <c r="I14" s="77" t="s">
        <v>117</v>
      </c>
      <c r="J14" s="248" t="s">
        <v>118</v>
      </c>
      <c r="K14" s="248" t="s">
        <v>119</v>
      </c>
      <c r="L14" s="248" t="s">
        <v>120</v>
      </c>
      <c r="M14" s="249" t="s">
        <v>121</v>
      </c>
      <c r="N14" s="249">
        <v>94105</v>
      </c>
    </row>
    <row r="15" spans="1:14" x14ac:dyDescent="0.3">
      <c r="A15" s="244" t="s">
        <v>158</v>
      </c>
      <c r="B15" s="243" t="s">
        <v>159</v>
      </c>
      <c r="C15" s="243">
        <v>10</v>
      </c>
      <c r="D15" s="247" t="s">
        <v>102</v>
      </c>
      <c r="E15" s="247" t="s">
        <v>103</v>
      </c>
      <c r="F15" s="78" t="s">
        <v>104</v>
      </c>
      <c r="G15" s="247" t="s">
        <v>105</v>
      </c>
      <c r="H15" s="248"/>
      <c r="I15" s="248"/>
      <c r="J15" s="248" t="s">
        <v>106</v>
      </c>
      <c r="K15" s="248" t="s">
        <v>107</v>
      </c>
      <c r="L15" s="248" t="s">
        <v>108</v>
      </c>
      <c r="M15" s="249" t="s">
        <v>109</v>
      </c>
      <c r="N15" s="249">
        <v>98101</v>
      </c>
    </row>
    <row r="16" spans="1:14" x14ac:dyDescent="0.3">
      <c r="A16" s="244" t="s">
        <v>160</v>
      </c>
      <c r="B16" s="243" t="s">
        <v>161</v>
      </c>
      <c r="C16" s="243">
        <v>5</v>
      </c>
      <c r="D16" s="247" t="s">
        <v>162</v>
      </c>
      <c r="E16" s="248" t="s">
        <v>163</v>
      </c>
      <c r="F16" s="77" t="s">
        <v>164</v>
      </c>
      <c r="G16" s="248" t="s">
        <v>105</v>
      </c>
      <c r="H16" s="248"/>
      <c r="I16" s="248"/>
      <c r="J16" s="247" t="s">
        <v>165</v>
      </c>
      <c r="K16" s="247" t="s">
        <v>166</v>
      </c>
      <c r="L16" s="248" t="s">
        <v>167</v>
      </c>
      <c r="M16" s="249" t="s">
        <v>161</v>
      </c>
      <c r="N16" s="249" t="s">
        <v>168</v>
      </c>
    </row>
    <row r="17" spans="1:14" x14ac:dyDescent="0.3">
      <c r="A17" s="244" t="s">
        <v>169</v>
      </c>
      <c r="B17" s="243" t="s">
        <v>170</v>
      </c>
      <c r="C17" s="243">
        <v>5</v>
      </c>
      <c r="D17" s="247" t="s">
        <v>162</v>
      </c>
      <c r="E17" s="248" t="s">
        <v>163</v>
      </c>
      <c r="F17" s="77" t="s">
        <v>164</v>
      </c>
      <c r="G17" s="248" t="s">
        <v>105</v>
      </c>
      <c r="H17" s="248"/>
      <c r="I17" s="248"/>
      <c r="J17" s="247" t="s">
        <v>165</v>
      </c>
      <c r="K17" s="247" t="s">
        <v>166</v>
      </c>
      <c r="L17" s="248" t="s">
        <v>167</v>
      </c>
      <c r="M17" s="249" t="s">
        <v>161</v>
      </c>
      <c r="N17" s="249" t="s">
        <v>168</v>
      </c>
    </row>
    <row r="18" spans="1:14" x14ac:dyDescent="0.3">
      <c r="A18" s="244" t="s">
        <v>171</v>
      </c>
      <c r="B18" s="243" t="s">
        <v>172</v>
      </c>
      <c r="C18" s="243">
        <v>7</v>
      </c>
      <c r="D18" s="247" t="s">
        <v>173</v>
      </c>
      <c r="E18" s="248" t="s">
        <v>174</v>
      </c>
      <c r="F18" s="77" t="s">
        <v>175</v>
      </c>
      <c r="G18" s="248" t="s">
        <v>105</v>
      </c>
      <c r="H18" s="248"/>
      <c r="I18" s="248"/>
      <c r="J18" s="247" t="s">
        <v>330</v>
      </c>
      <c r="K18" s="247" t="s">
        <v>331</v>
      </c>
      <c r="L18" s="248" t="s">
        <v>332</v>
      </c>
      <c r="M18" s="249" t="s">
        <v>176</v>
      </c>
      <c r="N18" s="249">
        <v>66219</v>
      </c>
    </row>
    <row r="19" spans="1:14" x14ac:dyDescent="0.3">
      <c r="A19" s="244" t="s">
        <v>177</v>
      </c>
      <c r="B19" s="243" t="s">
        <v>178</v>
      </c>
      <c r="C19" s="243">
        <v>7</v>
      </c>
      <c r="D19" s="247" t="s">
        <v>173</v>
      </c>
      <c r="E19" s="248" t="s">
        <v>174</v>
      </c>
      <c r="F19" s="77" t="s">
        <v>175</v>
      </c>
      <c r="G19" s="248" t="s">
        <v>105</v>
      </c>
      <c r="H19" s="248"/>
      <c r="I19" s="248"/>
      <c r="J19" s="247" t="s">
        <v>330</v>
      </c>
      <c r="K19" s="247" t="s">
        <v>331</v>
      </c>
      <c r="L19" s="248" t="s">
        <v>332</v>
      </c>
      <c r="M19" s="249" t="s">
        <v>176</v>
      </c>
      <c r="N19" s="249">
        <v>66219</v>
      </c>
    </row>
    <row r="20" spans="1:14" x14ac:dyDescent="0.3">
      <c r="A20" s="244" t="s">
        <v>179</v>
      </c>
      <c r="B20" s="243" t="s">
        <v>180</v>
      </c>
      <c r="C20" s="243">
        <v>4</v>
      </c>
      <c r="D20" s="247" t="s">
        <v>89</v>
      </c>
      <c r="E20" s="248" t="s">
        <v>90</v>
      </c>
      <c r="F20" s="77" t="s">
        <v>91</v>
      </c>
      <c r="G20" s="248" t="s">
        <v>92</v>
      </c>
      <c r="H20" s="248" t="s">
        <v>93</v>
      </c>
      <c r="I20" s="78" t="s">
        <v>94</v>
      </c>
      <c r="J20" s="248" t="s">
        <v>95</v>
      </c>
      <c r="K20" s="247" t="s">
        <v>96</v>
      </c>
      <c r="L20" s="248" t="s">
        <v>97</v>
      </c>
      <c r="M20" s="249" t="s">
        <v>98</v>
      </c>
      <c r="N20" s="249" t="s">
        <v>99</v>
      </c>
    </row>
    <row r="21" spans="1:14" x14ac:dyDescent="0.3">
      <c r="A21" s="248" t="s">
        <v>441</v>
      </c>
      <c r="B21" s="243" t="s">
        <v>181</v>
      </c>
      <c r="C21" s="243">
        <v>6</v>
      </c>
      <c r="D21" s="247" t="s">
        <v>124</v>
      </c>
      <c r="E21" s="289" t="s">
        <v>125</v>
      </c>
      <c r="F21" s="79" t="s">
        <v>126</v>
      </c>
      <c r="G21" s="248" t="s">
        <v>105</v>
      </c>
      <c r="H21" s="248"/>
      <c r="I21" s="248"/>
      <c r="J21" s="247" t="s">
        <v>127</v>
      </c>
      <c r="K21" s="247" t="s">
        <v>128</v>
      </c>
      <c r="L21" s="248" t="s">
        <v>129</v>
      </c>
      <c r="M21" s="249" t="s">
        <v>130</v>
      </c>
      <c r="N21" s="249" t="s">
        <v>131</v>
      </c>
    </row>
    <row r="22" spans="1:14" x14ac:dyDescent="0.3">
      <c r="A22" s="244" t="s">
        <v>182</v>
      </c>
      <c r="B22" s="243" t="s">
        <v>183</v>
      </c>
      <c r="C22" s="243">
        <v>1</v>
      </c>
      <c r="D22" s="248" t="s">
        <v>146</v>
      </c>
      <c r="E22" s="248" t="s">
        <v>147</v>
      </c>
      <c r="F22" s="78" t="s">
        <v>148</v>
      </c>
      <c r="G22" s="248" t="s">
        <v>105</v>
      </c>
      <c r="H22" s="248"/>
      <c r="I22" s="248"/>
      <c r="J22" s="247" t="s">
        <v>149</v>
      </c>
      <c r="K22" s="247" t="s">
        <v>150</v>
      </c>
      <c r="L22" s="248" t="s">
        <v>151</v>
      </c>
      <c r="M22" s="249" t="s">
        <v>152</v>
      </c>
      <c r="N22" s="249" t="s">
        <v>153</v>
      </c>
    </row>
    <row r="23" spans="1:14" x14ac:dyDescent="0.3">
      <c r="A23" s="244" t="s">
        <v>184</v>
      </c>
      <c r="B23" s="243" t="s">
        <v>152</v>
      </c>
      <c r="C23" s="243">
        <v>1</v>
      </c>
      <c r="D23" s="248" t="s">
        <v>146</v>
      </c>
      <c r="E23" s="248" t="s">
        <v>147</v>
      </c>
      <c r="F23" s="78" t="s">
        <v>148</v>
      </c>
      <c r="G23" s="248" t="s">
        <v>105</v>
      </c>
      <c r="H23" s="248"/>
      <c r="I23" s="248"/>
      <c r="J23" s="247" t="s">
        <v>149</v>
      </c>
      <c r="K23" s="247" t="s">
        <v>150</v>
      </c>
      <c r="L23" s="248" t="s">
        <v>151</v>
      </c>
      <c r="M23" s="249" t="s">
        <v>152</v>
      </c>
      <c r="N23" s="249" t="s">
        <v>153</v>
      </c>
    </row>
    <row r="24" spans="1:14" x14ac:dyDescent="0.3">
      <c r="A24" s="244" t="s">
        <v>185</v>
      </c>
      <c r="B24" s="243" t="s">
        <v>186</v>
      </c>
      <c r="C24" s="243">
        <v>5</v>
      </c>
      <c r="D24" s="247" t="s">
        <v>162</v>
      </c>
      <c r="E24" s="248" t="s">
        <v>163</v>
      </c>
      <c r="F24" s="77" t="s">
        <v>164</v>
      </c>
      <c r="G24" s="248" t="s">
        <v>105</v>
      </c>
      <c r="H24" s="248"/>
      <c r="I24" s="248"/>
      <c r="J24" s="247" t="s">
        <v>165</v>
      </c>
      <c r="K24" s="247" t="s">
        <v>166</v>
      </c>
      <c r="L24" s="248" t="s">
        <v>167</v>
      </c>
      <c r="M24" s="249" t="s">
        <v>161</v>
      </c>
      <c r="N24" s="249" t="s">
        <v>168</v>
      </c>
    </row>
    <row r="25" spans="1:14" x14ac:dyDescent="0.3">
      <c r="A25" s="244" t="s">
        <v>187</v>
      </c>
      <c r="B25" s="243" t="s">
        <v>188</v>
      </c>
      <c r="C25" s="243">
        <v>5</v>
      </c>
      <c r="D25" s="247" t="s">
        <v>162</v>
      </c>
      <c r="E25" s="248" t="s">
        <v>163</v>
      </c>
      <c r="F25" s="77" t="s">
        <v>164</v>
      </c>
      <c r="G25" s="248" t="s">
        <v>105</v>
      </c>
      <c r="H25" s="248"/>
      <c r="I25" s="248"/>
      <c r="J25" s="247" t="s">
        <v>165</v>
      </c>
      <c r="K25" s="247" t="s">
        <v>166</v>
      </c>
      <c r="L25" s="248" t="s">
        <v>167</v>
      </c>
      <c r="M25" s="249" t="s">
        <v>161</v>
      </c>
      <c r="N25" s="249" t="s">
        <v>168</v>
      </c>
    </row>
    <row r="26" spans="1:14" x14ac:dyDescent="0.3">
      <c r="A26" s="244" t="s">
        <v>189</v>
      </c>
      <c r="B26" s="243" t="s">
        <v>190</v>
      </c>
      <c r="C26" s="243">
        <v>4</v>
      </c>
      <c r="D26" s="247" t="s">
        <v>89</v>
      </c>
      <c r="E26" s="248" t="s">
        <v>90</v>
      </c>
      <c r="F26" s="77" t="s">
        <v>91</v>
      </c>
      <c r="G26" s="248" t="s">
        <v>92</v>
      </c>
      <c r="H26" s="248" t="s">
        <v>93</v>
      </c>
      <c r="I26" s="78" t="s">
        <v>94</v>
      </c>
      <c r="J26" s="248" t="s">
        <v>95</v>
      </c>
      <c r="K26" s="247" t="s">
        <v>96</v>
      </c>
      <c r="L26" s="248" t="s">
        <v>97</v>
      </c>
      <c r="M26" s="249" t="s">
        <v>98</v>
      </c>
      <c r="N26" s="249" t="s">
        <v>99</v>
      </c>
    </row>
    <row r="27" spans="1:14" x14ac:dyDescent="0.3">
      <c r="A27" s="244" t="s">
        <v>191</v>
      </c>
      <c r="B27" s="243" t="s">
        <v>192</v>
      </c>
      <c r="C27" s="243">
        <v>7</v>
      </c>
      <c r="D27" s="247" t="s">
        <v>173</v>
      </c>
      <c r="E27" s="248" t="s">
        <v>174</v>
      </c>
      <c r="F27" s="77" t="s">
        <v>175</v>
      </c>
      <c r="G27" s="248" t="s">
        <v>105</v>
      </c>
      <c r="H27" s="248"/>
      <c r="I27" s="248"/>
      <c r="J27" s="247" t="s">
        <v>330</v>
      </c>
      <c r="K27" s="247" t="s">
        <v>331</v>
      </c>
      <c r="L27" s="248" t="s">
        <v>332</v>
      </c>
      <c r="M27" s="249" t="s">
        <v>176</v>
      </c>
      <c r="N27" s="249">
        <v>66219</v>
      </c>
    </row>
    <row r="28" spans="1:14" x14ac:dyDescent="0.3">
      <c r="A28" s="244" t="s">
        <v>193</v>
      </c>
      <c r="B28" s="243" t="s">
        <v>194</v>
      </c>
      <c r="C28" s="243">
        <v>8</v>
      </c>
      <c r="D28" s="247" t="s">
        <v>134</v>
      </c>
      <c r="E28" s="248" t="s">
        <v>135</v>
      </c>
      <c r="F28" s="77" t="s">
        <v>136</v>
      </c>
      <c r="G28" s="247" t="s">
        <v>137</v>
      </c>
      <c r="H28" s="248" t="s">
        <v>138</v>
      </c>
      <c r="I28" s="78" t="s">
        <v>139</v>
      </c>
      <c r="J28" s="247" t="s">
        <v>140</v>
      </c>
      <c r="K28" s="247" t="s">
        <v>141</v>
      </c>
      <c r="L28" s="248" t="s">
        <v>142</v>
      </c>
      <c r="M28" s="249" t="s">
        <v>61</v>
      </c>
      <c r="N28" s="249" t="s">
        <v>143</v>
      </c>
    </row>
    <row r="29" spans="1:14" x14ac:dyDescent="0.3">
      <c r="A29" s="244" t="s">
        <v>195</v>
      </c>
      <c r="B29" s="243" t="s">
        <v>196</v>
      </c>
      <c r="C29" s="243">
        <v>7</v>
      </c>
      <c r="D29" s="247" t="s">
        <v>173</v>
      </c>
      <c r="E29" s="248" t="s">
        <v>174</v>
      </c>
      <c r="F29" s="77" t="s">
        <v>175</v>
      </c>
      <c r="G29" s="248" t="s">
        <v>105</v>
      </c>
      <c r="H29" s="248"/>
      <c r="I29" s="248"/>
      <c r="J29" s="247" t="s">
        <v>330</v>
      </c>
      <c r="K29" s="247" t="s">
        <v>331</v>
      </c>
      <c r="L29" s="248" t="s">
        <v>332</v>
      </c>
      <c r="M29" s="249" t="s">
        <v>176</v>
      </c>
      <c r="N29" s="249">
        <v>66219</v>
      </c>
    </row>
    <row r="30" spans="1:14" x14ac:dyDescent="0.3">
      <c r="A30" s="244" t="s">
        <v>197</v>
      </c>
      <c r="B30" s="243" t="s">
        <v>198</v>
      </c>
      <c r="C30" s="243">
        <v>9</v>
      </c>
      <c r="D30" s="247" t="s">
        <v>112</v>
      </c>
      <c r="E30" s="248" t="s">
        <v>113</v>
      </c>
      <c r="F30" s="77" t="s">
        <v>114</v>
      </c>
      <c r="G30" s="247" t="s">
        <v>115</v>
      </c>
      <c r="H30" s="248" t="s">
        <v>116</v>
      </c>
      <c r="I30" s="77" t="s">
        <v>117</v>
      </c>
      <c r="J30" s="248" t="s">
        <v>118</v>
      </c>
      <c r="K30" s="248" t="s">
        <v>119</v>
      </c>
      <c r="L30" s="248" t="s">
        <v>120</v>
      </c>
      <c r="M30" s="249" t="s">
        <v>121</v>
      </c>
      <c r="N30" s="249">
        <v>94105</v>
      </c>
    </row>
    <row r="31" spans="1:14" x14ac:dyDescent="0.3">
      <c r="A31" s="244" t="s">
        <v>199</v>
      </c>
      <c r="B31" s="243" t="s">
        <v>200</v>
      </c>
      <c r="C31" s="243">
        <v>1</v>
      </c>
      <c r="D31" s="248" t="s">
        <v>146</v>
      </c>
      <c r="E31" s="248" t="s">
        <v>147</v>
      </c>
      <c r="F31" s="78" t="s">
        <v>148</v>
      </c>
      <c r="G31" s="248" t="s">
        <v>105</v>
      </c>
      <c r="H31" s="248"/>
      <c r="I31" s="248"/>
      <c r="J31" s="247" t="s">
        <v>149</v>
      </c>
      <c r="K31" s="247" t="s">
        <v>150</v>
      </c>
      <c r="L31" s="248" t="s">
        <v>151</v>
      </c>
      <c r="M31" s="249" t="s">
        <v>152</v>
      </c>
      <c r="N31" s="249" t="s">
        <v>153</v>
      </c>
    </row>
    <row r="32" spans="1:14" x14ac:dyDescent="0.3">
      <c r="A32" s="244" t="s">
        <v>201</v>
      </c>
      <c r="B32" s="243" t="s">
        <v>202</v>
      </c>
      <c r="C32" s="243">
        <v>2</v>
      </c>
      <c r="D32" s="248" t="s">
        <v>203</v>
      </c>
      <c r="E32" s="248" t="s">
        <v>204</v>
      </c>
      <c r="F32" s="78" t="s">
        <v>205</v>
      </c>
      <c r="G32" s="247" t="s">
        <v>206</v>
      </c>
      <c r="H32" s="248" t="s">
        <v>207</v>
      </c>
      <c r="I32" s="78" t="s">
        <v>208</v>
      </c>
      <c r="J32" s="247" t="s">
        <v>209</v>
      </c>
      <c r="K32" s="247" t="s">
        <v>210</v>
      </c>
      <c r="L32" s="248" t="s">
        <v>211</v>
      </c>
      <c r="M32" s="249" t="s">
        <v>212</v>
      </c>
      <c r="N32" s="249" t="s">
        <v>213</v>
      </c>
    </row>
    <row r="33" spans="1:14" x14ac:dyDescent="0.3">
      <c r="A33" s="244" t="s">
        <v>214</v>
      </c>
      <c r="B33" s="243" t="s">
        <v>215</v>
      </c>
      <c r="C33" s="243">
        <v>6</v>
      </c>
      <c r="D33" s="247" t="s">
        <v>124</v>
      </c>
      <c r="E33" s="289" t="s">
        <v>125</v>
      </c>
      <c r="F33" s="79" t="s">
        <v>126</v>
      </c>
      <c r="G33" s="248" t="s">
        <v>105</v>
      </c>
      <c r="H33" s="248"/>
      <c r="I33" s="248"/>
      <c r="J33" s="247" t="s">
        <v>127</v>
      </c>
      <c r="K33" s="247" t="s">
        <v>128</v>
      </c>
      <c r="L33" s="248" t="s">
        <v>129</v>
      </c>
      <c r="M33" s="249" t="s">
        <v>130</v>
      </c>
      <c r="N33" s="249" t="s">
        <v>131</v>
      </c>
    </row>
    <row r="34" spans="1:14" x14ac:dyDescent="0.3">
      <c r="A34" s="244" t="s">
        <v>211</v>
      </c>
      <c r="B34" s="243" t="s">
        <v>212</v>
      </c>
      <c r="C34" s="243">
        <v>2</v>
      </c>
      <c r="D34" s="248" t="s">
        <v>203</v>
      </c>
      <c r="E34" s="248" t="s">
        <v>204</v>
      </c>
      <c r="F34" s="78" t="s">
        <v>205</v>
      </c>
      <c r="G34" s="247" t="s">
        <v>206</v>
      </c>
      <c r="H34" s="248" t="s">
        <v>207</v>
      </c>
      <c r="I34" s="78" t="s">
        <v>208</v>
      </c>
      <c r="J34" s="247" t="s">
        <v>209</v>
      </c>
      <c r="K34" s="247" t="s">
        <v>210</v>
      </c>
      <c r="L34" s="248" t="s">
        <v>211</v>
      </c>
      <c r="M34" s="249" t="s">
        <v>212</v>
      </c>
      <c r="N34" s="249" t="s">
        <v>213</v>
      </c>
    </row>
    <row r="35" spans="1:14" x14ac:dyDescent="0.3">
      <c r="A35" s="244" t="s">
        <v>216</v>
      </c>
      <c r="B35" s="243" t="s">
        <v>217</v>
      </c>
      <c r="C35" s="243">
        <v>4</v>
      </c>
      <c r="D35" s="247" t="s">
        <v>89</v>
      </c>
      <c r="E35" s="248" t="s">
        <v>90</v>
      </c>
      <c r="F35" s="77" t="s">
        <v>91</v>
      </c>
      <c r="G35" s="248" t="s">
        <v>92</v>
      </c>
      <c r="H35" s="248" t="s">
        <v>93</v>
      </c>
      <c r="I35" s="78" t="s">
        <v>94</v>
      </c>
      <c r="J35" s="248" t="s">
        <v>95</v>
      </c>
      <c r="K35" s="247" t="s">
        <v>96</v>
      </c>
      <c r="L35" s="248" t="s">
        <v>97</v>
      </c>
      <c r="M35" s="249" t="s">
        <v>98</v>
      </c>
      <c r="N35" s="249" t="s">
        <v>99</v>
      </c>
    </row>
    <row r="36" spans="1:14" x14ac:dyDescent="0.3">
      <c r="A36" s="244" t="s">
        <v>218</v>
      </c>
      <c r="B36" s="243" t="s">
        <v>219</v>
      </c>
      <c r="C36" s="243">
        <v>8</v>
      </c>
      <c r="D36" s="247" t="s">
        <v>134</v>
      </c>
      <c r="E36" s="248" t="s">
        <v>135</v>
      </c>
      <c r="F36" s="77" t="s">
        <v>136</v>
      </c>
      <c r="G36" s="247" t="s">
        <v>137</v>
      </c>
      <c r="H36" s="248" t="s">
        <v>138</v>
      </c>
      <c r="I36" s="78" t="s">
        <v>139</v>
      </c>
      <c r="J36" s="247" t="s">
        <v>140</v>
      </c>
      <c r="K36" s="247" t="s">
        <v>141</v>
      </c>
      <c r="L36" s="248" t="s">
        <v>142</v>
      </c>
      <c r="M36" s="249" t="s">
        <v>61</v>
      </c>
      <c r="N36" s="249" t="s">
        <v>143</v>
      </c>
    </row>
    <row r="37" spans="1:14" x14ac:dyDescent="0.3">
      <c r="A37" s="244" t="s">
        <v>220</v>
      </c>
      <c r="B37" s="243" t="s">
        <v>221</v>
      </c>
      <c r="C37" s="243">
        <v>5</v>
      </c>
      <c r="D37" s="247" t="s">
        <v>162</v>
      </c>
      <c r="E37" s="248" t="s">
        <v>163</v>
      </c>
      <c r="F37" s="77" t="s">
        <v>164</v>
      </c>
      <c r="G37" s="248" t="s">
        <v>105</v>
      </c>
      <c r="H37" s="248"/>
      <c r="I37" s="248"/>
      <c r="J37" s="247" t="s">
        <v>165</v>
      </c>
      <c r="K37" s="247" t="s">
        <v>166</v>
      </c>
      <c r="L37" s="248" t="s">
        <v>167</v>
      </c>
      <c r="M37" s="249" t="s">
        <v>161</v>
      </c>
      <c r="N37" s="249" t="s">
        <v>168</v>
      </c>
    </row>
    <row r="38" spans="1:14" x14ac:dyDescent="0.3">
      <c r="A38" s="244" t="s">
        <v>222</v>
      </c>
      <c r="B38" s="243" t="s">
        <v>223</v>
      </c>
      <c r="C38" s="243">
        <v>6</v>
      </c>
      <c r="D38" s="247" t="s">
        <v>124</v>
      </c>
      <c r="E38" s="289" t="s">
        <v>125</v>
      </c>
      <c r="F38" s="79" t="s">
        <v>126</v>
      </c>
      <c r="G38" s="248" t="s">
        <v>105</v>
      </c>
      <c r="H38" s="248"/>
      <c r="I38" s="248"/>
      <c r="J38" s="247" t="s">
        <v>127</v>
      </c>
      <c r="K38" s="247" t="s">
        <v>128</v>
      </c>
      <c r="L38" s="248" t="s">
        <v>129</v>
      </c>
      <c r="M38" s="249" t="s">
        <v>130</v>
      </c>
      <c r="N38" s="249" t="s">
        <v>131</v>
      </c>
    </row>
    <row r="39" spans="1:14" x14ac:dyDescent="0.3">
      <c r="A39" s="244" t="s">
        <v>224</v>
      </c>
      <c r="B39" s="243" t="s">
        <v>225</v>
      </c>
      <c r="C39" s="243">
        <v>10</v>
      </c>
      <c r="D39" s="247" t="s">
        <v>102</v>
      </c>
      <c r="E39" s="247" t="s">
        <v>103</v>
      </c>
      <c r="F39" s="78" t="s">
        <v>104</v>
      </c>
      <c r="G39" s="247" t="s">
        <v>105</v>
      </c>
      <c r="H39" s="248"/>
      <c r="I39" s="248"/>
      <c r="J39" s="248" t="s">
        <v>106</v>
      </c>
      <c r="K39" s="248" t="s">
        <v>107</v>
      </c>
      <c r="L39" s="248" t="s">
        <v>108</v>
      </c>
      <c r="M39" s="249" t="s">
        <v>109</v>
      </c>
      <c r="N39" s="249">
        <v>98101</v>
      </c>
    </row>
    <row r="40" spans="1:14" x14ac:dyDescent="0.3">
      <c r="A40" s="244" t="s">
        <v>226</v>
      </c>
      <c r="B40" s="243" t="s">
        <v>227</v>
      </c>
      <c r="C40" s="243">
        <v>1</v>
      </c>
      <c r="D40" s="248" t="s">
        <v>146</v>
      </c>
      <c r="E40" s="248" t="s">
        <v>147</v>
      </c>
      <c r="F40" s="78" t="s">
        <v>148</v>
      </c>
      <c r="G40" s="248" t="s">
        <v>105</v>
      </c>
      <c r="H40" s="248"/>
      <c r="I40" s="248"/>
      <c r="J40" s="247" t="s">
        <v>149</v>
      </c>
      <c r="K40" s="247" t="s">
        <v>150</v>
      </c>
      <c r="L40" s="248" t="s">
        <v>151</v>
      </c>
      <c r="M40" s="249" t="s">
        <v>152</v>
      </c>
      <c r="N40" s="249" t="s">
        <v>153</v>
      </c>
    </row>
    <row r="41" spans="1:14" x14ac:dyDescent="0.3">
      <c r="A41" s="244" t="s">
        <v>228</v>
      </c>
      <c r="B41" s="243" t="s">
        <v>229</v>
      </c>
      <c r="C41" s="243">
        <v>4</v>
      </c>
      <c r="D41" s="247" t="s">
        <v>89</v>
      </c>
      <c r="E41" s="248" t="s">
        <v>90</v>
      </c>
      <c r="F41" s="77" t="s">
        <v>91</v>
      </c>
      <c r="G41" s="248" t="s">
        <v>92</v>
      </c>
      <c r="H41" s="248" t="s">
        <v>93</v>
      </c>
      <c r="I41" s="78" t="s">
        <v>94</v>
      </c>
      <c r="J41" s="248" t="s">
        <v>95</v>
      </c>
      <c r="K41" s="247" t="s">
        <v>96</v>
      </c>
      <c r="L41" s="248" t="s">
        <v>97</v>
      </c>
      <c r="M41" s="249" t="s">
        <v>98</v>
      </c>
      <c r="N41" s="249" t="s">
        <v>99</v>
      </c>
    </row>
    <row r="42" spans="1:14" x14ac:dyDescent="0.3">
      <c r="A42" s="244" t="s">
        <v>230</v>
      </c>
      <c r="B42" s="243" t="s">
        <v>231</v>
      </c>
      <c r="C42" s="243">
        <v>8</v>
      </c>
      <c r="D42" s="247" t="s">
        <v>134</v>
      </c>
      <c r="E42" s="248" t="s">
        <v>135</v>
      </c>
      <c r="F42" s="77" t="s">
        <v>136</v>
      </c>
      <c r="G42" s="247" t="s">
        <v>137</v>
      </c>
      <c r="H42" s="248" t="s">
        <v>138</v>
      </c>
      <c r="I42" s="78" t="s">
        <v>139</v>
      </c>
      <c r="J42" s="247" t="s">
        <v>140</v>
      </c>
      <c r="K42" s="247" t="s">
        <v>141</v>
      </c>
      <c r="L42" s="248" t="s">
        <v>142</v>
      </c>
      <c r="M42" s="249" t="s">
        <v>61</v>
      </c>
      <c r="N42" s="249" t="s">
        <v>143</v>
      </c>
    </row>
    <row r="43" spans="1:14" x14ac:dyDescent="0.3">
      <c r="A43" s="244" t="s">
        <v>232</v>
      </c>
      <c r="B43" s="243" t="s">
        <v>233</v>
      </c>
      <c r="C43" s="243">
        <v>4</v>
      </c>
      <c r="D43" s="247" t="s">
        <v>89</v>
      </c>
      <c r="E43" s="248" t="s">
        <v>90</v>
      </c>
      <c r="F43" s="77" t="s">
        <v>91</v>
      </c>
      <c r="G43" s="248" t="s">
        <v>92</v>
      </c>
      <c r="H43" s="248" t="s">
        <v>93</v>
      </c>
      <c r="I43" s="78" t="s">
        <v>94</v>
      </c>
      <c r="J43" s="248" t="s">
        <v>95</v>
      </c>
      <c r="K43" s="247" t="s">
        <v>96</v>
      </c>
      <c r="L43" s="248" t="s">
        <v>97</v>
      </c>
      <c r="M43" s="249" t="s">
        <v>98</v>
      </c>
      <c r="N43" s="249" t="s">
        <v>99</v>
      </c>
    </row>
    <row r="44" spans="1:14" x14ac:dyDescent="0.3">
      <c r="A44" s="244" t="s">
        <v>234</v>
      </c>
      <c r="B44" s="243" t="s">
        <v>130</v>
      </c>
      <c r="C44" s="243">
        <v>6</v>
      </c>
      <c r="D44" s="247" t="s">
        <v>124</v>
      </c>
      <c r="E44" s="289" t="s">
        <v>125</v>
      </c>
      <c r="F44" s="79" t="s">
        <v>126</v>
      </c>
      <c r="G44" s="248" t="s">
        <v>105</v>
      </c>
      <c r="H44" s="248"/>
      <c r="I44" s="248"/>
      <c r="J44" s="247" t="s">
        <v>127</v>
      </c>
      <c r="K44" s="247" t="s">
        <v>128</v>
      </c>
      <c r="L44" s="248" t="s">
        <v>129</v>
      </c>
      <c r="M44" s="249" t="s">
        <v>130</v>
      </c>
      <c r="N44" s="249" t="s">
        <v>131</v>
      </c>
    </row>
    <row r="45" spans="1:14" x14ac:dyDescent="0.3">
      <c r="A45" s="244" t="s">
        <v>235</v>
      </c>
      <c r="B45" s="243" t="s">
        <v>236</v>
      </c>
      <c r="C45" s="243">
        <v>8</v>
      </c>
      <c r="D45" s="247" t="s">
        <v>134</v>
      </c>
      <c r="E45" s="248" t="s">
        <v>135</v>
      </c>
      <c r="F45" s="77" t="s">
        <v>136</v>
      </c>
      <c r="G45" s="247" t="s">
        <v>137</v>
      </c>
      <c r="H45" s="248" t="s">
        <v>138</v>
      </c>
      <c r="I45" s="78" t="s">
        <v>139</v>
      </c>
      <c r="J45" s="247" t="s">
        <v>140</v>
      </c>
      <c r="K45" s="247" t="s">
        <v>141</v>
      </c>
      <c r="L45" s="248" t="s">
        <v>142</v>
      </c>
      <c r="M45" s="249" t="s">
        <v>61</v>
      </c>
      <c r="N45" s="249" t="s">
        <v>143</v>
      </c>
    </row>
    <row r="46" spans="1:14" x14ac:dyDescent="0.3">
      <c r="A46" s="244" t="s">
        <v>237</v>
      </c>
      <c r="B46" s="243" t="s">
        <v>238</v>
      </c>
      <c r="C46" s="243">
        <v>1</v>
      </c>
      <c r="D46" s="248" t="s">
        <v>146</v>
      </c>
      <c r="E46" s="248" t="s">
        <v>147</v>
      </c>
      <c r="F46" s="78" t="s">
        <v>148</v>
      </c>
      <c r="G46" s="248" t="s">
        <v>105</v>
      </c>
      <c r="H46" s="248"/>
      <c r="I46" s="248"/>
      <c r="J46" s="247" t="s">
        <v>149</v>
      </c>
      <c r="K46" s="247" t="s">
        <v>150</v>
      </c>
      <c r="L46" s="248" t="s">
        <v>151</v>
      </c>
      <c r="M46" s="249" t="s">
        <v>152</v>
      </c>
      <c r="N46" s="249" t="s">
        <v>153</v>
      </c>
    </row>
    <row r="47" spans="1:14" x14ac:dyDescent="0.3">
      <c r="A47" s="244" t="s">
        <v>239</v>
      </c>
      <c r="B47" s="243" t="s">
        <v>109</v>
      </c>
      <c r="C47" s="243">
        <v>10</v>
      </c>
      <c r="D47" s="247" t="s">
        <v>102</v>
      </c>
      <c r="E47" s="247" t="s">
        <v>103</v>
      </c>
      <c r="F47" s="78" t="s">
        <v>104</v>
      </c>
      <c r="G47" s="247" t="s">
        <v>105</v>
      </c>
      <c r="H47" s="248"/>
      <c r="I47" s="248"/>
      <c r="J47" s="248" t="s">
        <v>106</v>
      </c>
      <c r="K47" s="248" t="s">
        <v>107</v>
      </c>
      <c r="L47" s="248" t="s">
        <v>108</v>
      </c>
      <c r="M47" s="249" t="s">
        <v>109</v>
      </c>
      <c r="N47" s="249">
        <v>98101</v>
      </c>
    </row>
    <row r="48" spans="1:14" x14ac:dyDescent="0.3">
      <c r="A48" s="244" t="s">
        <v>240</v>
      </c>
      <c r="B48" s="243" t="s">
        <v>241</v>
      </c>
      <c r="C48" s="243">
        <v>5</v>
      </c>
      <c r="D48" s="247" t="s">
        <v>162</v>
      </c>
      <c r="E48" s="248" t="s">
        <v>163</v>
      </c>
      <c r="F48" s="77" t="s">
        <v>164</v>
      </c>
      <c r="G48" s="248" t="s">
        <v>105</v>
      </c>
      <c r="H48" s="248"/>
      <c r="I48" s="248"/>
      <c r="J48" s="247" t="s">
        <v>165</v>
      </c>
      <c r="K48" s="247" t="s">
        <v>166</v>
      </c>
      <c r="L48" s="248" t="s">
        <v>167</v>
      </c>
      <c r="M48" s="249" t="s">
        <v>161</v>
      </c>
      <c r="N48" s="249" t="s">
        <v>168</v>
      </c>
    </row>
    <row r="49" spans="1:14" x14ac:dyDescent="0.3">
      <c r="A49" s="244" t="s">
        <v>242</v>
      </c>
      <c r="B49" s="243" t="s">
        <v>243</v>
      </c>
      <c r="C49" s="243">
        <v>8</v>
      </c>
      <c r="D49" s="247" t="s">
        <v>134</v>
      </c>
      <c r="E49" s="248" t="s">
        <v>135</v>
      </c>
      <c r="F49" s="77" t="s">
        <v>136</v>
      </c>
      <c r="G49" s="247" t="s">
        <v>137</v>
      </c>
      <c r="H49" s="248" t="s">
        <v>138</v>
      </c>
      <c r="I49" s="78" t="s">
        <v>139</v>
      </c>
      <c r="J49" s="247" t="s">
        <v>140</v>
      </c>
      <c r="K49" s="247" t="s">
        <v>141</v>
      </c>
      <c r="L49" s="248" t="s">
        <v>142</v>
      </c>
      <c r="M49" s="249" t="s">
        <v>61</v>
      </c>
      <c r="N49" s="249" t="s">
        <v>143</v>
      </c>
    </row>
    <row r="50" spans="1:14" x14ac:dyDescent="0.3">
      <c r="A50" s="244" t="s">
        <v>244</v>
      </c>
      <c r="B50" s="243" t="s">
        <v>245</v>
      </c>
      <c r="C50" s="243">
        <v>3</v>
      </c>
      <c r="D50" s="247" t="s">
        <v>105</v>
      </c>
      <c r="E50" s="248"/>
      <c r="F50" s="248"/>
      <c r="G50" s="248"/>
      <c r="H50" s="248"/>
      <c r="I50" s="248"/>
      <c r="J50" s="248"/>
      <c r="K50" s="248"/>
      <c r="L50" s="248"/>
      <c r="M50" s="249"/>
      <c r="N50" s="249"/>
    </row>
    <row r="51" spans="1:14" x14ac:dyDescent="0.3">
      <c r="A51" s="244" t="s">
        <v>246</v>
      </c>
      <c r="B51" s="243" t="s">
        <v>247</v>
      </c>
      <c r="C51" s="243">
        <v>3</v>
      </c>
      <c r="D51" s="247" t="s">
        <v>105</v>
      </c>
      <c r="E51" s="248"/>
      <c r="F51" s="248"/>
      <c r="G51" s="248"/>
      <c r="H51" s="248"/>
      <c r="I51" s="248"/>
      <c r="J51" s="248"/>
      <c r="K51" s="248"/>
      <c r="L51" s="248"/>
      <c r="M51" s="249"/>
      <c r="N51" s="249"/>
    </row>
    <row r="52" spans="1:14" x14ac:dyDescent="0.3">
      <c r="A52" s="244" t="s">
        <v>248</v>
      </c>
      <c r="B52" s="243" t="s">
        <v>249</v>
      </c>
      <c r="C52" s="243">
        <v>3</v>
      </c>
      <c r="D52" s="247" t="s">
        <v>105</v>
      </c>
      <c r="E52" s="248"/>
      <c r="F52" s="248"/>
      <c r="G52" s="248"/>
      <c r="H52" s="248"/>
      <c r="I52" s="248"/>
      <c r="J52" s="248"/>
      <c r="K52" s="248"/>
      <c r="L52" s="248"/>
      <c r="M52" s="249"/>
      <c r="N52" s="249"/>
    </row>
    <row r="53" spans="1:14" x14ac:dyDescent="0.3">
      <c r="A53" s="244" t="s">
        <v>250</v>
      </c>
      <c r="B53" s="243" t="s">
        <v>251</v>
      </c>
      <c r="C53" s="243">
        <v>3</v>
      </c>
      <c r="D53" s="247" t="s">
        <v>105</v>
      </c>
      <c r="E53" s="248"/>
      <c r="F53" s="248"/>
      <c r="G53" s="248"/>
      <c r="H53" s="248"/>
      <c r="I53" s="248"/>
      <c r="J53" s="248"/>
      <c r="K53" s="248"/>
      <c r="L53" s="248"/>
      <c r="M53" s="249"/>
      <c r="N53" s="249"/>
    </row>
    <row r="54" spans="1:14" x14ac:dyDescent="0.3">
      <c r="A54" s="244" t="s">
        <v>252</v>
      </c>
      <c r="B54" s="243" t="s">
        <v>253</v>
      </c>
      <c r="C54" s="243">
        <v>3</v>
      </c>
      <c r="D54" s="247" t="s">
        <v>105</v>
      </c>
      <c r="E54" s="248"/>
      <c r="F54" s="248"/>
      <c r="G54" s="248"/>
      <c r="H54" s="248"/>
      <c r="I54" s="248"/>
      <c r="J54" s="248"/>
      <c r="K54" s="248"/>
      <c r="L54" s="248"/>
      <c r="M54" s="249"/>
      <c r="N54" s="249"/>
    </row>
    <row r="55" spans="1:14" x14ac:dyDescent="0.3">
      <c r="A55" s="244" t="s">
        <v>254</v>
      </c>
      <c r="B55" s="243" t="s">
        <v>255</v>
      </c>
      <c r="C55" s="243">
        <v>3</v>
      </c>
      <c r="D55" s="247" t="s">
        <v>105</v>
      </c>
      <c r="E55" s="248"/>
      <c r="F55" s="248"/>
      <c r="G55" s="248"/>
      <c r="H55" s="248"/>
      <c r="I55" s="248"/>
      <c r="J55" s="248"/>
      <c r="K55" s="248"/>
      <c r="L55" s="248"/>
      <c r="M55" s="249"/>
      <c r="N55" s="249"/>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54"/>
  <sheetViews>
    <sheetView showGridLines="0" zoomScaleNormal="100" workbookViewId="0"/>
  </sheetViews>
  <sheetFormatPr defaultColWidth="3.33203125" defaultRowHeight="13.2" x14ac:dyDescent="0.25"/>
  <cols>
    <col min="1" max="1" width="1.6640625" style="14" customWidth="1"/>
    <col min="2" max="2" width="11.6640625" style="14" customWidth="1"/>
    <col min="3" max="3" width="18.109375" style="14" customWidth="1"/>
    <col min="4" max="4" width="58" style="14" customWidth="1"/>
    <col min="5" max="5" width="79.33203125" style="14" customWidth="1"/>
    <col min="6" max="27" width="1.6640625" style="14" customWidth="1"/>
    <col min="28" max="16384" width="3.33203125" style="14"/>
  </cols>
  <sheetData>
    <row r="1" spans="2:5" ht="17.399999999999999" x14ac:dyDescent="0.3">
      <c r="B1" s="12" t="str">
        <f>'Change Log'!A1</f>
        <v>Landfill Registration Calculator</v>
      </c>
    </row>
    <row r="2" spans="2:5" ht="15.75" customHeight="1" x14ac:dyDescent="0.25">
      <c r="B2" s="322" t="str">
        <f>'Change Log'!A2</f>
        <v>v1.2 (last updated 2013.02.26)</v>
      </c>
      <c r="C2" s="322"/>
      <c r="D2" s="322"/>
    </row>
    <row r="3" spans="2:5" ht="108.75" customHeight="1" x14ac:dyDescent="0.25">
      <c r="B3" s="328" t="s">
        <v>455</v>
      </c>
      <c r="C3" s="328"/>
      <c r="D3" s="328"/>
      <c r="E3" s="328"/>
    </row>
    <row r="4" spans="2:5" ht="6.75" customHeight="1" x14ac:dyDescent="0.25">
      <c r="B4" s="256"/>
      <c r="C4" s="256"/>
      <c r="D4" s="256"/>
    </row>
    <row r="5" spans="2:5" x14ac:dyDescent="0.25">
      <c r="B5" s="64" t="s">
        <v>4</v>
      </c>
    </row>
    <row r="6" spans="2:5" ht="32.25" customHeight="1" x14ac:dyDescent="0.25">
      <c r="B6" s="293" t="s">
        <v>454</v>
      </c>
      <c r="C6" s="293"/>
      <c r="D6" s="293"/>
      <c r="E6" s="293"/>
    </row>
    <row r="7" spans="2:5" ht="4.5" customHeight="1" x14ac:dyDescent="0.25">
      <c r="B7" s="65"/>
    </row>
    <row r="8" spans="2:5" ht="13.5" customHeight="1" x14ac:dyDescent="0.25">
      <c r="B8" s="64" t="s">
        <v>12</v>
      </c>
    </row>
    <row r="9" spans="2:5" ht="87" customHeight="1" x14ac:dyDescent="0.25">
      <c r="B9" s="323" t="s">
        <v>488</v>
      </c>
      <c r="C9" s="324"/>
      <c r="D9" s="324"/>
      <c r="E9" s="324"/>
    </row>
    <row r="10" spans="2:5" ht="4.5" customHeight="1" x14ac:dyDescent="0.25">
      <c r="B10" s="65"/>
    </row>
    <row r="11" spans="2:5" x14ac:dyDescent="0.25">
      <c r="B11" s="64" t="s">
        <v>26</v>
      </c>
    </row>
    <row r="12" spans="2:5" ht="56.25" customHeight="1" x14ac:dyDescent="0.25">
      <c r="B12" s="323" t="s">
        <v>489</v>
      </c>
      <c r="C12" s="324"/>
      <c r="D12" s="324"/>
      <c r="E12" s="324"/>
    </row>
    <row r="13" spans="2:5" ht="9" customHeight="1" thickBot="1" x14ac:dyDescent="0.3">
      <c r="B13" s="64"/>
    </row>
    <row r="14" spans="2:5" ht="13.8" thickBot="1" x14ac:dyDescent="0.3">
      <c r="B14" s="325" t="s">
        <v>275</v>
      </c>
      <c r="C14" s="326"/>
      <c r="D14" s="327"/>
    </row>
    <row r="15" spans="2:5" x14ac:dyDescent="0.25">
      <c r="B15" s="329" t="s">
        <v>333</v>
      </c>
      <c r="C15" s="330"/>
      <c r="D15" s="331"/>
    </row>
    <row r="16" spans="2:5" x14ac:dyDescent="0.25">
      <c r="B16" s="332" t="s">
        <v>334</v>
      </c>
      <c r="C16" s="333"/>
      <c r="D16" s="334"/>
    </row>
    <row r="17" spans="2:5" x14ac:dyDescent="0.25">
      <c r="B17" s="342" t="s">
        <v>335</v>
      </c>
      <c r="C17" s="343"/>
      <c r="D17" s="344"/>
    </row>
    <row r="18" spans="2:5" ht="13.8" thickBot="1" x14ac:dyDescent="0.3">
      <c r="B18" s="335" t="s">
        <v>276</v>
      </c>
      <c r="C18" s="336"/>
      <c r="D18" s="337"/>
    </row>
    <row r="19" spans="2:5" ht="10.5" customHeight="1" thickBot="1" x14ac:dyDescent="0.3">
      <c r="B19" s="66"/>
      <c r="C19" s="67"/>
      <c r="D19" s="66"/>
      <c r="E19" s="15"/>
    </row>
    <row r="20" spans="2:5" ht="13.8" thickBot="1" x14ac:dyDescent="0.3">
      <c r="B20" s="325" t="s">
        <v>277</v>
      </c>
      <c r="C20" s="338"/>
      <c r="D20" s="339"/>
    </row>
    <row r="21" spans="2:5" ht="55.5" customHeight="1" x14ac:dyDescent="0.25">
      <c r="B21" s="171" t="s">
        <v>299</v>
      </c>
      <c r="C21" s="345" t="s">
        <v>305</v>
      </c>
      <c r="D21" s="346"/>
    </row>
    <row r="22" spans="2:5" ht="15" customHeight="1" x14ac:dyDescent="0.25">
      <c r="B22" s="172" t="s">
        <v>294</v>
      </c>
      <c r="C22" s="347" t="s">
        <v>304</v>
      </c>
      <c r="D22" s="349"/>
    </row>
    <row r="23" spans="2:5" ht="15" customHeight="1" x14ac:dyDescent="0.25">
      <c r="B23" s="172" t="s">
        <v>468</v>
      </c>
      <c r="C23" s="254" t="s">
        <v>469</v>
      </c>
      <c r="D23" s="259"/>
    </row>
    <row r="24" spans="2:5" ht="12.75" customHeight="1" x14ac:dyDescent="0.25">
      <c r="B24" s="115" t="s">
        <v>61</v>
      </c>
      <c r="C24" s="116" t="s">
        <v>70</v>
      </c>
      <c r="D24" s="117"/>
    </row>
    <row r="25" spans="2:5" ht="12.75" customHeight="1" x14ac:dyDescent="0.25">
      <c r="B25" s="115" t="s">
        <v>467</v>
      </c>
      <c r="C25" s="116" t="s">
        <v>466</v>
      </c>
      <c r="D25" s="117"/>
    </row>
    <row r="26" spans="2:5" ht="12.75" customHeight="1" x14ac:dyDescent="0.25">
      <c r="B26" s="115" t="s">
        <v>459</v>
      </c>
      <c r="C26" s="116" t="s">
        <v>460</v>
      </c>
      <c r="D26" s="117"/>
    </row>
    <row r="27" spans="2:5" ht="12.75" customHeight="1" x14ac:dyDescent="0.25">
      <c r="B27" s="115" t="s">
        <v>281</v>
      </c>
      <c r="C27" s="116" t="s">
        <v>282</v>
      </c>
      <c r="D27" s="117"/>
    </row>
    <row r="28" spans="2:5" ht="12.75" customHeight="1" x14ac:dyDescent="0.25">
      <c r="B28" s="115" t="s">
        <v>288</v>
      </c>
      <c r="C28" s="116" t="s">
        <v>289</v>
      </c>
      <c r="D28" s="117"/>
    </row>
    <row r="29" spans="2:5" ht="57.75" customHeight="1" x14ac:dyDescent="0.25">
      <c r="B29" s="173" t="s">
        <v>300</v>
      </c>
      <c r="C29" s="347" t="s">
        <v>306</v>
      </c>
      <c r="D29" s="348"/>
    </row>
    <row r="30" spans="2:5" ht="14.25" customHeight="1" x14ac:dyDescent="0.25">
      <c r="B30" s="173" t="s">
        <v>425</v>
      </c>
      <c r="C30" s="228" t="s">
        <v>426</v>
      </c>
      <c r="D30" s="229"/>
    </row>
    <row r="31" spans="2:5" ht="14.25" customHeight="1" x14ac:dyDescent="0.25">
      <c r="B31" s="173" t="s">
        <v>418</v>
      </c>
      <c r="C31" s="228" t="s">
        <v>419</v>
      </c>
      <c r="D31" s="229"/>
    </row>
    <row r="32" spans="2:5" ht="14.25" customHeight="1" x14ac:dyDescent="0.25">
      <c r="B32" s="173" t="s">
        <v>432</v>
      </c>
      <c r="C32" s="228" t="s">
        <v>431</v>
      </c>
      <c r="D32" s="229"/>
    </row>
    <row r="33" spans="2:13" ht="14.25" customHeight="1" x14ac:dyDescent="0.25">
      <c r="B33" s="173" t="s">
        <v>350</v>
      </c>
      <c r="C33" s="234" t="s">
        <v>435</v>
      </c>
      <c r="D33" s="229"/>
    </row>
    <row r="34" spans="2:13" ht="12.75" customHeight="1" x14ac:dyDescent="0.25">
      <c r="B34" s="115" t="s">
        <v>287</v>
      </c>
      <c r="C34" s="118" t="s">
        <v>71</v>
      </c>
      <c r="D34" s="258"/>
    </row>
    <row r="35" spans="2:13" ht="12.75" customHeight="1" x14ac:dyDescent="0.25">
      <c r="B35" s="115" t="s">
        <v>278</v>
      </c>
      <c r="C35" s="118" t="s">
        <v>51</v>
      </c>
      <c r="D35" s="258"/>
      <c r="E35" s="15"/>
    </row>
    <row r="36" spans="2:13" ht="12.75" customHeight="1" x14ac:dyDescent="0.25">
      <c r="B36" s="115" t="s">
        <v>433</v>
      </c>
      <c r="C36" s="118" t="s">
        <v>434</v>
      </c>
      <c r="D36" s="258"/>
      <c r="E36" s="15"/>
    </row>
    <row r="37" spans="2:13" ht="15" customHeight="1" x14ac:dyDescent="0.25">
      <c r="B37" s="115" t="s">
        <v>68</v>
      </c>
      <c r="C37" s="340" t="s">
        <v>279</v>
      </c>
      <c r="D37" s="341"/>
    </row>
    <row r="38" spans="2:13" ht="14.25" customHeight="1" x14ac:dyDescent="0.25">
      <c r="B38" s="115" t="s">
        <v>69</v>
      </c>
      <c r="C38" s="257" t="s">
        <v>280</v>
      </c>
      <c r="D38" s="258"/>
    </row>
    <row r="39" spans="2:13" ht="14.25" customHeight="1" x14ac:dyDescent="0.25">
      <c r="B39" s="119" t="s">
        <v>364</v>
      </c>
      <c r="C39" s="118" t="s">
        <v>417</v>
      </c>
      <c r="D39" s="258"/>
    </row>
    <row r="40" spans="2:13" ht="15" customHeight="1" x14ac:dyDescent="0.25">
      <c r="B40" s="111" t="s">
        <v>415</v>
      </c>
      <c r="C40" s="298" t="s">
        <v>416</v>
      </c>
      <c r="D40" s="299"/>
    </row>
    <row r="41" spans="2:13" ht="14.25" customHeight="1" x14ac:dyDescent="0.25">
      <c r="B41" s="119" t="s">
        <v>67</v>
      </c>
      <c r="C41" s="120" t="s">
        <v>72</v>
      </c>
      <c r="D41" s="121"/>
    </row>
    <row r="42" spans="2:13" ht="12.75" customHeight="1" thickBot="1" x14ac:dyDescent="0.3">
      <c r="B42" s="122" t="s">
        <v>3</v>
      </c>
      <c r="C42" s="300" t="s">
        <v>2</v>
      </c>
      <c r="D42" s="301"/>
    </row>
    <row r="43" spans="2:13" ht="13.5" customHeight="1" thickBot="1" x14ac:dyDescent="0.3">
      <c r="B43" s="66"/>
      <c r="C43" s="66"/>
      <c r="D43" s="66"/>
      <c r="F43" s="15"/>
    </row>
    <row r="44" spans="2:13" ht="15.75" customHeight="1" thickBot="1" x14ac:dyDescent="0.3">
      <c r="B44" s="68" t="s">
        <v>47</v>
      </c>
      <c r="C44" s="69"/>
      <c r="D44" s="69"/>
      <c r="E44" s="70"/>
      <c r="F44" s="15"/>
    </row>
    <row r="45" spans="2:13" ht="16.5" customHeight="1" thickBot="1" x14ac:dyDescent="0.3">
      <c r="B45" s="183" t="s">
        <v>336</v>
      </c>
      <c r="C45" s="71"/>
      <c r="D45" s="71"/>
      <c r="E45" s="184"/>
      <c r="F45" s="15"/>
    </row>
    <row r="46" spans="2:13" ht="18" customHeight="1" x14ac:dyDescent="0.25">
      <c r="B46" s="310" t="s">
        <v>44</v>
      </c>
      <c r="C46" s="311"/>
      <c r="D46" s="302" t="s">
        <v>302</v>
      </c>
      <c r="E46" s="303"/>
      <c r="M46" s="15"/>
    </row>
    <row r="47" spans="2:13" ht="18.75" customHeight="1" x14ac:dyDescent="0.25">
      <c r="B47" s="312" t="s">
        <v>45</v>
      </c>
      <c r="C47" s="313"/>
      <c r="D47" s="304" t="s">
        <v>48</v>
      </c>
      <c r="E47" s="305"/>
    </row>
    <row r="48" spans="2:13" ht="54" customHeight="1" x14ac:dyDescent="0.25">
      <c r="B48" s="316" t="s">
        <v>46</v>
      </c>
      <c r="C48" s="317"/>
      <c r="D48" s="304" t="s">
        <v>303</v>
      </c>
      <c r="E48" s="305"/>
    </row>
    <row r="49" spans="2:5" ht="21.75" customHeight="1" x14ac:dyDescent="0.25">
      <c r="B49" s="318"/>
      <c r="C49" s="319"/>
      <c r="D49" s="308" t="s">
        <v>283</v>
      </c>
      <c r="E49" s="309"/>
    </row>
    <row r="50" spans="2:5" ht="240.75" customHeight="1" x14ac:dyDescent="0.25">
      <c r="B50" s="312" t="s">
        <v>57</v>
      </c>
      <c r="C50" s="313"/>
      <c r="D50" s="304" t="s">
        <v>494</v>
      </c>
      <c r="E50" s="305"/>
    </row>
    <row r="51" spans="2:5" ht="69.75" customHeight="1" x14ac:dyDescent="0.25">
      <c r="B51" s="320" t="s">
        <v>326</v>
      </c>
      <c r="C51" s="321"/>
      <c r="D51" s="304" t="s">
        <v>493</v>
      </c>
      <c r="E51" s="305"/>
    </row>
    <row r="52" spans="2:5" ht="41.25" customHeight="1" thickBot="1" x14ac:dyDescent="0.3">
      <c r="B52" s="314" t="s">
        <v>325</v>
      </c>
      <c r="C52" s="315"/>
      <c r="D52" s="306" t="s">
        <v>324</v>
      </c>
      <c r="E52" s="307"/>
    </row>
    <row r="53" spans="2:5" x14ac:dyDescent="0.25">
      <c r="B53" s="72"/>
      <c r="C53" s="73"/>
      <c r="D53" s="73"/>
    </row>
    <row r="54" spans="2:5" x14ac:dyDescent="0.25">
      <c r="B54" s="15"/>
      <c r="C54" s="15"/>
      <c r="D54" s="15"/>
      <c r="E54" s="15"/>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0">
    <mergeCell ref="B15:D15"/>
    <mergeCell ref="B16:D16"/>
    <mergeCell ref="B18:D18"/>
    <mergeCell ref="B20:D20"/>
    <mergeCell ref="C37:D37"/>
    <mergeCell ref="B17:D17"/>
    <mergeCell ref="C21:D21"/>
    <mergeCell ref="C29:D29"/>
    <mergeCell ref="C22:D22"/>
    <mergeCell ref="B2:D2"/>
    <mergeCell ref="B9:E9"/>
    <mergeCell ref="B6:E6"/>
    <mergeCell ref="B14:D14"/>
    <mergeCell ref="B12:E12"/>
    <mergeCell ref="B3:E3"/>
    <mergeCell ref="D50:E50"/>
    <mergeCell ref="D52:E52"/>
    <mergeCell ref="D49:E49"/>
    <mergeCell ref="D51:E51"/>
    <mergeCell ref="B46:C46"/>
    <mergeCell ref="B47:C47"/>
    <mergeCell ref="B50:C50"/>
    <mergeCell ref="B52:C52"/>
    <mergeCell ref="B48:C49"/>
    <mergeCell ref="B51:C51"/>
    <mergeCell ref="C40:D40"/>
    <mergeCell ref="C42:D42"/>
    <mergeCell ref="D46:E46"/>
    <mergeCell ref="D47:E47"/>
    <mergeCell ref="D48:E48"/>
  </mergeCells>
  <phoneticPr fontId="0" type="noConversion"/>
  <hyperlinks>
    <hyperlink ref="D49" r:id="rId2"/>
  </hyperlinks>
  <pageMargins left="0.2" right="0.2" top="0.5" bottom="0.75" header="0.5" footer="0.5"/>
  <pageSetup scale="62" orientation="landscape" r:id="rId3"/>
  <headerFooter alignWithMargins="0">
    <oddFooter>&amp;LPage &amp;P of &amp;N&amp;C&amp;F&amp;RPrinted &amp;D</oddFooter>
  </headerFooter>
  <rowBreaks count="1" manualBreakCount="1">
    <brk id="4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88"/>
  <sheetViews>
    <sheetView showGridLines="0" zoomScaleNormal="100" workbookViewId="0"/>
  </sheetViews>
  <sheetFormatPr defaultColWidth="9.109375" defaultRowHeight="13.2" x14ac:dyDescent="0.25"/>
  <cols>
    <col min="1" max="1" width="1.88671875" style="14" customWidth="1"/>
    <col min="2" max="2" width="61.109375" style="14" customWidth="1"/>
    <col min="3" max="3" width="79.33203125" style="14" customWidth="1"/>
    <col min="4" max="4" width="20.109375" style="14" customWidth="1"/>
    <col min="5" max="5" width="97.44140625" style="14" hidden="1" customWidth="1"/>
    <col min="6" max="16384" width="9.109375" style="14"/>
  </cols>
  <sheetData>
    <row r="1" spans="2:5" ht="22.5" customHeight="1" x14ac:dyDescent="0.3">
      <c r="B1" s="12" t="s">
        <v>274</v>
      </c>
    </row>
    <row r="2" spans="2:5" ht="16.2" thickBot="1" x14ac:dyDescent="0.4">
      <c r="E2" s="108" t="s">
        <v>268</v>
      </c>
    </row>
    <row r="3" spans="2:5" ht="13.8" thickBot="1" x14ac:dyDescent="0.3">
      <c r="B3" s="325" t="s">
        <v>5</v>
      </c>
      <c r="C3" s="339"/>
      <c r="E3" s="109" t="s">
        <v>11</v>
      </c>
    </row>
    <row r="4" spans="2:5" x14ac:dyDescent="0.25">
      <c r="B4" s="167" t="s">
        <v>6</v>
      </c>
      <c r="C4" s="168" t="s">
        <v>471</v>
      </c>
      <c r="E4" s="109" t="s">
        <v>269</v>
      </c>
    </row>
    <row r="5" spans="2:5" x14ac:dyDescent="0.25">
      <c r="B5" s="48" t="s">
        <v>7</v>
      </c>
      <c r="C5" s="32" t="s">
        <v>20</v>
      </c>
      <c r="E5" s="109" t="s">
        <v>16</v>
      </c>
    </row>
    <row r="6" spans="2:5" x14ac:dyDescent="0.25">
      <c r="B6" s="48" t="s">
        <v>85</v>
      </c>
      <c r="C6" s="32" t="s">
        <v>256</v>
      </c>
      <c r="E6" s="110"/>
    </row>
    <row r="7" spans="2:5" x14ac:dyDescent="0.25">
      <c r="B7" s="48" t="s">
        <v>77</v>
      </c>
      <c r="C7" s="206" t="s">
        <v>214</v>
      </c>
      <c r="E7" s="108" t="s">
        <v>270</v>
      </c>
    </row>
    <row r="8" spans="2:5" ht="13.8" thickBot="1" x14ac:dyDescent="0.3">
      <c r="B8" s="49" t="s">
        <v>257</v>
      </c>
      <c r="C8" s="169">
        <v>87101</v>
      </c>
      <c r="E8" s="109" t="s">
        <v>11</v>
      </c>
    </row>
    <row r="9" spans="2:5" ht="13.8" thickBot="1" x14ac:dyDescent="0.3">
      <c r="E9" s="109" t="s">
        <v>271</v>
      </c>
    </row>
    <row r="10" spans="2:5" ht="13.8" thickBot="1" x14ac:dyDescent="0.3">
      <c r="B10" s="352" t="s">
        <v>10</v>
      </c>
      <c r="C10" s="327"/>
      <c r="E10" s="109" t="s">
        <v>269</v>
      </c>
    </row>
    <row r="11" spans="2:5" x14ac:dyDescent="0.25">
      <c r="B11" s="47" t="s">
        <v>6</v>
      </c>
      <c r="C11" s="35" t="s">
        <v>17</v>
      </c>
      <c r="E11" s="109" t="s">
        <v>16</v>
      </c>
    </row>
    <row r="12" spans="2:5" x14ac:dyDescent="0.25">
      <c r="B12" s="48" t="s">
        <v>8</v>
      </c>
      <c r="C12" s="32" t="s">
        <v>18</v>
      </c>
      <c r="E12" s="109" t="s">
        <v>15</v>
      </c>
    </row>
    <row r="13" spans="2:5" ht="13.8" thickBot="1" x14ac:dyDescent="0.3">
      <c r="B13" s="50" t="s">
        <v>9</v>
      </c>
      <c r="C13" s="33" t="s">
        <v>19</v>
      </c>
      <c r="E13" s="109" t="s">
        <v>14</v>
      </c>
    </row>
    <row r="14" spans="2:5" ht="13.8" thickBot="1" x14ac:dyDescent="0.3">
      <c r="B14" s="74"/>
      <c r="C14" s="75"/>
    </row>
    <row r="15" spans="2:5" ht="16.2" thickBot="1" x14ac:dyDescent="0.4">
      <c r="B15" s="355" t="str">
        <f>"U.S. Environmental Protection Agency Region "&amp;VLOOKUP(C7,'EPA Regional Contact Info'!$A$5:$C$49,3,FALSE)&amp;" Contact"</f>
        <v>U.S. Environmental Protection Agency Region 6 Contact</v>
      </c>
      <c r="C15" s="356"/>
      <c r="E15" s="108" t="s">
        <v>272</v>
      </c>
    </row>
    <row r="16" spans="2:5" x14ac:dyDescent="0.25">
      <c r="B16" s="80" t="s">
        <v>258</v>
      </c>
      <c r="C16" s="81" t="str">
        <f>VLOOKUP($C$7,'EPA Regional Contact Info'!$A$5:$N$49,4,FALSE)</f>
        <v>Bonnie Braganza</v>
      </c>
      <c r="E16" s="109" t="s">
        <v>11</v>
      </c>
    </row>
    <row r="17" spans="2:5" x14ac:dyDescent="0.25">
      <c r="B17" s="82" t="s">
        <v>259</v>
      </c>
      <c r="C17" s="83" t="str">
        <f>VLOOKUP($C$7,'EPA Regional Contact Info'!$A$5:$N$49,5,FALSE)</f>
        <v>214-665-7340</v>
      </c>
      <c r="E17" s="109" t="s">
        <v>273</v>
      </c>
    </row>
    <row r="18" spans="2:5" x14ac:dyDescent="0.25">
      <c r="B18" s="82" t="s">
        <v>260</v>
      </c>
      <c r="C18" s="83" t="str">
        <f>VLOOKUP($C$7,'EPA Regional Contact Info'!$A$5:$N$49,6,FALSE)</f>
        <v>braganza.bonnie@epa.gov</v>
      </c>
      <c r="E18" s="110"/>
    </row>
    <row r="19" spans="2:5" x14ac:dyDescent="0.25">
      <c r="B19" s="82" t="s">
        <v>261</v>
      </c>
      <c r="C19" s="83" t="str">
        <f>VLOOKUP($C$7,'EPA Regional Contact Info'!$A$5:$N$49,7,FALSE)</f>
        <v>None</v>
      </c>
      <c r="E19" s="215" t="s">
        <v>356</v>
      </c>
    </row>
    <row r="20" spans="2:5" x14ac:dyDescent="0.25">
      <c r="B20" s="82" t="s">
        <v>262</v>
      </c>
      <c r="C20" s="83" t="str">
        <f>IF(VLOOKUP($C$7,'EPA Regional Contact Info'!$A$5:$N$49,8,FALSE)=0,"",VLOOKUP($C$7,'EPA Regional Contact Info'!$A$5:$N$49,8,FALSE))</f>
        <v/>
      </c>
      <c r="E20" s="34" t="s">
        <v>357</v>
      </c>
    </row>
    <row r="21" spans="2:5" ht="15" customHeight="1" x14ac:dyDescent="0.25">
      <c r="B21" s="82" t="s">
        <v>263</v>
      </c>
      <c r="C21" s="83" t="str">
        <f>IF(VLOOKUP($C$7,'EPA Regional Contact Info'!$A$5:$N$49,9,FALSE)=0,"",VLOOKUP($C$7,'EPA Regional Contact Info'!$A$5:$N$49,9,FALSE))</f>
        <v/>
      </c>
      <c r="E21" s="34" t="s">
        <v>358</v>
      </c>
    </row>
    <row r="22" spans="2:5" x14ac:dyDescent="0.25">
      <c r="B22" s="84" t="s">
        <v>7</v>
      </c>
      <c r="C22" s="85" t="str">
        <f>"U.S. Environmental Protection Agency Region "&amp;VLOOKUP($C$7,'EPA Regional Contact Info'!$A$5:$C$49,3,FALSE)</f>
        <v>U.S. Environmental Protection Agency Region 6</v>
      </c>
    </row>
    <row r="23" spans="2:5" ht="15" customHeight="1" x14ac:dyDescent="0.25">
      <c r="B23" s="86"/>
      <c r="C23" s="87" t="str">
        <f>VLOOKUP($C$7,'EPA Regional Contact Info'!$A$5:$N$49,10,FALSE)</f>
        <v>1445 Ross Avenue, Suite 1200</v>
      </c>
      <c r="E23" s="215" t="s">
        <v>359</v>
      </c>
    </row>
    <row r="24" spans="2:5" x14ac:dyDescent="0.25">
      <c r="B24" s="86"/>
      <c r="C24" s="87" t="str">
        <f>VLOOKUP($C$7,'EPA Regional Contact Info'!$A$5:$N$49,11,FALSE)</f>
        <v>MC: 6PD</v>
      </c>
      <c r="E24" s="34" t="s">
        <v>52</v>
      </c>
    </row>
    <row r="25" spans="2:5" ht="13.8" thickBot="1" x14ac:dyDescent="0.3">
      <c r="B25" s="88"/>
      <c r="C25" s="89" t="str">
        <f>VLOOKUP($C$7,'EPA Regional Contact Info'!$A$5:$N$49,12,FALSE)&amp;", "&amp;VLOOKUP($C$7,'EPA Regional Contact Info'!$A$5:$N$49,13,FALSE)&amp;" "&amp;VLOOKUP($C$7,'EPA Regional Contact Info'!$A$5:$N$49,14,FALSE)</f>
        <v>Dallas, TX 75202-2733</v>
      </c>
      <c r="E25" s="34" t="s">
        <v>53</v>
      </c>
    </row>
    <row r="26" spans="2:5" ht="13.8" thickBot="1" x14ac:dyDescent="0.3"/>
    <row r="27" spans="2:5" ht="13.8" thickBot="1" x14ac:dyDescent="0.3">
      <c r="B27" s="353" t="s">
        <v>43</v>
      </c>
      <c r="C27" s="354"/>
      <c r="E27" s="219" t="s">
        <v>368</v>
      </c>
    </row>
    <row r="28" spans="2:5" x14ac:dyDescent="0.25">
      <c r="B28" s="99" t="s">
        <v>58</v>
      </c>
      <c r="C28" s="100" t="s">
        <v>11</v>
      </c>
      <c r="E28" s="220">
        <f>(C50-32)*(5/9)</f>
        <v>25</v>
      </c>
    </row>
    <row r="29" spans="2:5" ht="12.75" customHeight="1" x14ac:dyDescent="0.25">
      <c r="B29" s="101"/>
      <c r="C29" s="102"/>
    </row>
    <row r="30" spans="2:5" ht="12.75" customHeight="1" x14ac:dyDescent="0.25">
      <c r="B30" s="101" t="s">
        <v>267</v>
      </c>
      <c r="C30" s="103" t="s">
        <v>11</v>
      </c>
      <c r="E30" s="215" t="s">
        <v>397</v>
      </c>
    </row>
    <row r="31" spans="2:5" ht="12.75" customHeight="1" x14ac:dyDescent="0.25">
      <c r="B31" s="104"/>
      <c r="C31" s="105"/>
      <c r="E31" s="226" t="s">
        <v>398</v>
      </c>
    </row>
    <row r="32" spans="2:5" ht="12.75" customHeight="1" x14ac:dyDescent="0.25">
      <c r="B32" s="101" t="s">
        <v>59</v>
      </c>
      <c r="C32" s="103" t="s">
        <v>11</v>
      </c>
      <c r="E32" s="226" t="s">
        <v>399</v>
      </c>
    </row>
    <row r="33" spans="2:5" ht="12.75" customHeight="1" x14ac:dyDescent="0.25">
      <c r="B33" s="104"/>
      <c r="C33" s="105"/>
      <c r="D33" s="38"/>
    </row>
    <row r="34" spans="2:5" ht="12.75" customHeight="1" x14ac:dyDescent="0.25">
      <c r="B34" s="101" t="s">
        <v>60</v>
      </c>
      <c r="C34" s="103" t="s">
        <v>11</v>
      </c>
      <c r="E34" s="215" t="s">
        <v>461</v>
      </c>
    </row>
    <row r="35" spans="2:5" ht="12.75" customHeight="1" x14ac:dyDescent="0.25">
      <c r="B35" s="104"/>
      <c r="C35" s="105"/>
      <c r="E35" s="226" t="str">
        <f>'EPA Regional Contact Info'!A5</f>
        <v>Alabama</v>
      </c>
    </row>
    <row r="36" spans="2:5" ht="12.75" customHeight="1" x14ac:dyDescent="0.25">
      <c r="B36" s="101" t="s">
        <v>292</v>
      </c>
      <c r="C36" s="103" t="s">
        <v>11</v>
      </c>
      <c r="E36" s="226" t="str">
        <f>'EPA Regional Contact Info'!A6</f>
        <v>Alaska</v>
      </c>
    </row>
    <row r="37" spans="2:5" ht="12.75" customHeight="1" thickBot="1" x14ac:dyDescent="0.3">
      <c r="B37" s="106"/>
      <c r="C37" s="107"/>
      <c r="E37" s="226" t="str">
        <f>'EPA Regional Contact Info'!A7</f>
        <v>Arizona</v>
      </c>
    </row>
    <row r="38" spans="2:5" ht="12.75" customHeight="1" thickBot="1" x14ac:dyDescent="0.3">
      <c r="B38" s="13"/>
      <c r="C38" s="75"/>
      <c r="D38" s="38"/>
      <c r="E38" s="226" t="str">
        <f>'EPA Regional Contact Info'!A8</f>
        <v>Arkansas</v>
      </c>
    </row>
    <row r="39" spans="2:5" ht="13.8" thickBot="1" x14ac:dyDescent="0.3">
      <c r="B39" s="62" t="s">
        <v>394</v>
      </c>
      <c r="C39" s="63"/>
      <c r="E39" s="226" t="str">
        <f>'EPA Regional Contact Info'!A9</f>
        <v>California</v>
      </c>
    </row>
    <row r="40" spans="2:5" x14ac:dyDescent="0.25">
      <c r="B40" s="357" t="s">
        <v>329</v>
      </c>
      <c r="C40" s="358"/>
      <c r="E40" s="226" t="str">
        <f>'EPA Regional Contact Info'!A10</f>
        <v>Colorado</v>
      </c>
    </row>
    <row r="41" spans="2:5" ht="21" customHeight="1" x14ac:dyDescent="0.25">
      <c r="B41" s="261" t="s">
        <v>420</v>
      </c>
      <c r="C41" s="280">
        <v>1980</v>
      </c>
      <c r="E41" s="226" t="str">
        <f>'EPA Regional Contact Info'!A11</f>
        <v>Connecticut</v>
      </c>
    </row>
    <row r="42" spans="2:5" ht="27.75" customHeight="1" x14ac:dyDescent="0.25">
      <c r="B42" s="261" t="s">
        <v>479</v>
      </c>
      <c r="C42" s="281" t="s">
        <v>358</v>
      </c>
      <c r="E42" s="226" t="str">
        <f>'EPA Regional Contact Info'!A12</f>
        <v>Florida</v>
      </c>
    </row>
    <row r="43" spans="2:5" ht="27.75" customHeight="1" x14ac:dyDescent="0.25">
      <c r="B43" s="262" t="s">
        <v>379</v>
      </c>
      <c r="C43" s="282">
        <v>0</v>
      </c>
      <c r="E43" s="226" t="str">
        <f>'EPA Regional Contact Info'!A13</f>
        <v>Georgia</v>
      </c>
    </row>
    <row r="44" spans="2:5" ht="30" customHeight="1" x14ac:dyDescent="0.25">
      <c r="B44" s="261" t="s">
        <v>464</v>
      </c>
      <c r="C44" s="281" t="s">
        <v>52</v>
      </c>
      <c r="E44" s="226" t="str">
        <f>'EPA Regional Contact Info'!A14</f>
        <v>Hawaii</v>
      </c>
    </row>
    <row r="45" spans="2:5" ht="16.5" customHeight="1" x14ac:dyDescent="0.25">
      <c r="B45" s="261" t="s">
        <v>480</v>
      </c>
      <c r="C45" s="281">
        <v>0.01</v>
      </c>
      <c r="E45" s="226" t="str">
        <f>'EPA Regional Contact Info'!A15</f>
        <v>Idaho</v>
      </c>
    </row>
    <row r="46" spans="2:5" ht="18.75" customHeight="1" x14ac:dyDescent="0.25">
      <c r="B46" s="261" t="s">
        <v>396</v>
      </c>
      <c r="C46" s="281" t="s">
        <v>398</v>
      </c>
      <c r="E46" s="226" t="str">
        <f>'EPA Regional Contact Info'!A16</f>
        <v>Illinois</v>
      </c>
    </row>
    <row r="47" spans="2:5" x14ac:dyDescent="0.25">
      <c r="B47" s="263" t="s">
        <v>392</v>
      </c>
      <c r="C47" s="281" t="s">
        <v>53</v>
      </c>
      <c r="E47" s="226" t="str">
        <f>'EPA Regional Contact Info'!A17</f>
        <v>Indiana</v>
      </c>
    </row>
    <row r="48" spans="2:5" ht="26.4" x14ac:dyDescent="0.25">
      <c r="B48" s="261" t="s">
        <v>386</v>
      </c>
      <c r="C48" s="281">
        <v>26</v>
      </c>
      <c r="E48" s="226" t="str">
        <f>'EPA Regional Contact Info'!A18</f>
        <v>Iowa</v>
      </c>
    </row>
    <row r="49" spans="2:5" ht="27.75" customHeight="1" x14ac:dyDescent="0.25">
      <c r="B49" s="262" t="s">
        <v>465</v>
      </c>
      <c r="C49" s="103">
        <v>0</v>
      </c>
      <c r="E49" s="226" t="str">
        <f>'EPA Regional Contact Info'!A19</f>
        <v>Kansas</v>
      </c>
    </row>
    <row r="50" spans="2:5" ht="16.5" customHeight="1" thickBot="1" x14ac:dyDescent="0.3">
      <c r="B50" s="264" t="s">
        <v>367</v>
      </c>
      <c r="C50" s="265">
        <f>IF(C49=0, 77, C49)</f>
        <v>77</v>
      </c>
      <c r="E50" s="226" t="str">
        <f>'EPA Regional Contact Info'!A20</f>
        <v>Kentucky</v>
      </c>
    </row>
    <row r="51" spans="2:5" x14ac:dyDescent="0.25">
      <c r="B51" s="51"/>
      <c r="C51" s="225"/>
      <c r="E51" s="226" t="str">
        <f>'EPA Regional Contact Info'!A21</f>
        <v>Louisiana</v>
      </c>
    </row>
    <row r="52" spans="2:5" ht="13.8" thickBot="1" x14ac:dyDescent="0.3">
      <c r="E52" s="226" t="str">
        <f>'EPA Regional Contact Info'!A22</f>
        <v>Maine</v>
      </c>
    </row>
    <row r="53" spans="2:5" ht="13.8" thickBot="1" x14ac:dyDescent="0.3">
      <c r="B53" s="350" t="s">
        <v>391</v>
      </c>
      <c r="C53" s="351"/>
      <c r="E53" s="226" t="str">
        <f>'EPA Regional Contact Info'!A23</f>
        <v>Massachusetts</v>
      </c>
    </row>
    <row r="54" spans="2:5" ht="39.75" customHeight="1" x14ac:dyDescent="0.25">
      <c r="B54" s="266" t="s">
        <v>361</v>
      </c>
      <c r="C54" s="283">
        <v>0</v>
      </c>
      <c r="E54" s="226" t="str">
        <f>'EPA Regional Contact Info'!A24</f>
        <v>Michigan</v>
      </c>
    </row>
    <row r="55" spans="2:5" ht="15" customHeight="1" x14ac:dyDescent="0.25">
      <c r="B55" s="262" t="s">
        <v>484</v>
      </c>
      <c r="C55" s="267">
        <f>IF(C54=0,VLOOKUP("Landfill Gas" &amp; "VOC",'Emission Factors'!$C$5:$E$7,2,0),C54)</f>
        <v>2420</v>
      </c>
      <c r="E55" s="226" t="str">
        <f>'EPA Regional Contact Info'!A25</f>
        <v>Minnesota</v>
      </c>
    </row>
    <row r="56" spans="2:5" ht="30" customHeight="1" x14ac:dyDescent="0.25">
      <c r="B56" s="262" t="s">
        <v>362</v>
      </c>
      <c r="C56" s="103">
        <v>0</v>
      </c>
      <c r="E56" s="226" t="str">
        <f>'EPA Regional Contact Info'!A26</f>
        <v>Mississippi</v>
      </c>
    </row>
    <row r="57" spans="2:5" ht="18" customHeight="1" x14ac:dyDescent="0.25">
      <c r="B57" s="268" t="s">
        <v>485</v>
      </c>
      <c r="C57" s="269">
        <f>IF(C56=0,VLOOKUP("Landfill Gas" &amp; "CO", 'Emission Factors'!$C$5:$E$7,2,0),C56)</f>
        <v>141</v>
      </c>
      <c r="E57" s="226" t="str">
        <f>'EPA Regional Contact Info'!A27</f>
        <v>Missouri</v>
      </c>
    </row>
    <row r="58" spans="2:5" ht="40.5" customHeight="1" x14ac:dyDescent="0.25">
      <c r="B58" s="262" t="s">
        <v>404</v>
      </c>
      <c r="C58" s="103">
        <v>0</v>
      </c>
      <c r="E58" s="226" t="str">
        <f>'EPA Regional Contact Info'!A28</f>
        <v>Montana</v>
      </c>
    </row>
    <row r="59" spans="2:5" ht="20.25" customHeight="1" x14ac:dyDescent="0.25">
      <c r="B59" s="262" t="s">
        <v>486</v>
      </c>
      <c r="C59" s="267">
        <f>IF(C58=0,VLOOKUP("Landfill Gas" &amp; "SO2", 'Emission Factors'!$C$5:$E$7,2,0),C58)</f>
        <v>47</v>
      </c>
      <c r="E59" s="226" t="str">
        <f>'EPA Regional Contact Info'!A29</f>
        <v>Nebraska</v>
      </c>
    </row>
    <row r="60" spans="2:5" ht="28.8" x14ac:dyDescent="0.25">
      <c r="B60" s="270" t="s">
        <v>427</v>
      </c>
      <c r="C60" s="284">
        <v>150000</v>
      </c>
      <c r="E60" s="226" t="str">
        <f>'EPA Regional Contact Info'!A30</f>
        <v>Nevada</v>
      </c>
    </row>
    <row r="61" spans="2:5" ht="28.8" x14ac:dyDescent="0.25">
      <c r="B61" s="261" t="s">
        <v>428</v>
      </c>
      <c r="C61" s="285">
        <v>150000</v>
      </c>
      <c r="E61" s="226" t="str">
        <f>'EPA Regional Contact Info'!A31</f>
        <v>New Hampshire</v>
      </c>
    </row>
    <row r="62" spans="2:5" ht="28.8" x14ac:dyDescent="0.25">
      <c r="B62" s="261" t="s">
        <v>429</v>
      </c>
      <c r="C62" s="285">
        <v>10000</v>
      </c>
      <c r="E62" s="226" t="str">
        <f>'EPA Regional Contact Info'!A32</f>
        <v>New Jersey</v>
      </c>
    </row>
    <row r="63" spans="2:5" ht="29.4" thickBot="1" x14ac:dyDescent="0.3">
      <c r="B63" s="271" t="s">
        <v>430</v>
      </c>
      <c r="C63" s="286">
        <v>40000</v>
      </c>
      <c r="E63" s="226" t="str">
        <f>'EPA Regional Contact Info'!A33</f>
        <v>New Mexico</v>
      </c>
    </row>
    <row r="64" spans="2:5" ht="18.75" customHeight="1" thickBot="1" x14ac:dyDescent="0.3">
      <c r="E64" s="226" t="str">
        <f>'EPA Regional Contact Info'!A34</f>
        <v>New York</v>
      </c>
    </row>
    <row r="65" spans="2:5" ht="24.75" customHeight="1" thickBot="1" x14ac:dyDescent="0.3">
      <c r="B65" s="325" t="s">
        <v>395</v>
      </c>
      <c r="C65" s="339"/>
      <c r="E65" s="226" t="str">
        <f>'EPA Regional Contact Info'!A35</f>
        <v>North Carolina</v>
      </c>
    </row>
    <row r="66" spans="2:5" ht="43.5" customHeight="1" x14ac:dyDescent="0.25">
      <c r="B66" s="270" t="s">
        <v>393</v>
      </c>
      <c r="C66" s="287">
        <v>0</v>
      </c>
      <c r="E66" s="226" t="str">
        <f>'EPA Regional Contact Info'!A36</f>
        <v>North Dakota</v>
      </c>
    </row>
    <row r="67" spans="2:5" ht="32.25" customHeight="1" x14ac:dyDescent="0.25">
      <c r="B67" s="272" t="s">
        <v>470</v>
      </c>
      <c r="C67" s="283">
        <v>0</v>
      </c>
      <c r="E67" s="226" t="str">
        <f>'EPA Regional Contact Info'!A37</f>
        <v>Ohio</v>
      </c>
    </row>
    <row r="68" spans="2:5" ht="20.25" customHeight="1" x14ac:dyDescent="0.25">
      <c r="B68" s="273" t="s">
        <v>437</v>
      </c>
      <c r="C68" s="274">
        <f>IF(C67=0,100,C67)</f>
        <v>100</v>
      </c>
      <c r="E68" s="226" t="str">
        <f>'EPA Regional Contact Info'!A38</f>
        <v>Oklahoma</v>
      </c>
    </row>
    <row r="69" spans="2:5" ht="47.25" customHeight="1" x14ac:dyDescent="0.25">
      <c r="B69" s="262" t="s">
        <v>490</v>
      </c>
      <c r="C69" s="288">
        <v>0.01</v>
      </c>
      <c r="E69" s="226" t="str">
        <f>'EPA Regional Contact Info'!A39</f>
        <v>Oregon</v>
      </c>
    </row>
    <row r="70" spans="2:5" ht="28.5" customHeight="1" x14ac:dyDescent="0.25">
      <c r="B70" s="262" t="s">
        <v>354</v>
      </c>
      <c r="C70" s="103">
        <v>0</v>
      </c>
      <c r="E70" s="226" t="str">
        <f>'EPA Regional Contact Info'!A40</f>
        <v>Rhode Island</v>
      </c>
    </row>
    <row r="71" spans="2:5" x14ac:dyDescent="0.25">
      <c r="B71" s="262" t="s">
        <v>355</v>
      </c>
      <c r="C71" s="274">
        <f>IF(C70= 0, IF(C47="Yes", 0.3, IF(Rainfall&gt;= 25, 0.04, 0.02)),C70)</f>
        <v>0.04</v>
      </c>
      <c r="E71" s="226" t="str">
        <f>'EPA Regional Contact Info'!A41</f>
        <v>South Carolina</v>
      </c>
    </row>
    <row r="72" spans="2:5" hidden="1" x14ac:dyDescent="0.25">
      <c r="B72" s="262" t="s">
        <v>487</v>
      </c>
      <c r="C72" s="102">
        <f>2012- Open_Year</f>
        <v>32</v>
      </c>
      <c r="E72" s="226" t="str">
        <f>'EPA Regional Contact Info'!A42</f>
        <v>South Dakota</v>
      </c>
    </row>
    <row r="73" spans="2:5" ht="25.5" customHeight="1" thickBot="1" x14ac:dyDescent="0.3">
      <c r="B73" s="264" t="s">
        <v>436</v>
      </c>
      <c r="C73" s="275">
        <f>IF(C66=0,1.3*C68*C69*(EXP(-C71*C43)-EXP(-C71*C72)),C66)</f>
        <v>0.93855150941084753</v>
      </c>
      <c r="E73" s="226" t="str">
        <f>'EPA Regional Contact Info'!A43</f>
        <v>Tennessee</v>
      </c>
    </row>
    <row r="74" spans="2:5" ht="25.5" customHeight="1" x14ac:dyDescent="0.25">
      <c r="B74" s="51"/>
      <c r="C74" s="224"/>
      <c r="E74" s="226" t="str">
        <f>'EPA Regional Contact Info'!A44</f>
        <v>Texas</v>
      </c>
    </row>
    <row r="75" spans="2:5" ht="18.75" customHeight="1" x14ac:dyDescent="0.25">
      <c r="E75" s="226" t="str">
        <f>'EPA Regional Contact Info'!A45</f>
        <v>Utah</v>
      </c>
    </row>
    <row r="76" spans="2:5" ht="29.25" customHeight="1" x14ac:dyDescent="0.25">
      <c r="E76" s="226" t="str">
        <f>'EPA Regional Contact Info'!A46</f>
        <v>Vermont</v>
      </c>
    </row>
    <row r="77" spans="2:5" x14ac:dyDescent="0.25">
      <c r="E77" s="226" t="str">
        <f>'EPA Regional Contact Info'!A47</f>
        <v>Washington</v>
      </c>
    </row>
    <row r="78" spans="2:5" x14ac:dyDescent="0.25">
      <c r="E78" s="226" t="str">
        <f>'EPA Regional Contact Info'!A48</f>
        <v>Wisconsin</v>
      </c>
    </row>
    <row r="79" spans="2:5" x14ac:dyDescent="0.25">
      <c r="E79" s="226" t="str">
        <f>'EPA Regional Contact Info'!A49</f>
        <v>Wyoming</v>
      </c>
    </row>
    <row r="81" spans="5:5" x14ac:dyDescent="0.25">
      <c r="E81" s="215" t="s">
        <v>481</v>
      </c>
    </row>
    <row r="82" spans="5:5" x14ac:dyDescent="0.25">
      <c r="E82" s="220">
        <f>IF(C54=0,VLOOKUP("Landfill Gas" &amp; "VOC",'Emission Factors'!$C$5:$E$7,2,0),IF((C63/C62)&lt;=4,(C54*(10^6))/(C60+C61),(C54*(10^6))/(C60+C61+C63)))</f>
        <v>2420</v>
      </c>
    </row>
    <row r="84" spans="5:5" x14ac:dyDescent="0.25">
      <c r="E84" s="215" t="s">
        <v>482</v>
      </c>
    </row>
    <row r="85" spans="5:5" x14ac:dyDescent="0.25">
      <c r="E85" s="220">
        <f>IF(C56=0,VLOOKUP("Landfill Gas" &amp; "CO", 'Emission Factors'!$C$5:$E$7,2,0),IF((C63/C62)&lt;=4,(C56*(10^6))/(C60+C61),(C56*(10^6))/(C60+C61+C63)))</f>
        <v>141</v>
      </c>
    </row>
    <row r="87" spans="5:5" x14ac:dyDescent="0.25">
      <c r="E87" s="215" t="s">
        <v>483</v>
      </c>
    </row>
    <row r="88" spans="5:5" x14ac:dyDescent="0.25">
      <c r="E88" s="220">
        <f>IF(C58=0,VLOOKUP("Landfill Gas" &amp; "SO2", 'Emission Factors'!$C$5:$E$7,2,0),IF((C63/C62)&lt;=4,(C58*(10^6))/(C60+C61),(C58*(10^6))/(C60+C61+C63)))</f>
        <v>47</v>
      </c>
    </row>
  </sheetData>
  <sheetProtection password="C969" sheet="1" objects="1" scenarios="1"/>
  <dataConsolidate/>
  <mergeCells count="7">
    <mergeCell ref="B53:C53"/>
    <mergeCell ref="B65:C65"/>
    <mergeCell ref="B3:C3"/>
    <mergeCell ref="B10:C10"/>
    <mergeCell ref="B27:C27"/>
    <mergeCell ref="B15:C15"/>
    <mergeCell ref="B40:C40"/>
  </mergeCells>
  <conditionalFormatting sqref="B67:C72 B43:C43">
    <cfRule type="expression" dxfId="11" priority="2">
      <formula>$C$66&lt;&gt;0</formula>
    </cfRule>
  </conditionalFormatting>
  <conditionalFormatting sqref="B60:C63">
    <cfRule type="expression" dxfId="10" priority="1">
      <formula>AND($C$54=0,$C$56=0,$C$58=0)</formula>
    </cfRule>
  </conditionalFormatting>
  <conditionalFormatting sqref="B43:C43">
    <cfRule type="expression" dxfId="9" priority="77">
      <formula>$C$42="Open"</formula>
    </cfRule>
  </conditionalFormatting>
  <dataValidations xWindow="539" yWindow="719" count="33">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To access the drop-down list, click on the small box to the right of the cell." sqref="C28">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If your landfill was accepting new waste in 2012, select open. If your landfill was no longer accepting new waste in 2012, select closed." sqref="C42">
      <formula1>Open_Closed</formula1>
    </dataValidation>
    <dataValidation type="list" allowBlank="1" showInputMessage="1" showErrorMessage="1" prompt="Indicate whether your facility is a wet landfill. Wet landfills are landfills that add large amounts of water to waste." sqref="C47">
      <formula1>Yes_No_Inputs</formula1>
    </dataValidation>
    <dataValidation type="decimal" operator="greaterThan" allowBlank="1" showInputMessage="1" showErrorMessage="1" error="Inches of rainfall per year must be a number greater than zero." prompt="Enter an estimate of the average yearly amount of rainfall that your landfill's location recieves, in inches." sqref="C48">
      <formula1>0</formula1>
    </dataValidation>
    <dataValidation operator="greaterThanOrEqual" allowBlank="1" showInputMessage="1" showErrorMessage="1" prompt="Enter an estimate of the temperature of gases released from your landfill in 2012, in degrees Fahrenheit. If you do not have this information, enter 0, and a default temperature will be used." sqref="C49"/>
    <dataValidation type="decimal" operator="greaterThan" allowBlank="1" showInputMessage="1" showErrorMessage="1" error="Concentration must be a number greater than zero." prompt="Enter an estimate of the concentration of CO2 in gases released from your landfill, in ppmv. This value should be found in the source test report for your landfill." sqref="C60">
      <formula1>0</formula1>
    </dataValidation>
    <dataValidation type="decimal" operator="greaterThan" allowBlank="1" showInputMessage="1" showErrorMessage="1" error="Concentration must be a number greater than zero." prompt="Enter an estimate of the concentration of CH4 in gases released from your landfill, in ppmv. This value should be found in the source test report for your landfill." sqref="C61">
      <formula1>0</formula1>
    </dataValidation>
    <dataValidation type="decimal" operator="greaterThan" allowBlank="1" showInputMessage="1" showErrorMessage="1" error="Concentration must be a number greater than zero." prompt="Enter an estimate of the concentration of O2 in gases released from your landfill, in ppmv. This value should be found in the source test report for your landfill." sqref="C62">
      <formula1>0</formula1>
    </dataValidation>
    <dataValidation type="decimal" operator="greaterThan" allowBlank="1" showInputMessage="1" showErrorMessage="1" error="Concentration must be a number greater than zero." prompt="Enter an estimate of the concentration of N2 in gases released from your landfill, in ppmv. This value should be found in the source test report for your landfill." sqref="C63">
      <formula1>0</formula1>
    </dataValidation>
    <dataValidation type="decimal" operator="greaterThanOrEqual" allowBlank="1" showInputMessage="1" showErrorMessage="1" error="Concentration must be a number greater than or equal to zero." prompt="Enter an estimate of the concentration of NMOC in gases released from your landfill, in ppmv. If you do not have this information, enter 0 and a default value will be used." sqref="C54">
      <formula1>0</formula1>
    </dataValidation>
    <dataValidation type="decimal" operator="greaterThanOrEqual" allowBlank="1" showInputMessage="1" showErrorMessage="1" error="Concentration must be a number greater than or equal to zero." prompt="Enter an estimate of the concentration of CO in gases released from your landfill, in ppmv. If you do not have this information, enter 0 and a default value will be used." sqref="C56">
      <formula1>0</formula1>
    </dataValidation>
    <dataValidation type="decimal" operator="greaterThanOrEqual" allowBlank="1" showInputMessage="1" showErrorMessage="1" error="Quantity of methane released from your landfill must be a number greater than zero." prompt="Enter an estimate of the quantity of methane released from your landfill in 2012, if you have this information. If you do not have this information, enter 0, and answer the remaining questions." sqref="C66">
      <formula1>0</formula1>
    </dataValidation>
    <dataValidation type="decimal" operator="greaterThanOrEqual" allowBlank="1" showInputMessage="1" showErrorMessage="1" error="Methane generation potential must be a number greater than or equal to zero." prompt="Enter an estimate of the methane generation potential of your landfill in 2012, if you have this information. If you do not have this information, enter 0 and a default value will be selected for you." sqref="C67">
      <formula1>0</formula1>
    </dataValidation>
    <dataValidation type="decimal" operator="greaterThanOrEqual" allowBlank="1" showInputMessage="1" showErrorMessage="1" error="Methane generation constant must be a number greater than or equal to zero." prompt="Enter an estimate of the methane generation rate constant at your facility, if you have this information. If you do not have this information, enter 0 and a constant will be selected for you." sqref="C70">
      <formula1>0</formula1>
    </dataValidation>
    <dataValidation type="decimal" operator="greaterThan" allowBlank="1" showInputMessage="1" showErrorMessage="1" error="Number of years must be a number greater than zero." prompt="Enter the number of years that have passed since your landfill first began accepting waste, including any years where the landfill was closed." sqref="C72">
      <formula1>0</formula1>
    </dataValidation>
    <dataValidation allowBlank="1" showInputMessage="1" showErrorMessage="1" prompt="If your landfill is currently closed, enter the number of years it has been closed. If your landfill is currently open, enter zero." sqref="C43"/>
    <dataValidation type="list" allowBlank="1" showInputMessage="1" showErrorMessage="1" prompt="Indicate whether the majority of waste at your landfill was placed before 1992, or after 1992. " sqref="C46">
      <formula1>Before_After_1992</formula1>
    </dataValidation>
    <dataValidation allowBlank="1" showInputMessage="1" showErrorMessage="1" prompt="Enter a site-specific estimate of the total reduced sulfur concentration in gases at your landfill, if you have this information. If you do not have this information, enter 0 and a default value will be selected for you." sqref="C58"/>
    <dataValidation type="list" allowBlank="1" showInputMessage="1" showErrorMessage="1" prompt="Indicate whether your facility codisposed municipal solid waste and non-residential waste in 2012, or only municipal solid waste." sqref="C44">
      <formula1>Yes_No_Inputs</formula1>
    </dataValidation>
    <dataValidation type="whole" allowBlank="1" showInputMessage="1" showErrorMessage="1" prompt="Enter the year that your landfill first began accepting waste." sqref="C41">
      <formula1>1850</formula1>
      <formula2>2012</formula2>
    </dataValidation>
    <dataValidation type="decimal" operator="greaterThan" allowBlank="1" showInputMessage="1" showErrorMessage="1" error="Design capacity must be a number greater than zero." prompt="Enter the design capacity of your landfill in cubic meters." sqref="C45">
      <formula1>0</formula1>
    </dataValidation>
    <dataValidation type="decimal" operator="greaterThan" allowBlank="1" showInputMessage="1" showErrorMessage="1" error="Annual refuse acceptance must be a number greater than zero." prompt="Enter the average amount of refuse (waste) that your landfill accepts per year. If any segments of your landfill accept only non-degradable waste, exclude them from this rate." sqref="C69">
      <formula1>0</formula1>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allowBlank="1" showInputMessage="1" showErrorMessage="1" prompt="Temperature of landfill gases in degrees Fahreneheit. If 0 is entered in the field above, a default value of 77 degrees will be used." sqref="C50:C51"/>
    <dataValidation allowBlank="1" showInputMessage="1" showErrorMessage="1" prompt="Methane generation potential. If 0 is entered in the field above, a default value of 100 will be used." sqref="C68"/>
    <dataValidation allowBlank="1" showInputMessage="1" showErrorMessage="1" prompt="Methane generation rate constant. If 0 is entered in the field above, the default value shown here will be used." sqref="C71"/>
    <dataValidation allowBlank="1" showInputMessage="1" showErrorMessage="1" prompt="NMOC concentration in parts per million by volume. If 0 is entered in the field above, a default value will be used." sqref="C55"/>
    <dataValidation allowBlank="1" showInputMessage="1" showErrorMessage="1" prompt="CO concentration in parts per million by volume. If 0 is entered in the field above, a default value will be used." sqref="C57"/>
    <dataValidation allowBlank="1" showInputMessage="1" showErrorMessage="1" prompt="Reduced sulfur concentration in parts per million by volume. If 0 is entered in the field above, a default value will be used." sqref="C59"/>
  </dataValidations>
  <pageMargins left="0.7" right="0.7" top="0.75" bottom="0.75" header="0.3" footer="0.3"/>
  <pageSetup scale="85" orientation="landscape" r:id="rId1"/>
  <headerFooter>
    <oddFooter>&amp;LPage &amp;P of &amp;N&amp;C&amp;F&amp;RPrinted &amp;D</oddFooter>
  </headerFooter>
  <rowBreaks count="1" manualBreakCount="1">
    <brk id="3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showGridLines="0" zoomScaleNormal="100" workbookViewId="0"/>
  </sheetViews>
  <sheetFormatPr defaultColWidth="9.109375" defaultRowHeight="13.2" x14ac:dyDescent="0.25"/>
  <cols>
    <col min="1" max="1" width="2.5546875" style="14" customWidth="1"/>
    <col min="2" max="2" width="48.88671875" style="14" customWidth="1"/>
    <col min="3" max="3" width="95" style="14" customWidth="1"/>
    <col min="4" max="4" width="9.109375" style="14"/>
    <col min="5" max="5" width="10" style="14" customWidth="1"/>
    <col min="6" max="6" width="30.109375" style="14" hidden="1" customWidth="1"/>
    <col min="7" max="7" width="26" style="14" customWidth="1"/>
    <col min="8" max="16384" width="9.109375" style="14"/>
  </cols>
  <sheetData>
    <row r="1" spans="2:6" ht="17.399999999999999" x14ac:dyDescent="0.3">
      <c r="B1" s="127" t="s">
        <v>327</v>
      </c>
    </row>
    <row r="2" spans="2:6" ht="13.8" thickBot="1" x14ac:dyDescent="0.3"/>
    <row r="3" spans="2:6" x14ac:dyDescent="0.25">
      <c r="B3" s="137" t="s">
        <v>293</v>
      </c>
      <c r="C3" s="182"/>
    </row>
    <row r="4" spans="2:6" ht="32.25" customHeight="1" x14ac:dyDescent="0.25">
      <c r="B4" s="276" t="s">
        <v>472</v>
      </c>
      <c r="C4" s="279" t="s">
        <v>53</v>
      </c>
      <c r="F4" s="215" t="s">
        <v>359</v>
      </c>
    </row>
    <row r="5" spans="2:6" ht="26.4" x14ac:dyDescent="0.25">
      <c r="B5" s="276" t="s">
        <v>473</v>
      </c>
      <c r="C5" s="279" t="s">
        <v>337</v>
      </c>
      <c r="F5" s="34" t="s">
        <v>52</v>
      </c>
    </row>
    <row r="6" spans="2:6" ht="57.6" x14ac:dyDescent="0.25">
      <c r="B6" s="276" t="s">
        <v>492</v>
      </c>
      <c r="C6" s="279">
        <v>0</v>
      </c>
      <c r="F6" s="34" t="s">
        <v>53</v>
      </c>
    </row>
    <row r="7" spans="2:6" ht="19.5" customHeight="1" x14ac:dyDescent="0.25">
      <c r="B7" s="276" t="s">
        <v>491</v>
      </c>
      <c r="C7" s="277">
        <f>IF(C6=0, VLOOKUP(C5&amp;"CO",'Emission Factors'!$C$9:$D$28,2,0),C6)</f>
        <v>46</v>
      </c>
    </row>
    <row r="8" spans="2:6" ht="55.2" x14ac:dyDescent="0.25">
      <c r="B8" s="276" t="s">
        <v>474</v>
      </c>
      <c r="C8" s="279">
        <v>0</v>
      </c>
    </row>
    <row r="9" spans="2:6" ht="15.6" x14ac:dyDescent="0.25">
      <c r="B9" s="276" t="s">
        <v>400</v>
      </c>
      <c r="C9" s="277">
        <f>IF(C8=0, VLOOKUP(C5&amp;"NOx",'Emission Factors'!$C$9:$D$28,2,0),C8)</f>
        <v>39</v>
      </c>
      <c r="F9" s="215" t="s">
        <v>360</v>
      </c>
    </row>
    <row r="10" spans="2:6" ht="55.2" x14ac:dyDescent="0.25">
      <c r="B10" s="276" t="s">
        <v>475</v>
      </c>
      <c r="C10" s="279">
        <v>0</v>
      </c>
      <c r="F10" s="34" t="s">
        <v>337</v>
      </c>
    </row>
    <row r="11" spans="2:6" ht="15.6" x14ac:dyDescent="0.25">
      <c r="B11" s="278" t="s">
        <v>401</v>
      </c>
      <c r="C11" s="277">
        <f>IF(C10=0, VLOOKUP(C5&amp;"Total PM",'Emission Factors'!$C$9:$D$28,2,0),C11)</f>
        <v>15</v>
      </c>
      <c r="F11" s="34" t="s">
        <v>344</v>
      </c>
    </row>
    <row r="12" spans="2:6" ht="13.5" customHeight="1" x14ac:dyDescent="0.25">
      <c r="F12" s="34" t="s">
        <v>342</v>
      </c>
    </row>
    <row r="13" spans="2:6" x14ac:dyDescent="0.25">
      <c r="F13" s="34" t="s">
        <v>343</v>
      </c>
    </row>
  </sheetData>
  <sheetProtection password="C969" sheet="1" objects="1" scenarios="1"/>
  <conditionalFormatting sqref="B5:C11">
    <cfRule type="expression" dxfId="8" priority="1">
      <formula>$C$4="No"</formula>
    </cfRule>
  </conditionalFormatting>
  <dataValidations count="8">
    <dataValidation type="list" allowBlank="1" showInputMessage="1" showErrorMessage="1" prompt="Answer &quot;yes&quot; using the drop-down list if your facility used emission control technology in 2012; answer &quot;no&quot; if it did not. To access the drop-down list, click on the small box to the right of the cell." sqref="C4">
      <formula1>Yes_No_Controls_Restrictions</formula1>
    </dataValidation>
    <dataValidation type="list" allowBlank="1" showInputMessage="1" showErrorMessage="1" prompt="Use the drop-down list to select the type of control technology that your landfill currently uses." sqref="C5">
      <formula1>Control_Technology_Types</formula1>
    </dataValidation>
    <dataValidation type="decimal" operator="greaterThanOrEqual" allowBlank="1" showInputMessage="1" showErrorMessage="1" error="Emissions factor must be a number greater than zero." prompt="If the vendor has provided you with an emissions factor for NOx leaving your control device, enter that facor here (in lb/10^6 dscf Methane). If you do not have this information, enter 0 and an emissions factor will be selected for you." sqref="C6">
      <formula1>0</formula1>
    </dataValidation>
    <dataValidation allowBlank="1" showInputMessage="1" showErrorMessage="1" error="Emissions factor must be a number greater than zero." prompt="If the vendor has provided you with an emissions factor for CO leaving your control device, enter that facor here. (in lb/10^6 dscf Methane). If you do not have this information, enter 0 and an emissions factor will be selected for you." sqref="C8"/>
    <dataValidation allowBlank="1" showInputMessage="1" showErrorMessage="1" error="Emissions factor must be a number greater than zero." prompt="If the vendor has provided you with an emissions factor for PM leaving your control device, enter that facor here. (in lb/10^6 dscf Methane). If you do not have this information, enter 0 and an emissions factor will be selected for you." sqref="C10"/>
    <dataValidation allowBlank="1" showInputMessage="1" showErrorMessage="1" prompt="NOX concentration. If 0 is entered in the field above, the default shown here will be used." sqref="C7"/>
    <dataValidation allowBlank="1" showInputMessage="1" showErrorMessage="1" prompt="CO concentration. If 0 is entered in the field above, the default value shown here will be used." sqref="C9"/>
    <dataValidation allowBlank="1" showInputMessage="1" showErrorMessage="1" prompt="PM concentration. If 0 is entered in the field above, the default value shown here will be used." sqref="C11"/>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showGridLines="0" zoomScaleNormal="100" workbookViewId="0"/>
  </sheetViews>
  <sheetFormatPr defaultColWidth="9.109375" defaultRowHeight="13.2" x14ac:dyDescent="0.25"/>
  <cols>
    <col min="1" max="1" width="3.109375" style="14" customWidth="1"/>
    <col min="2" max="2" width="21" style="14" customWidth="1"/>
    <col min="3" max="3" width="14.5546875" style="14" customWidth="1"/>
    <col min="4" max="4" width="14" style="14" customWidth="1"/>
    <col min="5" max="5" width="11.88671875" style="14" customWidth="1"/>
    <col min="6" max="6" width="14.5546875" style="14" customWidth="1"/>
    <col min="7" max="7" width="13.88671875" style="14" customWidth="1"/>
    <col min="8" max="8" width="13" style="14" customWidth="1"/>
    <col min="9" max="10" width="9.109375" style="14"/>
    <col min="11" max="11" width="40.6640625" style="14" hidden="1" customWidth="1"/>
    <col min="12" max="16384" width="9.109375" style="14"/>
  </cols>
  <sheetData>
    <row r="1" spans="2:11" ht="17.399999999999999" x14ac:dyDescent="0.3">
      <c r="B1" s="127" t="s">
        <v>284</v>
      </c>
    </row>
    <row r="2" spans="2:11" ht="13.8" thickBot="1" x14ac:dyDescent="0.3"/>
    <row r="3" spans="2:11" ht="13.8" thickBot="1" x14ac:dyDescent="0.3">
      <c r="B3" s="359" t="s">
        <v>462</v>
      </c>
      <c r="C3" s="360"/>
      <c r="D3" s="360"/>
      <c r="E3" s="360"/>
      <c r="F3" s="360"/>
      <c r="G3" s="360"/>
      <c r="H3" s="361"/>
    </row>
    <row r="4" spans="2:11" ht="15.6" x14ac:dyDescent="0.35">
      <c r="B4" s="137" t="s">
        <v>290</v>
      </c>
      <c r="C4" s="138" t="s">
        <v>61</v>
      </c>
      <c r="D4" s="134" t="s">
        <v>62</v>
      </c>
      <c r="E4" s="134" t="s">
        <v>63</v>
      </c>
      <c r="F4" s="134" t="s">
        <v>3</v>
      </c>
      <c r="G4" s="135" t="s">
        <v>64</v>
      </c>
      <c r="H4" s="136" t="s">
        <v>65</v>
      </c>
    </row>
    <row r="5" spans="2:11" x14ac:dyDescent="0.25">
      <c r="B5" s="139" t="s">
        <v>365</v>
      </c>
      <c r="C5" s="181">
        <f>IF(Have_Control="No",(Methane_Rate*(CO_concentration/(0.5*10^6)))*(CO_Molecular_Weight/((8.205*10^-5)*(1000)*(273+Gas_Temperature)))*2.21*(1/2000),0)</f>
        <v>3.3503313268995718E-7</v>
      </c>
      <c r="D5" s="181">
        <v>0</v>
      </c>
      <c r="E5" s="241">
        <f>IF(Have_Control = "No",Methane_Rate*(SO2_Concentration/(0.5*10^6))*(Sulfur_Molecular_Weight/((8.205*10^-5)*(1000)*(273+Gas_Temperature)))*2.21*(1/2000),0)</f>
        <v>1.2786519773136884E-7</v>
      </c>
      <c r="F5" s="223">
        <f>IF(Have_Control = "No",Methane_Rate*(NMOC_concentration/(0.5*10^6))*(Hexane_Molecular_Weight/((8.205*10^-5)*(1000)*(273+Gas_Temperature)))*2.21*(1/2000),((Methane_Rate*(NMOC_concentration/(0.5*10^6))*(Hexane_Molecular_Weight/((8.205*10^-5)*(1000)*(273+Gas_Temperature)))*2.21*(1/2000))*(1-(Collection_Efficiency/100)))+((Methane_Rate*(NMOC_concentration/(0.5*10^6))*(Hexane_Molecular_Weight/((8.205*10^-5)*(1000)*(273+Gas_Temperature)))*2.21*(1/2000))*(Collection_Efficiency/100)*(1-(VLOOKUP(Control_Type&amp;"NMOC",'Collection Efficiencies'!$C$5:$D$8,2,0)/100))))</f>
        <v>1.7692018809906702E-5</v>
      </c>
      <c r="G5" s="181">
        <v>0</v>
      </c>
      <c r="H5" s="181">
        <v>0</v>
      </c>
      <c r="K5" s="215" t="s">
        <v>424</v>
      </c>
    </row>
    <row r="6" spans="2:11" ht="13.8" thickBot="1" x14ac:dyDescent="0.3">
      <c r="B6" s="235" t="s">
        <v>346</v>
      </c>
      <c r="C6" s="236">
        <f>IF(Have_Control="Yes",Methane_Rate*Cubic_meters_to_cubic_feet*(1/(10^6))*Controlled_CO_Concentration*(1/2000),0)</f>
        <v>0</v>
      </c>
      <c r="D6" s="236">
        <f>IF(Have_Control="Yes",Methane_Rate*Cubic_meters_to_cubic_feet*(1/(10^6))*Controlled_NOx_Concentration*(1/2000),0)</f>
        <v>0</v>
      </c>
      <c r="E6" s="242">
        <f>IF(Have_Control="Yes",Methane_Rate*(SO2_Concentration/(0.5*10^6))*(Sulfur_Molecular_Weight/((8.205*10^-5)*(1000)*(273+Gas_Temperature)))*2.21*(1/2000)*(Collection_Efficiency/100)*2,0)</f>
        <v>0</v>
      </c>
      <c r="F6" s="237">
        <v>0</v>
      </c>
      <c r="G6" s="236">
        <f>IF(Have_Control="Yes",Methane_Rate*Cubic_meters_to_cubic_feet*(1/(10^6))*Controlled_PM_Concentration*(1/2000),0)</f>
        <v>0</v>
      </c>
      <c r="H6" s="253">
        <f>IF(Have_Control="Yes",Methane_Rate*Cubic_meters_to_cubic_feet*(1/(10^6))*Controlled_PM_Concentration*(1/2000),0)</f>
        <v>0</v>
      </c>
      <c r="K6" s="233">
        <f>Methane_Rate*(NMOC_concentration/(0.5*10^6))*(Hexane_Molecular_Weight/((8.205*10^-5)*(1000)*(273+Gas_Temperature)))*2.21*(1/2000)*Tons_to_Mg</f>
        <v>1.604666106058538E-5</v>
      </c>
    </row>
    <row r="7" spans="2:11" ht="13.8" thickBot="1" x14ac:dyDescent="0.3">
      <c r="B7" s="140" t="s">
        <v>291</v>
      </c>
      <c r="C7" s="141">
        <f>SUM(C5:C6)</f>
        <v>3.3503313268995718E-7</v>
      </c>
      <c r="D7" s="141">
        <f t="shared" ref="D7:H7" si="0">SUM(D5:D6)</f>
        <v>0</v>
      </c>
      <c r="E7" s="141">
        <f t="shared" si="0"/>
        <v>1.2786519773136884E-7</v>
      </c>
      <c r="F7" s="141">
        <f t="shared" si="0"/>
        <v>1.7692018809906702E-5</v>
      </c>
      <c r="G7" s="141">
        <f t="shared" si="0"/>
        <v>0</v>
      </c>
      <c r="H7" s="141">
        <f t="shared" si="0"/>
        <v>0</v>
      </c>
    </row>
    <row r="8" spans="2:11" ht="13.8" thickBot="1" x14ac:dyDescent="0.3">
      <c r="B8" s="132"/>
      <c r="C8" s="132"/>
      <c r="D8" s="132"/>
      <c r="E8" s="132"/>
      <c r="F8" s="132"/>
      <c r="G8" s="133"/>
      <c r="H8" s="133"/>
      <c r="K8" s="215" t="s">
        <v>423</v>
      </c>
    </row>
    <row r="9" spans="2:11" ht="13.8" thickBot="1" x14ac:dyDescent="0.3">
      <c r="B9" s="359" t="s">
        <v>301</v>
      </c>
      <c r="C9" s="360"/>
      <c r="D9" s="360"/>
      <c r="E9" s="360"/>
      <c r="F9" s="360"/>
      <c r="G9" s="360"/>
      <c r="H9" s="361"/>
      <c r="K9" s="232" t="str">
        <f>IF(AND(OR(Open_Year &gt;= 1987,Landfill_Status = "Open"), Design_Capacity &gt;= 2.5, Uncontrolled_NMOC &gt;= 50), "Yes","No")</f>
        <v>No</v>
      </c>
    </row>
    <row r="10" spans="2:11" ht="16.2" thickBot="1" x14ac:dyDescent="0.4">
      <c r="B10" s="128" t="s">
        <v>290</v>
      </c>
      <c r="C10" s="129" t="s">
        <v>61</v>
      </c>
      <c r="D10" s="129" t="s">
        <v>62</v>
      </c>
      <c r="E10" s="129" t="s">
        <v>63</v>
      </c>
      <c r="F10" s="129" t="s">
        <v>3</v>
      </c>
      <c r="G10" s="130" t="s">
        <v>64</v>
      </c>
      <c r="H10" s="131" t="s">
        <v>65</v>
      </c>
    </row>
    <row r="11" spans="2:11" ht="16.5" customHeight="1" x14ac:dyDescent="0.25">
      <c r="B11" s="139" t="s">
        <v>365</v>
      </c>
      <c r="C11" s="181">
        <f>IF(Controls_Required="No",IF(AND(Have_Control="Yes", (C6&gt;(Methane_Rate*(CO_concentration/(0.5*10^6)))*(CO_Molecular_Weight/((8.205*10^-5)*(1000)*(273+Gas_Temperature)))*2.21*(1/2000))),C6,Methane_Rate*(CO_concentration/(0.5*10^6))*(CO_Molecular_Weight/((8.205*10^-5)*(1000)*(273+Gas_Temperature)))*2.21*(1/2000)),0)</f>
        <v>3.3503313268995718E-7</v>
      </c>
      <c r="D11" s="218">
        <f>IF(AND(Have_Control="Yes",Controls_Required="No"),D6,0)</f>
        <v>0</v>
      </c>
      <c r="E11" s="218">
        <f>IF(Controls_Required="No",IF(AND(Have_Control = "Yes", E6&gt; (Methane_Rate*(SO2_Concentration/(0.5*10^6))*(Sulfur_Molecular_Weight/((8.205*10^-5)*(1000)*(273+Gas_Temperature)))*2.21*(1/2000))), E6, Methane_Rate*(SO2_Concentration/(0.5*10^6))*(Sulfur_Molecular_Weight/((8.205*10^-5)*(1000)*(273+Gas_Temperature)))*2.21*(1/2000)),0)</f>
        <v>1.2786519773136884E-7</v>
      </c>
      <c r="F11" s="218">
        <f>IF(Controls_Required="No",Methane_Rate*(NMOC_concentration/(0.5*10^6))*(Hexane_Molecular_Weight/((8.205*10^-5)*(1000)*(273+Gas_Temperature)))*2.21*(1/2000),IF(F5&gt;(((Methane_Rate*(NMOC_concentration/(0.5*10^6))*(Hexane_Molecular_Weight/((8.205*10^-5)*(1000)*(273+Gas_Temperature)))*2.21*(1/2000))*(1-(Collection_Efficiency/100)))+((Methane_Rate*(Allowable_Controlled_NMOC_Concentration/(0.5*10^6))*(Hexane_Molecular_Weight/((8.205*10^-5)*(1000)*(273+Gas_Temperature)))*2.21*(1/2000))*(Collection_Efficiency/100))),F5,((Methane_Rate*(NMOC_concentration/(0.5*10^6))*(Hexane_Molecular_Weight/((8.205*10^-5)*(1000)*(273+Gas_Temperature)))*2.21*(1/2000))*(1-(Collection_Efficiency/100)))+((Methane_Rate*(Allowable_Controlled_NMOC_Concentration/(0.5*10^6))*(Hexane_Molecular_Weight/((8.205*10^-5)*(1000)*(273+Gas_Temperature)))*2.21*(1/2000))*(Collection_Efficiency/100))))</f>
        <v>1.7692018809906702E-5</v>
      </c>
      <c r="G11" s="218">
        <f>IF(AND(Controls_Required="No", Have_Control = "Yes"),G6,0)</f>
        <v>0</v>
      </c>
      <c r="H11" s="227">
        <f>IF(AND(Have_Control = "Yes",Controls_Required="No"),H6,0)</f>
        <v>0</v>
      </c>
      <c r="K11" s="240" t="s">
        <v>439</v>
      </c>
    </row>
    <row r="12" spans="2:11" ht="13.8" thickBot="1" x14ac:dyDescent="0.3">
      <c r="B12" s="235" t="s">
        <v>346</v>
      </c>
      <c r="C12" s="236">
        <f>IF(Controls_Required="Yes", Methane_Rate*Cubic_meters_to_cubic_feet*(1/(10^6))*Controlled_CO_Concentration*(1/2000),0)</f>
        <v>0</v>
      </c>
      <c r="D12" s="238">
        <f>IF(Controls_Required = "Yes",Methane_Rate*Cubic_meters_to_cubic_feet*(1/(10^6))*Controlled_NOx_Concentration*(1/2000),0)</f>
        <v>0</v>
      </c>
      <c r="E12" s="238">
        <f>IF(Controls_Required = "Yes",Methane_Rate*(SO2_Concentration/(0.5*10^6))*(Sulfur_Molecular_Weight/((8.205*10^-5)*(1000)*(273+Gas_Temperature)))*2.21*(1/2000)*(Collection_Efficiency/100)*2,0)</f>
        <v>0</v>
      </c>
      <c r="F12" s="238">
        <v>0</v>
      </c>
      <c r="G12" s="238">
        <f>IF(Controls_Required = "Yes", Methane_Rate*Cubic_meters_to_cubic_feet*(1/(10^6))*Controlled_PM_Concentration*(1/2000),0)</f>
        <v>0</v>
      </c>
      <c r="H12" s="239">
        <f>IF(Controls_Required = "Yes", Methane_Rate*Cubic_meters_to_cubic_feet*(1/(10^6))*Controlled_PM_Concentration*(1/2000),0)</f>
        <v>0</v>
      </c>
      <c r="K12" s="233">
        <f>IF(0.02*NMOC_concentration &gt; 20, 0.02*NMOC_concentration, 20)</f>
        <v>48.4</v>
      </c>
    </row>
    <row r="13" spans="2:11" ht="13.8" thickBot="1" x14ac:dyDescent="0.3">
      <c r="B13" s="140" t="s">
        <v>291</v>
      </c>
      <c r="C13" s="141">
        <f t="shared" ref="C13:H13" si="1">SUM(C11:C12)</f>
        <v>3.3503313268995718E-7</v>
      </c>
      <c r="D13" s="141">
        <f t="shared" si="1"/>
        <v>0</v>
      </c>
      <c r="E13" s="141">
        <f t="shared" si="1"/>
        <v>1.2786519773136884E-7</v>
      </c>
      <c r="F13" s="141">
        <f t="shared" si="1"/>
        <v>1.7692018809906702E-5</v>
      </c>
      <c r="G13" s="141">
        <f t="shared" si="1"/>
        <v>0</v>
      </c>
      <c r="H13" s="142">
        <f t="shared" si="1"/>
        <v>0</v>
      </c>
    </row>
  </sheetData>
  <sheetProtection password="C969" sheet="1" objects="1" scenarios="1"/>
  <mergeCells count="2">
    <mergeCell ref="B3:H3"/>
    <mergeCell ref="B9:H9"/>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9:B10"/>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2"/>
  <sheetViews>
    <sheetView showGridLines="0" topLeftCell="A12" zoomScaleNormal="100" workbookViewId="0">
      <selection sqref="A1:XFD1"/>
    </sheetView>
  </sheetViews>
  <sheetFormatPr defaultColWidth="3.33203125" defaultRowHeight="13.2" x14ac:dyDescent="0.25"/>
  <cols>
    <col min="1" max="1" width="16.109375" style="14" customWidth="1"/>
    <col min="2" max="2" width="4.6640625" style="14" customWidth="1"/>
    <col min="3" max="3" width="24.6640625" style="14" customWidth="1"/>
    <col min="4" max="4" width="5.5546875" style="14" customWidth="1"/>
    <col min="5" max="5" width="25.44140625" style="14" customWidth="1"/>
    <col min="6" max="6" width="32.44140625" style="14" customWidth="1"/>
    <col min="7" max="9" width="1.88671875" style="14" customWidth="1"/>
    <col min="10" max="10" width="3.109375" style="14" customWidth="1"/>
    <col min="11" max="11" width="16.6640625" style="39" hidden="1" customWidth="1"/>
    <col min="12" max="12" width="16.6640625" style="158" hidden="1" customWidth="1"/>
    <col min="13" max="13" width="18" style="158" hidden="1" customWidth="1"/>
    <col min="14" max="14" width="20.44140625" style="14" customWidth="1"/>
    <col min="15" max="58" width="1.88671875" style="14" customWidth="1"/>
    <col min="59" max="16384" width="3.33203125" style="14"/>
  </cols>
  <sheetData>
    <row r="1" spans="1:13" ht="24.75" customHeight="1" thickBot="1" x14ac:dyDescent="0.3"/>
    <row r="2" spans="1:13" ht="14.25" customHeight="1" x14ac:dyDescent="0.25">
      <c r="A2" s="16"/>
      <c r="B2" s="17"/>
      <c r="C2" s="17"/>
      <c r="D2" s="17"/>
      <c r="E2" s="17"/>
      <c r="F2" s="18"/>
    </row>
    <row r="3" spans="1:13" x14ac:dyDescent="0.25">
      <c r="A3" s="19" t="s">
        <v>30</v>
      </c>
      <c r="B3" s="112" t="str">
        <f>"  "&amp;Inputs!C4</f>
        <v xml:space="preserve">  Acme Landfill</v>
      </c>
      <c r="C3" s="112"/>
      <c r="E3" s="156" t="str">
        <f>"Facility Contact:"&amp;"  "&amp;Inputs!C11</f>
        <v>Facility Contact:  John Doe</v>
      </c>
      <c r="F3" s="20"/>
    </row>
    <row r="4" spans="1:13" ht="14.25" customHeight="1" x14ac:dyDescent="0.25">
      <c r="A4" s="19" t="s">
        <v>31</v>
      </c>
      <c r="B4" s="112" t="str">
        <f>"  "&amp;Inputs!C5</f>
        <v xml:space="preserve">  101 Acme Way</v>
      </c>
      <c r="C4" s="112"/>
      <c r="E4" s="156" t="str">
        <f>"              Phone:"&amp;"  "&amp;Inputs!C12</f>
        <v xml:space="preserve">              Phone:  555-555-5555</v>
      </c>
      <c r="F4" s="20"/>
    </row>
    <row r="5" spans="1:13" x14ac:dyDescent="0.25">
      <c r="A5" s="21"/>
      <c r="B5" s="112" t="str">
        <f>"  "&amp;Inputs!C6&amp;", "&amp;VLOOKUP(Inputs!C7,'EPA Regional Contact Info'!$A$5:$B$49,2,FALSE)&amp;" "&amp;Inputs!C8</f>
        <v xml:space="preserve">  Albuquerque, NM 87101</v>
      </c>
      <c r="C5" s="112"/>
      <c r="E5" s="156" t="str">
        <f>"               Email:"&amp;"  "&amp;Inputs!C13</f>
        <v xml:space="preserve">               Email:  john.doe@acme.com</v>
      </c>
      <c r="F5" s="20"/>
    </row>
    <row r="6" spans="1:13" ht="13.8" thickBot="1" x14ac:dyDescent="0.3">
      <c r="A6" s="28"/>
      <c r="B6" s="29"/>
      <c r="C6" s="29"/>
      <c r="D6" s="29"/>
      <c r="E6" s="29"/>
      <c r="F6" s="30"/>
    </row>
    <row r="7" spans="1:13" ht="18" customHeight="1" thickBot="1" x14ac:dyDescent="0.3">
      <c r="A7" s="362" t="s">
        <v>286</v>
      </c>
      <c r="B7" s="363"/>
      <c r="C7" s="363"/>
      <c r="D7" s="363"/>
      <c r="E7" s="363"/>
      <c r="F7" s="364"/>
    </row>
    <row r="8" spans="1:13" ht="15.75" customHeight="1" x14ac:dyDescent="0.25">
      <c r="A8" s="365" t="s">
        <v>0</v>
      </c>
      <c r="B8" s="368" t="s">
        <v>463</v>
      </c>
      <c r="C8" s="369"/>
      <c r="D8" s="43"/>
      <c r="E8" s="260"/>
      <c r="F8" s="31" t="s">
        <v>13</v>
      </c>
      <c r="K8" s="377" t="s">
        <v>295</v>
      </c>
      <c r="L8" s="26" t="s">
        <v>296</v>
      </c>
      <c r="M8" s="376" t="s">
        <v>298</v>
      </c>
    </row>
    <row r="9" spans="1:13" x14ac:dyDescent="0.25">
      <c r="A9" s="366"/>
      <c r="B9" s="368"/>
      <c r="C9" s="369"/>
      <c r="D9" s="370" t="s">
        <v>299</v>
      </c>
      <c r="E9" s="371"/>
      <c r="F9" s="31" t="s">
        <v>285</v>
      </c>
      <c r="K9" s="377"/>
      <c r="L9" s="26" t="s">
        <v>285</v>
      </c>
      <c r="M9" s="376"/>
    </row>
    <row r="10" spans="1:13" ht="13.8" thickBot="1" x14ac:dyDescent="0.3">
      <c r="A10" s="367"/>
      <c r="B10" s="372" t="s">
        <v>1</v>
      </c>
      <c r="C10" s="373"/>
      <c r="D10" s="374" t="s">
        <v>1</v>
      </c>
      <c r="E10" s="375"/>
      <c r="F10" s="22" t="s">
        <v>1</v>
      </c>
      <c r="K10" s="377"/>
      <c r="L10" s="157" t="s">
        <v>1</v>
      </c>
      <c r="M10" s="376"/>
    </row>
    <row r="11" spans="1:13" ht="5.25" customHeight="1" x14ac:dyDescent="0.25">
      <c r="A11" s="52"/>
      <c r="B11" s="53"/>
      <c r="C11" s="165"/>
      <c r="D11" s="54"/>
      <c r="E11" s="166"/>
      <c r="F11" s="55"/>
      <c r="L11" s="159"/>
    </row>
    <row r="12" spans="1:13" x14ac:dyDescent="0.25">
      <c r="A12" s="148" t="s">
        <v>61</v>
      </c>
      <c r="B12" s="40"/>
      <c r="C12" s="144">
        <f>'Total Emissions'!$C$7</f>
        <v>3.3503313268995718E-7</v>
      </c>
      <c r="D12" s="15"/>
      <c r="E12" s="145">
        <f>'Total Emissions'!$C$13</f>
        <v>3.3503313268995718E-7</v>
      </c>
      <c r="F12" s="153">
        <f>IF(Inputs!$C$28="Attainment",10,5)</f>
        <v>10</v>
      </c>
      <c r="K12" s="39">
        <f>IF(E12&gt;=F12,1,0)</f>
        <v>0</v>
      </c>
      <c r="L12" s="162">
        <f>IF(Inputs!$C$28="Attainment",250,IF(Inputs!$C$28="Nonattainment - moderate",100,50))</f>
        <v>250</v>
      </c>
      <c r="M12" s="158">
        <f>IF(E12&gt;=L12,1,0)</f>
        <v>0</v>
      </c>
    </row>
    <row r="13" spans="1:13" ht="5.25" customHeight="1" x14ac:dyDescent="0.25">
      <c r="A13" s="149"/>
      <c r="B13" s="56"/>
      <c r="C13" s="144"/>
      <c r="D13" s="146"/>
      <c r="E13" s="147"/>
      <c r="F13" s="153"/>
      <c r="L13" s="162"/>
    </row>
    <row r="14" spans="1:13" ht="15.75" customHeight="1" x14ac:dyDescent="0.35">
      <c r="A14" s="148" t="s">
        <v>62</v>
      </c>
      <c r="B14" s="40"/>
      <c r="C14" s="144">
        <f>'Total Emissions'!$D$7</f>
        <v>0</v>
      </c>
      <c r="D14" s="15"/>
      <c r="E14" s="145">
        <f>'Total Emissions'!D13</f>
        <v>0</v>
      </c>
      <c r="F14" s="153">
        <f>IF(Inputs!$C$30="Attainment",10,5)</f>
        <v>10</v>
      </c>
      <c r="K14" s="39">
        <f t="shared" ref="K14:K22" si="0">IF(E14&gt;=F14,1,0)</f>
        <v>0</v>
      </c>
      <c r="L14" s="162">
        <f>IF(Inputs!$C$30="Attainment",250,IF(Inputs!$C$30="Nonattainment - marginal",100,IF(Inputs!$C$30="Nonattainment - moderate",100,IF(Inputs!$C$30="Nonattainment - serious",50,IF(Inputs!$C$30="Nonattainment - severe",25,10)))))</f>
        <v>250</v>
      </c>
      <c r="M14" s="158">
        <f t="shared" ref="M14:M22" si="1">IF(E14&gt;=L14,1,0)</f>
        <v>0</v>
      </c>
    </row>
    <row r="15" spans="1:13" ht="5.25" customHeight="1" x14ac:dyDescent="0.25">
      <c r="A15" s="149"/>
      <c r="B15" s="56"/>
      <c r="C15" s="144"/>
      <c r="D15" s="15"/>
      <c r="E15" s="155"/>
      <c r="F15" s="153"/>
      <c r="L15" s="162"/>
    </row>
    <row r="16" spans="1:13" ht="15.6" x14ac:dyDescent="0.35">
      <c r="A16" s="148" t="s">
        <v>63</v>
      </c>
      <c r="B16" s="40"/>
      <c r="C16" s="144">
        <f>'Total Emissions'!$E$7</f>
        <v>1.2786519773136884E-7</v>
      </c>
      <c r="D16" s="15"/>
      <c r="E16" s="145">
        <f>'Total Emissions'!$E$13</f>
        <v>1.2786519773136884E-7</v>
      </c>
      <c r="F16" s="153">
        <f>IF(Inputs!$C$32="Attainment",10,5)</f>
        <v>10</v>
      </c>
      <c r="K16" s="39">
        <f t="shared" si="0"/>
        <v>0</v>
      </c>
      <c r="L16" s="162">
        <f>IF(Inputs!$C$32="Attainment",250,100)</f>
        <v>250</v>
      </c>
      <c r="M16" s="158">
        <f t="shared" si="1"/>
        <v>0</v>
      </c>
    </row>
    <row r="17" spans="1:13" ht="5.25" customHeight="1" x14ac:dyDescent="0.25">
      <c r="A17" s="150"/>
      <c r="B17" s="41"/>
      <c r="C17" s="144"/>
      <c r="D17" s="15"/>
      <c r="E17" s="155"/>
      <c r="F17" s="153"/>
      <c r="L17" s="162"/>
    </row>
    <row r="18" spans="1:13" x14ac:dyDescent="0.25">
      <c r="A18" s="148" t="s">
        <v>3</v>
      </c>
      <c r="B18" s="40"/>
      <c r="C18" s="144">
        <f>'Total Emissions'!$F$7</f>
        <v>1.7692018809906702E-5</v>
      </c>
      <c r="D18" s="15"/>
      <c r="E18" s="145">
        <f>'Total Emissions'!$F$13</f>
        <v>1.7692018809906702E-5</v>
      </c>
      <c r="F18" s="153">
        <f>IF(Inputs!$C$30="Attainment",5,2)</f>
        <v>5</v>
      </c>
      <c r="K18" s="39">
        <f t="shared" si="0"/>
        <v>0</v>
      </c>
      <c r="L18" s="162">
        <f>IF(Inputs!$C$30="Attainment",250,IF(Inputs!$C$30="Nonattainment - marginal",100,IF(Inputs!$C$30="Nonattainment - moderate",100,IF(Inputs!$C$30="Nonattainment - serious",50,IF(Inputs!$C$30="Nonattainment - severe",25,10)))))</f>
        <v>250</v>
      </c>
      <c r="M18" s="158">
        <f t="shared" si="1"/>
        <v>0</v>
      </c>
    </row>
    <row r="19" spans="1:13" ht="5.25" customHeight="1" x14ac:dyDescent="0.25">
      <c r="A19" s="151"/>
      <c r="B19" s="57"/>
      <c r="C19" s="144"/>
      <c r="D19" s="15"/>
      <c r="E19" s="155"/>
      <c r="F19" s="153"/>
      <c r="L19" s="162"/>
    </row>
    <row r="20" spans="1:13" ht="15.6" x14ac:dyDescent="0.35">
      <c r="A20" s="148" t="s">
        <v>64</v>
      </c>
      <c r="B20" s="40"/>
      <c r="C20" s="144">
        <f>'Total Emissions'!$G$7</f>
        <v>0</v>
      </c>
      <c r="D20" s="15"/>
      <c r="E20" s="145">
        <f>'Total Emissions'!$G$13</f>
        <v>0</v>
      </c>
      <c r="F20" s="153">
        <f>IF(Inputs!$C$34="Attainment",5,1)</f>
        <v>5</v>
      </c>
      <c r="K20" s="39">
        <f t="shared" si="0"/>
        <v>0</v>
      </c>
      <c r="L20" s="162">
        <f>IF(Inputs!$C$34="Attainment",250,IF(Inputs!$C$34="Nonattainment - moderate",100,70))</f>
        <v>250</v>
      </c>
      <c r="M20" s="158">
        <f t="shared" si="1"/>
        <v>0</v>
      </c>
    </row>
    <row r="21" spans="1:13" ht="5.25" customHeight="1" x14ac:dyDescent="0.25">
      <c r="A21" s="149"/>
      <c r="B21" s="56"/>
      <c r="C21" s="144"/>
      <c r="D21" s="15"/>
      <c r="E21" s="155"/>
      <c r="F21" s="154"/>
      <c r="L21" s="163"/>
    </row>
    <row r="22" spans="1:13" ht="15.6" x14ac:dyDescent="0.35">
      <c r="A22" s="152" t="s">
        <v>65</v>
      </c>
      <c r="B22" s="58"/>
      <c r="C22" s="144">
        <f>'Total Emissions'!$H$7</f>
        <v>0</v>
      </c>
      <c r="D22" s="15"/>
      <c r="E22" s="145">
        <f>'Total Emissions'!$H$13</f>
        <v>0</v>
      </c>
      <c r="F22" s="153">
        <f>IF(Inputs!$C$36="Attainment",3,0.6)</f>
        <v>3</v>
      </c>
      <c r="K22" s="39">
        <f t="shared" si="0"/>
        <v>0</v>
      </c>
      <c r="L22" s="162">
        <f>IF(Inputs!$C$36="Attainment",250,100)</f>
        <v>250</v>
      </c>
      <c r="M22" s="158">
        <f t="shared" si="1"/>
        <v>0</v>
      </c>
    </row>
    <row r="23" spans="1:13" ht="5.25" customHeight="1" x14ac:dyDescent="0.25">
      <c r="A23" s="23"/>
      <c r="B23" s="42"/>
      <c r="C23" s="143"/>
      <c r="D23" s="15"/>
      <c r="E23" s="45"/>
      <c r="F23" s="24"/>
      <c r="L23" s="161"/>
    </row>
    <row r="24" spans="1:13" x14ac:dyDescent="0.25">
      <c r="A24" s="384" t="s">
        <v>29</v>
      </c>
      <c r="B24" s="385"/>
      <c r="C24" s="385"/>
      <c r="D24" s="385"/>
      <c r="E24" s="385"/>
      <c r="F24" s="386"/>
      <c r="L24" s="160"/>
    </row>
    <row r="25" spans="1:13" x14ac:dyDescent="0.25">
      <c r="A25" s="25"/>
      <c r="B25" s="26"/>
      <c r="C25" s="26"/>
      <c r="D25" s="26"/>
      <c r="E25" s="26"/>
      <c r="F25" s="59"/>
      <c r="L25" s="159"/>
    </row>
    <row r="26" spans="1:13" x14ac:dyDescent="0.25">
      <c r="A26" s="21"/>
      <c r="B26" s="15"/>
      <c r="C26" s="164">
        <v>100</v>
      </c>
      <c r="D26" s="13" t="s">
        <v>297</v>
      </c>
      <c r="E26" s="15"/>
      <c r="F26" s="59"/>
      <c r="G26" s="26"/>
      <c r="K26" s="14"/>
      <c r="L26" s="39"/>
    </row>
    <row r="27" spans="1:13" x14ac:dyDescent="0.25">
      <c r="A27" s="21"/>
      <c r="B27" s="15"/>
      <c r="C27" s="27">
        <v>50</v>
      </c>
      <c r="D27" s="13" t="s">
        <v>27</v>
      </c>
      <c r="E27" s="15"/>
      <c r="F27" s="20"/>
      <c r="L27" s="159"/>
    </row>
    <row r="28" spans="1:13" x14ac:dyDescent="0.25">
      <c r="A28" s="21"/>
      <c r="B28" s="15"/>
      <c r="C28" s="27">
        <v>0</v>
      </c>
      <c r="D28" s="13" t="s">
        <v>28</v>
      </c>
      <c r="E28" s="15"/>
      <c r="F28" s="20"/>
    </row>
    <row r="29" spans="1:13" ht="13.8" thickBot="1" x14ac:dyDescent="0.3">
      <c r="A29" s="28"/>
      <c r="B29" s="29"/>
      <c r="C29" s="29"/>
      <c r="D29" s="29"/>
      <c r="E29" s="29"/>
      <c r="F29" s="30"/>
    </row>
    <row r="30" spans="1:13" ht="22.5" customHeight="1" thickBot="1" x14ac:dyDescent="0.3">
      <c r="A30" s="387" t="str">
        <f>IF(OR($M$12=1,$M$14=1,$M$16=1,$M$18=1,$M$20=1,$M$22=1),"PLEASE CONSULT WITH YOUR EPA REGIONAL CONTACT LISTED BELOW",IF(OR(K12=1,K14=1,K16=1,K18=1,K20=1,K22=1),"YOU ARE REQUIRED TO REGISTER YOUR FACILITY UNDER THE TRIBAL NEW SOURCE REVIEW RULE","PLEASE SEE NOTE BELOW"))</f>
        <v>PLEASE SEE NOTE BELOW</v>
      </c>
      <c r="B30" s="388"/>
      <c r="C30" s="388"/>
      <c r="D30" s="388"/>
      <c r="E30" s="388"/>
      <c r="F30" s="389"/>
    </row>
    <row r="31" spans="1:13" x14ac:dyDescent="0.25">
      <c r="A31" s="16"/>
      <c r="B31" s="17"/>
      <c r="C31" s="17"/>
      <c r="D31" s="17"/>
      <c r="E31" s="17"/>
      <c r="F31" s="18"/>
    </row>
    <row r="32" spans="1:13" ht="164.25" customHeight="1" thickBot="1" x14ac:dyDescent="0.3">
      <c r="A32" s="378"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379"/>
      <c r="C32" s="379"/>
      <c r="D32" s="379"/>
      <c r="E32" s="379"/>
      <c r="F32" s="380"/>
    </row>
    <row r="33" spans="1:6" ht="15.75" customHeight="1" thickBot="1" x14ac:dyDescent="0.3">
      <c r="A33" s="381" t="str">
        <f>"U.S. Environmental Protection Agency Region "&amp;VLOOKUP(Inputs!$C$7,'EPA Regional Contact Info'!$A$5:$C$49,3,FALSE)&amp;" Contact"</f>
        <v>U.S. Environmental Protection Agency Region 6 Contact</v>
      </c>
      <c r="B33" s="382"/>
      <c r="C33" s="382"/>
      <c r="D33" s="382"/>
      <c r="E33" s="382"/>
      <c r="F33" s="383"/>
    </row>
    <row r="34" spans="1:6" ht="15.6" x14ac:dyDescent="0.3">
      <c r="A34" s="90"/>
      <c r="B34" s="91" t="s">
        <v>264</v>
      </c>
      <c r="C34" s="125"/>
      <c r="D34" s="123" t="str">
        <f>Inputs!C16</f>
        <v>Bonnie Braganza</v>
      </c>
      <c r="E34" s="125"/>
      <c r="F34" s="92"/>
    </row>
    <row r="35" spans="1:6" ht="15.6" x14ac:dyDescent="0.3">
      <c r="A35" s="93"/>
      <c r="B35" s="94" t="s">
        <v>265</v>
      </c>
      <c r="C35" s="126"/>
      <c r="D35" s="124" t="str">
        <f>Inputs!C22</f>
        <v>U.S. Environmental Protection Agency Region 6</v>
      </c>
      <c r="E35" s="126"/>
      <c r="F35" s="95"/>
    </row>
    <row r="36" spans="1:6" ht="15.6" x14ac:dyDescent="0.3">
      <c r="A36" s="93"/>
      <c r="B36" s="94"/>
      <c r="C36" s="126"/>
      <c r="D36" s="124" t="str">
        <f>Inputs!C23</f>
        <v>1445 Ross Avenue, Suite 1200</v>
      </c>
      <c r="E36" s="126"/>
      <c r="F36" s="95"/>
    </row>
    <row r="37" spans="1:6" ht="15.6" x14ac:dyDescent="0.3">
      <c r="A37" s="93"/>
      <c r="B37" s="94"/>
      <c r="C37" s="126"/>
      <c r="D37" s="124" t="str">
        <f>Inputs!C24</f>
        <v>MC: 6PD</v>
      </c>
      <c r="E37" s="126"/>
      <c r="F37" s="95"/>
    </row>
    <row r="38" spans="1:6" ht="15.6" x14ac:dyDescent="0.3">
      <c r="A38" s="93"/>
      <c r="B38" s="94"/>
      <c r="C38" s="126"/>
      <c r="D38" s="124" t="str">
        <f>Inputs!C25</f>
        <v>Dallas, TX 75202-2733</v>
      </c>
      <c r="E38" s="126"/>
      <c r="F38" s="95"/>
    </row>
    <row r="39" spans="1:6" ht="15.6" x14ac:dyDescent="0.3">
      <c r="A39" s="93"/>
      <c r="B39" s="94"/>
      <c r="C39" s="126"/>
      <c r="D39" s="124"/>
      <c r="E39" s="126"/>
      <c r="F39" s="95"/>
    </row>
    <row r="40" spans="1:6" ht="15.6" x14ac:dyDescent="0.3">
      <c r="A40" s="93"/>
      <c r="B40" s="94" t="s">
        <v>266</v>
      </c>
      <c r="C40" s="126"/>
      <c r="D40" s="124" t="str">
        <f>Inputs!C17</f>
        <v>214-665-7340</v>
      </c>
      <c r="E40" s="126"/>
      <c r="F40" s="95"/>
    </row>
    <row r="41" spans="1:6" ht="15.6" x14ac:dyDescent="0.3">
      <c r="A41" s="93"/>
      <c r="B41" s="94" t="s">
        <v>32</v>
      </c>
      <c r="C41" s="126"/>
      <c r="D41" s="124" t="str">
        <f>Inputs!C18</f>
        <v>braganza.bonnie@epa.gov</v>
      </c>
      <c r="E41" s="126"/>
      <c r="F41" s="95"/>
    </row>
    <row r="42" spans="1:6" ht="13.8" thickBot="1" x14ac:dyDescent="0.3">
      <c r="A42" s="96"/>
      <c r="B42" s="97"/>
      <c r="C42" s="97"/>
      <c r="D42" s="97"/>
      <c r="E42" s="97"/>
      <c r="F42" s="98"/>
    </row>
  </sheetData>
  <sheetProtection password="C969" sheet="1" objects="1" scenarios="1"/>
  <customSheetViews>
    <customSheetView guid="{8C263A95-99F9-4260-B64A-0E771D03F536}" showRuler="0">
      <selection sqref="A1:H1"/>
      <pageMargins left="0.5" right="0.5" top="0.5" bottom="0.5" header="0.25" footer="0.25"/>
      <printOptions gridLines="1"/>
      <pageSetup scale="95" orientation="landscape" horizontalDpi="4294967292" verticalDpi="300" r:id="rId1"/>
      <headerFooter alignWithMargins="0">
        <oddHeader>&amp;A</oddHeader>
        <oddFooter>Page &amp;P</oddFooter>
      </headerFooter>
    </customSheetView>
  </customSheetViews>
  <mergeCells count="12">
    <mergeCell ref="M8:M10"/>
    <mergeCell ref="K8:K10"/>
    <mergeCell ref="A32:F32"/>
    <mergeCell ref="A33:F33"/>
    <mergeCell ref="A24:F24"/>
    <mergeCell ref="A30:F30"/>
    <mergeCell ref="A7:F7"/>
    <mergeCell ref="A8:A10"/>
    <mergeCell ref="B8:C9"/>
    <mergeCell ref="D9:E9"/>
    <mergeCell ref="B10:C10"/>
    <mergeCell ref="D10:E10"/>
  </mergeCells>
  <phoneticPr fontId="0" type="noConversion"/>
  <conditionalFormatting sqref="A33 A32:F32">
    <cfRule type="expression" dxfId="7" priority="10">
      <formula>$A$30="PLEASE SEE NOTE BELOW"</formula>
    </cfRule>
  </conditionalFormatting>
  <conditionalFormatting sqref="A30:F30">
    <cfRule type="expression" dxfId="6" priority="9">
      <formula>$A$30="You are required to register your facility under the tribal new source review rule"</formula>
    </cfRule>
  </conditionalFormatting>
  <conditionalFormatting sqref="C27:C28">
    <cfRule type="iconSet" priority="34">
      <iconSet iconSet="3Symbols" showValue="0" reverse="1">
        <cfvo type="percent" val="0"/>
        <cfvo type="num" val="0" gte="0"/>
        <cfvo type="num" val="100"/>
      </iconSet>
    </cfRule>
  </conditionalFormatting>
  <conditionalFormatting sqref="C12 E12">
    <cfRule type="cellIs" dxfId="5" priority="55" operator="greaterThanOrEqual">
      <formula>$F$12</formula>
    </cfRule>
  </conditionalFormatting>
  <conditionalFormatting sqref="C14 E14">
    <cfRule type="cellIs" dxfId="4" priority="59" operator="greaterThanOrEqual">
      <formula>$F$14</formula>
    </cfRule>
  </conditionalFormatting>
  <conditionalFormatting sqref="C16 E16">
    <cfRule type="cellIs" dxfId="3" priority="63" operator="greaterThanOrEqual">
      <formula>$F$16</formula>
    </cfRule>
  </conditionalFormatting>
  <conditionalFormatting sqref="C18 E18">
    <cfRule type="cellIs" dxfId="2" priority="67" operator="greaterThanOrEqual">
      <formula>$F$18</formula>
    </cfRule>
  </conditionalFormatting>
  <conditionalFormatting sqref="C20 E20">
    <cfRule type="cellIs" dxfId="1" priority="71" operator="greaterThanOrEqual">
      <formula>$F$20</formula>
    </cfRule>
  </conditionalFormatting>
  <conditionalFormatting sqref="C22 E22">
    <cfRule type="cellIs" dxfId="0" priority="7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56">
      <iconSet iconSet="3Symbols" reverse="1">
        <cfvo type="percent" val="0"/>
        <cfvo type="formula" val="$F$12"/>
        <cfvo type="formula" val="$L$12"/>
      </iconSet>
    </cfRule>
  </conditionalFormatting>
  <conditionalFormatting sqref="E14">
    <cfRule type="iconSet" priority="60">
      <iconSet iconSet="3Symbols" reverse="1">
        <cfvo type="percent" val="0"/>
        <cfvo type="formula" val="$F$14"/>
        <cfvo type="formula" val="$L$14"/>
      </iconSet>
    </cfRule>
  </conditionalFormatting>
  <conditionalFormatting sqref="E16">
    <cfRule type="iconSet" priority="64">
      <iconSet iconSet="3Symbols" reverse="1">
        <cfvo type="percent" val="0"/>
        <cfvo type="formula" val="$F$16"/>
        <cfvo type="formula" val="$L$16"/>
      </iconSet>
    </cfRule>
  </conditionalFormatting>
  <conditionalFormatting sqref="E18">
    <cfRule type="iconSet" priority="68">
      <iconSet iconSet="3Symbols" reverse="1">
        <cfvo type="percent" val="0"/>
        <cfvo type="formula" val="$F$18"/>
        <cfvo type="formula" val="$L$18"/>
      </iconSet>
    </cfRule>
  </conditionalFormatting>
  <conditionalFormatting sqref="E20">
    <cfRule type="iconSet" priority="72">
      <iconSet iconSet="3Symbols" reverse="1">
        <cfvo type="percent" val="0"/>
        <cfvo type="formula" val="$F$20"/>
        <cfvo type="formula" val="$L$20"/>
      </iconSet>
    </cfRule>
  </conditionalFormatting>
  <conditionalFormatting sqref="E22">
    <cfRule type="iconSet" priority="7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2"/>
  <headerFooter alignWithMargins="0">
    <oddHeader xml:space="preserve">&amp;C&amp;"Arial,Bold"&amp;14
Landfill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6"/>
  <sheetViews>
    <sheetView workbookViewId="0">
      <selection sqref="A1:F1"/>
    </sheetView>
  </sheetViews>
  <sheetFormatPr defaultRowHeight="13.2" x14ac:dyDescent="0.25"/>
  <cols>
    <col min="1" max="1" width="17.88671875" style="11" bestFit="1" customWidth="1"/>
    <col min="2" max="2" width="17.5546875" style="114" customWidth="1"/>
    <col min="3" max="3" width="34.33203125" customWidth="1"/>
    <col min="4" max="5" width="20" style="6" customWidth="1"/>
    <col min="6" max="6" width="25" style="6" customWidth="1"/>
    <col min="7" max="7" width="29.5546875" customWidth="1"/>
  </cols>
  <sheetData>
    <row r="1" spans="1:7" ht="17.399999999999999" x14ac:dyDescent="0.3">
      <c r="A1" s="391" t="s">
        <v>456</v>
      </c>
      <c r="B1" s="391"/>
      <c r="C1" s="391"/>
      <c r="D1" s="391"/>
      <c r="E1" s="391"/>
      <c r="F1" s="391"/>
    </row>
    <row r="2" spans="1:7" x14ac:dyDescent="0.25">
      <c r="A2" s="390" t="s">
        <v>501</v>
      </c>
      <c r="B2" s="390"/>
      <c r="C2" s="390"/>
      <c r="D2" s="390"/>
      <c r="E2" s="390"/>
      <c r="F2" s="390"/>
    </row>
    <row r="3" spans="1:7" ht="13.8" thickBot="1" x14ac:dyDescent="0.3"/>
    <row r="4" spans="1:7" ht="13.8" thickBot="1" x14ac:dyDescent="0.3">
      <c r="A4" s="194" t="s">
        <v>25</v>
      </c>
      <c r="B4" s="195" t="s">
        <v>21</v>
      </c>
      <c r="C4" s="196" t="s">
        <v>23</v>
      </c>
      <c r="D4" s="196" t="s">
        <v>22</v>
      </c>
      <c r="E4" s="189" t="s">
        <v>40</v>
      </c>
      <c r="F4" s="189" t="s">
        <v>42</v>
      </c>
      <c r="G4" s="197" t="s">
        <v>24</v>
      </c>
    </row>
    <row r="5" spans="1:7" ht="35.25" customHeight="1" x14ac:dyDescent="0.25">
      <c r="A5" s="198">
        <v>1</v>
      </c>
      <c r="B5" s="190" t="s">
        <v>495</v>
      </c>
      <c r="C5" s="191" t="s">
        <v>39</v>
      </c>
      <c r="D5" s="251" t="s">
        <v>457</v>
      </c>
      <c r="E5" s="192" t="s">
        <v>41</v>
      </c>
      <c r="F5" s="193" t="s">
        <v>458</v>
      </c>
      <c r="G5" s="252" t="s">
        <v>74</v>
      </c>
    </row>
    <row r="6" spans="1:7" ht="16.5" customHeight="1" x14ac:dyDescent="0.25">
      <c r="A6" s="199">
        <v>1.1000000000000001</v>
      </c>
      <c r="B6" s="290" t="s">
        <v>496</v>
      </c>
      <c r="C6" s="37" t="s">
        <v>497</v>
      </c>
      <c r="D6" s="36" t="s">
        <v>498</v>
      </c>
      <c r="E6" s="36" t="s">
        <v>41</v>
      </c>
      <c r="F6" s="36" t="s">
        <v>458</v>
      </c>
      <c r="G6" s="291" t="s">
        <v>74</v>
      </c>
    </row>
    <row r="7" spans="1:7" ht="24" customHeight="1" x14ac:dyDescent="0.25">
      <c r="A7" s="199">
        <v>1.2</v>
      </c>
      <c r="B7" s="290" t="s">
        <v>499</v>
      </c>
      <c r="C7" s="37" t="s">
        <v>500</v>
      </c>
      <c r="D7" s="36" t="s">
        <v>498</v>
      </c>
      <c r="E7" s="36" t="s">
        <v>41</v>
      </c>
      <c r="F7" s="36" t="s">
        <v>458</v>
      </c>
      <c r="G7" s="291" t="s">
        <v>74</v>
      </c>
    </row>
    <row r="8" spans="1:7" ht="16.5" customHeight="1" x14ac:dyDescent="0.25">
      <c r="A8" s="199"/>
      <c r="B8" s="113"/>
      <c r="C8" s="37"/>
      <c r="D8" s="36"/>
      <c r="E8" s="36"/>
      <c r="F8" s="36"/>
      <c r="G8" s="200"/>
    </row>
    <row r="9" spans="1:7" ht="16.5" customHeight="1" x14ac:dyDescent="0.25">
      <c r="A9" s="199"/>
      <c r="B9" s="113"/>
      <c r="C9" s="37"/>
      <c r="D9" s="36"/>
      <c r="E9" s="36"/>
      <c r="F9" s="36"/>
      <c r="G9" s="200"/>
    </row>
    <row r="10" spans="1:7" ht="16.5" customHeight="1" x14ac:dyDescent="0.25">
      <c r="A10" s="199"/>
      <c r="B10" s="113"/>
      <c r="C10" s="37"/>
      <c r="D10" s="36"/>
      <c r="E10" s="36"/>
      <c r="F10" s="36"/>
      <c r="G10" s="200"/>
    </row>
    <row r="11" spans="1:7" ht="16.5" customHeight="1" x14ac:dyDescent="0.25">
      <c r="A11" s="199"/>
      <c r="B11" s="113"/>
      <c r="C11" s="37"/>
      <c r="D11" s="36"/>
      <c r="E11" s="36"/>
      <c r="F11" s="36"/>
      <c r="G11" s="200"/>
    </row>
    <row r="12" spans="1:7" ht="16.5" customHeight="1" x14ac:dyDescent="0.25">
      <c r="A12" s="199"/>
      <c r="B12" s="113"/>
      <c r="C12" s="37"/>
      <c r="D12" s="36"/>
      <c r="E12" s="36"/>
      <c r="F12" s="36"/>
      <c r="G12" s="200"/>
    </row>
    <row r="13" spans="1:7" ht="16.5" customHeight="1" x14ac:dyDescent="0.25">
      <c r="A13" s="199"/>
      <c r="B13" s="113"/>
      <c r="C13" s="37"/>
      <c r="D13" s="36"/>
      <c r="E13" s="36"/>
      <c r="F13" s="36"/>
      <c r="G13" s="200"/>
    </row>
    <row r="14" spans="1:7" ht="16.5" customHeight="1" x14ac:dyDescent="0.25">
      <c r="A14" s="199"/>
      <c r="B14" s="113"/>
      <c r="C14" s="37"/>
      <c r="D14" s="36"/>
      <c r="E14" s="36"/>
      <c r="F14" s="36"/>
      <c r="G14" s="200"/>
    </row>
    <row r="15" spans="1:7" ht="16.5" customHeight="1" x14ac:dyDescent="0.25">
      <c r="A15" s="199"/>
      <c r="B15" s="113"/>
      <c r="C15" s="37"/>
      <c r="D15" s="36"/>
      <c r="E15" s="36"/>
      <c r="F15" s="36"/>
      <c r="G15" s="200"/>
    </row>
    <row r="16" spans="1:7" ht="16.5" customHeight="1" x14ac:dyDescent="0.25">
      <c r="A16" s="199"/>
      <c r="B16" s="113"/>
      <c r="C16" s="37"/>
      <c r="D16" s="36"/>
      <c r="E16" s="36"/>
      <c r="F16" s="36"/>
      <c r="G16" s="200"/>
    </row>
    <row r="17" spans="1:7" ht="16.5" customHeight="1" x14ac:dyDescent="0.25">
      <c r="A17" s="199"/>
      <c r="B17" s="113"/>
      <c r="C17" s="37"/>
      <c r="D17" s="36"/>
      <c r="E17" s="36"/>
      <c r="F17" s="36"/>
      <c r="G17" s="200"/>
    </row>
    <row r="18" spans="1:7" ht="16.5" customHeight="1" x14ac:dyDescent="0.25">
      <c r="A18" s="199"/>
      <c r="B18" s="113"/>
      <c r="C18" s="37"/>
      <c r="D18" s="36"/>
      <c r="E18" s="36"/>
      <c r="F18" s="36"/>
      <c r="G18" s="200"/>
    </row>
    <row r="19" spans="1:7" ht="16.5" customHeight="1" x14ac:dyDescent="0.25">
      <c r="A19" s="199"/>
      <c r="B19" s="113"/>
      <c r="C19" s="37"/>
      <c r="D19" s="36"/>
      <c r="E19" s="36"/>
      <c r="F19" s="36"/>
      <c r="G19" s="200"/>
    </row>
    <row r="20" spans="1:7" ht="16.5" customHeight="1" x14ac:dyDescent="0.25">
      <c r="A20" s="199"/>
      <c r="B20" s="113"/>
      <c r="C20" s="37"/>
      <c r="D20" s="36"/>
      <c r="E20" s="36"/>
      <c r="F20" s="36"/>
      <c r="G20" s="200"/>
    </row>
    <row r="21" spans="1:7" ht="16.5" customHeight="1" x14ac:dyDescent="0.25">
      <c r="A21" s="199"/>
      <c r="B21" s="113"/>
      <c r="C21" s="37"/>
      <c r="D21" s="36"/>
      <c r="E21" s="36"/>
      <c r="F21" s="36"/>
      <c r="G21" s="200"/>
    </row>
    <row r="22" spans="1:7" ht="16.5" customHeight="1" x14ac:dyDescent="0.25">
      <c r="A22" s="199"/>
      <c r="B22" s="113"/>
      <c r="C22" s="37"/>
      <c r="D22" s="36"/>
      <c r="E22" s="36"/>
      <c r="F22" s="36"/>
      <c r="G22" s="200"/>
    </row>
    <row r="23" spans="1:7" ht="16.5" customHeight="1" x14ac:dyDescent="0.25">
      <c r="A23" s="199"/>
      <c r="B23" s="113"/>
      <c r="C23" s="37"/>
      <c r="D23" s="36"/>
      <c r="E23" s="36"/>
      <c r="F23" s="36"/>
      <c r="G23" s="200"/>
    </row>
    <row r="24" spans="1:7" ht="16.5" customHeight="1" thickBot="1" x14ac:dyDescent="0.3">
      <c r="A24" s="201"/>
      <c r="B24" s="202"/>
      <c r="C24" s="203"/>
      <c r="D24" s="204"/>
      <c r="E24" s="204"/>
      <c r="F24" s="204"/>
      <c r="G24" s="205"/>
    </row>
    <row r="25" spans="1:7" ht="16.5" customHeight="1" x14ac:dyDescent="0.25"/>
    <row r="26" spans="1:7" ht="16.5" customHeight="1" x14ac:dyDescent="0.25"/>
  </sheetData>
  <mergeCells count="2">
    <mergeCell ref="A2:F2"/>
    <mergeCell ref="A1:F1"/>
  </mergeCells>
  <hyperlinks>
    <hyperlink ref="G5" r:id="rId1"/>
    <hyperlink ref="G6" r:id="rId2"/>
    <hyperlink ref="G7" r:id="rId3"/>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28"/>
  <sheetViews>
    <sheetView zoomScaleNormal="100" workbookViewId="0">
      <pane ySplit="3" topLeftCell="A4" activePane="bottomLeft" state="frozen"/>
      <selection pane="bottomLeft"/>
    </sheetView>
  </sheetViews>
  <sheetFormatPr defaultRowHeight="13.2" x14ac:dyDescent="0.25"/>
  <cols>
    <col min="1" max="1" width="34.44140625" style="3" customWidth="1"/>
    <col min="2" max="2" width="17" customWidth="1"/>
    <col min="3" max="3" width="34.33203125" customWidth="1"/>
    <col min="4" max="4" width="26" style="7" customWidth="1"/>
    <col min="5" max="5" width="29.109375" style="7" customWidth="1"/>
    <col min="6" max="6" width="17" customWidth="1"/>
    <col min="7" max="7" width="19.6640625" customWidth="1"/>
    <col min="8" max="8" width="40.6640625" customWidth="1"/>
  </cols>
  <sheetData>
    <row r="1" spans="1:8" ht="17.399999999999999" x14ac:dyDescent="0.3">
      <c r="A1" s="1" t="s">
        <v>33</v>
      </c>
    </row>
    <row r="2" spans="1:8" ht="13.8" thickBot="1" x14ac:dyDescent="0.3"/>
    <row r="3" spans="1:8" ht="13.8" thickBot="1" x14ac:dyDescent="0.3">
      <c r="A3" s="185" t="s">
        <v>54</v>
      </c>
      <c r="B3" s="186" t="s">
        <v>0</v>
      </c>
      <c r="C3" s="186" t="s">
        <v>34</v>
      </c>
      <c r="D3" s="187" t="s">
        <v>476</v>
      </c>
      <c r="E3" s="187" t="s">
        <v>477</v>
      </c>
      <c r="F3" s="186" t="s">
        <v>36</v>
      </c>
      <c r="G3" s="186" t="s">
        <v>35</v>
      </c>
      <c r="H3" s="188" t="s">
        <v>37</v>
      </c>
    </row>
    <row r="4" spans="1:8" ht="14.25" customHeight="1" x14ac:dyDescent="0.25">
      <c r="A4" s="392" t="s">
        <v>338</v>
      </c>
      <c r="B4" s="393"/>
      <c r="C4" s="393"/>
      <c r="D4" s="393"/>
      <c r="E4" s="393"/>
      <c r="F4" s="393"/>
      <c r="G4" s="393"/>
      <c r="H4" s="394"/>
    </row>
    <row r="5" spans="1:8" x14ac:dyDescent="0.25">
      <c r="A5" s="10" t="s">
        <v>402</v>
      </c>
      <c r="B5" s="5" t="s">
        <v>403</v>
      </c>
      <c r="C5" s="4" t="str">
        <f>A5&amp;B5</f>
        <v>Landfill GasSO2</v>
      </c>
      <c r="D5" s="8">
        <f>IF(Inputs!$C$46 = "Before 1992", 47, 33)</f>
        <v>47</v>
      </c>
      <c r="E5" s="8">
        <f>D5</f>
        <v>47</v>
      </c>
      <c r="F5" s="5" t="s">
        <v>406</v>
      </c>
      <c r="G5" s="5"/>
      <c r="H5" s="216" t="s">
        <v>385</v>
      </c>
    </row>
    <row r="6" spans="1:8" x14ac:dyDescent="0.25">
      <c r="A6" s="10" t="s">
        <v>402</v>
      </c>
      <c r="B6" s="5" t="s">
        <v>61</v>
      </c>
      <c r="C6" s="4" t="str">
        <f t="shared" ref="C6:C7" si="0">A6&amp;B6</f>
        <v>Landfill GasCO</v>
      </c>
      <c r="D6" s="8">
        <f>IF(Inputs!$C$46 = "Before 1992", 141, 244)</f>
        <v>141</v>
      </c>
      <c r="E6" s="8">
        <f t="shared" ref="E6:E7" si="1">D6</f>
        <v>141</v>
      </c>
      <c r="F6" s="5" t="s">
        <v>364</v>
      </c>
      <c r="G6" s="5"/>
      <c r="H6" s="216" t="s">
        <v>405</v>
      </c>
    </row>
    <row r="7" spans="1:8" x14ac:dyDescent="0.25">
      <c r="A7" s="10" t="s">
        <v>402</v>
      </c>
      <c r="B7" s="5" t="s">
        <v>3</v>
      </c>
      <c r="C7" s="4" t="str">
        <f t="shared" si="0"/>
        <v>Landfill GasVOC</v>
      </c>
      <c r="D7" s="8">
        <f>IF(Inputs!$C$46 = "Before 1992",IF(Co_Disposal = "Yes", 2420, 595), 835)</f>
        <v>2420</v>
      </c>
      <c r="E7" s="8">
        <f t="shared" si="1"/>
        <v>2420</v>
      </c>
      <c r="F7" s="5" t="s">
        <v>363</v>
      </c>
      <c r="G7" s="5"/>
      <c r="H7" s="216" t="s">
        <v>405</v>
      </c>
    </row>
    <row r="8" spans="1:8" ht="15" customHeight="1" x14ac:dyDescent="0.25">
      <c r="A8" s="395" t="s">
        <v>408</v>
      </c>
      <c r="B8" s="396"/>
      <c r="C8" s="396"/>
      <c r="D8" s="396"/>
      <c r="E8" s="396"/>
      <c r="F8" s="396"/>
      <c r="G8" s="396"/>
      <c r="H8" s="397"/>
    </row>
    <row r="9" spans="1:8" ht="15.6" x14ac:dyDescent="0.25">
      <c r="A9" s="10" t="s">
        <v>337</v>
      </c>
      <c r="B9" s="5" t="s">
        <v>339</v>
      </c>
      <c r="C9" s="4" t="str">
        <f>A9&amp;B9</f>
        <v>FlareNOx</v>
      </c>
      <c r="D9" s="8">
        <v>39</v>
      </c>
      <c r="E9" s="8">
        <f>D9</f>
        <v>39</v>
      </c>
      <c r="F9" s="5" t="s">
        <v>38</v>
      </c>
      <c r="G9" s="5" t="s">
        <v>345</v>
      </c>
      <c r="H9" s="216" t="s">
        <v>407</v>
      </c>
    </row>
    <row r="10" spans="1:8" ht="15.6" x14ac:dyDescent="0.25">
      <c r="A10" s="10" t="s">
        <v>337</v>
      </c>
      <c r="B10" s="5" t="s">
        <v>61</v>
      </c>
      <c r="C10" s="4" t="str">
        <f t="shared" ref="C10:C18" si="2">A10&amp;B10</f>
        <v>FlareCO</v>
      </c>
      <c r="D10" s="8">
        <v>46</v>
      </c>
      <c r="E10" s="8">
        <f t="shared" ref="E10:E28" si="3">D10</f>
        <v>46</v>
      </c>
      <c r="F10" s="5" t="s">
        <v>38</v>
      </c>
      <c r="G10" s="5" t="s">
        <v>345</v>
      </c>
      <c r="H10" s="216" t="s">
        <v>407</v>
      </c>
    </row>
    <row r="11" spans="1:8" ht="15.6" x14ac:dyDescent="0.25">
      <c r="A11" s="10" t="s">
        <v>337</v>
      </c>
      <c r="B11" s="5" t="s">
        <v>66</v>
      </c>
      <c r="C11" s="4" t="str">
        <f t="shared" si="2"/>
        <v>FlareTotal PM</v>
      </c>
      <c r="D11" s="60">
        <v>15</v>
      </c>
      <c r="E11" s="8">
        <f t="shared" si="3"/>
        <v>15</v>
      </c>
      <c r="F11" s="5" t="s">
        <v>38</v>
      </c>
      <c r="G11" s="5" t="s">
        <v>345</v>
      </c>
      <c r="H11" s="216" t="s">
        <v>407</v>
      </c>
    </row>
    <row r="12" spans="1:8" ht="15.6" x14ac:dyDescent="0.25">
      <c r="A12" s="10" t="s">
        <v>337</v>
      </c>
      <c r="B12" s="5" t="s">
        <v>340</v>
      </c>
      <c r="C12" s="4" t="str">
        <f t="shared" si="2"/>
        <v>FlarePM10</v>
      </c>
      <c r="D12" s="8">
        <v>15</v>
      </c>
      <c r="E12" s="8">
        <f t="shared" si="3"/>
        <v>15</v>
      </c>
      <c r="F12" s="5" t="s">
        <v>38</v>
      </c>
      <c r="G12" s="5" t="s">
        <v>345</v>
      </c>
      <c r="H12" s="216" t="s">
        <v>407</v>
      </c>
    </row>
    <row r="13" spans="1:8" ht="15.6" x14ac:dyDescent="0.25">
      <c r="A13" s="10" t="s">
        <v>337</v>
      </c>
      <c r="B13" s="5" t="s">
        <v>341</v>
      </c>
      <c r="C13" s="4" t="str">
        <f t="shared" si="2"/>
        <v>FlarePM2.5</v>
      </c>
      <c r="D13" s="8">
        <v>15</v>
      </c>
      <c r="E13" s="8">
        <f t="shared" si="3"/>
        <v>15</v>
      </c>
      <c r="F13" s="5" t="s">
        <v>38</v>
      </c>
      <c r="G13" s="5" t="s">
        <v>345</v>
      </c>
      <c r="H13" s="216" t="s">
        <v>407</v>
      </c>
    </row>
    <row r="14" spans="1:8" ht="15.6" x14ac:dyDescent="0.25">
      <c r="A14" s="10" t="s">
        <v>342</v>
      </c>
      <c r="B14" s="5" t="s">
        <v>339</v>
      </c>
      <c r="C14" s="4" t="str">
        <f t="shared" si="2"/>
        <v>Internal Combustion EngineNOx</v>
      </c>
      <c r="D14" s="8">
        <v>725</v>
      </c>
      <c r="E14" s="8">
        <f t="shared" si="3"/>
        <v>725</v>
      </c>
      <c r="F14" s="5" t="s">
        <v>38</v>
      </c>
      <c r="G14" s="5" t="s">
        <v>345</v>
      </c>
      <c r="H14" s="216" t="s">
        <v>407</v>
      </c>
    </row>
    <row r="15" spans="1:8" ht="15.6" x14ac:dyDescent="0.25">
      <c r="A15" s="10" t="s">
        <v>342</v>
      </c>
      <c r="B15" s="5" t="s">
        <v>61</v>
      </c>
      <c r="C15" s="4" t="str">
        <f t="shared" si="2"/>
        <v>Internal Combustion EngineCO</v>
      </c>
      <c r="D15" s="8">
        <v>528</v>
      </c>
      <c r="E15" s="8">
        <f t="shared" si="3"/>
        <v>528</v>
      </c>
      <c r="F15" s="5" t="s">
        <v>38</v>
      </c>
      <c r="G15" s="5" t="s">
        <v>345</v>
      </c>
      <c r="H15" s="216" t="s">
        <v>407</v>
      </c>
    </row>
    <row r="16" spans="1:8" ht="15.6" x14ac:dyDescent="0.25">
      <c r="A16" s="10" t="s">
        <v>342</v>
      </c>
      <c r="B16" s="5" t="s">
        <v>66</v>
      </c>
      <c r="C16" s="4" t="str">
        <f t="shared" si="2"/>
        <v>Internal Combustion EngineTotal PM</v>
      </c>
      <c r="D16" s="8">
        <v>15</v>
      </c>
      <c r="E16" s="8">
        <f t="shared" si="3"/>
        <v>15</v>
      </c>
      <c r="F16" s="5" t="s">
        <v>38</v>
      </c>
      <c r="G16" s="5" t="s">
        <v>345</v>
      </c>
      <c r="H16" s="216" t="s">
        <v>407</v>
      </c>
    </row>
    <row r="17" spans="1:8" ht="15.6" x14ac:dyDescent="0.25">
      <c r="A17" s="10" t="s">
        <v>342</v>
      </c>
      <c r="B17" s="5" t="s">
        <v>340</v>
      </c>
      <c r="C17" s="4" t="str">
        <f t="shared" si="2"/>
        <v>Internal Combustion EnginePM10</v>
      </c>
      <c r="D17" s="8">
        <v>15</v>
      </c>
      <c r="E17" s="8">
        <f t="shared" si="3"/>
        <v>15</v>
      </c>
      <c r="F17" s="5" t="s">
        <v>38</v>
      </c>
      <c r="G17" s="5" t="s">
        <v>345</v>
      </c>
      <c r="H17" s="216" t="s">
        <v>407</v>
      </c>
    </row>
    <row r="18" spans="1:8" ht="15.6" x14ac:dyDescent="0.25">
      <c r="A18" s="10" t="s">
        <v>342</v>
      </c>
      <c r="B18" s="5" t="s">
        <v>341</v>
      </c>
      <c r="C18" s="4" t="str">
        <f t="shared" si="2"/>
        <v>Internal Combustion EnginePM2.5</v>
      </c>
      <c r="D18" s="60">
        <v>15</v>
      </c>
      <c r="E18" s="8">
        <f t="shared" si="3"/>
        <v>15</v>
      </c>
      <c r="F18" s="5" t="s">
        <v>38</v>
      </c>
      <c r="G18" s="5" t="s">
        <v>345</v>
      </c>
      <c r="H18" s="216" t="s">
        <v>407</v>
      </c>
    </row>
    <row r="19" spans="1:8" ht="15.6" x14ac:dyDescent="0.25">
      <c r="A19" s="10" t="s">
        <v>343</v>
      </c>
      <c r="B19" s="5" t="s">
        <v>339</v>
      </c>
      <c r="C19" s="4" t="str">
        <f>A19&amp;B19</f>
        <v>Boiler/Steam TurbineNOx</v>
      </c>
      <c r="D19" s="8">
        <v>42</v>
      </c>
      <c r="E19" s="8">
        <f t="shared" si="3"/>
        <v>42</v>
      </c>
      <c r="F19" s="5" t="s">
        <v>38</v>
      </c>
      <c r="G19" s="5" t="s">
        <v>345</v>
      </c>
      <c r="H19" s="216" t="s">
        <v>407</v>
      </c>
    </row>
    <row r="20" spans="1:8" ht="15.6" x14ac:dyDescent="0.25">
      <c r="A20" s="207" t="s">
        <v>343</v>
      </c>
      <c r="B20" s="208" t="s">
        <v>61</v>
      </c>
      <c r="C20" s="209" t="str">
        <f t="shared" ref="C20:C28" si="4">A20&amp;B20</f>
        <v>Boiler/Steam TurbineCO</v>
      </c>
      <c r="D20" s="210">
        <v>7</v>
      </c>
      <c r="E20" s="8">
        <f t="shared" si="3"/>
        <v>7</v>
      </c>
      <c r="F20" s="5" t="s">
        <v>38</v>
      </c>
      <c r="G20" s="5" t="s">
        <v>345</v>
      </c>
      <c r="H20" s="216" t="s">
        <v>407</v>
      </c>
    </row>
    <row r="21" spans="1:8" ht="15.6" x14ac:dyDescent="0.25">
      <c r="A21" s="211" t="s">
        <v>343</v>
      </c>
      <c r="B21" s="5" t="s">
        <v>66</v>
      </c>
      <c r="C21" s="4" t="str">
        <f t="shared" si="4"/>
        <v>Boiler/Steam TurbineTotal PM</v>
      </c>
      <c r="D21" s="214">
        <v>3</v>
      </c>
      <c r="E21" s="8">
        <f t="shared" si="3"/>
        <v>3</v>
      </c>
      <c r="F21" s="5" t="s">
        <v>38</v>
      </c>
      <c r="G21" s="5" t="s">
        <v>345</v>
      </c>
      <c r="H21" s="216" t="s">
        <v>407</v>
      </c>
    </row>
    <row r="22" spans="1:8" ht="15.6" x14ac:dyDescent="0.25">
      <c r="A22" s="211" t="s">
        <v>343</v>
      </c>
      <c r="B22" s="5" t="s">
        <v>340</v>
      </c>
      <c r="C22" s="4" t="str">
        <f t="shared" si="4"/>
        <v>Boiler/Steam TurbinePM10</v>
      </c>
      <c r="D22" s="214">
        <v>3</v>
      </c>
      <c r="E22" s="8">
        <f t="shared" si="3"/>
        <v>3</v>
      </c>
      <c r="F22" s="5" t="s">
        <v>38</v>
      </c>
      <c r="G22" s="5" t="s">
        <v>345</v>
      </c>
      <c r="H22" s="216" t="s">
        <v>407</v>
      </c>
    </row>
    <row r="23" spans="1:8" ht="15.6" x14ac:dyDescent="0.25">
      <c r="A23" s="211" t="s">
        <v>343</v>
      </c>
      <c r="B23" s="5" t="s">
        <v>341</v>
      </c>
      <c r="C23" s="4" t="str">
        <f t="shared" si="4"/>
        <v>Boiler/Steam TurbinePM2.5</v>
      </c>
      <c r="D23" s="214">
        <v>3</v>
      </c>
      <c r="E23" s="8">
        <f t="shared" si="3"/>
        <v>3</v>
      </c>
      <c r="F23" s="5" t="s">
        <v>38</v>
      </c>
      <c r="G23" s="5" t="s">
        <v>345</v>
      </c>
      <c r="H23" s="216" t="s">
        <v>407</v>
      </c>
    </row>
    <row r="24" spans="1:8" ht="15.6" x14ac:dyDescent="0.25">
      <c r="A24" s="213" t="s">
        <v>344</v>
      </c>
      <c r="B24" s="5" t="s">
        <v>339</v>
      </c>
      <c r="C24" s="212" t="str">
        <f t="shared" si="4"/>
        <v>Gas TurbineNOx</v>
      </c>
      <c r="D24" s="214">
        <v>87</v>
      </c>
      <c r="E24" s="8">
        <f t="shared" si="3"/>
        <v>87</v>
      </c>
      <c r="F24" s="5" t="s">
        <v>38</v>
      </c>
      <c r="G24" s="5" t="s">
        <v>345</v>
      </c>
      <c r="H24" s="216" t="s">
        <v>407</v>
      </c>
    </row>
    <row r="25" spans="1:8" ht="15.6" x14ac:dyDescent="0.25">
      <c r="A25" s="213" t="s">
        <v>344</v>
      </c>
      <c r="B25" s="5" t="s">
        <v>61</v>
      </c>
      <c r="C25" s="212" t="str">
        <f t="shared" si="4"/>
        <v>Gas TurbineCO</v>
      </c>
      <c r="D25" s="214">
        <v>230</v>
      </c>
      <c r="E25" s="8">
        <f t="shared" si="3"/>
        <v>230</v>
      </c>
      <c r="F25" s="5" t="s">
        <v>38</v>
      </c>
      <c r="G25" s="5" t="s">
        <v>345</v>
      </c>
      <c r="H25" s="216" t="s">
        <v>407</v>
      </c>
    </row>
    <row r="26" spans="1:8" ht="15.6" x14ac:dyDescent="0.25">
      <c r="A26" s="213" t="s">
        <v>344</v>
      </c>
      <c r="B26" s="5" t="s">
        <v>66</v>
      </c>
      <c r="C26" s="212" t="str">
        <f t="shared" si="4"/>
        <v>Gas TurbineTotal PM</v>
      </c>
      <c r="D26" s="214">
        <v>22</v>
      </c>
      <c r="E26" s="8">
        <f t="shared" si="3"/>
        <v>22</v>
      </c>
      <c r="F26" s="5" t="s">
        <v>38</v>
      </c>
      <c r="G26" s="5" t="s">
        <v>345</v>
      </c>
      <c r="H26" s="216" t="s">
        <v>407</v>
      </c>
    </row>
    <row r="27" spans="1:8" ht="15.6" x14ac:dyDescent="0.25">
      <c r="A27" s="213" t="s">
        <v>344</v>
      </c>
      <c r="B27" s="5" t="s">
        <v>340</v>
      </c>
      <c r="C27" s="212" t="str">
        <f t="shared" si="4"/>
        <v>Gas TurbinePM10</v>
      </c>
      <c r="D27" s="214">
        <v>22</v>
      </c>
      <c r="E27" s="8">
        <f t="shared" si="3"/>
        <v>22</v>
      </c>
      <c r="F27" s="5" t="s">
        <v>38</v>
      </c>
      <c r="G27" s="5" t="s">
        <v>345</v>
      </c>
      <c r="H27" s="216" t="s">
        <v>407</v>
      </c>
    </row>
    <row r="28" spans="1:8" ht="15.6" x14ac:dyDescent="0.25">
      <c r="A28" s="213" t="s">
        <v>344</v>
      </c>
      <c r="B28" s="5" t="s">
        <v>341</v>
      </c>
      <c r="C28" s="212" t="str">
        <f t="shared" si="4"/>
        <v>Gas TurbinePM2.5</v>
      </c>
      <c r="D28" s="214">
        <v>22</v>
      </c>
      <c r="E28" s="8">
        <f t="shared" si="3"/>
        <v>22</v>
      </c>
      <c r="F28" s="5" t="s">
        <v>38</v>
      </c>
      <c r="G28" s="5" t="s">
        <v>345</v>
      </c>
      <c r="H28" s="216" t="s">
        <v>407</v>
      </c>
    </row>
  </sheetData>
  <mergeCells count="2">
    <mergeCell ref="A4:H4"/>
    <mergeCell ref="A8:H8"/>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
  <sheetViews>
    <sheetView workbookViewId="0"/>
  </sheetViews>
  <sheetFormatPr defaultRowHeight="13.2" x14ac:dyDescent="0.25"/>
  <cols>
    <col min="1" max="1" width="28.109375" customWidth="1"/>
    <col min="2" max="2" width="24.6640625" customWidth="1"/>
    <col min="3" max="3" width="47.109375" customWidth="1"/>
    <col min="4" max="4" width="22.5546875" customWidth="1"/>
    <col min="5" max="5" width="15.109375" customWidth="1"/>
    <col min="6" max="6" width="19.109375" customWidth="1"/>
    <col min="7" max="7" width="24" customWidth="1"/>
  </cols>
  <sheetData>
    <row r="1" spans="1:7" ht="17.399999999999999" x14ac:dyDescent="0.3">
      <c r="A1" s="1" t="s">
        <v>375</v>
      </c>
    </row>
    <row r="3" spans="1:7" x14ac:dyDescent="0.25">
      <c r="A3" s="398" t="s">
        <v>346</v>
      </c>
      <c r="B3" s="402" t="s">
        <v>347</v>
      </c>
      <c r="C3" s="402" t="s">
        <v>376</v>
      </c>
      <c r="D3" s="399" t="s">
        <v>348</v>
      </c>
      <c r="E3" s="400"/>
      <c r="F3" s="401"/>
      <c r="G3" s="404" t="s">
        <v>37</v>
      </c>
    </row>
    <row r="4" spans="1:7" x14ac:dyDescent="0.25">
      <c r="A4" s="398"/>
      <c r="B4" s="403"/>
      <c r="C4" s="403"/>
      <c r="D4" s="398" t="s">
        <v>349</v>
      </c>
      <c r="E4" s="398"/>
      <c r="F4" s="398"/>
      <c r="G4" s="404"/>
    </row>
    <row r="5" spans="1:7" x14ac:dyDescent="0.25">
      <c r="A5" s="221" t="s">
        <v>343</v>
      </c>
      <c r="B5" s="222" t="s">
        <v>350</v>
      </c>
      <c r="C5" s="222" t="str">
        <f>A5&amp;B5</f>
        <v>Boiler/Steam TurbineNMOC</v>
      </c>
      <c r="D5" s="222">
        <v>98.6</v>
      </c>
      <c r="E5" s="221" t="s">
        <v>351</v>
      </c>
      <c r="F5" s="221" t="s">
        <v>352</v>
      </c>
      <c r="G5" s="216" t="s">
        <v>409</v>
      </c>
    </row>
    <row r="6" spans="1:7" x14ac:dyDescent="0.25">
      <c r="A6" s="221" t="s">
        <v>337</v>
      </c>
      <c r="B6" s="222" t="s">
        <v>350</v>
      </c>
      <c r="C6" s="222" t="str">
        <f t="shared" ref="C6:C8" si="0">A6&amp;B6</f>
        <v>FlareNMOC</v>
      </c>
      <c r="D6" s="222">
        <v>97.7</v>
      </c>
      <c r="E6" s="221" t="s">
        <v>410</v>
      </c>
      <c r="F6" s="221" t="s">
        <v>413</v>
      </c>
      <c r="G6" s="216" t="s">
        <v>409</v>
      </c>
    </row>
    <row r="7" spans="1:7" x14ac:dyDescent="0.25">
      <c r="A7" s="221" t="s">
        <v>344</v>
      </c>
      <c r="B7" s="222" t="s">
        <v>350</v>
      </c>
      <c r="C7" s="222" t="str">
        <f t="shared" si="0"/>
        <v>Gas TurbineNMOC</v>
      </c>
      <c r="D7" s="222">
        <v>94.4</v>
      </c>
      <c r="E7" s="221" t="s">
        <v>411</v>
      </c>
      <c r="F7" s="221" t="s">
        <v>353</v>
      </c>
      <c r="G7" s="216" t="s">
        <v>409</v>
      </c>
    </row>
    <row r="8" spans="1:7" ht="17.25" customHeight="1" x14ac:dyDescent="0.25">
      <c r="A8" s="221" t="s">
        <v>342</v>
      </c>
      <c r="B8" s="222" t="s">
        <v>350</v>
      </c>
      <c r="C8" s="222" t="str">
        <f t="shared" si="0"/>
        <v>Internal Combustion EngineNMOC</v>
      </c>
      <c r="D8" s="222">
        <v>97.2</v>
      </c>
      <c r="E8" s="221" t="s">
        <v>412</v>
      </c>
      <c r="F8" s="221" t="s">
        <v>352</v>
      </c>
      <c r="G8" s="216" t="s">
        <v>409</v>
      </c>
    </row>
  </sheetData>
  <mergeCells count="6">
    <mergeCell ref="A3:A4"/>
    <mergeCell ref="D3:F3"/>
    <mergeCell ref="D4:F4"/>
    <mergeCell ref="B3:B4"/>
    <mergeCell ref="G3:G4"/>
    <mergeCell ref="C3: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40</vt:i4>
      </vt:variant>
    </vt:vector>
  </HeadingPairs>
  <TitlesOfParts>
    <vt:vector size="51" baseType="lpstr">
      <vt:lpstr>Registration FAQs</vt:lpstr>
      <vt:lpstr>Instructions</vt:lpstr>
      <vt:lpstr>Inputs</vt:lpstr>
      <vt:lpstr>Controls and Restrictions</vt:lpstr>
      <vt:lpstr>Total Emissions</vt:lpstr>
      <vt:lpstr>Output-Summary Printout</vt:lpstr>
      <vt:lpstr>Change Log</vt:lpstr>
      <vt:lpstr>Emission Factors</vt:lpstr>
      <vt:lpstr>Collection Efficiencies</vt:lpstr>
      <vt:lpstr>Additional References</vt:lpstr>
      <vt:lpstr>EPA Regional Contact Info</vt:lpstr>
      <vt:lpstr>Allowable_Controlled_NMOC_Concentration</vt:lpstr>
      <vt:lpstr>Before_After_1992</vt:lpstr>
      <vt:lpstr>CO_concentration</vt:lpstr>
      <vt:lpstr>Co_Disposal</vt:lpstr>
      <vt:lpstr>CO_Molecular_Weight</vt:lpstr>
      <vt:lpstr>CO_PM10_Attainment_List</vt:lpstr>
      <vt:lpstr>Collection_Efficiency</vt:lpstr>
      <vt:lpstr>Control_Technology_Types</vt:lpstr>
      <vt:lpstr>Control_Type</vt:lpstr>
      <vt:lpstr>Controlled_CO_Concentration</vt:lpstr>
      <vt:lpstr>Controlled_NOx_Concentration</vt:lpstr>
      <vt:lpstr>Controlled_PM_Concentration</vt:lpstr>
      <vt:lpstr>Controls_Required</vt:lpstr>
      <vt:lpstr>Cubic_meters_to_cubic_feet</vt:lpstr>
      <vt:lpstr>Design_Capacity</vt:lpstr>
      <vt:lpstr>Gas_Temperature</vt:lpstr>
      <vt:lpstr>Have_Control</vt:lpstr>
      <vt:lpstr>Hexane_Molecular_Weight</vt:lpstr>
      <vt:lpstr>Kg_to_Pounds</vt:lpstr>
      <vt:lpstr>Landfill_Status</vt:lpstr>
      <vt:lpstr>Methane_Rate</vt:lpstr>
      <vt:lpstr>NMOC_concentration</vt:lpstr>
      <vt:lpstr>Open_Closed</vt:lpstr>
      <vt:lpstr>Open_Year</vt:lpstr>
      <vt:lpstr>Ozone_Attainment_List</vt:lpstr>
      <vt:lpstr>'Controls and Restrictions'!Print_Area</vt:lpstr>
      <vt:lpstr>Inputs!Print_Area</vt:lpstr>
      <vt:lpstr>Instructions!Print_Area</vt:lpstr>
      <vt:lpstr>'Output-Summary Printout'!Print_Area</vt:lpstr>
      <vt:lpstr>'Registration FAQs'!Print_Area</vt:lpstr>
      <vt:lpstr>'Total Emissions'!Print_Area</vt:lpstr>
      <vt:lpstr>Rainfall</vt:lpstr>
      <vt:lpstr>SO2_Concentration</vt:lpstr>
      <vt:lpstr>SO2_PM25_Attainment_List</vt:lpstr>
      <vt:lpstr>State_List</vt:lpstr>
      <vt:lpstr>Sulfur_Molecular_Weight</vt:lpstr>
      <vt:lpstr>Tons_to_Mg</vt:lpstr>
      <vt:lpstr>Uncontrolled_NMOC</vt:lpstr>
      <vt:lpstr>Yes_No_Controls_Restrictions</vt:lpstr>
      <vt:lpstr>Yes_No_Inputs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2013-02-11T05:55:05Z</cp:lastPrinted>
  <dcterms:created xsi:type="dcterms:W3CDTF">1999-01-25T20:14:01Z</dcterms:created>
  <dcterms:modified xsi:type="dcterms:W3CDTF">2016-02-03T17:56:37Z</dcterms:modified>
</cp:coreProperties>
</file>