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552" windowWidth="15480" windowHeight="11100" tabRatio="759"/>
  </bookViews>
  <sheets>
    <sheet name="Registration FAQs" sheetId="28" r:id="rId1"/>
    <sheet name="Instructions" sheetId="1" r:id="rId2"/>
    <sheet name="Inputs" sheetId="13" r:id="rId3"/>
    <sheet name="Controls and Restrictions" sheetId="26" r:id="rId4"/>
    <sheet name="Total Emissions" sheetId="25" r:id="rId5"/>
    <sheet name="Output-Summary Printout" sheetId="8" r:id="rId6"/>
    <sheet name="Change Log" sheetId="14" state="hidden" r:id="rId7"/>
    <sheet name="Emission Factors" sheetId="9" state="hidden" r:id="rId8"/>
    <sheet name="Fuel Energy Content" sheetId="23" state="hidden" r:id="rId9"/>
    <sheet name="Additional References" sheetId="20" state="hidden" r:id="rId10"/>
    <sheet name="EPA Regional Contact Info" sheetId="24" state="hidden" r:id="rId11"/>
  </sheets>
  <definedNames>
    <definedName name="_xlnm._FilterDatabase" localSheetId="10" hidden="1">'EPA Regional Contact Info'!$A$4:$N$55</definedName>
    <definedName name="Allowable_Hours_for_Dryer_Operation">'Additional References'!$B$7</definedName>
    <definedName name="Allowable_Ink_Solvent_Density">'Additional References'!$B$4</definedName>
    <definedName name="Allowable_Ink_Solvent_VOC_Content">'Additional References'!$B$5</definedName>
    <definedName name="Annual_Dryer_Fuel">Inputs!$C$55</definedName>
    <definedName name="CO_PM10_Attainment_List">Inputs!$E$3:$E$5</definedName>
    <definedName name="Distillate_Oil_Allowable_Sulfur_Content">'Additional References'!$B$6</definedName>
    <definedName name="Dryer_Capacity">Inputs!$C$53</definedName>
    <definedName name="Dryer_fuel">Inputs!$C$54</definedName>
    <definedName name="Dryer_Fuel_List">Inputs!$E$35:$E$38</definedName>
    <definedName name="Dryer_type">Inputs!$C$52</definedName>
    <definedName name="Dryer_Type_List">Inputs!$E$31:$E$32</definedName>
    <definedName name="Dryer_Use_List">Inputs!$E$41:$E$42</definedName>
    <definedName name="Have_Dryer">Inputs!$C$51</definedName>
    <definedName name="Hourly_Gallons_Ink_Actual">Inputs!$C$46</definedName>
    <definedName name="Hourly_Gallons_of_Ink_Max">Inputs!$C$47</definedName>
    <definedName name="Ink_Type">Inputs!$C$43</definedName>
    <definedName name="LPG_Actual_Sulfur_Content">'Additional References'!$B$10</definedName>
    <definedName name="LPG_Allowable_Sulfur_Content">'Additional References'!$B$11</definedName>
    <definedName name="Natural_Gas_Actual_Sulfur_Content">'Additional References'!$B$8</definedName>
    <definedName name="Natural_Gas_Allowable_Sulfur_Content">'Additional References'!$B$9</definedName>
    <definedName name="Ozone_Attainment_List">Inputs!$E$8:$E$13</definedName>
    <definedName name="_xlnm.Print_Area" localSheetId="2">Inputs!$A$1:$C$62</definedName>
    <definedName name="_xlnm.Print_Area" localSheetId="1">Instructions!$A$1:$E$48</definedName>
    <definedName name="_xlnm.Print_Area" localSheetId="5">'Output-Summary Printout'!$A$1:$F$42</definedName>
    <definedName name="_xlnm.Print_Area" localSheetId="0">'Registration FAQs'!$B$1:$C$38</definedName>
    <definedName name="Print_process">Inputs!$C$44</definedName>
    <definedName name="Print_type">Inputs!$C$45</definedName>
    <definedName name="Print_Type_List">Inputs!$E$27:$E$28</definedName>
    <definedName name="Printing_Processes_List">Inputs!$E$21:$E$24</definedName>
    <definedName name="Rotogravure_VOC_Emission_Limit">'Controls and Restrictions'!$C$10</definedName>
    <definedName name="SO2_PM2.5_Attainment_List">Inputs!$E$16:$E$17</definedName>
    <definedName name="Solvent_density">Inputs!$C$49</definedName>
    <definedName name="Solvent_Type_List">Inputs!$E$46:$E$47</definedName>
    <definedName name="State_List">Inputs!$E$51:$E$95</definedName>
    <definedName name="Sulfur_Content_of_Fuel">Inputs!$C$57</definedName>
    <definedName name="VOC_Control_Device_List">'Controls and Restrictions'!$F$5:$F$7</definedName>
    <definedName name="VOC_Control_Efficiency">'Controls and Restrictions'!$C$5</definedName>
    <definedName name="VOC_Control_Multiplier">'Controls and Restrictions'!$F$21</definedName>
    <definedName name="Weekly_operation_hours">Inputs!$C$41</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F18" i="26" l="1"/>
  <c r="G15" i="26" l="1"/>
  <c r="G14" i="26"/>
  <c r="G13" i="26"/>
  <c r="B15" i="20"/>
  <c r="B14" i="20"/>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51" i="13"/>
  <c r="C49" i="13"/>
  <c r="E7" i="9" l="1"/>
  <c r="E6" i="9"/>
  <c r="D7" i="9"/>
  <c r="D6" i="9"/>
  <c r="D5" i="9"/>
  <c r="D4" i="9"/>
  <c r="B55" i="13"/>
  <c r="C57" i="13" l="1"/>
  <c r="H6" i="25" l="1"/>
  <c r="G6" i="25"/>
  <c r="F6" i="25"/>
  <c r="D6" i="25"/>
  <c r="C6" i="25"/>
  <c r="D11" i="9"/>
  <c r="E11" i="9" s="1"/>
  <c r="E6" i="25" l="1"/>
  <c r="E30" i="9" l="1"/>
  <c r="E31" i="9"/>
  <c r="E32" i="9"/>
  <c r="E33" i="9"/>
  <c r="E34" i="9"/>
  <c r="E35" i="9"/>
  <c r="E29" i="9"/>
  <c r="C30" i="9"/>
  <c r="C31" i="9"/>
  <c r="C32" i="9"/>
  <c r="C33" i="9"/>
  <c r="C34" i="9"/>
  <c r="C35" i="9"/>
  <c r="C29" i="9"/>
  <c r="E5" i="9" l="1"/>
  <c r="E4" i="9"/>
  <c r="F11" i="25" s="1"/>
  <c r="C7" i="9"/>
  <c r="C6" i="9"/>
  <c r="C5" i="9"/>
  <c r="C4" i="9"/>
  <c r="C11" i="9"/>
  <c r="C12" i="9"/>
  <c r="E12" i="9"/>
  <c r="C13" i="9"/>
  <c r="E13" i="9"/>
  <c r="C14" i="9"/>
  <c r="E14" i="9"/>
  <c r="C15" i="9"/>
  <c r="E15" i="9"/>
  <c r="C16" i="9"/>
  <c r="E16" i="9"/>
  <c r="C17" i="9"/>
  <c r="E17" i="9"/>
  <c r="C18" i="9"/>
  <c r="E18" i="9"/>
  <c r="C19" i="9"/>
  <c r="E19" i="9"/>
  <c r="C20" i="9"/>
  <c r="E20" i="9"/>
  <c r="C21" i="9"/>
  <c r="E21" i="9"/>
  <c r="C22" i="9"/>
  <c r="E22" i="9"/>
  <c r="C23" i="9"/>
  <c r="E23" i="9"/>
  <c r="C24" i="9"/>
  <c r="E24" i="9"/>
  <c r="C25" i="9"/>
  <c r="E25" i="9"/>
  <c r="C26" i="9"/>
  <c r="E26" i="9"/>
  <c r="C27" i="9"/>
  <c r="E27" i="9"/>
  <c r="C28" i="9"/>
  <c r="E28" i="9"/>
  <c r="G12" i="26" l="1"/>
  <c r="G10" i="26"/>
  <c r="F21" i="26" s="1"/>
  <c r="F5" i="25" s="1"/>
  <c r="L22" i="8" l="1"/>
  <c r="L20" i="8"/>
  <c r="L18" i="8"/>
  <c r="L16" i="8"/>
  <c r="L14" i="8"/>
  <c r="L12" i="8"/>
  <c r="E5" i="8" l="1"/>
  <c r="E4" i="8"/>
  <c r="E3" i="8"/>
  <c r="H7" i="25" l="1"/>
  <c r="C22" i="8" s="1"/>
  <c r="G7" i="25"/>
  <c r="C20" i="8" s="1"/>
  <c r="D7" i="25"/>
  <c r="C14" i="8" s="1"/>
  <c r="C7" i="25"/>
  <c r="C12" i="8" s="1"/>
  <c r="B5" i="8" l="1"/>
  <c r="B4" i="8"/>
  <c r="F22" i="8" l="1"/>
  <c r="F20" i="8"/>
  <c r="F18" i="8"/>
  <c r="F16" i="8"/>
  <c r="F14" i="8"/>
  <c r="F12" i="8"/>
  <c r="A33" i="8" l="1"/>
  <c r="C25" i="13"/>
  <c r="D38" i="8" s="1"/>
  <c r="C24" i="13"/>
  <c r="D37" i="8" s="1"/>
  <c r="C23" i="13"/>
  <c r="D36" i="8" s="1"/>
  <c r="C22" i="13"/>
  <c r="D35" i="8" s="1"/>
  <c r="C21" i="13"/>
  <c r="C20" i="13"/>
  <c r="C19" i="13"/>
  <c r="C18" i="13"/>
  <c r="D41" i="8" s="1"/>
  <c r="C17" i="13"/>
  <c r="D40" i="8" s="1"/>
  <c r="C16" i="13"/>
  <c r="D34" i="8" s="1"/>
  <c r="B15" i="13"/>
  <c r="B7" i="20" l="1"/>
  <c r="C12" i="25" l="1"/>
  <c r="C13" i="25" s="1"/>
  <c r="E12" i="8" s="1"/>
  <c r="H12" i="25"/>
  <c r="H13" i="25" s="1"/>
  <c r="E22" i="8" s="1"/>
  <c r="G12" i="25"/>
  <c r="G13" i="25" s="1"/>
  <c r="E20" i="8" s="1"/>
  <c r="F12" i="25"/>
  <c r="F13" i="25" s="1"/>
  <c r="E18" i="8" s="1"/>
  <c r="D12" i="25"/>
  <c r="D13" i="25" s="1"/>
  <c r="E14" i="8" s="1"/>
  <c r="E12" i="25"/>
  <c r="E13" i="25" s="1"/>
  <c r="E16" i="8" s="1"/>
  <c r="E7" i="25"/>
  <c r="C16" i="8" s="1"/>
  <c r="B3" i="8"/>
  <c r="K16" i="8" l="1"/>
  <c r="M16" i="8"/>
  <c r="K20" i="8"/>
  <c r="M20" i="8"/>
  <c r="K18" i="8"/>
  <c r="M18" i="8"/>
  <c r="K22" i="8"/>
  <c r="M22" i="8"/>
  <c r="K14" i="8"/>
  <c r="M14" i="8"/>
  <c r="M12" i="8"/>
  <c r="K12" i="8"/>
  <c r="B13" i="23"/>
  <c r="B12" i="23"/>
  <c r="B11" i="23"/>
  <c r="E10" i="9"/>
  <c r="C10" i="9"/>
  <c r="E9" i="9"/>
  <c r="C9" i="9"/>
  <c r="E8" i="9"/>
  <c r="C8" i="9"/>
  <c r="A30" i="8" l="1"/>
  <c r="A32" i="8" s="1"/>
  <c r="B2" i="1" l="1"/>
  <c r="B1" i="1" l="1"/>
  <c r="C6" i="26" l="1"/>
  <c r="F7" i="25"/>
  <c r="C18" i="8" s="1"/>
</calcChain>
</file>

<file path=xl/sharedStrings.xml><?xml version="1.0" encoding="utf-8"?>
<sst xmlns="http://schemas.openxmlformats.org/spreadsheetml/2006/main" count="1111" uniqueCount="486">
  <si>
    <t>Pollutant</t>
  </si>
  <si>
    <t>(tons/yr)</t>
  </si>
  <si>
    <t>volatile organic compound</t>
  </si>
  <si>
    <t>VOC</t>
  </si>
  <si>
    <t>Purpose</t>
  </si>
  <si>
    <t>Facility Information</t>
  </si>
  <si>
    <t>Name</t>
  </si>
  <si>
    <t>Address</t>
  </si>
  <si>
    <t>Telephone</t>
  </si>
  <si>
    <t>Email</t>
  </si>
  <si>
    <t>Facility Contact</t>
  </si>
  <si>
    <t>Attainment</t>
  </si>
  <si>
    <t>Source Category Description</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</si>
  <si>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</si>
  <si>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</si>
  <si>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</si>
  <si>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</si>
  <si>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</si>
  <si>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</si>
  <si>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</si>
  <si>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</si>
  <si>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</si>
  <si>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</si>
  <si>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</si>
  <si>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</si>
  <si>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</si>
  <si>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</si>
  <si>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</si>
  <si>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</si>
  <si>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</si>
  <si>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</si>
  <si>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</si>
  <si>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</si>
  <si>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</si>
  <si>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</si>
  <si>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</si>
  <si>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</si>
  <si>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</si>
  <si>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</si>
  <si>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</si>
  <si>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</si>
  <si>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</si>
  <si>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</si>
  <si>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</si>
  <si>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</si>
  <si>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</si>
  <si>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</si>
  <si>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</si>
  <si>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</si>
  <si>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Additional References</t>
  </si>
  <si>
    <t>Data Element</t>
  </si>
  <si>
    <t>new source review</t>
  </si>
  <si>
    <t>Yes</t>
  </si>
  <si>
    <t>No</t>
  </si>
  <si>
    <t>Fuel and Process</t>
  </si>
  <si>
    <t xml:space="preserve">Value </t>
  </si>
  <si>
    <t>N/A</t>
  </si>
  <si>
    <t>Facility Use Questions</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</si>
  <si>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</si>
  <si>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</si>
  <si>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</si>
  <si>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</si>
  <si>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</si>
  <si>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</si>
  <si>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</si>
  <si>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</si>
  <si>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</si>
  <si>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Natural Gas</t>
  </si>
  <si>
    <t>LPG</t>
  </si>
  <si>
    <t>Oil - Distillate</t>
  </si>
  <si>
    <t>Total PM</t>
  </si>
  <si>
    <t>1000 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</si>
  <si>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</si>
  <si>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</si>
  <si>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</si>
  <si>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</si>
  <si>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</si>
  <si>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MMBtu</t>
  </si>
  <si>
    <t>bbl</t>
  </si>
  <si>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</si>
  <si>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</si>
  <si>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</si>
  <si>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</si>
  <si>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</si>
  <si>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Same as Source</t>
  </si>
  <si>
    <t>Fuel Energy Content</t>
  </si>
  <si>
    <t>Fuel</t>
  </si>
  <si>
    <t>Energy Content</t>
  </si>
  <si>
    <t>Energy Content Numerator</t>
  </si>
  <si>
    <t>Energy Content Denominator</t>
  </si>
  <si>
    <t>Units Converted to Match Emission Factors</t>
  </si>
  <si>
    <t>carbon monoxide</t>
  </si>
  <si>
    <t>nitrogen oxides</t>
  </si>
  <si>
    <t>sulfur dioxide</t>
  </si>
  <si>
    <t>Electricity</t>
  </si>
  <si>
    <t>million British thermal units</t>
  </si>
  <si>
    <t>Units</t>
  </si>
  <si>
    <t>Percent</t>
  </si>
  <si>
    <t>lb/gal</t>
  </si>
  <si>
    <t>Hours</t>
  </si>
  <si>
    <t>Assuming continuous operation</t>
  </si>
  <si>
    <t xml:space="preserve">jonathan_dorn@abtassoc.com </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</si>
  <si>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</si>
  <si>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</si>
  <si>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</si>
  <si>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</si>
  <si>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</si>
  <si>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</si>
  <si>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</si>
  <si>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</si>
  <si>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</si>
  <si>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</si>
  <si>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</si>
  <si>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</si>
  <si>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</si>
  <si>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</si>
  <si>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</si>
  <si>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</si>
  <si>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</si>
  <si>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</si>
  <si>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</si>
  <si>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</si>
  <si>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</si>
  <si>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</si>
  <si>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</si>
  <si>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</si>
  <si>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</si>
  <si>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</si>
  <si>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</si>
  <si>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</si>
  <si>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</si>
  <si>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</si>
  <si>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</si>
  <si>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</si>
  <si>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</si>
  <si>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</si>
  <si>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</si>
  <si>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</si>
  <si>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</si>
  <si>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</si>
  <si>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</si>
  <si>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</si>
  <si>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</si>
  <si>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</si>
  <si>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</si>
  <si>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</si>
  <si>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</si>
  <si>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</si>
  <si>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</si>
  <si>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</si>
  <si>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</si>
  <si>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</si>
  <si>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</si>
  <si>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</si>
  <si>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</si>
  <si>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</si>
  <si>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</si>
  <si>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</si>
  <si>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</si>
  <si>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</si>
  <si>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</si>
  <si>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</si>
  <si>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</si>
  <si>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</si>
  <si>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</si>
  <si>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</si>
  <si>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</si>
  <si>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</si>
  <si>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</si>
  <si>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</si>
  <si>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</si>
  <si>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</si>
  <si>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</si>
  <si>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</si>
  <si>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</si>
  <si>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</si>
  <si>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</si>
  <si>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</si>
  <si>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</si>
  <si>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</si>
  <si>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</si>
  <si>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</si>
  <si>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</si>
  <si>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</si>
  <si>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</si>
  <si>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</si>
  <si>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</si>
  <si>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</si>
  <si>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</si>
  <si>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</si>
  <si>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</si>
  <si>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</si>
  <si>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</si>
  <si>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</si>
  <si>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</si>
  <si>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</si>
  <si>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</si>
  <si>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</si>
  <si>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</si>
  <si>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</si>
  <si>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</si>
  <si>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</si>
  <si>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</si>
  <si>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</si>
  <si>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</si>
  <si>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</si>
  <si>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</si>
  <si>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</si>
  <si>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</si>
  <si>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</si>
  <si>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</si>
  <si>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</si>
  <si>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</si>
  <si>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</si>
  <si>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</si>
  <si>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</si>
  <si>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</si>
  <si>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</si>
  <si>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</si>
  <si>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</si>
  <si>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</si>
  <si>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</si>
  <si>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</si>
  <si>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</si>
  <si>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</si>
  <si>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</si>
  <si>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</si>
  <si>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</si>
  <si>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</si>
  <si>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</si>
  <si>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</si>
  <si>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</si>
  <si>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</si>
  <si>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</si>
  <si>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</si>
  <si>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</si>
  <si>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</si>
  <si>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</si>
  <si>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</si>
  <si>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</si>
  <si>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</si>
  <si>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</si>
  <si>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</si>
  <si>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</si>
  <si>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</si>
  <si>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</si>
  <si>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</si>
  <si>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</si>
  <si>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</si>
  <si>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</si>
  <si>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</si>
  <si>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</si>
  <si>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</si>
  <si>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</si>
  <si>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</si>
  <si>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</si>
  <si>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</si>
  <si>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</si>
  <si>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</si>
  <si>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</si>
  <si>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</si>
  <si>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</si>
  <si>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</si>
  <si>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</si>
  <si>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</si>
  <si>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</si>
  <si>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</si>
  <si>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</si>
  <si>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</si>
  <si>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</si>
  <si>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</si>
  <si>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</si>
  <si>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</si>
  <si>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</si>
  <si>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</si>
  <si>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</si>
  <si>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</si>
  <si>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</si>
  <si>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</si>
  <si>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</si>
  <si>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</si>
  <si>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</si>
  <si>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</si>
  <si>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Albuquerque</t>
  </si>
  <si>
    <t>Zip Code</t>
  </si>
  <si>
    <t>Primary Contact Name</t>
  </si>
  <si>
    <t>Primary Contact Telephone</t>
  </si>
  <si>
    <t>Primary Contact Email</t>
  </si>
  <si>
    <t>Alternate Contact Name</t>
  </si>
  <si>
    <t>Alternate Contact Telephone</t>
  </si>
  <si>
    <t>Alternate Contact Email</t>
  </si>
  <si>
    <t>Name:</t>
  </si>
  <si>
    <t>Address:</t>
  </si>
  <si>
    <t>Telephone:</t>
  </si>
  <si>
    <t>1997 8-Hr Ozone Attainment Status (select one):</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</si>
  <si>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</si>
  <si>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</si>
  <si>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</si>
  <si>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</si>
  <si>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</si>
  <si>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</si>
  <si>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Registration Calculator Inputs</t>
  </si>
  <si>
    <t>Explanation of Text Colors and Cell Shading</t>
  </si>
  <si>
    <t>Cells shaded gray do not need to be completed.</t>
  </si>
  <si>
    <t>Acronyms/Definitions</t>
  </si>
  <si>
    <t>NSR</t>
  </si>
  <si>
    <t>particulate matter less than or equal to 10 micrometers (µm) in size</t>
  </si>
  <si>
    <t>particulate matter less than or equal to 2.5 micrometers (µm) in size</t>
  </si>
  <si>
    <t>EF</t>
  </si>
  <si>
    <t>emission factor</t>
  </si>
  <si>
    <t xml:space="preserve">http://www.epa.gov/oar/oaqps/greenbk/ancl.html </t>
  </si>
  <si>
    <t>Total Emissions</t>
  </si>
  <si>
    <t>Threshold</t>
  </si>
  <si>
    <t>Registration Summary</t>
  </si>
  <si>
    <r>
      <t>NO</t>
    </r>
    <r>
      <rPr>
        <vertAlign val="subscript"/>
        <sz val="10"/>
        <rFont val="Arial"/>
        <family val="2"/>
      </rPr>
      <t>X</t>
    </r>
  </si>
  <si>
    <t>EPA</t>
  </si>
  <si>
    <t>U.S. Environmental Protection Agency</t>
  </si>
  <si>
    <t>U.S. Environmental Protection Agency, AP-42, Fifth Edition, Volume I, Chapter 1: External Combustion, Section 1.4: Natural Gas Combustion, 1998, available at http://www.epa.gov/ttn/chief/ap42/ch01/final/c01s04.pdf.</t>
  </si>
  <si>
    <t>Emissions Source:</t>
  </si>
  <si>
    <t>TOTAL</t>
  </si>
  <si>
    <t>grains/100 scf</t>
  </si>
  <si>
    <t xml:space="preserve">Average value from U.S. Environmental Protection Agency, AP-42, Fifth Edition, Volume I, Chapter 1: External Combustion, Section 1.4: Natural Gas Combustion, 1998, available at http://www.epa.gov/ttn/chief/ap42/ch01/final/c01s04.pdf. </t>
  </si>
  <si>
    <t>scf</t>
  </si>
  <si>
    <t>standard cubic feet</t>
  </si>
  <si>
    <r>
      <t>PM</t>
    </r>
    <r>
      <rPr>
        <vertAlign val="subscript"/>
        <sz val="10"/>
        <rFont val="Arial"/>
        <family val="2"/>
      </rPr>
      <t>2.5</t>
    </r>
    <r>
      <rPr>
        <sz val="10"/>
        <rFont val="Arial"/>
        <family val="2"/>
      </rPr>
      <t xml:space="preserve"> Attainment Status (select one):</t>
    </r>
  </si>
  <si>
    <t>Emission Control Questions</t>
  </si>
  <si>
    <t>VOC Control Device List</t>
  </si>
  <si>
    <t>Carbon Adsorption</t>
  </si>
  <si>
    <t>Incineration</t>
  </si>
  <si>
    <t>CE</t>
  </si>
  <si>
    <t>Registration Determination</t>
  </si>
  <si>
    <t>Major Source</t>
  </si>
  <si>
    <t>Exceeds major source threshold.</t>
  </si>
  <si>
    <t>Exceeds Major Source Threshold Determination</t>
  </si>
  <si>
    <t>Allowable Emissions</t>
  </si>
  <si>
    <t>Estimated Actual Emissions</t>
  </si>
  <si>
    <t>Allowable Emissions (tons/yr):</t>
  </si>
  <si>
    <r>
      <t xml:space="preserve">On the </t>
    </r>
    <r>
      <rPr>
        <b/>
        <i/>
        <sz val="10"/>
        <rFont val="Arial"/>
        <family val="2"/>
      </rPr>
      <t>Inputs</t>
    </r>
    <r>
      <rPr>
        <sz val="10"/>
        <rFont val="Arial"/>
        <family val="2"/>
      </rPr>
      <t xml:space="preserve"> worksheet, replace the default facility information with information specific to your facility.</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</si>
  <si>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</si>
  <si>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control efficiency</t>
  </si>
  <si>
    <t>VOC Control Efficiency</t>
  </si>
  <si>
    <t>Carbon Adsorption Default VOC Control Efficiency</t>
  </si>
  <si>
    <t>40 CFR Section 49.130(d)(2)</t>
  </si>
  <si>
    <t>Control Efficiency (percent)</t>
  </si>
  <si>
    <t>40 CFR Section 49.130(d)(2); 1.1 grams S per standard cubic meter = 48 grains per 100 scf</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</si>
  <si>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</si>
  <si>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 xml:space="preserve">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 </t>
  </si>
  <si>
    <t>TRIBAL NEW SOURCE REVIEW PROGRAM</t>
  </si>
  <si>
    <t>Registration for Existing True Minor Sources of Air Pollution in Indian Country</t>
  </si>
  <si>
    <t>What is the Tribal New Source Review Rule?</t>
  </si>
  <si>
    <t>Do I need to register my minor source?</t>
  </si>
  <si>
    <t>How do I register my true minor source?</t>
  </si>
  <si>
    <t>How often must I register?</t>
  </si>
  <si>
    <t>This is a one-time registration for your true minor source.  However, after registration, you must notify your EPA Regional Office in writing if:</t>
  </si>
  <si>
    <t>May I register using my own emission information, rather than using the Registration Calculators?</t>
  </si>
  <si>
    <t>How does registration relate to obtaining a permit?</t>
  </si>
  <si>
    <t>Registration steps for existing true minor sources:</t>
  </si>
  <si>
    <r>
      <t xml:space="preserve">How do I determine if my source is a </t>
    </r>
    <r>
      <rPr>
        <b/>
        <i/>
        <sz val="10"/>
        <rFont val="Arial"/>
        <family val="2"/>
      </rPr>
      <t>true minor</t>
    </r>
    <r>
      <rPr>
        <b/>
        <sz val="10"/>
        <rFont val="Arial"/>
        <family val="2"/>
      </rPr>
      <t xml:space="preserve"> source?</t>
    </r>
  </si>
  <si>
    <t>1.</t>
  </si>
  <si>
    <t>2.</t>
  </si>
  <si>
    <t>3.</t>
  </si>
  <si>
    <t>4.</t>
  </si>
  <si>
    <t>5.</t>
  </si>
  <si>
    <t>6.</t>
  </si>
  <si>
    <t>If you have any questions about registration or completing the calculators, please contact your EPA Regional Office.</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</si>
  <si>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</si>
  <si>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6:  Emissions Summaries</t>
  </si>
  <si>
    <t>5: Emission Controls and
    Operational Restrictions</t>
  </si>
  <si>
    <t>Emission Controls and Operational Restrictions</t>
  </si>
  <si>
    <t>Once completed, the calculator’s Output-Summary Printout worksheet will provide information on your registration requirements.</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</si>
  <si>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print the Output-Summary Printout and send it to your EPA Regional Office. The contact information for your Regional Office is located on the Output-Summary Printout.</t>
    </r>
  </si>
  <si>
    <t>Enter the VOC control efficiency (percentage) of the control device. (Enter 0 if unknown)</t>
  </si>
  <si>
    <t>VOC Control Efficiency (percentage)</t>
  </si>
  <si>
    <t>Lenexa</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</si>
  <si>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</si>
  <si>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</si>
  <si>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</si>
  <si>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</si>
  <si>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r>
      <t xml:space="preserve">Owners/operators of facilities with printing operations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to be used for permitting purposes.</t>
    </r>
  </si>
  <si>
    <r>
      <t xml:space="preserve">You will need to enter information on the printing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</si>
  <si>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Printing Operations Registration Calculator</t>
  </si>
  <si>
    <t>Jonathan Dorn
Matt Hynson</t>
  </si>
  <si>
    <t>What type of printing process does your facility use?</t>
  </si>
  <si>
    <t>Printing Processes</t>
  </si>
  <si>
    <t>Web offset lithography</t>
  </si>
  <si>
    <t>Web letterpress</t>
  </si>
  <si>
    <t>Rotogravure</t>
  </si>
  <si>
    <t>Flexography</t>
  </si>
  <si>
    <t>Publication/Newspaper</t>
  </si>
  <si>
    <t>Publication</t>
  </si>
  <si>
    <t>Newspaper</t>
  </si>
  <si>
    <t>What type of fuel is used in the dryer at your facility?</t>
  </si>
  <si>
    <t>Dryer Type</t>
  </si>
  <si>
    <t>Dryer Questions</t>
  </si>
  <si>
    <t>Does the dryer at your facility use hot air or a direct flame?</t>
  </si>
  <si>
    <t>Dryer Fuels</t>
  </si>
  <si>
    <t>Printing Questions</t>
  </si>
  <si>
    <t>Hot air</t>
  </si>
  <si>
    <t>Direct flame</t>
  </si>
  <si>
    <t>Natural gas</t>
  </si>
  <si>
    <t>Web Offset lithography</t>
  </si>
  <si>
    <t>Printing</t>
  </si>
  <si>
    <t>Drying</t>
  </si>
  <si>
    <t>Engineering Assumption</t>
  </si>
  <si>
    <t>Does your facility primarily print publications or newspapers?</t>
  </si>
  <si>
    <t>Dryer Use Answer</t>
  </si>
  <si>
    <t>What is the heat input of the dryer at your facility? (in MMBtu/hr)</t>
  </si>
  <si>
    <t>Allowable Hours for Dryer Operation</t>
  </si>
  <si>
    <t>U.S. Environmental Protection Agency.  1995. AP 42, Fifth Edition, Volume I, Chapter 4.9.1 General Graphic Printing. Based on parameters for computing solvent emissions found in table 4.9.1-1. Available electronically at: http://www.epa.gov/ttnchie1/ap42/ch04/final/c4s09-1.pdf.</t>
  </si>
  <si>
    <t>On average, how much mixed ink did your facility use per hour during calendar year 2012? (in gallons)</t>
  </si>
  <si>
    <t>Water/Solvent</t>
  </si>
  <si>
    <t>Waterborne</t>
  </si>
  <si>
    <t>Solvent-borne</t>
  </si>
  <si>
    <t>Did your facility use water or solvent-borne ink for printing in calendar year 2012?</t>
  </si>
  <si>
    <t>MMscf</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</si>
  <si>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</si>
  <si>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</si>
  <si>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</si>
  <si>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</si>
  <si>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</si>
  <si>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</si>
  <si>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</si>
  <si>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</si>
  <si>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</si>
  <si>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</si>
  <si>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</si>
  <si>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</si>
  <si>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</si>
  <si>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Georgia</t>
  </si>
  <si>
    <t xml:space="preserve">11201 Renner Blvd. </t>
  </si>
  <si>
    <t xml:space="preserve">MC: AWMD/APCO </t>
  </si>
  <si>
    <t>Louisiana</t>
  </si>
  <si>
    <t>million standard cubic feet</t>
  </si>
  <si>
    <t>Allowable Ink Solvent Density</t>
  </si>
  <si>
    <t>Allowable Ink Solvent VOC Content</t>
  </si>
  <si>
    <t>Distillate Oil Allowable Sulfur Content</t>
  </si>
  <si>
    <t>Natural Gas Actual Sulfur Content</t>
  </si>
  <si>
    <t>Natural Gas Allowable Sulfur Content</t>
  </si>
  <si>
    <t>LPG Actual Sulfur Content</t>
  </si>
  <si>
    <t>LPG Allowable Sulfur Content</t>
  </si>
  <si>
    <t>Note: If your facility operated for only a portion of 2012, estimate the following information as if you had been operating for the whole year. For example, if your facility operated for only three months in 2012 and used an dryer that burns distillate oil, you should multiply the gallons of fuel combusted in those three months by four to project the gallons of fuel used for the entire 12 months.</t>
  </si>
  <si>
    <t>What is the maximum quantity of mixed ink that your facility could use in an hour? (in gallons)</t>
  </si>
  <si>
    <t>What is the average density (in lb/gal) of solvent used in mixed ink at your facility during calendar year 2012? (Enter 0 if unknown)</t>
  </si>
  <si>
    <t>Mixed Ink</t>
  </si>
  <si>
    <t>Based on density of naptha-based solvents from U.S. Environmental Protection Agency, AP-42, Fifth Edition, Volume I, Chapter 4: Evaporation Loss Sources, Section 4.9.1: General Graphic Printing, available at http://www.epa.gov/ttn/chief/ap42/ch04/final/c4s09-1.pdf.</t>
  </si>
  <si>
    <t>State List</t>
  </si>
  <si>
    <t>Select the VOC control device, such as an incinerator, used at your facility in 2012? If your facility had a solvent recovery system, select 'Carbon Adsorption.' If your facility did not have a VOC control device, select 'None.'</t>
  </si>
  <si>
    <t>Based on carbon adsorption used in publication rotogravure operations from U.S. Environmental Protection Agency, AP-42, Fifth Edition, Volume I, Chapter 4: Evaporation Loss Sources, Section 4.9.1: General Graphic Printing, available at http://www.epa.gov/ttn/chief/ap42/ch04/final/c4s09-1.pdf.</t>
  </si>
  <si>
    <t>Web Offset Lithography</t>
  </si>
  <si>
    <t>Incineration Default VOC Control Efficiencies</t>
  </si>
  <si>
    <t>U.S. Environmental Protection Agency, AP-42, Fifth Edition, Volume I, Chapter 4: Evaporation Loss Sources, Section 4.9.1: General Graphic Printing, available at http://www.epa.gov/ttn/chief/ap42/ch04/final/c4s09-1.pdf.</t>
  </si>
  <si>
    <t>Assuming 90% capture efficiency. U.S. Environmental Protection Agency, AP-42, Fifth Edition, Volume I, Chapter 4: Evaporation Loss Sources, Section 4.9.1: General Graphic Printing, available at http://www.epa.gov/ttn/chief/ap42/ch04/final/c4s09-1.pdf.</t>
  </si>
  <si>
    <t>Control</t>
  </si>
  <si>
    <t>VOC Control Multiplier</t>
  </si>
  <si>
    <t>Tracey Westfield</t>
  </si>
  <si>
    <t>Operational Restrictions and Applicable Standards in 40 CFR parts 60 and 61</t>
  </si>
  <si>
    <t>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Please note that the emissions information generated by this registration calculator is different than the emissions information needed for a permit application, thus you may not use the registration calculator emission estimates when applying for a permit (if required).</t>
  </si>
  <si>
    <t>Acme Printing Services</t>
  </si>
  <si>
    <t>Solvent density (lb/gal)</t>
  </si>
  <si>
    <t>Estimated Actual Emissions for 2012 (tons/yr):</t>
  </si>
  <si>
    <t>Estimated Actual Emissions
for 2012</t>
  </si>
  <si>
    <t>Actual Emission Factor</t>
  </si>
  <si>
    <t>Allowable Emission Factor</t>
  </si>
  <si>
    <r>
      <t>Printing operations include the application of ink onto packaging, greeting cards, books, catalogues, directories, newspapers, etc. using web offset lithography, web letterpress, rotogravure, or flexography processes. The majority of VOC emissions from printing operations occur during the process of transferring the ink and coating to a substrate. Emissions result from the evaporation of VOC contained in the inks and cleaning solutions. Combustion of fuel, such as natural gas or oil, to provide heat for dyers also produces VOC emissions as well as emissions of CO, NO</t>
    </r>
    <r>
      <rPr>
        <vertAlign val="subscript"/>
        <sz val="10"/>
        <rFont val="Arial"/>
        <family val="2"/>
      </rPr>
      <t>x</t>
    </r>
    <r>
      <rPr>
        <sz val="10"/>
        <rFont val="Arial"/>
        <family val="2"/>
      </rPr>
      <t>, SO</t>
    </r>
    <r>
      <rPr>
        <vertAlign val="subscript"/>
        <sz val="10"/>
        <rFont val="Arial"/>
        <family val="2"/>
      </rPr>
      <t>2</t>
    </r>
    <r>
      <rPr>
        <sz val="10"/>
        <rFont val="Arial"/>
        <family val="2"/>
      </rPr>
      <t xml:space="preserve"> PM</t>
    </r>
    <r>
      <rPr>
        <vertAlign val="subscript"/>
        <sz val="10"/>
        <rFont val="Arial"/>
        <family val="2"/>
      </rPr>
      <t>10</t>
    </r>
    <r>
      <rPr>
        <sz val="10"/>
        <rFont val="Arial"/>
        <family val="2"/>
      </rPr>
      <t xml:space="preserve"> and PM</t>
    </r>
    <r>
      <rPr>
        <vertAlign val="subscript"/>
        <sz val="10"/>
        <rFont val="Arial"/>
        <family val="2"/>
      </rPr>
      <t>2.5</t>
    </r>
    <r>
      <rPr>
        <sz val="10"/>
        <rFont val="Arial"/>
        <family val="2"/>
      </rPr>
      <t>.</t>
    </r>
  </si>
  <si>
    <t>Raw ink that has been solvent diluted and sometimes mixed with related coatings, referred to as extenders or varnishes.</t>
  </si>
  <si>
    <t>On average, how many hours a week did your facility operate in calendar year 2012?</t>
  </si>
  <si>
    <t>Did your facility use a dryer in calendar year 2012?</t>
  </si>
  <si>
    <t>wt%</t>
  </si>
  <si>
    <t>weight percentage</t>
  </si>
  <si>
    <t>Sulfur content of distillate oil (wt%)</t>
  </si>
  <si>
    <t>What is the sulfur content (wt%) of the distillate oil combusted in the boiler in calendar year 2012?  (Enter 0 if unknown)</t>
  </si>
  <si>
    <r>
      <t xml:space="preserve">Note: 40 CFR Part 60, Subpart QQ sets a VOC emission limit for publication rotogravure printing of 16 percent of the total mass of VOC solvent and water used at a facility during any one performance averaging period. If the VOC limit applies to your printing process, please enter an estimate of the pounds of VOC emitted at your facility in 2012. This can be calculated by multiplying the total pounds of VOC solvent and water used at your facility during any one performance averaging period in 2012 by 0.16 and extrapolating the averaging period to an annual period by multiplying by 12 (e.g., total pounds of VOC solvent and water used during the performance averaging period </t>
    </r>
    <r>
      <rPr>
        <sz val="10"/>
        <rFont val="Calibri"/>
        <family val="2"/>
      </rPr>
      <t>×</t>
    </r>
    <r>
      <rPr>
        <sz val="10"/>
        <rFont val="Arial"/>
        <family val="2"/>
      </rPr>
      <t xml:space="preserve"> 0.16 </t>
    </r>
    <r>
      <rPr>
        <sz val="10"/>
        <rFont val="Calibri"/>
        <family val="2"/>
      </rPr>
      <t>×</t>
    </r>
    <r>
      <rPr>
        <sz val="10"/>
        <rFont val="Arial"/>
        <family val="2"/>
      </rPr>
      <t xml:space="preserve"> 12). If you are unsure whether this limit applies to your facility, enter 0.</t>
    </r>
  </si>
  <si>
    <t>Enter the VOC emission estimate for publication rotogravure printing operations at your facility in calendar year 2012 (pounds)</t>
  </si>
  <si>
    <r>
      <t xml:space="preserve">On the </t>
    </r>
    <r>
      <rPr>
        <b/>
        <i/>
        <sz val="10"/>
        <rFont val="Arial"/>
        <family val="2"/>
      </rPr>
      <t>Inputs</t>
    </r>
    <r>
      <rPr>
        <sz val="10"/>
        <rFont val="Arial"/>
        <family val="2"/>
      </rPr>
      <t xml:space="preserve"> worksheet, enter the average number of hours that your facility operated per week in calendar year 2012. Under "Printing Questions", select whether your facility uses waterborne or solvent-borne ink. Select the type of printing process used at your facility, as well as whether your facility primarily prints newspapers or publications. Enter an estimate of the average amount of mixed ink used at your facility in an hour and an estimate of the maximum amount of mixed ink that your facility could use in an hour. Enter an estimate of the density of solvent used in mixed ink at your facility. If unknown, enter 0 and a default density will be used. Under the "Dryer Questions" section of the </t>
    </r>
    <r>
      <rPr>
        <b/>
        <i/>
        <sz val="10"/>
        <rFont val="Arial"/>
        <family val="2"/>
      </rPr>
      <t>Inputs</t>
    </r>
    <r>
      <rPr>
        <sz val="10"/>
        <rFont val="Arial"/>
        <family val="2"/>
      </rPr>
      <t xml:space="preserve"> worksheet, select whether your facility uses a dryer. If your facility does not use a dryer, you may skip to the </t>
    </r>
    <r>
      <rPr>
        <b/>
        <i/>
        <sz val="10"/>
        <rFont val="Arial"/>
        <family val="2"/>
      </rPr>
      <t xml:space="preserve">Controls and Restrictions </t>
    </r>
    <r>
      <rPr>
        <sz val="10"/>
        <rFont val="Arial"/>
        <family val="2"/>
      </rPr>
      <t xml:space="preserve">worksheet. If your facility uses a dryer, indicate whether the dryer uses hot air or a direct flame, and enter the heat input of the dryer in MMBtu/hr. Select the type of fuel used in the dryer and enter an estimate of the amount of fuel used in the dryer during calendar year 2012. This fuel use estimate should be in the same units as those provided in the question (e.g., cell B55 on the </t>
    </r>
    <r>
      <rPr>
        <b/>
        <i/>
        <sz val="10"/>
        <rFont val="Arial"/>
        <family val="2"/>
      </rPr>
      <t>Inputs</t>
    </r>
    <r>
      <rPr>
        <sz val="10"/>
        <rFont val="Arial"/>
        <family val="2"/>
      </rPr>
      <t xml:space="preserve"> worksheet). The unit of 1000 gal is equal to 1,000 gallons. For example, if the dryer at your facility used 2,000 gallons of fuel during calendar year 2012, you would enter 2. Finally, enter the sulfur content of the fuel used in your dryer (%wt), if applicable. If unknown, enter 0 and a default sulfur content will be used.</t>
    </r>
  </si>
  <si>
    <r>
      <t xml:space="preserve">On the </t>
    </r>
    <r>
      <rPr>
        <b/>
        <i/>
        <sz val="10"/>
        <rFont val="Arial"/>
        <family val="2"/>
      </rPr>
      <t>Controls and Restrictions</t>
    </r>
    <r>
      <rPr>
        <sz val="10"/>
        <rFont val="Arial"/>
        <family val="2"/>
      </rPr>
      <t xml:space="preserve"> worksheet, select the VOC control device used at your facility in calendar year 2012. If you facility did not have a VOC control, select 'None."  Enter the control efficiency of the VOC device. If unknown, enter 0 and a default control efficiency will be used. If the VOC emission limit in 40 CFR Part 60, Subpart QQ applies, enter an estimate of the pounds of VOC emitted at your facility in 2012. Please note that Subpart QQ only applies to certain publication rotogravure printing operations.</t>
    </r>
  </si>
  <si>
    <t>Engineering judgment.</t>
  </si>
  <si>
    <t>The completed and submitted Output-Summary Printout worksheet is the Tribal NSR Program’s registration for your true minor source.  Your EPA Regional Office will notify you if any further action is required.</t>
  </si>
  <si>
    <t>Added 'Tribal' on registration FAQs, corrected density formula in allowable VOC calculation, added workbook protection</t>
  </si>
  <si>
    <t>Jonathan Dorn</t>
  </si>
  <si>
    <t>2/21/2013</t>
  </si>
  <si>
    <t>Updated region 6 telephone number.</t>
  </si>
  <si>
    <t>2/26/2013</t>
  </si>
  <si>
    <t>Updated data validations and conditional formatting to be compatible with Excel 2007.</t>
  </si>
  <si>
    <t>v1.3 (last updated 2013.02.26)</t>
  </si>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</sst>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00"/>
    <numFmt numFmtId="168" formatCode="m/d/yyyy;@"/>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sz val="11"/>
      <color theme="1"/>
      <name val="Calibri"/>
      <family val="2"/>
      <scheme val="minor"/>
    </font>
    <font>
      <u/>
      <sz val="11"/>
      <color theme="10"/>
      <name val="Calibri"/>
      <family val="2"/>
      <scheme val="minor"/>
    </font>
    <font>
      <sz val="10"/>
      <color indexed="8"/>
      <name val="Arial"/>
      <family val="2"/>
    </font>
    <font>
      <sz val="10"/>
      <color theme="1"/>
      <name val="Arial"/>
      <family val="2"/>
    </font>
    <font>
      <sz val="10"/>
      <color rgb="FFCC6600"/>
      <name val="Arial"/>
      <family val="2"/>
    </font>
    <font>
      <b/>
      <sz val="11"/>
      <color rgb="FFFF0000"/>
      <name val="Arial"/>
      <family val="2"/>
    </font>
    <font>
      <b/>
      <sz val="11"/>
      <name val="Arial"/>
      <family val="2"/>
    </font>
    <font>
      <b/>
      <sz val="12"/>
      <name val="Arial"/>
      <family val="2"/>
    </font>
    <font>
      <b/>
      <sz val="10"/>
      <color rgb="FFFF0000"/>
      <name val="Arial"/>
      <family val="2"/>
    </font>
    <font>
      <b/>
      <sz val="10"/>
      <color rgb="FFCC6600"/>
      <name val="Arial"/>
      <family val="2"/>
    </font>
    <font>
      <sz val="11"/>
      <name val="Arial"/>
      <family val="2"/>
    </font>
    <font>
      <sz val="10"/>
      <name val="Calibri"/>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24994659260841701"/>
        <bgColor indexed="64"/>
      </patternFill>
    </fill>
  </fills>
  <borders count="71">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9">
    <xf numFmtId="2" fontId="0" fillId="0" borderId="0"/>
    <xf numFmtId="2" fontId="17" fillId="0" borderId="0" applyNumberFormat="0" applyFill="0" applyBorder="0" applyAlignment="0" applyProtection="0"/>
    <xf numFmtId="2" fontId="5" fillId="0" borderId="0"/>
    <xf numFmtId="0" fontId="3" fillId="0" borderId="0"/>
    <xf numFmtId="0" fontId="17" fillId="0" borderId="0" applyNumberFormat="0" applyFill="0" applyBorder="0" applyAlignment="0" applyProtection="0">
      <alignment vertical="top"/>
      <protection locked="0"/>
    </xf>
    <xf numFmtId="0" fontId="24" fillId="0" borderId="0"/>
    <xf numFmtId="0" fontId="5" fillId="0" borderId="0"/>
    <xf numFmtId="0" fontId="25" fillId="0" borderId="0"/>
    <xf numFmtId="9" fontId="5" fillId="0" borderId="0" applyFont="0" applyFill="0" applyBorder="0" applyAlignment="0" applyProtection="0"/>
  </cellStyleXfs>
  <cellXfs count="383">
    <xf numFmtId="2" fontId="0" fillId="0" borderId="0" xfId="0"/>
    <xf numFmtId="2" fontId="14" fillId="0" borderId="0" xfId="0" applyFont="1"/>
    <xf numFmtId="2" fontId="5" fillId="0" borderId="0" xfId="0" applyFont="1"/>
    <xf numFmtId="2" fontId="6"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5" fillId="0" borderId="6" xfId="0" applyFont="1" applyBorder="1" applyAlignment="1">
      <alignment horizontal="center" vertical="center"/>
    </xf>
    <xf numFmtId="1" fontId="5"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5" fillId="0" borderId="6" xfId="0" applyNumberFormat="1" applyFont="1" applyBorder="1" applyAlignment="1">
      <alignment horizontal="center" vertical="center"/>
    </xf>
    <xf numFmtId="2" fontId="4" fillId="4" borderId="6" xfId="0" applyFont="1" applyFill="1" applyBorder="1" applyAlignment="1">
      <alignment horizontal="center"/>
    </xf>
    <xf numFmtId="2" fontId="5" fillId="0" borderId="6" xfId="0" applyFont="1" applyBorder="1" applyAlignment="1">
      <alignment horizontal="center"/>
    </xf>
    <xf numFmtId="2" fontId="5" fillId="0" borderId="12" xfId="0" applyFont="1" applyBorder="1"/>
    <xf numFmtId="164" fontId="6" fillId="4" borderId="6" xfId="0" applyNumberFormat="1" applyFont="1" applyFill="1" applyBorder="1" applyAlignment="1">
      <alignment horizontal="center"/>
    </xf>
    <xf numFmtId="164" fontId="0" fillId="0" borderId="0" xfId="0" applyNumberFormat="1" applyAlignment="1">
      <alignment horizontal="center"/>
    </xf>
    <xf numFmtId="1" fontId="4" fillId="4" borderId="31" xfId="0" applyNumberFormat="1" applyFont="1" applyFill="1" applyBorder="1" applyAlignment="1">
      <alignment horizontal="center" vertical="center"/>
    </xf>
    <xf numFmtId="1" fontId="4" fillId="4" borderId="32" xfId="0" applyNumberFormat="1" applyFont="1" applyFill="1" applyBorder="1" applyAlignment="1">
      <alignment horizontal="center" vertical="center"/>
    </xf>
    <xf numFmtId="165" fontId="4" fillId="4" borderId="32" xfId="0" applyNumberFormat="1" applyFont="1" applyFill="1" applyBorder="1" applyAlignment="1">
      <alignment horizontal="center" vertical="center"/>
    </xf>
    <xf numFmtId="1" fontId="5" fillId="0" borderId="8" xfId="0" applyNumberFormat="1" applyFont="1" applyBorder="1" applyAlignment="1">
      <alignment horizontal="left" vertical="center"/>
    </xf>
    <xf numFmtId="1" fontId="4" fillId="4" borderId="33" xfId="0" applyNumberFormat="1" applyFont="1" applyFill="1" applyBorder="1" applyAlignment="1">
      <alignment horizontal="left" vertical="center"/>
    </xf>
    <xf numFmtId="2" fontId="14" fillId="0" borderId="0" xfId="0" applyFont="1" applyProtection="1"/>
    <xf numFmtId="2" fontId="5" fillId="0" borderId="0" xfId="0" applyFont="1" applyBorder="1" applyProtection="1"/>
    <xf numFmtId="2" fontId="0" fillId="0" borderId="0" xfId="0" applyProtection="1"/>
    <xf numFmtId="2" fontId="0" fillId="0" borderId="0" xfId="0" applyBorder="1" applyProtection="1"/>
    <xf numFmtId="2" fontId="0" fillId="0" borderId="29" xfId="0" applyBorder="1" applyProtection="1"/>
    <xf numFmtId="2" fontId="0" fillId="0" borderId="15" xfId="0" applyBorder="1" applyProtection="1"/>
    <xf numFmtId="2" fontId="0" fillId="0" borderId="27" xfId="0" applyBorder="1" applyProtection="1"/>
    <xf numFmtId="2" fontId="4"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5" fillId="0" borderId="36" xfId="0" applyFont="1" applyFill="1" applyBorder="1" applyAlignment="1" applyProtection="1">
      <alignment horizontal="center"/>
    </xf>
    <xf numFmtId="2" fontId="0" fillId="0" borderId="3" xfId="0" applyBorder="1" applyAlignment="1" applyProtection="1">
      <alignment horizontal="left" indent="1"/>
    </xf>
    <xf numFmtId="2" fontId="0" fillId="0" borderId="34" xfId="0" applyBorder="1" applyProtection="1"/>
    <xf numFmtId="2" fontId="4" fillId="0" borderId="3" xfId="0" applyFont="1" applyBorder="1" applyAlignment="1" applyProtection="1">
      <alignment horizontal="center"/>
    </xf>
    <xf numFmtId="2" fontId="4"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8" xfId="0" applyBorder="1" applyProtection="1"/>
    <xf numFmtId="2" fontId="4" fillId="0" borderId="35" xfId="0" applyFont="1" applyBorder="1" applyAlignment="1" applyProtection="1">
      <alignment horizontal="center"/>
    </xf>
    <xf numFmtId="2" fontId="16" fillId="0" borderId="8" xfId="0" applyFont="1" applyBorder="1" applyProtection="1">
      <protection locked="0"/>
    </xf>
    <xf numFmtId="2" fontId="16" fillId="0" borderId="9" xfId="0" applyFont="1" applyBorder="1" applyProtection="1">
      <protection locked="0"/>
    </xf>
    <xf numFmtId="2" fontId="5" fillId="4" borderId="6" xfId="0" applyFont="1" applyFill="1" applyBorder="1" applyProtection="1"/>
    <xf numFmtId="2" fontId="16" fillId="0" borderId="18" xfId="0" applyFont="1" applyBorder="1" applyProtection="1">
      <protection locked="0"/>
    </xf>
    <xf numFmtId="164" fontId="0" fillId="0" borderId="6" xfId="0" applyNumberFormat="1" applyBorder="1" applyAlignment="1">
      <alignment horizontal="center" vertical="center"/>
    </xf>
    <xf numFmtId="2" fontId="5" fillId="0" borderId="6" xfId="0" applyFont="1" applyBorder="1" applyAlignment="1">
      <alignment vertical="center" wrapText="1"/>
    </xf>
    <xf numFmtId="164" fontId="5" fillId="0" borderId="6" xfId="0" applyNumberFormat="1" applyFont="1" applyBorder="1" applyAlignment="1" applyProtection="1">
      <alignment horizontal="center" vertical="center"/>
      <protection locked="0"/>
    </xf>
    <xf numFmtId="2" fontId="5"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5" fillId="0" borderId="0" xfId="0" applyFont="1" applyProtection="1"/>
    <xf numFmtId="2" fontId="0" fillId="0" borderId="0" xfId="0" applyAlignment="1" applyProtection="1">
      <alignment horizontal="center" vertical="center"/>
    </xf>
    <xf numFmtId="2" fontId="4" fillId="0" borderId="30" xfId="0" applyNumberFormat="1" applyFont="1" applyBorder="1" applyAlignment="1" applyProtection="1">
      <alignment horizontal="left" indent="1"/>
    </xf>
    <xf numFmtId="2" fontId="0" fillId="0" borderId="30" xfId="0" applyNumberFormat="1" applyBorder="1" applyAlignment="1" applyProtection="1">
      <alignment horizontal="left" indent="1"/>
    </xf>
    <xf numFmtId="2" fontId="0" fillId="0" borderId="41" xfId="0" applyBorder="1" applyAlignment="1" applyProtection="1">
      <alignment horizontal="left" indent="1"/>
    </xf>
    <xf numFmtId="2" fontId="4" fillId="0" borderId="0" xfId="0" applyFont="1" applyBorder="1" applyAlignment="1" applyProtection="1">
      <alignment horizontal="center" wrapText="1"/>
    </xf>
    <xf numFmtId="2" fontId="5" fillId="0" borderId="0" xfId="0" applyFont="1" applyAlignment="1">
      <alignment horizontal="center"/>
    </xf>
    <xf numFmtId="166" fontId="7" fillId="0" borderId="4" xfId="0" applyNumberFormat="1" applyFont="1" applyBorder="1" applyAlignment="1" applyProtection="1">
      <alignment horizontal="right" indent="3"/>
    </xf>
    <xf numFmtId="2" fontId="14" fillId="0" borderId="0" xfId="0" applyFont="1" applyAlignment="1">
      <alignment horizontal="center"/>
    </xf>
    <xf numFmtId="2" fontId="4" fillId="4" borderId="29" xfId="0" applyFont="1" applyFill="1" applyBorder="1"/>
    <xf numFmtId="2" fontId="4" fillId="4" borderId="15" xfId="0" applyFont="1" applyFill="1" applyBorder="1" applyAlignment="1">
      <alignment horizontal="center"/>
    </xf>
    <xf numFmtId="2" fontId="4" fillId="4" borderId="27" xfId="0" applyFont="1" applyFill="1" applyBorder="1"/>
    <xf numFmtId="2" fontId="5" fillId="0" borderId="6" xfId="0" applyFont="1" applyBorder="1"/>
    <xf numFmtId="2" fontId="5"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5" fillId="0" borderId="22" xfId="0" applyFont="1" applyBorder="1" applyAlignment="1" applyProtection="1">
      <alignment horizontal="left" indent="2"/>
    </xf>
    <xf numFmtId="2" fontId="0" fillId="0" borderId="22" xfId="0" applyBorder="1" applyAlignment="1" applyProtection="1">
      <alignment horizontal="left" indent="2"/>
    </xf>
    <xf numFmtId="2" fontId="5" fillId="0" borderId="0" xfId="0" applyFont="1" applyFill="1" applyBorder="1" applyAlignment="1" applyProtection="1">
      <alignment wrapText="1"/>
    </xf>
    <xf numFmtId="2" fontId="0" fillId="0" borderId="29" xfId="0" applyNumberFormat="1" applyBorder="1" applyAlignment="1" applyProtection="1">
      <alignment horizontal="left" indent="1"/>
    </xf>
    <xf numFmtId="2" fontId="0" fillId="0" borderId="39" xfId="0" applyNumberFormat="1" applyBorder="1" applyAlignment="1" applyProtection="1">
      <alignment horizontal="left" indent="1"/>
    </xf>
    <xf numFmtId="2" fontId="0" fillId="0" borderId="15" xfId="0" applyNumberFormat="1" applyBorder="1" applyProtection="1"/>
    <xf numFmtId="2" fontId="0" fillId="0" borderId="42" xfId="0" applyBorder="1" applyProtection="1"/>
    <xf numFmtId="2" fontId="0" fillId="0" borderId="30" xfId="0" applyBorder="1" applyAlignment="1" applyProtection="1">
      <alignment horizontal="left" indent="1"/>
    </xf>
    <xf numFmtId="2" fontId="5" fillId="0" borderId="30" xfId="0" applyNumberFormat="1" applyFont="1" applyBorder="1" applyAlignment="1" applyProtection="1">
      <alignment horizontal="left" indent="1"/>
    </xf>
    <xf numFmtId="2" fontId="4" fillId="0" borderId="30" xfId="0" applyFont="1" applyBorder="1" applyAlignment="1" applyProtection="1">
      <alignment horizontal="left" indent="1"/>
    </xf>
    <xf numFmtId="2" fontId="4" fillId="0" borderId="17" xfId="0" applyFont="1" applyBorder="1" applyAlignment="1" applyProtection="1">
      <alignment horizontal="center"/>
    </xf>
    <xf numFmtId="165" fontId="0" fillId="0" borderId="0" xfId="0" applyNumberFormat="1" applyBorder="1" applyAlignment="1">
      <alignment horizontal="center"/>
    </xf>
    <xf numFmtId="2" fontId="0" fillId="0" borderId="6" xfId="0" applyBorder="1"/>
    <xf numFmtId="2" fontId="5" fillId="0" borderId="8" xfId="0" applyFont="1" applyBorder="1"/>
    <xf numFmtId="2" fontId="4" fillId="4" borderId="12" xfId="0" applyFont="1" applyFill="1" applyBorder="1"/>
    <xf numFmtId="2" fontId="4" fillId="4" borderId="6" xfId="0" applyFont="1" applyFill="1" applyBorder="1"/>
    <xf numFmtId="2" fontId="4" fillId="4" borderId="8" xfId="0" applyFont="1" applyFill="1" applyBorder="1"/>
    <xf numFmtId="2" fontId="4" fillId="4" borderId="8" xfId="0" applyFont="1" applyFill="1" applyBorder="1" applyAlignment="1">
      <alignment horizontal="center"/>
    </xf>
    <xf numFmtId="2" fontId="4" fillId="0" borderId="0" xfId="0" applyFont="1" applyFill="1" applyBorder="1"/>
    <xf numFmtId="2" fontId="5" fillId="0" borderId="8" xfId="0" applyFont="1" applyBorder="1" applyAlignment="1">
      <alignment horizontal="center"/>
    </xf>
    <xf numFmtId="2" fontId="5" fillId="0" borderId="6" xfId="0" applyFont="1" applyFill="1" applyBorder="1"/>
    <xf numFmtId="3" fontId="0" fillId="0" borderId="6" xfId="0" applyNumberFormat="1" applyBorder="1" applyAlignment="1">
      <alignment horizontal="center"/>
    </xf>
    <xf numFmtId="2" fontId="5" fillId="0" borderId="12" xfId="0" applyFont="1" applyBorder="1" applyAlignment="1" applyProtection="1">
      <alignment vertical="center" wrapText="1"/>
    </xf>
    <xf numFmtId="2" fontId="5" fillId="0" borderId="14" xfId="0" applyFont="1" applyBorder="1" applyAlignment="1" applyProtection="1">
      <alignment vertical="center" wrapText="1"/>
    </xf>
    <xf numFmtId="2" fontId="4" fillId="4" borderId="11" xfId="0" applyFont="1" applyFill="1" applyBorder="1" applyProtection="1"/>
    <xf numFmtId="2" fontId="4" fillId="4" borderId="10" xfId="0" applyFont="1" applyFill="1" applyBorder="1" applyProtection="1"/>
    <xf numFmtId="2" fontId="11" fillId="0" borderId="0" xfId="0" applyFont="1" applyProtection="1"/>
    <xf numFmtId="2" fontId="8" fillId="0" borderId="0" xfId="0" applyFont="1" applyProtection="1"/>
    <xf numFmtId="2" fontId="0" fillId="0" borderId="15" xfId="0" applyBorder="1" applyAlignment="1" applyProtection="1"/>
    <xf numFmtId="2" fontId="0" fillId="0" borderId="0" xfId="0" applyBorder="1" applyAlignment="1" applyProtection="1"/>
    <xf numFmtId="2" fontId="4" fillId="4" borderId="29" xfId="0" applyFont="1" applyFill="1" applyBorder="1" applyAlignment="1" applyProtection="1"/>
    <xf numFmtId="2" fontId="6" fillId="4" borderId="15" xfId="0" applyFont="1" applyFill="1" applyBorder="1" applyAlignment="1" applyProtection="1"/>
    <xf numFmtId="2" fontId="6" fillId="4" borderId="27" xfId="0" applyFont="1" applyFill="1" applyBorder="1" applyAlignment="1" applyProtection="1"/>
    <xf numFmtId="2" fontId="5" fillId="4" borderId="19"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0" fillId="0" borderId="0" xfId="0" applyBorder="1" applyAlignment="1" applyProtection="1">
      <alignment horizontal="left" indent="2"/>
    </xf>
    <xf numFmtId="2" fontId="16" fillId="0" borderId="0" xfId="0" applyFont="1" applyBorder="1" applyProtection="1"/>
    <xf numFmtId="2" fontId="14" fillId="0" borderId="0" xfId="2" applyFont="1" applyAlignment="1"/>
    <xf numFmtId="0" fontId="3" fillId="0" borderId="0" xfId="3" applyAlignment="1">
      <alignment horizontal="center"/>
    </xf>
    <xf numFmtId="0" fontId="3" fillId="0" borderId="0" xfId="3" applyAlignment="1"/>
    <xf numFmtId="0" fontId="22" fillId="4" borderId="6" xfId="3" applyFont="1" applyFill="1" applyBorder="1" applyAlignment="1"/>
    <xf numFmtId="0" fontId="23" fillId="0" borderId="0" xfId="1" applyNumberFormat="1" applyFont="1" applyAlignment="1">
      <alignment horizontal="left" vertical="center"/>
    </xf>
    <xf numFmtId="0" fontId="23" fillId="0" borderId="0" xfId="1" applyNumberFormat="1" applyFont="1" applyAlignment="1"/>
    <xf numFmtId="0" fontId="17" fillId="0" borderId="0" xfId="1" applyNumberFormat="1" applyAlignment="1">
      <alignment horizontal="left" vertical="center"/>
    </xf>
    <xf numFmtId="2" fontId="5" fillId="0" borderId="49" xfId="2" applyBorder="1" applyAlignment="1" applyProtection="1">
      <alignment horizontal="left" indent="2"/>
    </xf>
    <xf numFmtId="2" fontId="26" fillId="0" borderId="27" xfId="2" applyFont="1" applyBorder="1" applyProtection="1"/>
    <xf numFmtId="2" fontId="5" fillId="0" borderId="12" xfId="2" applyBorder="1" applyAlignment="1" applyProtection="1">
      <alignment horizontal="left" indent="2"/>
    </xf>
    <xf numFmtId="2" fontId="26" fillId="0" borderId="8" xfId="2" applyFont="1" applyBorder="1" applyProtection="1"/>
    <xf numFmtId="2" fontId="5" fillId="0" borderId="50" xfId="2" applyBorder="1" applyAlignment="1" applyProtection="1">
      <alignment horizontal="left" indent="2"/>
    </xf>
    <xf numFmtId="2" fontId="26" fillId="0" borderId="21" xfId="2" applyFont="1" applyBorder="1" applyProtection="1"/>
    <xf numFmtId="2" fontId="5" fillId="0" borderId="50" xfId="2" applyBorder="1" applyProtection="1"/>
    <xf numFmtId="2" fontId="26" fillId="0" borderId="17" xfId="2" applyFont="1" applyBorder="1" applyProtection="1"/>
    <xf numFmtId="2" fontId="5" fillId="0" borderId="51" xfId="2" applyBorder="1" applyProtection="1"/>
    <xf numFmtId="2" fontId="26" fillId="0" borderId="28" xfId="2" applyFont="1" applyBorder="1" applyAlignment="1" applyProtection="1">
      <alignment vertical="top"/>
    </xf>
    <xf numFmtId="2" fontId="5" fillId="0" borderId="29" xfId="2" applyBorder="1" applyProtection="1"/>
    <xf numFmtId="2" fontId="29" fillId="0" borderId="15" xfId="2" applyFont="1" applyBorder="1" applyAlignment="1" applyProtection="1">
      <alignment horizontal="left" indent="3"/>
    </xf>
    <xf numFmtId="2" fontId="5" fillId="0" borderId="27" xfId="2" applyBorder="1" applyProtection="1"/>
    <xf numFmtId="2" fontId="5" fillId="0" borderId="3" xfId="2" applyBorder="1" applyProtection="1"/>
    <xf numFmtId="2" fontId="29" fillId="0" borderId="0" xfId="2" applyFont="1" applyBorder="1" applyAlignment="1" applyProtection="1">
      <alignment horizontal="left" indent="3"/>
    </xf>
    <xf numFmtId="2" fontId="5" fillId="0" borderId="17" xfId="2" applyBorder="1" applyProtection="1"/>
    <xf numFmtId="2" fontId="5" fillId="0" borderId="2" xfId="2" applyBorder="1" applyProtection="1"/>
    <xf numFmtId="2" fontId="5" fillId="0" borderId="1" xfId="2" applyBorder="1" applyProtection="1"/>
    <xf numFmtId="2" fontId="5" fillId="0" borderId="28" xfId="2" applyBorder="1" applyProtection="1"/>
    <xf numFmtId="2" fontId="5" fillId="0" borderId="31" xfId="0" applyFont="1" applyBorder="1" applyAlignment="1" applyProtection="1">
      <alignment vertical="center"/>
    </xf>
    <xf numFmtId="2" fontId="16" fillId="0" borderId="17" xfId="0" applyFont="1" applyBorder="1" applyAlignment="1" applyProtection="1">
      <alignment horizontal="center" vertical="center"/>
      <protection locked="0"/>
    </xf>
    <xf numFmtId="2" fontId="5" fillId="0" borderId="12" xfId="0" applyFont="1" applyBorder="1" applyAlignment="1" applyProtection="1">
      <alignment vertical="center"/>
    </xf>
    <xf numFmtId="2" fontId="16" fillId="0" borderId="8" xfId="0" applyFont="1" applyBorder="1" applyAlignment="1" applyProtection="1">
      <alignment horizontal="center" vertical="center"/>
    </xf>
    <xf numFmtId="2" fontId="16" fillId="0" borderId="8" xfId="0" applyFont="1" applyBorder="1" applyAlignment="1" applyProtection="1">
      <alignment horizontal="center" vertical="center"/>
      <protection locked="0"/>
    </xf>
    <xf numFmtId="2" fontId="0" fillId="0" borderId="12" xfId="0" applyBorder="1" applyAlignment="1" applyProtection="1">
      <alignment vertical="center"/>
    </xf>
    <xf numFmtId="2" fontId="0" fillId="0" borderId="8" xfId="0" applyBorder="1" applyAlignment="1" applyProtection="1">
      <alignment horizontal="center" vertical="center"/>
    </xf>
    <xf numFmtId="2" fontId="0" fillId="0" borderId="22" xfId="0" applyBorder="1" applyAlignment="1" applyProtection="1">
      <alignment vertical="center"/>
    </xf>
    <xf numFmtId="2" fontId="0" fillId="0" borderId="9" xfId="0" applyBorder="1" applyAlignment="1" applyProtection="1">
      <alignment horizontal="center" vertical="center"/>
    </xf>
    <xf numFmtId="2" fontId="4" fillId="3" borderId="6" xfId="2" applyFont="1" applyFill="1" applyBorder="1" applyProtection="1"/>
    <xf numFmtId="2" fontId="5" fillId="4" borderId="6" xfId="2" applyFont="1" applyFill="1" applyBorder="1" applyAlignment="1" applyProtection="1">
      <alignment horizontal="left"/>
    </xf>
    <xf numFmtId="2" fontId="5" fillId="0" borderId="0" xfId="2" applyProtection="1"/>
    <xf numFmtId="2" fontId="5" fillId="0" borderId="54" xfId="0" applyFont="1" applyBorder="1" applyAlignment="1" applyProtection="1">
      <alignment vertical="center" wrapText="1"/>
    </xf>
    <xf numFmtId="2" fontId="4" fillId="0" borderId="0" xfId="0" applyFont="1" applyBorder="1" applyAlignment="1" applyProtection="1">
      <alignment horizontal="left"/>
    </xf>
    <xf numFmtId="168" fontId="6" fillId="4" borderId="6" xfId="0" applyNumberFormat="1" applyFont="1" applyFill="1" applyBorder="1" applyAlignment="1">
      <alignment horizontal="center"/>
    </xf>
    <xf numFmtId="168" fontId="5" fillId="0" borderId="6" xfId="0" quotePrefix="1" applyNumberFormat="1" applyFont="1" applyBorder="1" applyAlignment="1">
      <alignment horizontal="center" vertical="center"/>
    </xf>
    <xf numFmtId="168" fontId="0" fillId="0" borderId="6" xfId="0" applyNumberFormat="1" applyBorder="1" applyAlignment="1" applyProtection="1">
      <alignment horizontal="center" vertical="center"/>
      <protection locked="0"/>
    </xf>
    <xf numFmtId="168" fontId="0" fillId="0" borderId="0" xfId="0" applyNumberFormat="1" applyAlignment="1">
      <alignment horizontal="center"/>
    </xf>
    <xf numFmtId="2" fontId="5" fillId="0" borderId="53" xfId="0" applyFont="1" applyBorder="1" applyAlignment="1" applyProtection="1">
      <alignment vertical="center"/>
    </xf>
    <xf numFmtId="2" fontId="5" fillId="0" borderId="23" xfId="0" applyFont="1" applyBorder="1" applyAlignment="1" applyProtection="1">
      <alignment horizontal="left" vertical="center"/>
    </xf>
    <xf numFmtId="2" fontId="0" fillId="0" borderId="24" xfId="0" applyBorder="1" applyAlignment="1" applyProtection="1">
      <alignment horizontal="left" vertical="center"/>
    </xf>
    <xf numFmtId="2" fontId="5" fillId="0" borderId="20" xfId="0" applyFont="1" applyBorder="1" applyAlignment="1" applyProtection="1">
      <alignment horizontal="left" vertical="center"/>
    </xf>
    <xf numFmtId="2" fontId="5" fillId="0" borderId="54" xfId="0" applyFont="1" applyBorder="1" applyAlignment="1" applyProtection="1">
      <alignment vertical="center"/>
    </xf>
    <xf numFmtId="2" fontId="5"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5" fillId="0" borderId="55" xfId="0" applyFont="1" applyBorder="1" applyAlignment="1" applyProtection="1">
      <alignment vertical="center"/>
    </xf>
    <xf numFmtId="2" fontId="28" fillId="0" borderId="15" xfId="2" applyFont="1" applyBorder="1" applyProtection="1"/>
    <xf numFmtId="2" fontId="28" fillId="0" borderId="0" xfId="2" applyFont="1" applyBorder="1" applyProtection="1"/>
    <xf numFmtId="2" fontId="32" fillId="0" borderId="15" xfId="2" applyFont="1" applyBorder="1" applyProtection="1"/>
    <xf numFmtId="2" fontId="32" fillId="0" borderId="0" xfId="2" applyFont="1" applyBorder="1" applyProtection="1"/>
    <xf numFmtId="2" fontId="5" fillId="0" borderId="6" xfId="0" applyFont="1" applyFill="1" applyBorder="1" applyAlignment="1">
      <alignment horizontal="center"/>
    </xf>
    <xf numFmtId="2" fontId="5" fillId="0" borderId="6" xfId="0" applyFont="1" applyFill="1" applyBorder="1" applyAlignment="1"/>
    <xf numFmtId="2" fontId="0" fillId="0" borderId="6" xfId="0" applyFill="1" applyBorder="1" applyAlignment="1">
      <alignment horizontal="center"/>
    </xf>
    <xf numFmtId="0" fontId="14" fillId="0" borderId="0" xfId="6" applyFont="1" applyProtection="1"/>
    <xf numFmtId="2" fontId="4" fillId="4" borderId="37" xfId="0" applyFont="1" applyFill="1" applyBorder="1" applyProtection="1"/>
    <xf numFmtId="2" fontId="4" fillId="4" borderId="59" xfId="0" applyFont="1" applyFill="1" applyBorder="1" applyAlignment="1" applyProtection="1">
      <alignment horizontal="center"/>
    </xf>
    <xf numFmtId="2" fontId="4" fillId="4" borderId="60" xfId="0" applyFont="1" applyFill="1" applyBorder="1" applyAlignment="1" applyProtection="1">
      <alignment horizontal="center"/>
    </xf>
    <xf numFmtId="2" fontId="4" fillId="4" borderId="38" xfId="0" applyFont="1" applyFill="1" applyBorder="1" applyAlignment="1" applyProtection="1">
      <alignment horizontal="center"/>
    </xf>
    <xf numFmtId="4" fontId="26" fillId="0" borderId="62" xfId="0" applyNumberFormat="1" applyFont="1" applyFill="1" applyBorder="1" applyAlignment="1" applyProtection="1">
      <alignment horizontal="right"/>
    </xf>
    <xf numFmtId="2" fontId="5" fillId="0" borderId="0" xfId="0" applyFont="1" applyFill="1" applyBorder="1" applyProtection="1"/>
    <xf numFmtId="2" fontId="7" fillId="0" borderId="0" xfId="0" applyNumberFormat="1" applyFont="1" applyFill="1" applyBorder="1" applyAlignment="1" applyProtection="1">
      <alignment horizontal="left"/>
    </xf>
    <xf numFmtId="2" fontId="26" fillId="0" borderId="12" xfId="0" applyFont="1" applyFill="1" applyBorder="1" applyAlignment="1" applyProtection="1"/>
    <xf numFmtId="2" fontId="26" fillId="0" borderId="61" xfId="0" applyFont="1" applyFill="1" applyBorder="1" applyAlignment="1" applyProtection="1"/>
    <xf numFmtId="2" fontId="31" fillId="0" borderId="37" xfId="0" applyFont="1" applyFill="1" applyBorder="1" applyAlignment="1" applyProtection="1"/>
    <xf numFmtId="4" fontId="31" fillId="0" borderId="60" xfId="0" applyNumberFormat="1" applyFont="1" applyFill="1" applyBorder="1" applyAlignment="1" applyProtection="1">
      <alignment horizontal="right"/>
    </xf>
    <xf numFmtId="4" fontId="31" fillId="0" borderId="38" xfId="0" applyNumberFormat="1" applyFont="1" applyFill="1" applyBorder="1" applyAlignment="1" applyProtection="1">
      <alignment horizontal="right"/>
    </xf>
    <xf numFmtId="4" fontId="16" fillId="0" borderId="18" xfId="0" applyNumberFormat="1" applyFont="1" applyBorder="1" applyAlignment="1" applyProtection="1">
      <alignment horizontal="center" vertical="center"/>
      <protection locked="0"/>
    </xf>
    <xf numFmtId="167" fontId="7" fillId="0" borderId="4" xfId="0" applyNumberFormat="1" applyFont="1" applyBorder="1" applyAlignment="1" applyProtection="1">
      <alignment horizontal="right" indent="6"/>
    </xf>
    <xf numFmtId="4" fontId="4" fillId="0" borderId="4" xfId="0" applyNumberFormat="1" applyFont="1" applyBorder="1" applyAlignment="1" applyProtection="1">
      <alignment horizontal="right" indent="7"/>
    </xf>
    <xf numFmtId="164" fontId="4" fillId="0" borderId="4" xfId="0" applyNumberFormat="1" applyFont="1" applyBorder="1" applyAlignment="1" applyProtection="1">
      <alignment horizontal="right" indent="7"/>
    </xf>
    <xf numFmtId="167" fontId="4" fillId="0" borderId="0" xfId="0" applyNumberFormat="1" applyFont="1" applyBorder="1" applyAlignment="1" applyProtection="1">
      <alignment horizontal="right" indent="8"/>
    </xf>
    <xf numFmtId="164" fontId="4" fillId="0" borderId="4" xfId="0" applyNumberFormat="1" applyFont="1" applyBorder="1" applyAlignment="1" applyProtection="1">
      <alignment horizontal="right" indent="8"/>
    </xf>
    <xf numFmtId="2" fontId="4" fillId="0" borderId="3" xfId="0" applyNumberFormat="1" applyFont="1" applyBorder="1" applyAlignment="1" applyProtection="1">
      <alignment horizontal="left" indent="3"/>
    </xf>
    <xf numFmtId="2" fontId="0" fillId="0" borderId="3" xfId="0" applyBorder="1" applyAlignment="1" applyProtection="1">
      <alignment horizontal="left" indent="3"/>
    </xf>
    <xf numFmtId="2" fontId="0" fillId="0" borderId="3" xfId="0" applyNumberFormat="1" applyBorder="1" applyAlignment="1" applyProtection="1">
      <alignment horizontal="left" indent="3"/>
    </xf>
    <xf numFmtId="2" fontId="5" fillId="0" borderId="3" xfId="0" applyNumberFormat="1" applyFont="1" applyBorder="1" applyAlignment="1" applyProtection="1">
      <alignment horizontal="left" indent="3"/>
    </xf>
    <xf numFmtId="2" fontId="4" fillId="0" borderId="3" xfId="0" applyFont="1" applyBorder="1" applyAlignment="1" applyProtection="1">
      <alignment horizontal="left" indent="3"/>
    </xf>
    <xf numFmtId="164" fontId="4" fillId="0" borderId="17" xfId="2" applyNumberFormat="1" applyFont="1" applyFill="1" applyBorder="1" applyAlignment="1" applyProtection="1">
      <alignment horizontal="right" indent="8"/>
    </xf>
    <xf numFmtId="164" fontId="5" fillId="0" borderId="17" xfId="2" applyNumberFormat="1" applyFont="1" applyFill="1" applyBorder="1" applyAlignment="1" applyProtection="1">
      <alignment horizontal="right" indent="8"/>
    </xf>
    <xf numFmtId="167" fontId="4" fillId="0" borderId="4" xfId="0" applyNumberFormat="1" applyFont="1" applyBorder="1" applyAlignment="1" applyProtection="1">
      <alignment horizontal="right" indent="7"/>
    </xf>
    <xf numFmtId="2" fontId="4" fillId="0" borderId="0" xfId="0" applyFont="1" applyBorder="1" applyProtection="1"/>
    <xf numFmtId="2" fontId="0" fillId="0" borderId="0" xfId="0" applyFill="1" applyBorder="1" applyAlignment="1" applyProtection="1">
      <alignment horizontal="center"/>
    </xf>
    <xf numFmtId="2" fontId="0" fillId="0" borderId="0" xfId="0" applyAlignment="1" applyProtection="1">
      <alignment horizontal="center"/>
    </xf>
    <xf numFmtId="2" fontId="0" fillId="0" borderId="0" xfId="0" applyBorder="1" applyAlignment="1" applyProtection="1">
      <alignment horizontal="center"/>
    </xf>
    <xf numFmtId="164" fontId="4"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164" fontId="4" fillId="0" borderId="0" xfId="2" applyNumberFormat="1" applyFont="1" applyFill="1" applyBorder="1" applyAlignment="1" applyProtection="1">
      <alignment horizontal="right" indent="3"/>
    </xf>
    <xf numFmtId="164" fontId="5" fillId="0" borderId="0" xfId="2" applyNumberFormat="1" applyFont="1" applyFill="1" applyBorder="1" applyAlignment="1" applyProtection="1">
      <alignment horizontal="right" indent="3"/>
    </xf>
    <xf numFmtId="2" fontId="4" fillId="0" borderId="0" xfId="0" applyFont="1" applyFill="1" applyBorder="1" applyAlignment="1" applyProtection="1">
      <alignment horizontal="right" vertical="center"/>
    </xf>
    <xf numFmtId="167" fontId="7" fillId="0" borderId="67" xfId="0" applyNumberFormat="1" applyFont="1" applyBorder="1" applyAlignment="1" applyProtection="1">
      <alignment horizontal="right" indent="3"/>
    </xf>
    <xf numFmtId="166" fontId="7" fillId="0" borderId="67" xfId="0" applyNumberFormat="1" applyFont="1" applyBorder="1" applyAlignment="1" applyProtection="1">
      <alignment horizontal="right" indent="3"/>
    </xf>
    <xf numFmtId="2" fontId="0" fillId="0" borderId="31" xfId="0" applyBorder="1" applyAlignment="1" applyProtection="1">
      <alignment horizontal="left" indent="2"/>
    </xf>
    <xf numFmtId="2" fontId="16" fillId="0" borderId="33" xfId="0" applyFont="1" applyBorder="1" applyProtection="1">
      <protection locked="0"/>
    </xf>
    <xf numFmtId="1" fontId="16" fillId="0" borderId="9" xfId="0" applyNumberFormat="1" applyFont="1" applyBorder="1" applyAlignment="1" applyProtection="1">
      <alignment horizontal="left"/>
      <protection locked="0"/>
    </xf>
    <xf numFmtId="2" fontId="5" fillId="0" borderId="22" xfId="0" applyFont="1" applyBorder="1" applyAlignment="1" applyProtection="1">
      <alignment vertical="center" wrapText="1"/>
    </xf>
    <xf numFmtId="2" fontId="5" fillId="4" borderId="6" xfId="0" applyFont="1" applyFill="1" applyBorder="1" applyAlignment="1" applyProtection="1">
      <alignment horizontal="center"/>
    </xf>
    <xf numFmtId="2" fontId="0" fillId="0" borderId="6" xfId="0" applyBorder="1" applyAlignment="1">
      <alignment horizontal="center"/>
    </xf>
    <xf numFmtId="2" fontId="5" fillId="0" borderId="52" xfId="0" applyFont="1" applyFill="1" applyBorder="1" applyAlignment="1" applyProtection="1">
      <alignment horizontal="left" vertical="center" wrapText="1"/>
    </xf>
    <xf numFmtId="2" fontId="5" fillId="0" borderId="53" xfId="0" applyFont="1" applyFill="1" applyBorder="1" applyAlignment="1" applyProtection="1">
      <alignment horizontal="left" vertical="center" wrapText="1"/>
    </xf>
    <xf numFmtId="2" fontId="5" fillId="0" borderId="54" xfId="0" applyFont="1" applyFill="1" applyBorder="1" applyAlignment="1" applyProtection="1">
      <alignment vertical="center" wrapText="1"/>
    </xf>
    <xf numFmtId="168" fontId="5" fillId="0" borderId="6" xfId="0" quotePrefix="1" applyNumberFormat="1" applyFont="1" applyBorder="1" applyAlignment="1" applyProtection="1">
      <alignment horizontal="center" vertical="center"/>
      <protection locked="0"/>
    </xf>
    <xf numFmtId="2" fontId="5" fillId="4" borderId="11" xfId="0" applyFont="1" applyFill="1" applyBorder="1" applyAlignment="1" applyProtection="1">
      <alignment horizontal="left"/>
    </xf>
    <xf numFmtId="2" fontId="5" fillId="4" borderId="10" xfId="0" applyFont="1" applyFill="1" applyBorder="1" applyAlignment="1" applyProtection="1">
      <alignment horizontal="left"/>
    </xf>
    <xf numFmtId="2" fontId="4" fillId="0" borderId="0" xfId="0" applyFont="1" applyAlignment="1" applyProtection="1">
      <alignment vertical="center" wrapText="1"/>
    </xf>
    <xf numFmtId="2" fontId="5" fillId="0" borderId="0" xfId="0" applyFont="1" applyAlignment="1" applyProtection="1">
      <alignment vertical="center" wrapText="1"/>
    </xf>
    <xf numFmtId="2" fontId="5" fillId="0" borderId="0" xfId="0" quotePrefix="1" applyFont="1" applyAlignment="1" applyProtection="1">
      <alignment horizontal="right" vertical="top"/>
    </xf>
    <xf numFmtId="2" fontId="5" fillId="0" borderId="0" xfId="0" applyFont="1" applyAlignment="1" applyProtection="1">
      <alignment horizontal="left" vertical="center" wrapText="1" indent="1"/>
    </xf>
    <xf numFmtId="2" fontId="17" fillId="0" borderId="0" xfId="1" applyFont="1" applyAlignment="1" applyProtection="1">
      <alignment vertical="center" wrapText="1"/>
    </xf>
    <xf numFmtId="2" fontId="5" fillId="0" borderId="0" xfId="0" applyFont="1" applyAlignment="1" applyProtection="1">
      <alignment horizontal="left" vertical="top" wrapText="1" indent="1"/>
    </xf>
    <xf numFmtId="2" fontId="5" fillId="0" borderId="0" xfId="0" applyFont="1" applyAlignment="1" applyProtection="1">
      <alignment wrapText="1"/>
    </xf>
    <xf numFmtId="2" fontId="26" fillId="0" borderId="6" xfId="0" applyFont="1" applyBorder="1" applyProtection="1"/>
    <xf numFmtId="2" fontId="26" fillId="0" borderId="8" xfId="0" applyFont="1" applyBorder="1" applyProtection="1"/>
    <xf numFmtId="168" fontId="0" fillId="0" borderId="6" xfId="0" quotePrefix="1" applyNumberFormat="1" applyBorder="1" applyAlignment="1" applyProtection="1">
      <alignment horizontal="center" vertical="center"/>
      <protection locked="0"/>
    </xf>
    <xf numFmtId="2" fontId="4" fillId="3" borderId="6" xfId="0" applyFont="1" applyFill="1" applyBorder="1" applyAlignment="1" applyProtection="1">
      <alignment horizontal="center"/>
    </xf>
    <xf numFmtId="2" fontId="26" fillId="0" borderId="9" xfId="0" applyFont="1" applyBorder="1" applyAlignment="1" applyProtection="1">
      <alignment horizontal="center" vertical="center"/>
    </xf>
    <xf numFmtId="2" fontId="5" fillId="0" borderId="0" xfId="0" applyFont="1" applyAlignment="1" applyProtection="1">
      <alignment horizontal="left" vertical="center" wrapText="1"/>
    </xf>
    <xf numFmtId="0" fontId="22" fillId="4" borderId="6" xfId="3" applyFont="1" applyFill="1" applyBorder="1" applyAlignment="1">
      <alignment horizontal="center"/>
    </xf>
    <xf numFmtId="2" fontId="5" fillId="0" borderId="6" xfId="0" applyFont="1" applyBorder="1" applyAlignment="1">
      <alignment horizontal="center" vertical="center" wrapText="1"/>
    </xf>
    <xf numFmtId="2" fontId="4" fillId="3" borderId="6" xfId="0" applyFont="1" applyFill="1" applyBorder="1" applyProtection="1"/>
    <xf numFmtId="1" fontId="5" fillId="0" borderId="16"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 fontId="5" fillId="0" borderId="18" xfId="0" applyNumberFormat="1" applyFont="1" applyFill="1" applyBorder="1" applyAlignment="1">
      <alignment horizontal="left" vertical="center"/>
    </xf>
    <xf numFmtId="1" fontId="5" fillId="0" borderId="6" xfId="0" applyNumberFormat="1" applyFont="1" applyBorder="1" applyAlignment="1">
      <alignment horizontal="left" vertical="center"/>
    </xf>
    <xf numFmtId="165" fontId="0" fillId="0" borderId="6" xfId="0" applyNumberFormat="1" applyBorder="1" applyAlignment="1">
      <alignment horizontal="center"/>
    </xf>
    <xf numFmtId="1" fontId="5" fillId="0" borderId="14" xfId="0" applyNumberFormat="1" applyFont="1" applyFill="1" applyBorder="1" applyAlignment="1">
      <alignment horizontal="left" vertical="center"/>
    </xf>
    <xf numFmtId="2" fontId="17" fillId="0" borderId="0" xfId="1" applyProtection="1"/>
    <xf numFmtId="0" fontId="2" fillId="0" borderId="0" xfId="3" applyFont="1" applyAlignment="1">
      <alignment horizontal="left" vertical="center"/>
    </xf>
    <xf numFmtId="0" fontId="2" fillId="0" borderId="0" xfId="3" applyFont="1" applyAlignment="1"/>
    <xf numFmtId="0" fontId="2" fillId="0" borderId="0" xfId="3" applyFont="1" applyAlignment="1">
      <alignment horizontal="center"/>
    </xf>
    <xf numFmtId="2" fontId="5" fillId="0" borderId="12" xfId="0" applyFont="1" applyFill="1" applyBorder="1" applyAlignment="1" applyProtection="1">
      <alignment vertical="center" wrapText="1"/>
    </xf>
    <xf numFmtId="2" fontId="5" fillId="0" borderId="12" xfId="0" quotePrefix="1" applyFont="1" applyFill="1" applyBorder="1" applyAlignment="1" applyProtection="1">
      <alignment vertical="center" wrapText="1"/>
    </xf>
    <xf numFmtId="2" fontId="5" fillId="0" borderId="22" xfId="0" applyFont="1" applyFill="1" applyBorder="1" applyAlignment="1" applyProtection="1">
      <alignment vertical="center" wrapText="1"/>
    </xf>
    <xf numFmtId="2" fontId="5" fillId="0" borderId="13" xfId="0" applyFont="1" applyFill="1" applyBorder="1" applyAlignment="1" applyProtection="1">
      <alignment horizontal="left" vertical="center" wrapText="1"/>
    </xf>
    <xf numFmtId="2" fontId="0" fillId="4" borderId="6" xfId="0" applyFill="1" applyBorder="1" applyProtection="1"/>
    <xf numFmtId="2" fontId="5" fillId="0" borderId="6" xfId="0" applyFont="1" applyFill="1" applyBorder="1" applyProtection="1"/>
    <xf numFmtId="2" fontId="5" fillId="4" borderId="6" xfId="0" applyFont="1" applyFill="1" applyBorder="1" applyAlignment="1" applyProtection="1">
      <alignment horizontal="left" indent="2"/>
    </xf>
    <xf numFmtId="165" fontId="5" fillId="4" borderId="6" xfId="0" applyNumberFormat="1" applyFont="1" applyFill="1" applyBorder="1" applyAlignment="1" applyProtection="1">
      <alignment horizontal="center"/>
    </xf>
    <xf numFmtId="2" fontId="4" fillId="0" borderId="0" xfId="0" applyFont="1" applyFill="1" applyBorder="1" applyAlignment="1" applyProtection="1">
      <alignment horizontal="left"/>
    </xf>
    <xf numFmtId="2" fontId="0" fillId="0" borderId="0" xfId="0" applyFill="1" applyBorder="1" applyAlignment="1" applyProtection="1">
      <alignment vertical="center" wrapText="1"/>
    </xf>
    <xf numFmtId="2" fontId="15" fillId="0" borderId="0" xfId="0" applyFont="1" applyAlignment="1" applyProtection="1">
      <alignment horizontal="left" vertical="top"/>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4" fillId="0" borderId="4" xfId="0" applyFont="1" applyBorder="1" applyAlignment="1" applyProtection="1">
      <alignment horizontal="center"/>
    </xf>
    <xf numFmtId="2" fontId="26" fillId="0" borderId="8" xfId="0" applyFont="1" applyBorder="1" applyAlignment="1" applyProtection="1">
      <alignment horizontal="center" vertical="center"/>
    </xf>
    <xf numFmtId="2" fontId="26" fillId="0" borderId="14" xfId="0" applyFont="1" applyFill="1" applyBorder="1" applyAlignment="1" applyProtection="1"/>
    <xf numFmtId="2" fontId="26" fillId="0" borderId="16" xfId="0" applyFont="1" applyBorder="1" applyProtection="1"/>
    <xf numFmtId="2" fontId="26" fillId="0" borderId="18" xfId="0" applyFont="1" applyBorder="1" applyProtection="1"/>
    <xf numFmtId="2" fontId="5" fillId="0" borderId="22" xfId="0" applyFont="1" applyFill="1" applyBorder="1" applyAlignment="1" applyProtection="1">
      <alignment wrapText="1"/>
    </xf>
    <xf numFmtId="0" fontId="16" fillId="0" borderId="8" xfId="0" applyNumberFormat="1" applyFont="1" applyBorder="1" applyProtection="1">
      <protection locked="0"/>
    </xf>
    <xf numFmtId="2" fontId="16" fillId="0" borderId="8" xfId="0" applyFont="1" applyFill="1" applyBorder="1" applyAlignment="1" applyProtection="1">
      <alignment horizontal="center" vertical="center"/>
      <protection locked="0"/>
    </xf>
    <xf numFmtId="2" fontId="16" fillId="0" borderId="8" xfId="0" applyFont="1" applyFill="1" applyBorder="1" applyAlignment="1" applyProtection="1">
      <alignment horizontal="center" vertical="center" wrapText="1"/>
      <protection locked="0"/>
    </xf>
    <xf numFmtId="166" fontId="16" fillId="0" borderId="9" xfId="0" applyNumberFormat="1" applyFont="1" applyFill="1" applyBorder="1" applyAlignment="1" applyProtection="1">
      <alignment horizontal="center" vertical="center"/>
      <protection locked="0"/>
    </xf>
    <xf numFmtId="0" fontId="1" fillId="0" borderId="0" xfId="3" applyFont="1" applyAlignment="1"/>
    <xf numFmtId="2" fontId="17" fillId="0" borderId="6" xfId="1" applyBorder="1" applyAlignment="1">
      <alignment horizontal="center" vertical="center"/>
    </xf>
    <xf numFmtId="2" fontId="4" fillId="0" borderId="0" xfId="0" applyFont="1" applyAlignment="1" applyProtection="1">
      <alignment horizontal="left" vertical="center" wrapText="1"/>
    </xf>
    <xf numFmtId="2" fontId="5" fillId="0" borderId="0" xfId="0" applyFont="1" applyAlignment="1" applyProtection="1">
      <alignment horizontal="left" vertical="center" wrapText="1"/>
    </xf>
    <xf numFmtId="2" fontId="5" fillId="0" borderId="0" xfId="0" applyFont="1" applyAlignment="1" applyProtection="1">
      <alignment horizontal="left" wrapText="1"/>
    </xf>
    <xf numFmtId="2" fontId="17" fillId="0" borderId="0" xfId="1" applyAlignment="1" applyProtection="1">
      <alignment horizontal="left" vertical="center" wrapText="1"/>
    </xf>
    <xf numFmtId="2" fontId="14" fillId="0" borderId="0" xfId="0" applyFont="1" applyAlignment="1" applyProtection="1">
      <alignment horizontal="left" vertical="center" wrapText="1"/>
    </xf>
    <xf numFmtId="2" fontId="29" fillId="0" borderId="0" xfId="0" applyFont="1" applyAlignment="1" applyProtection="1">
      <alignment horizontal="left" vertical="center" wrapText="1"/>
    </xf>
    <xf numFmtId="2" fontId="5"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5"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5" fillId="8" borderId="22" xfId="0" applyFont="1" applyFill="1" applyBorder="1" applyAlignment="1" applyProtection="1"/>
    <xf numFmtId="2" fontId="0" fillId="8" borderId="7" xfId="0" applyFill="1" applyBorder="1" applyAlignment="1" applyProtection="1"/>
    <xf numFmtId="2" fontId="0" fillId="8" borderId="9" xfId="0" applyFill="1" applyBorder="1" applyAlignment="1" applyProtection="1"/>
    <xf numFmtId="2" fontId="4" fillId="4" borderId="11" xfId="0" applyFont="1" applyFill="1" applyBorder="1" applyAlignment="1" applyProtection="1">
      <alignment horizontal="left"/>
    </xf>
    <xf numFmtId="2" fontId="4" fillId="4" borderId="19" xfId="0" applyFont="1" applyFill="1" applyBorder="1" applyAlignment="1" applyProtection="1">
      <alignment horizontal="left"/>
    </xf>
    <xf numFmtId="2" fontId="4" fillId="4" borderId="10" xfId="0" applyFont="1" applyFill="1" applyBorder="1" applyAlignment="1" applyProtection="1">
      <alignment horizontal="left"/>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5"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5" fillId="0" borderId="56" xfId="0" applyFont="1" applyFill="1" applyBorder="1" applyAlignment="1" applyProtection="1">
      <alignment horizontal="left" vertical="center" wrapText="1"/>
    </xf>
    <xf numFmtId="2" fontId="0" fillId="0" borderId="45" xfId="0" applyFill="1" applyBorder="1" applyAlignment="1" applyProtection="1">
      <alignment horizontal="left" vertical="center" wrapText="1"/>
    </xf>
    <xf numFmtId="2" fontId="5" fillId="0" borderId="57" xfId="0" applyFont="1" applyFill="1" applyBorder="1" applyAlignment="1" applyProtection="1">
      <alignment horizontal="left" vertical="center" wrapText="1"/>
    </xf>
    <xf numFmtId="2" fontId="0" fillId="0" borderId="24" xfId="0" applyFill="1" applyBorder="1" applyAlignment="1" applyProtection="1">
      <alignment horizontal="left" vertical="center" wrapText="1"/>
    </xf>
    <xf numFmtId="2" fontId="5" fillId="0" borderId="24" xfId="0" applyFont="1" applyFill="1" applyBorder="1" applyAlignment="1" applyProtection="1">
      <alignment horizontal="left" vertical="center" wrapText="1"/>
    </xf>
    <xf numFmtId="2" fontId="15" fillId="0" borderId="0" xfId="0" applyFont="1" applyAlignment="1" applyProtection="1">
      <alignment horizontal="left" vertical="top"/>
    </xf>
    <xf numFmtId="2" fontId="5" fillId="0" borderId="0" xfId="0" applyFont="1" applyFill="1" applyAlignment="1" applyProtection="1">
      <alignment horizontal="left" vertical="top" wrapText="1"/>
    </xf>
    <xf numFmtId="2" fontId="8" fillId="0" borderId="0" xfId="0" applyFont="1" applyFill="1" applyAlignment="1" applyProtection="1">
      <alignment horizontal="left" vertical="top" wrapText="1"/>
    </xf>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5" fillId="0" borderId="0" xfId="0" applyFont="1" applyAlignment="1" applyProtection="1">
      <alignment horizontal="left" vertical="top" wrapText="1"/>
    </xf>
    <xf numFmtId="2" fontId="8" fillId="0" borderId="0" xfId="0" applyFont="1" applyAlignment="1" applyProtection="1">
      <alignment horizontal="left" vertical="top" wrapText="1"/>
    </xf>
    <xf numFmtId="2" fontId="21" fillId="0" borderId="0" xfId="0" applyFont="1" applyFill="1" applyAlignment="1" applyProtection="1">
      <alignment horizontal="left" vertical="center" wrapText="1"/>
    </xf>
    <xf numFmtId="2" fontId="5" fillId="0" borderId="46" xfId="0" applyFont="1" applyFill="1" applyBorder="1" applyAlignment="1" applyProtection="1">
      <alignment horizontal="left" vertical="top" wrapText="1"/>
    </xf>
    <xf numFmtId="2" fontId="5" fillId="0" borderId="24" xfId="0" applyFont="1" applyFill="1" applyBorder="1" applyAlignment="1" applyProtection="1">
      <alignment horizontal="left" vertical="top" wrapText="1"/>
    </xf>
    <xf numFmtId="2" fontId="5" fillId="0" borderId="63" xfId="0" applyFont="1" applyBorder="1" applyAlignment="1" applyProtection="1">
      <alignment horizontal="left" vertical="top" wrapText="1"/>
    </xf>
    <xf numFmtId="2" fontId="5" fillId="0" borderId="26" xfId="0" applyFont="1" applyBorder="1" applyAlignment="1" applyProtection="1">
      <alignment horizontal="left" vertical="top" wrapText="1"/>
    </xf>
    <xf numFmtId="2" fontId="17" fillId="0" borderId="46" xfId="1" applyBorder="1" applyAlignment="1" applyProtection="1">
      <alignment horizontal="center" vertical="center" wrapText="1"/>
    </xf>
    <xf numFmtId="2" fontId="0" fillId="0" borderId="24" xfId="0" applyBorder="1" applyAlignment="1" applyProtection="1">
      <alignment horizontal="center" vertical="center" wrapText="1"/>
    </xf>
    <xf numFmtId="49" fontId="5" fillId="0" borderId="31" xfId="0" applyNumberFormat="1" applyFont="1" applyBorder="1" applyAlignment="1" applyProtection="1">
      <alignment horizontal="left" vertical="top"/>
    </xf>
    <xf numFmtId="49" fontId="5" fillId="0" borderId="32" xfId="0" applyNumberFormat="1" applyFont="1" applyBorder="1" applyAlignment="1" applyProtection="1">
      <alignment horizontal="left" vertical="top"/>
    </xf>
    <xf numFmtId="49" fontId="5" fillId="0" borderId="12"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5" fillId="0" borderId="22" xfId="0" applyNumberFormat="1" applyFont="1" applyBorder="1" applyAlignment="1" applyProtection="1">
      <alignment horizontal="left" vertical="top"/>
    </xf>
    <xf numFmtId="49" fontId="5" fillId="0" borderId="7" xfId="0" applyNumberFormat="1" applyFont="1" applyBorder="1" applyAlignment="1" applyProtection="1">
      <alignment horizontal="left" vertical="top"/>
    </xf>
    <xf numFmtId="49" fontId="5" fillId="0" borderId="69" xfId="0" applyNumberFormat="1" applyFont="1" applyBorder="1" applyAlignment="1" applyProtection="1">
      <alignment horizontal="left" vertical="top"/>
    </xf>
    <xf numFmtId="49" fontId="5" fillId="0" borderId="58" xfId="0" applyNumberFormat="1" applyFont="1" applyBorder="1" applyAlignment="1" applyProtection="1">
      <alignment horizontal="left" vertical="top"/>
    </xf>
    <xf numFmtId="2" fontId="0" fillId="0" borderId="70" xfId="0" applyBorder="1" applyAlignment="1" applyProtection="1">
      <alignment horizontal="left" vertical="top"/>
    </xf>
    <xf numFmtId="2" fontId="0" fillId="0" borderId="48" xfId="0" applyBorder="1" applyAlignment="1" applyProtection="1">
      <alignment horizontal="left" vertical="top"/>
    </xf>
    <xf numFmtId="49" fontId="5" fillId="0" borderId="13" xfId="0" applyNumberFormat="1" applyFont="1" applyFill="1" applyBorder="1" applyAlignment="1" applyProtection="1">
      <alignment horizontal="left" vertical="top" wrapText="1"/>
    </xf>
    <xf numFmtId="49" fontId="5" fillId="0" borderId="47" xfId="0" applyNumberFormat="1" applyFont="1" applyFill="1" applyBorder="1" applyAlignment="1" applyProtection="1">
      <alignment horizontal="left" vertical="top" wrapText="1"/>
    </xf>
    <xf numFmtId="2" fontId="0" fillId="0" borderId="25" xfId="0" applyBorder="1" applyAlignment="1" applyProtection="1">
      <alignment horizontal="left" vertical="center"/>
    </xf>
    <xf numFmtId="2" fontId="0" fillId="0" borderId="26" xfId="0" applyBorder="1" applyAlignment="1" applyProtection="1">
      <alignment horizontal="left" vertical="center"/>
    </xf>
    <xf numFmtId="2" fontId="5" fillId="0" borderId="68" xfId="0" applyFont="1" applyBorder="1" applyAlignment="1" applyProtection="1">
      <alignment horizontal="left" vertical="top" wrapText="1"/>
    </xf>
    <xf numFmtId="2" fontId="5" fillId="0" borderId="45" xfId="0" applyFont="1" applyBorder="1" applyAlignment="1" applyProtection="1">
      <alignment horizontal="left" vertical="top" wrapText="1"/>
    </xf>
    <xf numFmtId="2" fontId="5" fillId="0" borderId="46" xfId="0" applyFont="1" applyBorder="1" applyAlignment="1" applyProtection="1">
      <alignment horizontal="left" vertical="top" wrapText="1"/>
    </xf>
    <xf numFmtId="2" fontId="5" fillId="0" borderId="24" xfId="0" applyFont="1" applyBorder="1" applyAlignment="1" applyProtection="1">
      <alignment horizontal="left" vertical="top" wrapText="1"/>
    </xf>
    <xf numFmtId="2" fontId="4" fillId="4" borderId="13" xfId="0" applyFont="1" applyFill="1" applyBorder="1" applyAlignment="1" applyProtection="1">
      <alignment horizontal="left" vertical="center" wrapText="1"/>
    </xf>
    <xf numFmtId="2" fontId="4" fillId="4" borderId="24" xfId="0" applyFont="1" applyFill="1" applyBorder="1" applyAlignment="1" applyProtection="1">
      <alignment horizontal="left" vertical="center" wrapText="1"/>
    </xf>
    <xf numFmtId="2" fontId="4" fillId="4" borderId="13" xfId="0" applyFont="1" applyFill="1" applyBorder="1" applyAlignment="1" applyProtection="1">
      <alignment horizontal="left"/>
    </xf>
    <xf numFmtId="2" fontId="4" fillId="4" borderId="24" xfId="0" applyFont="1" applyFill="1" applyBorder="1" applyAlignment="1" applyProtection="1">
      <alignment horizontal="left"/>
    </xf>
    <xf numFmtId="2" fontId="6" fillId="4" borderId="11" xfId="0" applyFont="1" applyFill="1" applyBorder="1" applyAlignment="1" applyProtection="1">
      <alignment horizontal="left"/>
    </xf>
    <xf numFmtId="2" fontId="4" fillId="4" borderId="37" xfId="0" applyFont="1" applyFill="1" applyBorder="1" applyAlignment="1" applyProtection="1">
      <alignment horizontal="left"/>
    </xf>
    <xf numFmtId="2" fontId="4" fillId="4" borderId="38" xfId="0" applyFont="1" applyFill="1" applyBorder="1" applyAlignment="1" applyProtection="1">
      <alignment horizontal="left"/>
    </xf>
    <xf numFmtId="2" fontId="4" fillId="4" borderId="11" xfId="2" applyFont="1" applyFill="1" applyBorder="1" applyAlignment="1" applyProtection="1">
      <alignment horizontal="left"/>
    </xf>
    <xf numFmtId="2" fontId="4" fillId="4" borderId="10" xfId="2" applyFont="1" applyFill="1" applyBorder="1" applyAlignment="1" applyProtection="1">
      <alignment horizontal="left"/>
    </xf>
    <xf numFmtId="2" fontId="5" fillId="4" borderId="11" xfId="0" applyFont="1" applyFill="1" applyBorder="1" applyAlignment="1" applyProtection="1">
      <alignment horizontal="left" vertical="center" wrapText="1"/>
    </xf>
    <xf numFmtId="2" fontId="5" fillId="4" borderId="10" xfId="0" applyFont="1" applyFill="1" applyBorder="1" applyAlignment="1" applyProtection="1">
      <alignment horizontal="left" vertical="center" wrapText="1"/>
    </xf>
    <xf numFmtId="2" fontId="5" fillId="4" borderId="12" xfId="0" applyFont="1" applyFill="1" applyBorder="1" applyAlignment="1" applyProtection="1">
      <alignment horizontal="left" vertical="center" wrapText="1"/>
    </xf>
    <xf numFmtId="2" fontId="5" fillId="4" borderId="8" xfId="0" applyFont="1" applyFill="1" applyBorder="1" applyAlignment="1" applyProtection="1">
      <alignment horizontal="left" vertical="center" wrapText="1"/>
    </xf>
    <xf numFmtId="2" fontId="4" fillId="4" borderId="31" xfId="0" applyFont="1" applyFill="1" applyBorder="1" applyAlignment="1" applyProtection="1">
      <alignment horizontal="left"/>
    </xf>
    <xf numFmtId="2" fontId="4" fillId="4" borderId="33" xfId="0" applyFont="1" applyFill="1" applyBorder="1" applyAlignment="1" applyProtection="1">
      <alignment horizontal="left"/>
    </xf>
    <xf numFmtId="2" fontId="4" fillId="5" borderId="11" xfId="0" applyFont="1" applyFill="1" applyBorder="1" applyAlignment="1" applyProtection="1">
      <alignment horizontal="center"/>
    </xf>
    <xf numFmtId="2" fontId="4" fillId="5" borderId="19" xfId="0" applyFont="1" applyFill="1" applyBorder="1" applyAlignment="1" applyProtection="1">
      <alignment horizontal="center"/>
    </xf>
    <xf numFmtId="2" fontId="4" fillId="5" borderId="10" xfId="0" applyFont="1" applyFill="1" applyBorder="1" applyAlignment="1" applyProtection="1">
      <alignment horizontal="center"/>
    </xf>
    <xf numFmtId="2" fontId="4" fillId="0" borderId="0" xfId="0" applyFont="1" applyAlignment="1" applyProtection="1">
      <alignment horizontal="center" wrapText="1"/>
    </xf>
    <xf numFmtId="2" fontId="4" fillId="0" borderId="0" xfId="0" applyFont="1" applyAlignment="1" applyProtection="1">
      <alignment horizontal="center" vertical="center" wrapText="1"/>
    </xf>
    <xf numFmtId="2" fontId="27" fillId="0" borderId="2" xfId="2" applyFont="1" applyBorder="1" applyAlignment="1" applyProtection="1">
      <alignment horizontal="justify" vertical="top" wrapText="1"/>
    </xf>
    <xf numFmtId="2" fontId="27" fillId="0" borderId="1" xfId="2" applyFont="1" applyBorder="1" applyAlignment="1" applyProtection="1">
      <alignment horizontal="justify" vertical="top" wrapText="1"/>
    </xf>
    <xf numFmtId="2" fontId="27" fillId="0" borderId="28" xfId="2" applyFont="1" applyBorder="1" applyAlignment="1" applyProtection="1">
      <alignment horizontal="justify" vertical="top" wrapText="1"/>
    </xf>
    <xf numFmtId="2" fontId="28" fillId="7" borderId="11" xfId="2" applyFont="1" applyFill="1" applyBorder="1" applyAlignment="1" applyProtection="1">
      <alignment horizontal="center" vertical="top" wrapText="1"/>
    </xf>
    <xf numFmtId="2" fontId="28" fillId="7" borderId="19" xfId="2" applyFont="1" applyFill="1" applyBorder="1" applyAlignment="1" applyProtection="1">
      <alignment horizontal="center" vertical="top" wrapText="1"/>
    </xf>
    <xf numFmtId="2" fontId="28" fillId="7" borderId="10" xfId="2" applyFont="1" applyFill="1" applyBorder="1" applyAlignment="1" applyProtection="1">
      <alignment horizontal="center" vertical="top" wrapText="1"/>
    </xf>
    <xf numFmtId="2" fontId="4" fillId="0" borderId="13" xfId="0" applyFont="1" applyBorder="1" applyAlignment="1" applyProtection="1">
      <alignment horizontal="center" vertical="center"/>
    </xf>
    <xf numFmtId="2" fontId="4" fillId="0" borderId="23" xfId="0" applyFont="1" applyBorder="1" applyAlignment="1" applyProtection="1">
      <alignment horizontal="center" vertical="center"/>
    </xf>
    <xf numFmtId="2" fontId="4" fillId="0" borderId="24" xfId="0" applyFont="1" applyBorder="1" applyAlignment="1" applyProtection="1">
      <alignment horizontal="center" vertical="center"/>
    </xf>
    <xf numFmtId="2" fontId="27" fillId="6" borderId="11" xfId="2" applyFont="1" applyFill="1" applyBorder="1" applyAlignment="1" applyProtection="1">
      <alignment horizontal="center" vertical="center"/>
    </xf>
    <xf numFmtId="2" fontId="27" fillId="6" borderId="19" xfId="2" applyFont="1" applyFill="1" applyBorder="1" applyAlignment="1" applyProtection="1">
      <alignment horizontal="center" vertical="center"/>
    </xf>
    <xf numFmtId="2" fontId="27" fillId="6" borderId="10" xfId="2" applyFont="1" applyFill="1" applyBorder="1" applyAlignment="1" applyProtection="1">
      <alignment horizontal="center" vertical="center"/>
    </xf>
    <xf numFmtId="2" fontId="9" fillId="2" borderId="2" xfId="0" applyFont="1" applyFill="1" applyBorder="1" applyAlignment="1" applyProtection="1">
      <alignment horizontal="center" vertical="center"/>
    </xf>
    <xf numFmtId="2" fontId="9" fillId="2" borderId="1" xfId="0" applyFont="1" applyFill="1" applyBorder="1" applyAlignment="1" applyProtection="1">
      <alignment horizontal="center" vertical="center"/>
    </xf>
    <xf numFmtId="2" fontId="9" fillId="2" borderId="28" xfId="0" applyFont="1" applyFill="1" applyBorder="1" applyAlignment="1" applyProtection="1">
      <alignment horizontal="center" vertical="center"/>
    </xf>
    <xf numFmtId="2" fontId="4" fillId="0" borderId="64" xfId="0" applyFont="1" applyBorder="1" applyAlignment="1" applyProtection="1">
      <alignment horizontal="center" vertical="center"/>
    </xf>
    <xf numFmtId="2" fontId="4" fillId="0" borderId="65" xfId="0" applyFont="1" applyBorder="1" applyAlignment="1" applyProtection="1">
      <alignment horizontal="center" vertical="center"/>
    </xf>
    <xf numFmtId="2" fontId="4" fillId="0" borderId="66" xfId="0" applyFont="1" applyBorder="1" applyAlignment="1" applyProtection="1">
      <alignment horizontal="center" vertical="center"/>
    </xf>
    <xf numFmtId="2" fontId="4" fillId="0" borderId="30" xfId="0" applyFont="1" applyBorder="1" applyAlignment="1" applyProtection="1">
      <alignment horizontal="center" wrapText="1"/>
    </xf>
    <xf numFmtId="2" fontId="4" fillId="0" borderId="4" xfId="0" applyFont="1" applyBorder="1" applyAlignment="1" applyProtection="1">
      <alignment horizontal="center" wrapText="1"/>
    </xf>
    <xf numFmtId="2" fontId="4" fillId="0" borderId="30" xfId="0" applyFont="1" applyBorder="1" applyAlignment="1" applyProtection="1">
      <alignment horizontal="center"/>
    </xf>
    <xf numFmtId="2" fontId="4" fillId="0" borderId="4" xfId="0" applyFont="1" applyBorder="1" applyAlignment="1" applyProtection="1">
      <alignment horizontal="center"/>
    </xf>
    <xf numFmtId="2" fontId="5" fillId="0" borderId="40" xfId="0" applyFont="1" applyBorder="1" applyAlignment="1" applyProtection="1">
      <alignment horizontal="center"/>
    </xf>
    <xf numFmtId="2" fontId="5" fillId="0" borderId="5" xfId="0" applyFont="1" applyBorder="1" applyAlignment="1" applyProtection="1">
      <alignment horizontal="center"/>
    </xf>
    <xf numFmtId="2" fontId="0" fillId="0" borderId="40" xfId="0" applyBorder="1" applyAlignment="1" applyProtection="1">
      <alignment horizontal="center"/>
    </xf>
    <xf numFmtId="2" fontId="0" fillId="0" borderId="5" xfId="0" applyBorder="1" applyAlignment="1" applyProtection="1">
      <alignment horizontal="center"/>
    </xf>
    <xf numFmtId="2" fontId="15" fillId="0" borderId="0" xfId="0" applyFont="1" applyAlignment="1">
      <alignment horizontal="left" vertical="top"/>
    </xf>
    <xf numFmtId="2" fontId="14" fillId="0" borderId="0" xfId="0" applyFont="1" applyAlignment="1">
      <alignment horizontal="left"/>
    </xf>
    <xf numFmtId="2" fontId="4" fillId="5" borderId="43" xfId="0" applyFont="1" applyFill="1" applyBorder="1" applyAlignment="1">
      <alignment horizontal="left"/>
    </xf>
    <xf numFmtId="2" fontId="4" fillId="5" borderId="44" xfId="0" applyFont="1" applyFill="1" applyBorder="1" applyAlignment="1">
      <alignment horizontal="left"/>
    </xf>
    <xf numFmtId="2" fontId="4" fillId="5" borderId="45" xfId="0" applyFont="1" applyFill="1" applyBorder="1" applyAlignment="1">
      <alignment horizontal="left"/>
    </xf>
    <xf numFmtId="2" fontId="4" fillId="0" borderId="46" xfId="0" applyFont="1" applyFill="1" applyBorder="1" applyAlignment="1">
      <alignment horizontal="left"/>
    </xf>
    <xf numFmtId="2" fontId="4" fillId="0" borderId="23" xfId="0" applyFont="1" applyFill="1" applyBorder="1" applyAlignment="1">
      <alignment horizontal="left"/>
    </xf>
    <xf numFmtId="2" fontId="4" fillId="0" borderId="47" xfId="0" applyFont="1" applyFill="1" applyBorder="1" applyAlignment="1">
      <alignment horizontal="left"/>
    </xf>
    <xf numFmtId="0" fontId="22" fillId="4" borderId="6" xfId="3" applyFont="1" applyFill="1" applyBorder="1" applyAlignment="1">
      <alignment horizontal="center"/>
    </xf>
  </cellXfs>
  <cellStyles count="9">
    <cellStyle name="Hyperlink" xfId="1" builtinId="8"/>
    <cellStyle name="Hyperlink 2" xfId="4"/>
    <cellStyle name="Normal" xfId="0" builtinId="0"/>
    <cellStyle name="Normal 2" xfId="2"/>
    <cellStyle name="Normal 2 2" xfId="5"/>
    <cellStyle name="Normal 2 3" xfId="6"/>
    <cellStyle name="Normal 3" xfId="3"/>
    <cellStyle name="Normal 4" xfId="7"/>
    <cellStyle name="Percent 2" xfId="8"/>
  </cellStyles>
  <dxfs count="12">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6600"/>
      <color rgb="FFCC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1.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5" Type="http://schemas.openxmlformats.org/officeDocument/2006/relationships/printerSettings" Target="../printerSettings/printerSettings9.bin"/><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tabSelected="1" zoomScaleNormal="100" workbookViewId="0">
      <selection sqref="A1:XFD1"/>
    </sheetView>
  </sheetViews>
  <sheetFormatPr defaultColWidth="9.109375" defaultRowHeight="13.2" x14ac:dyDescent="0.25"/>
  <cols>
    <col min="1" max="1" width="2.109375" style="54" customWidth="1"/>
    <col min="2" max="2" width="5.88671875" style="223" customWidth="1"/>
    <col min="3" max="3" width="120.88671875" style="24" customWidth="1"/>
    <col min="4" max="16384" width="9.109375" style="54"/>
  </cols>
  <sheetData>
    <row r="1" spans="2:6" ht="17.399999999999999" x14ac:dyDescent="0.25">
      <c r="B1" s="272" t="s">
        <v>347</v>
      </c>
      <c r="C1" s="272"/>
    </row>
    <row r="2" spans="2:6" ht="15.6" x14ac:dyDescent="0.25">
      <c r="B2" s="273" t="s">
        <v>348</v>
      </c>
      <c r="C2" s="273"/>
    </row>
    <row r="3" spans="2:6" x14ac:dyDescent="0.25">
      <c r="B3" s="217"/>
      <c r="C3" s="54"/>
    </row>
    <row r="4" spans="2:6" x14ac:dyDescent="0.25">
      <c r="B4" s="268" t="s">
        <v>349</v>
      </c>
      <c r="C4" s="268"/>
    </row>
    <row r="5" spans="2:6" ht="75" customHeight="1" x14ac:dyDescent="0.25">
      <c r="B5" s="269" t="s">
        <v>415</v>
      </c>
      <c r="C5" s="269"/>
      <c r="F5" s="239"/>
    </row>
    <row r="6" spans="2:6" ht="18" customHeight="1" x14ac:dyDescent="0.25">
      <c r="B6" s="271" t="s">
        <v>416</v>
      </c>
      <c r="C6" s="271"/>
      <c r="F6" s="239"/>
    </row>
    <row r="7" spans="2:6" ht="15" customHeight="1" x14ac:dyDescent="0.25">
      <c r="B7" s="218"/>
      <c r="C7" s="54"/>
    </row>
    <row r="8" spans="2:6" x14ac:dyDescent="0.25">
      <c r="B8" s="268" t="s">
        <v>350</v>
      </c>
      <c r="C8" s="268"/>
    </row>
    <row r="9" spans="2:6" ht="97.5" customHeight="1" x14ac:dyDescent="0.25">
      <c r="B9" s="269" t="s">
        <v>417</v>
      </c>
      <c r="C9" s="269"/>
    </row>
    <row r="10" spans="2:6" ht="15" customHeight="1" x14ac:dyDescent="0.25">
      <c r="B10" s="218"/>
      <c r="C10" s="54"/>
    </row>
    <row r="11" spans="2:6" x14ac:dyDescent="0.25">
      <c r="B11" s="268" t="s">
        <v>357</v>
      </c>
      <c r="C11" s="268"/>
    </row>
    <row r="12" spans="2:6" ht="84" customHeight="1" x14ac:dyDescent="0.25">
      <c r="B12" s="269" t="s">
        <v>418</v>
      </c>
      <c r="C12" s="269"/>
    </row>
    <row r="13" spans="2:6" ht="15" customHeight="1" x14ac:dyDescent="0.25">
      <c r="B13" s="218"/>
      <c r="C13" s="54"/>
    </row>
    <row r="14" spans="2:6" x14ac:dyDescent="0.25">
      <c r="B14" s="268" t="s">
        <v>351</v>
      </c>
      <c r="C14" s="268"/>
    </row>
    <row r="15" spans="2:6" ht="18.75" customHeight="1" x14ac:dyDescent="0.25">
      <c r="B15" s="269" t="s">
        <v>419</v>
      </c>
      <c r="C15" s="269"/>
    </row>
    <row r="16" spans="2:6" ht="15.75" customHeight="1" x14ac:dyDescent="0.25">
      <c r="B16" s="219" t="s">
        <v>358</v>
      </c>
      <c r="C16" s="222" t="s">
        <v>420</v>
      </c>
    </row>
    <row r="17" spans="2:3" ht="27.75" customHeight="1" x14ac:dyDescent="0.25">
      <c r="B17" s="219" t="s">
        <v>359</v>
      </c>
      <c r="C17" s="222" t="s">
        <v>484</v>
      </c>
    </row>
    <row r="18" spans="2:3" ht="9" customHeight="1" x14ac:dyDescent="0.25">
      <c r="B18" s="229"/>
      <c r="C18" s="54"/>
    </row>
    <row r="19" spans="2:3" x14ac:dyDescent="0.25">
      <c r="B19" s="268" t="s">
        <v>352</v>
      </c>
      <c r="C19" s="268"/>
    </row>
    <row r="20" spans="2:3" ht="18" customHeight="1" x14ac:dyDescent="0.25">
      <c r="B20" s="269" t="s">
        <v>353</v>
      </c>
      <c r="C20" s="269"/>
    </row>
    <row r="21" spans="2:3" x14ac:dyDescent="0.25">
      <c r="B21" s="219" t="s">
        <v>358</v>
      </c>
      <c r="C21" s="220" t="s">
        <v>421</v>
      </c>
    </row>
    <row r="22" spans="2:3" x14ac:dyDescent="0.25">
      <c r="B22" s="219" t="s">
        <v>359</v>
      </c>
      <c r="C22" s="220" t="s">
        <v>422</v>
      </c>
    </row>
    <row r="23" spans="2:3" x14ac:dyDescent="0.25">
      <c r="B23" s="219" t="s">
        <v>360</v>
      </c>
      <c r="C23" s="220" t="s">
        <v>423</v>
      </c>
    </row>
    <row r="24" spans="2:3" x14ac:dyDescent="0.25">
      <c r="B24" s="54"/>
      <c r="C24" s="229"/>
    </row>
    <row r="25" spans="2:3" x14ac:dyDescent="0.25">
      <c r="B25" s="268" t="s">
        <v>354</v>
      </c>
      <c r="C25" s="268"/>
    </row>
    <row r="26" spans="2:3" ht="51" customHeight="1" x14ac:dyDescent="0.25">
      <c r="B26" s="270" t="s">
        <v>424</v>
      </c>
      <c r="C26" s="270"/>
    </row>
    <row r="27" spans="2:3" ht="24" customHeight="1" x14ac:dyDescent="0.25">
      <c r="B27" s="271" t="s">
        <v>425</v>
      </c>
      <c r="C27" s="269"/>
    </row>
    <row r="28" spans="2:3" x14ac:dyDescent="0.25">
      <c r="B28" s="221"/>
      <c r="C28" s="54"/>
    </row>
    <row r="29" spans="2:3" x14ac:dyDescent="0.25">
      <c r="B29" s="268" t="s">
        <v>355</v>
      </c>
      <c r="C29" s="268"/>
    </row>
    <row r="30" spans="2:3" ht="53.25" customHeight="1" x14ac:dyDescent="0.25">
      <c r="B30" s="269" t="s">
        <v>426</v>
      </c>
      <c r="C30" s="269"/>
    </row>
    <row r="31" spans="2:3" x14ac:dyDescent="0.25">
      <c r="B31" s="218"/>
      <c r="C31" s="54"/>
    </row>
    <row r="32" spans="2:3" x14ac:dyDescent="0.25">
      <c r="B32" s="268" t="s">
        <v>356</v>
      </c>
      <c r="C32" s="268"/>
    </row>
    <row r="33" spans="2:3" x14ac:dyDescent="0.25">
      <c r="B33" s="219" t="s">
        <v>358</v>
      </c>
      <c r="C33" s="222" t="s">
        <v>427</v>
      </c>
    </row>
    <row r="34" spans="2:3" x14ac:dyDescent="0.25">
      <c r="B34" s="219" t="s">
        <v>359</v>
      </c>
      <c r="C34" s="222" t="s">
        <v>369</v>
      </c>
    </row>
    <row r="35" spans="2:3" ht="26.4" x14ac:dyDescent="0.25">
      <c r="B35" s="219" t="s">
        <v>360</v>
      </c>
      <c r="C35" s="222" t="s">
        <v>485</v>
      </c>
    </row>
    <row r="36" spans="2:3" ht="26.4" x14ac:dyDescent="0.25">
      <c r="B36" s="219" t="s">
        <v>361</v>
      </c>
      <c r="C36" s="222" t="s">
        <v>370</v>
      </c>
    </row>
    <row r="37" spans="2:3" ht="26.4" x14ac:dyDescent="0.25">
      <c r="B37" s="219" t="s">
        <v>362</v>
      </c>
      <c r="C37" s="222" t="s">
        <v>476</v>
      </c>
    </row>
    <row r="38" spans="2:3" x14ac:dyDescent="0.25">
      <c r="B38" s="219" t="s">
        <v>363</v>
      </c>
      <c r="C38" s="222" t="s">
        <v>364</v>
      </c>
    </row>
  </sheetData>
  <sheetProtection password="C969" sheet="1" objects="1" scenarios="1"/>
  <mergeCells count="19">
    <mergeCell ref="B19:C19"/>
    <mergeCell ref="B1:C1"/>
    <mergeCell ref="B2:C2"/>
    <mergeCell ref="B4:C4"/>
    <mergeCell ref="B5:C5"/>
    <mergeCell ref="B6:C6"/>
    <mergeCell ref="B8:C8"/>
    <mergeCell ref="B9:C9"/>
    <mergeCell ref="B11:C11"/>
    <mergeCell ref="B12:C12"/>
    <mergeCell ref="B14:C14"/>
    <mergeCell ref="B15:C15"/>
    <mergeCell ref="B32:C32"/>
    <mergeCell ref="B20:C20"/>
    <mergeCell ref="B25:C25"/>
    <mergeCell ref="B26:C26"/>
    <mergeCell ref="B27:C27"/>
    <mergeCell ref="B29:C29"/>
    <mergeCell ref="B30:C30"/>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7"/>
  <sheetViews>
    <sheetView workbookViewId="0"/>
  </sheetViews>
  <sheetFormatPr defaultRowHeight="13.2" x14ac:dyDescent="0.25"/>
  <cols>
    <col min="1" max="1" width="57.88671875" bestFit="1" customWidth="1"/>
    <col min="2" max="3" width="20.6640625" style="8" customWidth="1"/>
    <col min="4" max="4" width="85.88671875" customWidth="1"/>
  </cols>
  <sheetData>
    <row r="1" spans="1:4" ht="17.399999999999999" x14ac:dyDescent="0.3">
      <c r="A1" s="1" t="s">
        <v>49</v>
      </c>
      <c r="B1" s="62"/>
      <c r="C1" s="62"/>
    </row>
    <row r="2" spans="1:4" ht="12" customHeight="1" thickBot="1" x14ac:dyDescent="0.3">
      <c r="A2" s="2"/>
      <c r="B2" s="60"/>
      <c r="C2" s="60"/>
    </row>
    <row r="3" spans="1:4" ht="12" customHeight="1" x14ac:dyDescent="0.25">
      <c r="A3" s="63" t="s">
        <v>50</v>
      </c>
      <c r="B3" s="64" t="s">
        <v>55</v>
      </c>
      <c r="C3" s="64" t="s">
        <v>96</v>
      </c>
      <c r="D3" s="65" t="s">
        <v>37</v>
      </c>
    </row>
    <row r="4" spans="1:4" x14ac:dyDescent="0.25">
      <c r="A4" s="66" t="s">
        <v>433</v>
      </c>
      <c r="B4" s="13">
        <v>6.2</v>
      </c>
      <c r="C4" s="13" t="s">
        <v>98</v>
      </c>
      <c r="D4" s="66" t="s">
        <v>444</v>
      </c>
    </row>
    <row r="5" spans="1:4" x14ac:dyDescent="0.25">
      <c r="A5" s="66" t="s">
        <v>434</v>
      </c>
      <c r="B5" s="13">
        <v>100</v>
      </c>
      <c r="C5" s="13" t="s">
        <v>97</v>
      </c>
      <c r="D5" s="66" t="s">
        <v>475</v>
      </c>
    </row>
    <row r="6" spans="1:4" x14ac:dyDescent="0.25">
      <c r="A6" s="66" t="s">
        <v>435</v>
      </c>
      <c r="B6" s="13">
        <v>0.5</v>
      </c>
      <c r="C6" s="13" t="s">
        <v>97</v>
      </c>
      <c r="D6" s="66" t="s">
        <v>342</v>
      </c>
    </row>
    <row r="7" spans="1:4" x14ac:dyDescent="0.25">
      <c r="A7" s="90" t="s">
        <v>407</v>
      </c>
      <c r="B7" s="91">
        <f>24*365</f>
        <v>8760</v>
      </c>
      <c r="C7" s="13" t="s">
        <v>99</v>
      </c>
      <c r="D7" s="90" t="s">
        <v>100</v>
      </c>
    </row>
    <row r="8" spans="1:4" ht="12" customHeight="1" x14ac:dyDescent="0.25">
      <c r="A8" s="90" t="s">
        <v>436</v>
      </c>
      <c r="B8" s="164">
        <v>0.2</v>
      </c>
      <c r="C8" s="164" t="s">
        <v>320</v>
      </c>
      <c r="D8" s="165" t="s">
        <v>321</v>
      </c>
    </row>
    <row r="9" spans="1:4" ht="12" customHeight="1" x14ac:dyDescent="0.25">
      <c r="A9" s="90" t="s">
        <v>437</v>
      </c>
      <c r="B9" s="164">
        <v>48</v>
      </c>
      <c r="C9" s="164" t="s">
        <v>320</v>
      </c>
      <c r="D9" s="66" t="s">
        <v>344</v>
      </c>
    </row>
    <row r="10" spans="1:4" x14ac:dyDescent="0.25">
      <c r="A10" s="90" t="s">
        <v>438</v>
      </c>
      <c r="B10" s="166">
        <v>0.2</v>
      </c>
      <c r="C10" s="164" t="s">
        <v>320</v>
      </c>
      <c r="D10" s="82" t="s">
        <v>317</v>
      </c>
    </row>
    <row r="11" spans="1:4" x14ac:dyDescent="0.25">
      <c r="A11" s="90" t="s">
        <v>439</v>
      </c>
      <c r="B11" s="166">
        <v>48</v>
      </c>
      <c r="C11" s="164" t="s">
        <v>320</v>
      </c>
      <c r="D11" s="66" t="s">
        <v>344</v>
      </c>
    </row>
    <row r="12" spans="1:4" x14ac:dyDescent="0.25">
      <c r="A12" s="90" t="s">
        <v>341</v>
      </c>
      <c r="B12" s="210">
        <v>75</v>
      </c>
      <c r="C12" s="13" t="s">
        <v>97</v>
      </c>
      <c r="D12" s="66" t="s">
        <v>447</v>
      </c>
    </row>
    <row r="13" spans="1:4" x14ac:dyDescent="0.25">
      <c r="A13" s="379" t="s">
        <v>449</v>
      </c>
      <c r="B13" s="380"/>
      <c r="C13" s="380"/>
      <c r="D13" s="381"/>
    </row>
    <row r="14" spans="1:4" x14ac:dyDescent="0.25">
      <c r="A14" s="90" t="s">
        <v>448</v>
      </c>
      <c r="B14" s="210">
        <f>95*0.9</f>
        <v>85.5</v>
      </c>
      <c r="C14" s="13" t="s">
        <v>97</v>
      </c>
      <c r="D14" s="66" t="s">
        <v>451</v>
      </c>
    </row>
    <row r="15" spans="1:4" x14ac:dyDescent="0.25">
      <c r="A15" s="248" t="s">
        <v>385</v>
      </c>
      <c r="B15" s="210">
        <f>95*0.9</f>
        <v>85.5</v>
      </c>
      <c r="C15" s="13" t="s">
        <v>97</v>
      </c>
      <c r="D15" s="66" t="s">
        <v>451</v>
      </c>
    </row>
    <row r="16" spans="1:4" x14ac:dyDescent="0.25">
      <c r="A16" s="248" t="s">
        <v>386</v>
      </c>
      <c r="B16" s="210">
        <v>65</v>
      </c>
      <c r="C16" s="13" t="s">
        <v>97</v>
      </c>
      <c r="D16" s="66" t="s">
        <v>450</v>
      </c>
    </row>
    <row r="17" spans="1:4" x14ac:dyDescent="0.25">
      <c r="A17" s="248" t="s">
        <v>387</v>
      </c>
      <c r="B17" s="210">
        <v>60</v>
      </c>
      <c r="C17" s="13" t="s">
        <v>97</v>
      </c>
      <c r="D17" s="66" t="s">
        <v>450</v>
      </c>
    </row>
  </sheetData>
  <mergeCells count="1">
    <mergeCell ref="A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10" bestFit="1" customWidth="1"/>
    <col min="2" max="2" width="17.88671875" style="109" bestFit="1" customWidth="1"/>
    <col min="3" max="3" width="11" style="109" bestFit="1" customWidth="1"/>
    <col min="4" max="4" width="19.44140625" style="110" bestFit="1" customWidth="1"/>
    <col min="5" max="5" width="14.33203125" style="110" bestFit="1" customWidth="1"/>
    <col min="6" max="6" width="26" style="110" bestFit="1" customWidth="1"/>
    <col min="7" max="7" width="18.6640625" style="110" bestFit="1" customWidth="1"/>
    <col min="8" max="8" width="14.33203125" style="110" bestFit="1" customWidth="1"/>
    <col min="9" max="10" width="26" style="110" bestFit="1" customWidth="1"/>
    <col min="11" max="11" width="18.6640625" style="110" bestFit="1" customWidth="1"/>
    <col min="12" max="12" width="13.44140625" style="110" bestFit="1" customWidth="1"/>
    <col min="13" max="13" width="5.5546875" style="109" bestFit="1" customWidth="1"/>
    <col min="14" max="14" width="12.109375" style="109" bestFit="1" customWidth="1"/>
    <col min="15" max="16384" width="9.109375" style="110"/>
  </cols>
  <sheetData>
    <row r="1" spans="1:14" ht="17.399999999999999" x14ac:dyDescent="0.3">
      <c r="A1" s="108" t="s">
        <v>102</v>
      </c>
    </row>
    <row r="3" spans="1:14" x14ac:dyDescent="0.3">
      <c r="D3" s="382" t="s">
        <v>103</v>
      </c>
      <c r="E3" s="382"/>
      <c r="F3" s="382"/>
      <c r="G3" s="382"/>
      <c r="H3" s="382"/>
      <c r="I3" s="382"/>
      <c r="J3" s="382"/>
      <c r="K3" s="382"/>
      <c r="L3" s="382"/>
      <c r="M3" s="382"/>
      <c r="N3" s="382"/>
    </row>
    <row r="4" spans="1:14" x14ac:dyDescent="0.3">
      <c r="A4" s="111" t="s">
        <v>104</v>
      </c>
      <c r="B4" s="230" t="s">
        <v>105</v>
      </c>
      <c r="C4" s="230" t="s">
        <v>106</v>
      </c>
      <c r="D4" s="111" t="s">
        <v>6</v>
      </c>
      <c r="E4" s="111" t="s">
        <v>8</v>
      </c>
      <c r="F4" s="111" t="s">
        <v>9</v>
      </c>
      <c r="G4" s="111" t="s">
        <v>107</v>
      </c>
      <c r="H4" s="111" t="s">
        <v>108</v>
      </c>
      <c r="I4" s="111" t="s">
        <v>109</v>
      </c>
      <c r="J4" s="111" t="s">
        <v>110</v>
      </c>
      <c r="K4" s="111" t="s">
        <v>111</v>
      </c>
      <c r="L4" s="111" t="s">
        <v>112</v>
      </c>
      <c r="M4" s="230" t="s">
        <v>104</v>
      </c>
      <c r="N4" s="230" t="s">
        <v>113</v>
      </c>
    </row>
    <row r="5" spans="1:14" x14ac:dyDescent="0.3">
      <c r="A5" s="110" t="s">
        <v>114</v>
      </c>
      <c r="B5" s="109" t="s">
        <v>115</v>
      </c>
      <c r="C5" s="109">
        <v>4</v>
      </c>
      <c r="D5" s="240" t="s">
        <v>116</v>
      </c>
      <c r="E5" s="241" t="s">
        <v>117</v>
      </c>
      <c r="F5" s="112" t="s">
        <v>118</v>
      </c>
      <c r="G5" s="241" t="s">
        <v>119</v>
      </c>
      <c r="H5" s="241" t="s">
        <v>120</v>
      </c>
      <c r="I5" s="113" t="s">
        <v>121</v>
      </c>
      <c r="J5" s="241" t="s">
        <v>122</v>
      </c>
      <c r="K5" s="240" t="s">
        <v>123</v>
      </c>
      <c r="L5" s="241" t="s">
        <v>124</v>
      </c>
      <c r="M5" s="242" t="s">
        <v>125</v>
      </c>
      <c r="N5" s="242" t="s">
        <v>126</v>
      </c>
    </row>
    <row r="6" spans="1:14" x14ac:dyDescent="0.3">
      <c r="A6" s="110" t="s">
        <v>127</v>
      </c>
      <c r="B6" s="109" t="s">
        <v>128</v>
      </c>
      <c r="C6" s="109">
        <v>10</v>
      </c>
      <c r="D6" s="240" t="s">
        <v>129</v>
      </c>
      <c r="E6" s="240" t="s">
        <v>130</v>
      </c>
      <c r="F6" s="113" t="s">
        <v>131</v>
      </c>
      <c r="G6" s="240" t="s">
        <v>132</v>
      </c>
      <c r="H6" s="241"/>
      <c r="I6" s="241"/>
      <c r="J6" s="241" t="s">
        <v>133</v>
      </c>
      <c r="K6" s="241" t="s">
        <v>134</v>
      </c>
      <c r="L6" s="241" t="s">
        <v>135</v>
      </c>
      <c r="M6" s="242" t="s">
        <v>136</v>
      </c>
      <c r="N6" s="242">
        <v>98101</v>
      </c>
    </row>
    <row r="7" spans="1:14" x14ac:dyDescent="0.3">
      <c r="A7" s="110" t="s">
        <v>137</v>
      </c>
      <c r="B7" s="109" t="s">
        <v>138</v>
      </c>
      <c r="C7" s="109">
        <v>9</v>
      </c>
      <c r="D7" s="240" t="s">
        <v>139</v>
      </c>
      <c r="E7" s="241" t="s">
        <v>140</v>
      </c>
      <c r="F7" s="112" t="s">
        <v>141</v>
      </c>
      <c r="G7" s="240" t="s">
        <v>142</v>
      </c>
      <c r="H7" s="241" t="s">
        <v>143</v>
      </c>
      <c r="I7" s="112" t="s">
        <v>144</v>
      </c>
      <c r="J7" s="241" t="s">
        <v>145</v>
      </c>
      <c r="K7" s="241" t="s">
        <v>146</v>
      </c>
      <c r="L7" s="241" t="s">
        <v>147</v>
      </c>
      <c r="M7" s="242" t="s">
        <v>148</v>
      </c>
      <c r="N7" s="242">
        <v>94105</v>
      </c>
    </row>
    <row r="8" spans="1:14" x14ac:dyDescent="0.3">
      <c r="A8" s="110" t="s">
        <v>149</v>
      </c>
      <c r="B8" s="109" t="s">
        <v>150</v>
      </c>
      <c r="C8" s="109">
        <v>6</v>
      </c>
      <c r="D8" s="240" t="s">
        <v>151</v>
      </c>
      <c r="E8" s="241" t="s">
        <v>152</v>
      </c>
      <c r="F8" s="114" t="s">
        <v>153</v>
      </c>
      <c r="G8" s="241" t="s">
        <v>132</v>
      </c>
      <c r="H8" s="241"/>
      <c r="I8" s="241"/>
      <c r="J8" s="240" t="s">
        <v>154</v>
      </c>
      <c r="K8" s="240" t="s">
        <v>155</v>
      </c>
      <c r="L8" s="241" t="s">
        <v>156</v>
      </c>
      <c r="M8" s="242" t="s">
        <v>157</v>
      </c>
      <c r="N8" s="242" t="s">
        <v>158</v>
      </c>
    </row>
    <row r="9" spans="1:14" x14ac:dyDescent="0.3">
      <c r="A9" s="110" t="s">
        <v>159</v>
      </c>
      <c r="B9" s="109" t="s">
        <v>148</v>
      </c>
      <c r="C9" s="109">
        <v>9</v>
      </c>
      <c r="D9" s="240" t="s">
        <v>139</v>
      </c>
      <c r="E9" s="241" t="s">
        <v>140</v>
      </c>
      <c r="F9" s="112" t="s">
        <v>141</v>
      </c>
      <c r="G9" s="240" t="s">
        <v>142</v>
      </c>
      <c r="H9" s="241" t="s">
        <v>143</v>
      </c>
      <c r="I9" s="112" t="s">
        <v>144</v>
      </c>
      <c r="J9" s="241" t="s">
        <v>145</v>
      </c>
      <c r="K9" s="241" t="s">
        <v>146</v>
      </c>
      <c r="L9" s="241" t="s">
        <v>147</v>
      </c>
      <c r="M9" s="242" t="s">
        <v>148</v>
      </c>
      <c r="N9" s="242">
        <v>94105</v>
      </c>
    </row>
    <row r="10" spans="1:14" x14ac:dyDescent="0.3">
      <c r="A10" s="110" t="s">
        <v>160</v>
      </c>
      <c r="B10" s="109" t="s">
        <v>62</v>
      </c>
      <c r="C10" s="109">
        <v>8</v>
      </c>
      <c r="D10" s="240" t="s">
        <v>161</v>
      </c>
      <c r="E10" s="241" t="s">
        <v>162</v>
      </c>
      <c r="F10" s="112" t="s">
        <v>163</v>
      </c>
      <c r="G10" s="240" t="s">
        <v>164</v>
      </c>
      <c r="H10" s="241" t="s">
        <v>165</v>
      </c>
      <c r="I10" s="113" t="s">
        <v>166</v>
      </c>
      <c r="J10" s="240" t="s">
        <v>167</v>
      </c>
      <c r="K10" s="240" t="s">
        <v>168</v>
      </c>
      <c r="L10" s="241" t="s">
        <v>169</v>
      </c>
      <c r="M10" s="242" t="s">
        <v>62</v>
      </c>
      <c r="N10" s="242" t="s">
        <v>170</v>
      </c>
    </row>
    <row r="11" spans="1:14" x14ac:dyDescent="0.3">
      <c r="A11" s="110" t="s">
        <v>171</v>
      </c>
      <c r="B11" s="109" t="s">
        <v>172</v>
      </c>
      <c r="C11" s="109">
        <v>1</v>
      </c>
      <c r="D11" s="241" t="s">
        <v>173</v>
      </c>
      <c r="E11" s="241" t="s">
        <v>174</v>
      </c>
      <c r="F11" s="113" t="s">
        <v>175</v>
      </c>
      <c r="G11" s="241" t="s">
        <v>132</v>
      </c>
      <c r="H11" s="241"/>
      <c r="I11" s="241"/>
      <c r="J11" s="240" t="s">
        <v>176</v>
      </c>
      <c r="K11" s="240" t="s">
        <v>177</v>
      </c>
      <c r="L11" s="241" t="s">
        <v>178</v>
      </c>
      <c r="M11" s="242" t="s">
        <v>179</v>
      </c>
      <c r="N11" s="242" t="s">
        <v>180</v>
      </c>
    </row>
    <row r="12" spans="1:14" x14ac:dyDescent="0.3">
      <c r="A12" s="110" t="s">
        <v>181</v>
      </c>
      <c r="B12" s="109" t="s">
        <v>182</v>
      </c>
      <c r="C12" s="109">
        <v>4</v>
      </c>
      <c r="D12" s="240" t="s">
        <v>116</v>
      </c>
      <c r="E12" s="241" t="s">
        <v>117</v>
      </c>
      <c r="F12" s="112" t="s">
        <v>118</v>
      </c>
      <c r="G12" s="241" t="s">
        <v>119</v>
      </c>
      <c r="H12" s="241" t="s">
        <v>120</v>
      </c>
      <c r="I12" s="113" t="s">
        <v>121</v>
      </c>
      <c r="J12" s="241" t="s">
        <v>122</v>
      </c>
      <c r="K12" s="240" t="s">
        <v>123</v>
      </c>
      <c r="L12" s="241" t="s">
        <v>124</v>
      </c>
      <c r="M12" s="242" t="s">
        <v>125</v>
      </c>
      <c r="N12" s="242" t="s">
        <v>126</v>
      </c>
    </row>
    <row r="13" spans="1:14" x14ac:dyDescent="0.3">
      <c r="A13" s="241" t="s">
        <v>428</v>
      </c>
      <c r="B13" s="109" t="s">
        <v>125</v>
      </c>
      <c r="C13" s="109">
        <v>4</v>
      </c>
      <c r="D13" s="240" t="s">
        <v>116</v>
      </c>
      <c r="E13" s="241" t="s">
        <v>117</v>
      </c>
      <c r="F13" s="112" t="s">
        <v>118</v>
      </c>
      <c r="G13" s="241" t="s">
        <v>119</v>
      </c>
      <c r="H13" s="241" t="s">
        <v>120</v>
      </c>
      <c r="I13" s="113" t="s">
        <v>121</v>
      </c>
      <c r="J13" s="241" t="s">
        <v>122</v>
      </c>
      <c r="K13" s="240" t="s">
        <v>123</v>
      </c>
      <c r="L13" s="241" t="s">
        <v>124</v>
      </c>
      <c r="M13" s="242" t="s">
        <v>125</v>
      </c>
      <c r="N13" s="242" t="s">
        <v>126</v>
      </c>
    </row>
    <row r="14" spans="1:14" x14ac:dyDescent="0.3">
      <c r="A14" s="110" t="s">
        <v>183</v>
      </c>
      <c r="B14" s="109" t="s">
        <v>184</v>
      </c>
      <c r="C14" s="109">
        <v>9</v>
      </c>
      <c r="D14" s="240" t="s">
        <v>139</v>
      </c>
      <c r="E14" s="241" t="s">
        <v>140</v>
      </c>
      <c r="F14" s="112" t="s">
        <v>141</v>
      </c>
      <c r="G14" s="240" t="s">
        <v>142</v>
      </c>
      <c r="H14" s="241" t="s">
        <v>143</v>
      </c>
      <c r="I14" s="112" t="s">
        <v>144</v>
      </c>
      <c r="J14" s="241" t="s">
        <v>145</v>
      </c>
      <c r="K14" s="241" t="s">
        <v>146</v>
      </c>
      <c r="L14" s="241" t="s">
        <v>147</v>
      </c>
      <c r="M14" s="242" t="s">
        <v>148</v>
      </c>
      <c r="N14" s="242">
        <v>94105</v>
      </c>
    </row>
    <row r="15" spans="1:14" x14ac:dyDescent="0.3">
      <c r="A15" s="110" t="s">
        <v>185</v>
      </c>
      <c r="B15" s="109" t="s">
        <v>186</v>
      </c>
      <c r="C15" s="109">
        <v>10</v>
      </c>
      <c r="D15" s="240" t="s">
        <v>129</v>
      </c>
      <c r="E15" s="240" t="s">
        <v>130</v>
      </c>
      <c r="F15" s="113" t="s">
        <v>131</v>
      </c>
      <c r="G15" s="240" t="s">
        <v>132</v>
      </c>
      <c r="H15" s="241"/>
      <c r="I15" s="241"/>
      <c r="J15" s="241" t="s">
        <v>133</v>
      </c>
      <c r="K15" s="241" t="s">
        <v>134</v>
      </c>
      <c r="L15" s="241" t="s">
        <v>135</v>
      </c>
      <c r="M15" s="242" t="s">
        <v>136</v>
      </c>
      <c r="N15" s="242">
        <v>98101</v>
      </c>
    </row>
    <row r="16" spans="1:14" x14ac:dyDescent="0.3">
      <c r="A16" s="110" t="s">
        <v>187</v>
      </c>
      <c r="B16" s="109" t="s">
        <v>188</v>
      </c>
      <c r="C16" s="109">
        <v>5</v>
      </c>
      <c r="D16" s="240" t="s">
        <v>189</v>
      </c>
      <c r="E16" s="241" t="s">
        <v>190</v>
      </c>
      <c r="F16" s="112" t="s">
        <v>191</v>
      </c>
      <c r="G16" s="241" t="s">
        <v>132</v>
      </c>
      <c r="H16" s="241"/>
      <c r="I16" s="241"/>
      <c r="J16" s="240" t="s">
        <v>192</v>
      </c>
      <c r="K16" s="240" t="s">
        <v>193</v>
      </c>
      <c r="L16" s="241" t="s">
        <v>194</v>
      </c>
      <c r="M16" s="242" t="s">
        <v>188</v>
      </c>
      <c r="N16" s="242" t="s">
        <v>195</v>
      </c>
    </row>
    <row r="17" spans="1:14" x14ac:dyDescent="0.3">
      <c r="A17" s="110" t="s">
        <v>196</v>
      </c>
      <c r="B17" s="109" t="s">
        <v>197</v>
      </c>
      <c r="C17" s="109">
        <v>5</v>
      </c>
      <c r="D17" s="240" t="s">
        <v>189</v>
      </c>
      <c r="E17" s="241" t="s">
        <v>190</v>
      </c>
      <c r="F17" s="112" t="s">
        <v>191</v>
      </c>
      <c r="G17" s="241" t="s">
        <v>132</v>
      </c>
      <c r="H17" s="241"/>
      <c r="I17" s="241"/>
      <c r="J17" s="240" t="s">
        <v>192</v>
      </c>
      <c r="K17" s="240" t="s">
        <v>193</v>
      </c>
      <c r="L17" s="241" t="s">
        <v>194</v>
      </c>
      <c r="M17" s="242" t="s">
        <v>188</v>
      </c>
      <c r="N17" s="242" t="s">
        <v>195</v>
      </c>
    </row>
    <row r="18" spans="1:14" x14ac:dyDescent="0.3">
      <c r="A18" s="110" t="s">
        <v>198</v>
      </c>
      <c r="B18" s="109" t="s">
        <v>199</v>
      </c>
      <c r="C18" s="109">
        <v>7</v>
      </c>
      <c r="D18" s="240" t="s">
        <v>200</v>
      </c>
      <c r="E18" s="241" t="s">
        <v>201</v>
      </c>
      <c r="F18" s="112" t="s">
        <v>202</v>
      </c>
      <c r="G18" s="241" t="s">
        <v>132</v>
      </c>
      <c r="H18" s="241"/>
      <c r="I18" s="241"/>
      <c r="J18" s="240" t="s">
        <v>429</v>
      </c>
      <c r="K18" s="240" t="s">
        <v>430</v>
      </c>
      <c r="L18" s="241" t="s">
        <v>373</v>
      </c>
      <c r="M18" s="242" t="s">
        <v>203</v>
      </c>
      <c r="N18" s="242">
        <v>66219</v>
      </c>
    </row>
    <row r="19" spans="1:14" x14ac:dyDescent="0.3">
      <c r="A19" s="110" t="s">
        <v>204</v>
      </c>
      <c r="B19" s="109" t="s">
        <v>205</v>
      </c>
      <c r="C19" s="109">
        <v>7</v>
      </c>
      <c r="D19" s="240" t="s">
        <v>200</v>
      </c>
      <c r="E19" s="241" t="s">
        <v>201</v>
      </c>
      <c r="F19" s="112" t="s">
        <v>202</v>
      </c>
      <c r="G19" s="241" t="s">
        <v>132</v>
      </c>
      <c r="H19" s="241"/>
      <c r="I19" s="241"/>
      <c r="J19" s="240" t="s">
        <v>429</v>
      </c>
      <c r="K19" s="240" t="s">
        <v>430</v>
      </c>
      <c r="L19" s="241" t="s">
        <v>373</v>
      </c>
      <c r="M19" s="242" t="s">
        <v>203</v>
      </c>
      <c r="N19" s="242">
        <v>66219</v>
      </c>
    </row>
    <row r="20" spans="1:14" x14ac:dyDescent="0.3">
      <c r="A20" s="110" t="s">
        <v>206</v>
      </c>
      <c r="B20" s="109" t="s">
        <v>207</v>
      </c>
      <c r="C20" s="109">
        <v>4</v>
      </c>
      <c r="D20" s="240" t="s">
        <v>116</v>
      </c>
      <c r="E20" s="241" t="s">
        <v>117</v>
      </c>
      <c r="F20" s="112" t="s">
        <v>118</v>
      </c>
      <c r="G20" s="241" t="s">
        <v>119</v>
      </c>
      <c r="H20" s="241" t="s">
        <v>120</v>
      </c>
      <c r="I20" s="113" t="s">
        <v>121</v>
      </c>
      <c r="J20" s="241" t="s">
        <v>122</v>
      </c>
      <c r="K20" s="240" t="s">
        <v>123</v>
      </c>
      <c r="L20" s="241" t="s">
        <v>124</v>
      </c>
      <c r="M20" s="242" t="s">
        <v>125</v>
      </c>
      <c r="N20" s="242" t="s">
        <v>126</v>
      </c>
    </row>
    <row r="21" spans="1:14" x14ac:dyDescent="0.3">
      <c r="A21" s="241" t="s">
        <v>431</v>
      </c>
      <c r="B21" s="109" t="s">
        <v>208</v>
      </c>
      <c r="C21" s="109">
        <v>6</v>
      </c>
      <c r="D21" s="240" t="s">
        <v>151</v>
      </c>
      <c r="E21" s="266" t="s">
        <v>152</v>
      </c>
      <c r="F21" s="114" t="s">
        <v>153</v>
      </c>
      <c r="G21" s="241" t="s">
        <v>132</v>
      </c>
      <c r="H21" s="241"/>
      <c r="I21" s="241"/>
      <c r="J21" s="240" t="s">
        <v>154</v>
      </c>
      <c r="K21" s="240" t="s">
        <v>155</v>
      </c>
      <c r="L21" s="241" t="s">
        <v>156</v>
      </c>
      <c r="M21" s="242" t="s">
        <v>157</v>
      </c>
      <c r="N21" s="242" t="s">
        <v>158</v>
      </c>
    </row>
    <row r="22" spans="1:14" x14ac:dyDescent="0.3">
      <c r="A22" s="110" t="s">
        <v>209</v>
      </c>
      <c r="B22" s="109" t="s">
        <v>210</v>
      </c>
      <c r="C22" s="109">
        <v>1</v>
      </c>
      <c r="D22" s="241" t="s">
        <v>173</v>
      </c>
      <c r="E22" s="241" t="s">
        <v>174</v>
      </c>
      <c r="F22" s="113" t="s">
        <v>175</v>
      </c>
      <c r="G22" s="241" t="s">
        <v>132</v>
      </c>
      <c r="H22" s="241"/>
      <c r="I22" s="241"/>
      <c r="J22" s="240" t="s">
        <v>176</v>
      </c>
      <c r="K22" s="240" t="s">
        <v>177</v>
      </c>
      <c r="L22" s="241" t="s">
        <v>178</v>
      </c>
      <c r="M22" s="242" t="s">
        <v>179</v>
      </c>
      <c r="N22" s="242" t="s">
        <v>180</v>
      </c>
    </row>
    <row r="23" spans="1:14" x14ac:dyDescent="0.3">
      <c r="A23" s="110" t="s">
        <v>211</v>
      </c>
      <c r="B23" s="109" t="s">
        <v>179</v>
      </c>
      <c r="C23" s="109">
        <v>1</v>
      </c>
      <c r="D23" s="241" t="s">
        <v>173</v>
      </c>
      <c r="E23" s="241" t="s">
        <v>174</v>
      </c>
      <c r="F23" s="113" t="s">
        <v>175</v>
      </c>
      <c r="G23" s="241" t="s">
        <v>132</v>
      </c>
      <c r="H23" s="241"/>
      <c r="I23" s="241"/>
      <c r="J23" s="240" t="s">
        <v>176</v>
      </c>
      <c r="K23" s="240" t="s">
        <v>177</v>
      </c>
      <c r="L23" s="241" t="s">
        <v>178</v>
      </c>
      <c r="M23" s="242" t="s">
        <v>179</v>
      </c>
      <c r="N23" s="242" t="s">
        <v>180</v>
      </c>
    </row>
    <row r="24" spans="1:14" x14ac:dyDescent="0.3">
      <c r="A24" s="110" t="s">
        <v>212</v>
      </c>
      <c r="B24" s="109" t="s">
        <v>213</v>
      </c>
      <c r="C24" s="109">
        <v>5</v>
      </c>
      <c r="D24" s="240" t="s">
        <v>189</v>
      </c>
      <c r="E24" s="241" t="s">
        <v>190</v>
      </c>
      <c r="F24" s="112" t="s">
        <v>191</v>
      </c>
      <c r="G24" s="241" t="s">
        <v>132</v>
      </c>
      <c r="H24" s="241"/>
      <c r="I24" s="241"/>
      <c r="J24" s="240" t="s">
        <v>192</v>
      </c>
      <c r="K24" s="240" t="s">
        <v>193</v>
      </c>
      <c r="L24" s="241" t="s">
        <v>194</v>
      </c>
      <c r="M24" s="242" t="s">
        <v>188</v>
      </c>
      <c r="N24" s="242" t="s">
        <v>195</v>
      </c>
    </row>
    <row r="25" spans="1:14" x14ac:dyDescent="0.3">
      <c r="A25" s="110" t="s">
        <v>214</v>
      </c>
      <c r="B25" s="109" t="s">
        <v>215</v>
      </c>
      <c r="C25" s="109">
        <v>5</v>
      </c>
      <c r="D25" s="240" t="s">
        <v>189</v>
      </c>
      <c r="E25" s="241" t="s">
        <v>190</v>
      </c>
      <c r="F25" s="112" t="s">
        <v>191</v>
      </c>
      <c r="G25" s="241" t="s">
        <v>132</v>
      </c>
      <c r="H25" s="241"/>
      <c r="I25" s="241"/>
      <c r="J25" s="240" t="s">
        <v>192</v>
      </c>
      <c r="K25" s="240" t="s">
        <v>193</v>
      </c>
      <c r="L25" s="241" t="s">
        <v>194</v>
      </c>
      <c r="M25" s="242" t="s">
        <v>188</v>
      </c>
      <c r="N25" s="242" t="s">
        <v>195</v>
      </c>
    </row>
    <row r="26" spans="1:14" x14ac:dyDescent="0.3">
      <c r="A26" s="110" t="s">
        <v>216</v>
      </c>
      <c r="B26" s="109" t="s">
        <v>217</v>
      </c>
      <c r="C26" s="109">
        <v>4</v>
      </c>
      <c r="D26" s="240" t="s">
        <v>116</v>
      </c>
      <c r="E26" s="241" t="s">
        <v>117</v>
      </c>
      <c r="F26" s="112" t="s">
        <v>118</v>
      </c>
      <c r="G26" s="241" t="s">
        <v>119</v>
      </c>
      <c r="H26" s="241" t="s">
        <v>120</v>
      </c>
      <c r="I26" s="113" t="s">
        <v>121</v>
      </c>
      <c r="J26" s="241" t="s">
        <v>122</v>
      </c>
      <c r="K26" s="240" t="s">
        <v>123</v>
      </c>
      <c r="L26" s="241" t="s">
        <v>124</v>
      </c>
      <c r="M26" s="242" t="s">
        <v>125</v>
      </c>
      <c r="N26" s="242" t="s">
        <v>126</v>
      </c>
    </row>
    <row r="27" spans="1:14" x14ac:dyDescent="0.3">
      <c r="A27" s="110" t="s">
        <v>218</v>
      </c>
      <c r="B27" s="109" t="s">
        <v>219</v>
      </c>
      <c r="C27" s="109">
        <v>7</v>
      </c>
      <c r="D27" s="240" t="s">
        <v>200</v>
      </c>
      <c r="E27" s="241" t="s">
        <v>201</v>
      </c>
      <c r="F27" s="112" t="s">
        <v>202</v>
      </c>
      <c r="G27" s="241" t="s">
        <v>132</v>
      </c>
      <c r="H27" s="241"/>
      <c r="I27" s="241"/>
      <c r="J27" s="240" t="s">
        <v>429</v>
      </c>
      <c r="K27" s="240" t="s">
        <v>430</v>
      </c>
      <c r="L27" s="241" t="s">
        <v>373</v>
      </c>
      <c r="M27" s="242" t="s">
        <v>203</v>
      </c>
      <c r="N27" s="242">
        <v>66219</v>
      </c>
    </row>
    <row r="28" spans="1:14" x14ac:dyDescent="0.3">
      <c r="A28" s="110" t="s">
        <v>220</v>
      </c>
      <c r="B28" s="109" t="s">
        <v>221</v>
      </c>
      <c r="C28" s="109">
        <v>8</v>
      </c>
      <c r="D28" s="240" t="s">
        <v>161</v>
      </c>
      <c r="E28" s="241" t="s">
        <v>162</v>
      </c>
      <c r="F28" s="112" t="s">
        <v>163</v>
      </c>
      <c r="G28" s="240" t="s">
        <v>164</v>
      </c>
      <c r="H28" s="241" t="s">
        <v>165</v>
      </c>
      <c r="I28" s="113" t="s">
        <v>166</v>
      </c>
      <c r="J28" s="240" t="s">
        <v>167</v>
      </c>
      <c r="K28" s="240" t="s">
        <v>168</v>
      </c>
      <c r="L28" s="241" t="s">
        <v>169</v>
      </c>
      <c r="M28" s="242" t="s">
        <v>62</v>
      </c>
      <c r="N28" s="242" t="s">
        <v>170</v>
      </c>
    </row>
    <row r="29" spans="1:14" x14ac:dyDescent="0.3">
      <c r="A29" s="110" t="s">
        <v>222</v>
      </c>
      <c r="B29" s="109" t="s">
        <v>223</v>
      </c>
      <c r="C29" s="109">
        <v>7</v>
      </c>
      <c r="D29" s="240" t="s">
        <v>200</v>
      </c>
      <c r="E29" s="241" t="s">
        <v>201</v>
      </c>
      <c r="F29" s="112" t="s">
        <v>202</v>
      </c>
      <c r="G29" s="241" t="s">
        <v>132</v>
      </c>
      <c r="H29" s="241"/>
      <c r="I29" s="241"/>
      <c r="J29" s="240" t="s">
        <v>429</v>
      </c>
      <c r="K29" s="240" t="s">
        <v>430</v>
      </c>
      <c r="L29" s="241" t="s">
        <v>373</v>
      </c>
      <c r="M29" s="242" t="s">
        <v>203</v>
      </c>
      <c r="N29" s="242">
        <v>66219</v>
      </c>
    </row>
    <row r="30" spans="1:14" x14ac:dyDescent="0.3">
      <c r="A30" s="110" t="s">
        <v>224</v>
      </c>
      <c r="B30" s="109" t="s">
        <v>225</v>
      </c>
      <c r="C30" s="109">
        <v>9</v>
      </c>
      <c r="D30" s="240" t="s">
        <v>139</v>
      </c>
      <c r="E30" s="241" t="s">
        <v>140</v>
      </c>
      <c r="F30" s="112" t="s">
        <v>141</v>
      </c>
      <c r="G30" s="240" t="s">
        <v>142</v>
      </c>
      <c r="H30" s="241" t="s">
        <v>143</v>
      </c>
      <c r="I30" s="112" t="s">
        <v>144</v>
      </c>
      <c r="J30" s="241" t="s">
        <v>145</v>
      </c>
      <c r="K30" s="241" t="s">
        <v>146</v>
      </c>
      <c r="L30" s="241" t="s">
        <v>147</v>
      </c>
      <c r="M30" s="242" t="s">
        <v>148</v>
      </c>
      <c r="N30" s="242">
        <v>94105</v>
      </c>
    </row>
    <row r="31" spans="1:14" x14ac:dyDescent="0.3">
      <c r="A31" s="110" t="s">
        <v>226</v>
      </c>
      <c r="B31" s="109" t="s">
        <v>227</v>
      </c>
      <c r="C31" s="109">
        <v>1</v>
      </c>
      <c r="D31" s="241" t="s">
        <v>173</v>
      </c>
      <c r="E31" s="241" t="s">
        <v>174</v>
      </c>
      <c r="F31" s="113" t="s">
        <v>175</v>
      </c>
      <c r="G31" s="241" t="s">
        <v>132</v>
      </c>
      <c r="H31" s="241"/>
      <c r="I31" s="241"/>
      <c r="J31" s="240" t="s">
        <v>176</v>
      </c>
      <c r="K31" s="240" t="s">
        <v>177</v>
      </c>
      <c r="L31" s="241" t="s">
        <v>178</v>
      </c>
      <c r="M31" s="242" t="s">
        <v>179</v>
      </c>
      <c r="N31" s="242" t="s">
        <v>180</v>
      </c>
    </row>
    <row r="32" spans="1:14" x14ac:dyDescent="0.3">
      <c r="A32" s="110" t="s">
        <v>228</v>
      </c>
      <c r="B32" s="109" t="s">
        <v>229</v>
      </c>
      <c r="C32" s="109">
        <v>2</v>
      </c>
      <c r="D32" s="241" t="s">
        <v>230</v>
      </c>
      <c r="E32" s="241" t="s">
        <v>231</v>
      </c>
      <c r="F32" s="113" t="s">
        <v>232</v>
      </c>
      <c r="G32" s="240" t="s">
        <v>233</v>
      </c>
      <c r="H32" s="241" t="s">
        <v>234</v>
      </c>
      <c r="I32" s="113" t="s">
        <v>235</v>
      </c>
      <c r="J32" s="240" t="s">
        <v>236</v>
      </c>
      <c r="K32" s="240" t="s">
        <v>237</v>
      </c>
      <c r="L32" s="241" t="s">
        <v>238</v>
      </c>
      <c r="M32" s="242" t="s">
        <v>239</v>
      </c>
      <c r="N32" s="242" t="s">
        <v>240</v>
      </c>
    </row>
    <row r="33" spans="1:14" x14ac:dyDescent="0.3">
      <c r="A33" s="110" t="s">
        <v>241</v>
      </c>
      <c r="B33" s="109" t="s">
        <v>242</v>
      </c>
      <c r="C33" s="109">
        <v>6</v>
      </c>
      <c r="D33" s="240" t="s">
        <v>151</v>
      </c>
      <c r="E33" s="266" t="s">
        <v>152</v>
      </c>
      <c r="F33" s="114" t="s">
        <v>153</v>
      </c>
      <c r="G33" s="241" t="s">
        <v>132</v>
      </c>
      <c r="H33" s="241"/>
      <c r="I33" s="241"/>
      <c r="J33" s="240" t="s">
        <v>154</v>
      </c>
      <c r="K33" s="240" t="s">
        <v>155</v>
      </c>
      <c r="L33" s="241" t="s">
        <v>156</v>
      </c>
      <c r="M33" s="242" t="s">
        <v>157</v>
      </c>
      <c r="N33" s="242" t="s">
        <v>158</v>
      </c>
    </row>
    <row r="34" spans="1:14" x14ac:dyDescent="0.3">
      <c r="A34" s="110" t="s">
        <v>238</v>
      </c>
      <c r="B34" s="109" t="s">
        <v>239</v>
      </c>
      <c r="C34" s="109">
        <v>2</v>
      </c>
      <c r="D34" s="241" t="s">
        <v>230</v>
      </c>
      <c r="E34" s="241" t="s">
        <v>231</v>
      </c>
      <c r="F34" s="113" t="s">
        <v>232</v>
      </c>
      <c r="G34" s="240" t="s">
        <v>233</v>
      </c>
      <c r="H34" s="241" t="s">
        <v>234</v>
      </c>
      <c r="I34" s="113" t="s">
        <v>235</v>
      </c>
      <c r="J34" s="240" t="s">
        <v>236</v>
      </c>
      <c r="K34" s="240" t="s">
        <v>237</v>
      </c>
      <c r="L34" s="241" t="s">
        <v>238</v>
      </c>
      <c r="M34" s="242" t="s">
        <v>239</v>
      </c>
      <c r="N34" s="242" t="s">
        <v>240</v>
      </c>
    </row>
    <row r="35" spans="1:14" x14ac:dyDescent="0.3">
      <c r="A35" s="110" t="s">
        <v>243</v>
      </c>
      <c r="B35" s="109" t="s">
        <v>244</v>
      </c>
      <c r="C35" s="109">
        <v>4</v>
      </c>
      <c r="D35" s="240" t="s">
        <v>116</v>
      </c>
      <c r="E35" s="241" t="s">
        <v>117</v>
      </c>
      <c r="F35" s="112" t="s">
        <v>118</v>
      </c>
      <c r="G35" s="241" t="s">
        <v>119</v>
      </c>
      <c r="H35" s="241" t="s">
        <v>120</v>
      </c>
      <c r="I35" s="113" t="s">
        <v>121</v>
      </c>
      <c r="J35" s="241" t="s">
        <v>122</v>
      </c>
      <c r="K35" s="240" t="s">
        <v>123</v>
      </c>
      <c r="L35" s="241" t="s">
        <v>124</v>
      </c>
      <c r="M35" s="242" t="s">
        <v>125</v>
      </c>
      <c r="N35" s="242" t="s">
        <v>126</v>
      </c>
    </row>
    <row r="36" spans="1:14" x14ac:dyDescent="0.3">
      <c r="A36" s="110" t="s">
        <v>245</v>
      </c>
      <c r="B36" s="109" t="s">
        <v>246</v>
      </c>
      <c r="C36" s="109">
        <v>8</v>
      </c>
      <c r="D36" s="240" t="s">
        <v>161</v>
      </c>
      <c r="E36" s="241" t="s">
        <v>162</v>
      </c>
      <c r="F36" s="112" t="s">
        <v>163</v>
      </c>
      <c r="G36" s="240" t="s">
        <v>164</v>
      </c>
      <c r="H36" s="241" t="s">
        <v>165</v>
      </c>
      <c r="I36" s="113" t="s">
        <v>166</v>
      </c>
      <c r="J36" s="240" t="s">
        <v>167</v>
      </c>
      <c r="K36" s="240" t="s">
        <v>168</v>
      </c>
      <c r="L36" s="241" t="s">
        <v>169</v>
      </c>
      <c r="M36" s="242" t="s">
        <v>62</v>
      </c>
      <c r="N36" s="242" t="s">
        <v>170</v>
      </c>
    </row>
    <row r="37" spans="1:14" x14ac:dyDescent="0.3">
      <c r="A37" s="110" t="s">
        <v>247</v>
      </c>
      <c r="B37" s="109" t="s">
        <v>248</v>
      </c>
      <c r="C37" s="109">
        <v>5</v>
      </c>
      <c r="D37" s="240" t="s">
        <v>189</v>
      </c>
      <c r="E37" s="241" t="s">
        <v>190</v>
      </c>
      <c r="F37" s="112" t="s">
        <v>191</v>
      </c>
      <c r="G37" s="241" t="s">
        <v>132</v>
      </c>
      <c r="H37" s="241"/>
      <c r="I37" s="241"/>
      <c r="J37" s="240" t="s">
        <v>192</v>
      </c>
      <c r="K37" s="240" t="s">
        <v>193</v>
      </c>
      <c r="L37" s="241" t="s">
        <v>194</v>
      </c>
      <c r="M37" s="242" t="s">
        <v>188</v>
      </c>
      <c r="N37" s="242" t="s">
        <v>195</v>
      </c>
    </row>
    <row r="38" spans="1:14" x14ac:dyDescent="0.3">
      <c r="A38" s="110" t="s">
        <v>249</v>
      </c>
      <c r="B38" s="109" t="s">
        <v>250</v>
      </c>
      <c r="C38" s="109">
        <v>6</v>
      </c>
      <c r="D38" s="240" t="s">
        <v>151</v>
      </c>
      <c r="E38" s="266" t="s">
        <v>152</v>
      </c>
      <c r="F38" s="114" t="s">
        <v>153</v>
      </c>
      <c r="G38" s="241" t="s">
        <v>132</v>
      </c>
      <c r="H38" s="241"/>
      <c r="I38" s="241"/>
      <c r="J38" s="240" t="s">
        <v>154</v>
      </c>
      <c r="K38" s="240" t="s">
        <v>155</v>
      </c>
      <c r="L38" s="241" t="s">
        <v>156</v>
      </c>
      <c r="M38" s="242" t="s">
        <v>157</v>
      </c>
      <c r="N38" s="242" t="s">
        <v>158</v>
      </c>
    </row>
    <row r="39" spans="1:14" x14ac:dyDescent="0.3">
      <c r="A39" s="110" t="s">
        <v>251</v>
      </c>
      <c r="B39" s="109" t="s">
        <v>252</v>
      </c>
      <c r="C39" s="109">
        <v>10</v>
      </c>
      <c r="D39" s="240" t="s">
        <v>129</v>
      </c>
      <c r="E39" s="240" t="s">
        <v>130</v>
      </c>
      <c r="F39" s="113" t="s">
        <v>131</v>
      </c>
      <c r="G39" s="240" t="s">
        <v>132</v>
      </c>
      <c r="H39" s="241"/>
      <c r="I39" s="241"/>
      <c r="J39" s="241" t="s">
        <v>133</v>
      </c>
      <c r="K39" s="241" t="s">
        <v>134</v>
      </c>
      <c r="L39" s="241" t="s">
        <v>135</v>
      </c>
      <c r="M39" s="242" t="s">
        <v>136</v>
      </c>
      <c r="N39" s="242">
        <v>98101</v>
      </c>
    </row>
    <row r="40" spans="1:14" x14ac:dyDescent="0.3">
      <c r="A40" s="110" t="s">
        <v>253</v>
      </c>
      <c r="B40" s="109" t="s">
        <v>254</v>
      </c>
      <c r="C40" s="109">
        <v>1</v>
      </c>
      <c r="D40" s="241" t="s">
        <v>173</v>
      </c>
      <c r="E40" s="241" t="s">
        <v>174</v>
      </c>
      <c r="F40" s="113" t="s">
        <v>175</v>
      </c>
      <c r="G40" s="241" t="s">
        <v>132</v>
      </c>
      <c r="H40" s="241"/>
      <c r="I40" s="241"/>
      <c r="J40" s="240" t="s">
        <v>176</v>
      </c>
      <c r="K40" s="240" t="s">
        <v>177</v>
      </c>
      <c r="L40" s="241" t="s">
        <v>178</v>
      </c>
      <c r="M40" s="242" t="s">
        <v>179</v>
      </c>
      <c r="N40" s="242" t="s">
        <v>180</v>
      </c>
    </row>
    <row r="41" spans="1:14" x14ac:dyDescent="0.3">
      <c r="A41" s="110" t="s">
        <v>255</v>
      </c>
      <c r="B41" s="109" t="s">
        <v>256</v>
      </c>
      <c r="C41" s="109">
        <v>4</v>
      </c>
      <c r="D41" s="240" t="s">
        <v>116</v>
      </c>
      <c r="E41" s="241" t="s">
        <v>117</v>
      </c>
      <c r="F41" s="112" t="s">
        <v>118</v>
      </c>
      <c r="G41" s="241" t="s">
        <v>119</v>
      </c>
      <c r="H41" s="241" t="s">
        <v>120</v>
      </c>
      <c r="I41" s="113" t="s">
        <v>121</v>
      </c>
      <c r="J41" s="241" t="s">
        <v>122</v>
      </c>
      <c r="K41" s="240" t="s">
        <v>123</v>
      </c>
      <c r="L41" s="241" t="s">
        <v>124</v>
      </c>
      <c r="M41" s="242" t="s">
        <v>125</v>
      </c>
      <c r="N41" s="242" t="s">
        <v>126</v>
      </c>
    </row>
    <row r="42" spans="1:14" x14ac:dyDescent="0.3">
      <c r="A42" s="110" t="s">
        <v>257</v>
      </c>
      <c r="B42" s="109" t="s">
        <v>258</v>
      </c>
      <c r="C42" s="109">
        <v>8</v>
      </c>
      <c r="D42" s="240" t="s">
        <v>161</v>
      </c>
      <c r="E42" s="241" t="s">
        <v>162</v>
      </c>
      <c r="F42" s="112" t="s">
        <v>163</v>
      </c>
      <c r="G42" s="240" t="s">
        <v>164</v>
      </c>
      <c r="H42" s="241" t="s">
        <v>165</v>
      </c>
      <c r="I42" s="113" t="s">
        <v>166</v>
      </c>
      <c r="J42" s="240" t="s">
        <v>167</v>
      </c>
      <c r="K42" s="240" t="s">
        <v>168</v>
      </c>
      <c r="L42" s="241" t="s">
        <v>169</v>
      </c>
      <c r="M42" s="242" t="s">
        <v>62</v>
      </c>
      <c r="N42" s="242" t="s">
        <v>170</v>
      </c>
    </row>
    <row r="43" spans="1:14" x14ac:dyDescent="0.3">
      <c r="A43" s="110" t="s">
        <v>259</v>
      </c>
      <c r="B43" s="109" t="s">
        <v>260</v>
      </c>
      <c r="C43" s="109">
        <v>4</v>
      </c>
      <c r="D43" s="240" t="s">
        <v>116</v>
      </c>
      <c r="E43" s="241" t="s">
        <v>117</v>
      </c>
      <c r="F43" s="112" t="s">
        <v>118</v>
      </c>
      <c r="G43" s="241" t="s">
        <v>119</v>
      </c>
      <c r="H43" s="241" t="s">
        <v>120</v>
      </c>
      <c r="I43" s="113" t="s">
        <v>121</v>
      </c>
      <c r="J43" s="241" t="s">
        <v>122</v>
      </c>
      <c r="K43" s="240" t="s">
        <v>123</v>
      </c>
      <c r="L43" s="241" t="s">
        <v>124</v>
      </c>
      <c r="M43" s="242" t="s">
        <v>125</v>
      </c>
      <c r="N43" s="242" t="s">
        <v>126</v>
      </c>
    </row>
    <row r="44" spans="1:14" x14ac:dyDescent="0.3">
      <c r="A44" s="110" t="s">
        <v>261</v>
      </c>
      <c r="B44" s="109" t="s">
        <v>157</v>
      </c>
      <c r="C44" s="109">
        <v>6</v>
      </c>
      <c r="D44" s="240" t="s">
        <v>151</v>
      </c>
      <c r="E44" s="266" t="s">
        <v>152</v>
      </c>
      <c r="F44" s="114" t="s">
        <v>153</v>
      </c>
      <c r="G44" s="241" t="s">
        <v>132</v>
      </c>
      <c r="H44" s="241"/>
      <c r="I44" s="241"/>
      <c r="J44" s="240" t="s">
        <v>154</v>
      </c>
      <c r="K44" s="240" t="s">
        <v>155</v>
      </c>
      <c r="L44" s="241" t="s">
        <v>156</v>
      </c>
      <c r="M44" s="242" t="s">
        <v>157</v>
      </c>
      <c r="N44" s="242" t="s">
        <v>158</v>
      </c>
    </row>
    <row r="45" spans="1:14" x14ac:dyDescent="0.3">
      <c r="A45" s="110" t="s">
        <v>262</v>
      </c>
      <c r="B45" s="109" t="s">
        <v>263</v>
      </c>
      <c r="C45" s="109">
        <v>8</v>
      </c>
      <c r="D45" s="240" t="s">
        <v>161</v>
      </c>
      <c r="E45" s="241" t="s">
        <v>162</v>
      </c>
      <c r="F45" s="112" t="s">
        <v>163</v>
      </c>
      <c r="G45" s="240" t="s">
        <v>164</v>
      </c>
      <c r="H45" s="241" t="s">
        <v>165</v>
      </c>
      <c r="I45" s="113" t="s">
        <v>166</v>
      </c>
      <c r="J45" s="240" t="s">
        <v>167</v>
      </c>
      <c r="K45" s="240" t="s">
        <v>168</v>
      </c>
      <c r="L45" s="241" t="s">
        <v>169</v>
      </c>
      <c r="M45" s="242" t="s">
        <v>62</v>
      </c>
      <c r="N45" s="242" t="s">
        <v>170</v>
      </c>
    </row>
    <row r="46" spans="1:14" x14ac:dyDescent="0.3">
      <c r="A46" s="110" t="s">
        <v>264</v>
      </c>
      <c r="B46" s="109" t="s">
        <v>265</v>
      </c>
      <c r="C46" s="109">
        <v>1</v>
      </c>
      <c r="D46" s="241" t="s">
        <v>173</v>
      </c>
      <c r="E46" s="241" t="s">
        <v>174</v>
      </c>
      <c r="F46" s="113" t="s">
        <v>175</v>
      </c>
      <c r="G46" s="241" t="s">
        <v>132</v>
      </c>
      <c r="H46" s="241"/>
      <c r="I46" s="241"/>
      <c r="J46" s="240" t="s">
        <v>176</v>
      </c>
      <c r="K46" s="240" t="s">
        <v>177</v>
      </c>
      <c r="L46" s="241" t="s">
        <v>178</v>
      </c>
      <c r="M46" s="242" t="s">
        <v>179</v>
      </c>
      <c r="N46" s="242" t="s">
        <v>180</v>
      </c>
    </row>
    <row r="47" spans="1:14" x14ac:dyDescent="0.3">
      <c r="A47" s="110" t="s">
        <v>266</v>
      </c>
      <c r="B47" s="109" t="s">
        <v>136</v>
      </c>
      <c r="C47" s="109">
        <v>10</v>
      </c>
      <c r="D47" s="240" t="s">
        <v>129</v>
      </c>
      <c r="E47" s="240" t="s">
        <v>130</v>
      </c>
      <c r="F47" s="113" t="s">
        <v>131</v>
      </c>
      <c r="G47" s="240" t="s">
        <v>132</v>
      </c>
      <c r="H47" s="241"/>
      <c r="I47" s="241"/>
      <c r="J47" s="241" t="s">
        <v>133</v>
      </c>
      <c r="K47" s="241" t="s">
        <v>134</v>
      </c>
      <c r="L47" s="241" t="s">
        <v>135</v>
      </c>
      <c r="M47" s="242" t="s">
        <v>136</v>
      </c>
      <c r="N47" s="242">
        <v>98101</v>
      </c>
    </row>
    <row r="48" spans="1:14" x14ac:dyDescent="0.3">
      <c r="A48" s="110" t="s">
        <v>267</v>
      </c>
      <c r="B48" s="109" t="s">
        <v>268</v>
      </c>
      <c r="C48" s="109">
        <v>5</v>
      </c>
      <c r="D48" s="240" t="s">
        <v>189</v>
      </c>
      <c r="E48" s="241" t="s">
        <v>190</v>
      </c>
      <c r="F48" s="112" t="s">
        <v>191</v>
      </c>
      <c r="G48" s="241" t="s">
        <v>132</v>
      </c>
      <c r="H48" s="241"/>
      <c r="I48" s="241"/>
      <c r="J48" s="240" t="s">
        <v>192</v>
      </c>
      <c r="K48" s="240" t="s">
        <v>193</v>
      </c>
      <c r="L48" s="241" t="s">
        <v>194</v>
      </c>
      <c r="M48" s="242" t="s">
        <v>188</v>
      </c>
      <c r="N48" s="242" t="s">
        <v>195</v>
      </c>
    </row>
    <row r="49" spans="1:14" x14ac:dyDescent="0.3">
      <c r="A49" s="110" t="s">
        <v>269</v>
      </c>
      <c r="B49" s="109" t="s">
        <v>270</v>
      </c>
      <c r="C49" s="109">
        <v>8</v>
      </c>
      <c r="D49" s="240" t="s">
        <v>161</v>
      </c>
      <c r="E49" s="241" t="s">
        <v>162</v>
      </c>
      <c r="F49" s="112" t="s">
        <v>163</v>
      </c>
      <c r="G49" s="240" t="s">
        <v>164</v>
      </c>
      <c r="H49" s="241" t="s">
        <v>165</v>
      </c>
      <c r="I49" s="113" t="s">
        <v>166</v>
      </c>
      <c r="J49" s="240" t="s">
        <v>167</v>
      </c>
      <c r="K49" s="240" t="s">
        <v>168</v>
      </c>
      <c r="L49" s="241" t="s">
        <v>169</v>
      </c>
      <c r="M49" s="242" t="s">
        <v>62</v>
      </c>
      <c r="N49" s="242" t="s">
        <v>170</v>
      </c>
    </row>
    <row r="50" spans="1:14" x14ac:dyDescent="0.3">
      <c r="A50" s="110" t="s">
        <v>271</v>
      </c>
      <c r="B50" s="109" t="s">
        <v>272</v>
      </c>
      <c r="C50" s="109">
        <v>3</v>
      </c>
      <c r="D50" s="240" t="s">
        <v>132</v>
      </c>
      <c r="E50" s="241"/>
      <c r="F50" s="241"/>
      <c r="G50" s="241"/>
      <c r="H50" s="241"/>
      <c r="I50" s="241"/>
      <c r="J50" s="241"/>
      <c r="K50" s="241"/>
      <c r="L50" s="241"/>
      <c r="M50" s="242"/>
      <c r="N50" s="242"/>
    </row>
    <row r="51" spans="1:14" x14ac:dyDescent="0.3">
      <c r="A51" s="110" t="s">
        <v>273</v>
      </c>
      <c r="B51" s="109" t="s">
        <v>274</v>
      </c>
      <c r="C51" s="109">
        <v>3</v>
      </c>
      <c r="D51" s="240" t="s">
        <v>132</v>
      </c>
      <c r="E51" s="241"/>
      <c r="F51" s="241"/>
      <c r="G51" s="241"/>
      <c r="H51" s="241"/>
      <c r="I51" s="241"/>
      <c r="J51" s="241"/>
      <c r="K51" s="241"/>
      <c r="L51" s="241"/>
      <c r="M51" s="242"/>
      <c r="N51" s="242"/>
    </row>
    <row r="52" spans="1:14" x14ac:dyDescent="0.3">
      <c r="A52" s="110" t="s">
        <v>275</v>
      </c>
      <c r="B52" s="109" t="s">
        <v>276</v>
      </c>
      <c r="C52" s="109">
        <v>3</v>
      </c>
      <c r="D52" s="240" t="s">
        <v>132</v>
      </c>
      <c r="E52" s="241"/>
      <c r="F52" s="241"/>
      <c r="G52" s="241"/>
      <c r="H52" s="241"/>
      <c r="I52" s="241"/>
      <c r="J52" s="241"/>
      <c r="K52" s="241"/>
      <c r="L52" s="241"/>
      <c r="M52" s="242"/>
      <c r="N52" s="242"/>
    </row>
    <row r="53" spans="1:14" x14ac:dyDescent="0.3">
      <c r="A53" s="110" t="s">
        <v>277</v>
      </c>
      <c r="B53" s="109" t="s">
        <v>278</v>
      </c>
      <c r="C53" s="109">
        <v>3</v>
      </c>
      <c r="D53" s="240" t="s">
        <v>132</v>
      </c>
      <c r="E53" s="241"/>
      <c r="F53" s="241"/>
      <c r="G53" s="241"/>
      <c r="H53" s="241"/>
      <c r="I53" s="241"/>
      <c r="J53" s="241"/>
      <c r="K53" s="241"/>
      <c r="L53" s="241"/>
      <c r="M53" s="242"/>
      <c r="N53" s="242"/>
    </row>
    <row r="54" spans="1:14" x14ac:dyDescent="0.3">
      <c r="A54" s="110" t="s">
        <v>279</v>
      </c>
      <c r="B54" s="109" t="s">
        <v>280</v>
      </c>
      <c r="C54" s="109">
        <v>3</v>
      </c>
      <c r="D54" s="240" t="s">
        <v>132</v>
      </c>
      <c r="E54" s="241"/>
      <c r="F54" s="241"/>
      <c r="G54" s="241"/>
      <c r="H54" s="241"/>
      <c r="I54" s="241"/>
      <c r="J54" s="241"/>
      <c r="K54" s="241"/>
      <c r="L54" s="241"/>
      <c r="M54" s="242"/>
      <c r="N54" s="242"/>
    </row>
    <row r="55" spans="1:14" x14ac:dyDescent="0.3">
      <c r="A55" s="110" t="s">
        <v>281</v>
      </c>
      <c r="B55" s="109" t="s">
        <v>282</v>
      </c>
      <c r="C55" s="109">
        <v>3</v>
      </c>
      <c r="D55" s="240" t="s">
        <v>132</v>
      </c>
      <c r="E55" s="241"/>
      <c r="F55" s="241"/>
      <c r="G55" s="241"/>
      <c r="H55" s="241"/>
      <c r="I55" s="241"/>
      <c r="J55" s="241"/>
      <c r="K55" s="241"/>
      <c r="L55" s="241"/>
      <c r="M55" s="242"/>
      <c r="N55" s="242"/>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9"/>
  <sheetViews>
    <sheetView showGridLines="0" zoomScaleNormal="100" workbookViewId="0"/>
  </sheetViews>
  <sheetFormatPr defaultColWidth="3.33203125" defaultRowHeight="13.2" x14ac:dyDescent="0.25"/>
  <cols>
    <col min="1" max="1" width="0.5546875" style="24" customWidth="1"/>
    <col min="2" max="2" width="11.6640625" style="24" customWidth="1"/>
    <col min="3" max="3" width="18.109375" style="24" customWidth="1"/>
    <col min="4" max="4" width="58" style="24" customWidth="1"/>
    <col min="5" max="5" width="79.33203125" style="24" customWidth="1"/>
    <col min="6" max="27" width="1.6640625" style="24" customWidth="1"/>
    <col min="28" max="16384" width="3.33203125" style="24"/>
  </cols>
  <sheetData>
    <row r="1" spans="2:5" ht="17.399999999999999" x14ac:dyDescent="0.3">
      <c r="B1" s="22" t="str">
        <f>'Change Log'!A1</f>
        <v>Printing Operations Registration Calculator</v>
      </c>
    </row>
    <row r="2" spans="2:5" ht="15.75" customHeight="1" x14ac:dyDescent="0.25">
      <c r="B2" s="296" t="str">
        <f>'Change Log'!A2</f>
        <v>v1.3 (last updated 2013.02.26)</v>
      </c>
      <c r="C2" s="296"/>
      <c r="D2" s="296"/>
    </row>
    <row r="3" spans="2:5" ht="114.75" customHeight="1" x14ac:dyDescent="0.25">
      <c r="B3" s="303" t="s">
        <v>456</v>
      </c>
      <c r="C3" s="303"/>
      <c r="D3" s="303"/>
      <c r="E3" s="303"/>
    </row>
    <row r="4" spans="2:5" ht="6.75" customHeight="1" x14ac:dyDescent="0.25">
      <c r="B4" s="253"/>
      <c r="C4" s="253"/>
      <c r="D4" s="253"/>
    </row>
    <row r="5" spans="2:5" x14ac:dyDescent="0.25">
      <c r="B5" s="96" t="s">
        <v>4</v>
      </c>
    </row>
    <row r="6" spans="2:5" ht="32.25" customHeight="1" x14ac:dyDescent="0.25">
      <c r="B6" s="269" t="s">
        <v>378</v>
      </c>
      <c r="C6" s="269"/>
      <c r="D6" s="269"/>
      <c r="E6" s="269"/>
    </row>
    <row r="7" spans="2:5" ht="4.5" customHeight="1" x14ac:dyDescent="0.25">
      <c r="B7" s="97"/>
    </row>
    <row r="8" spans="2:5" ht="13.5" customHeight="1" x14ac:dyDescent="0.25">
      <c r="B8" s="96" t="s">
        <v>12</v>
      </c>
    </row>
    <row r="9" spans="2:5" ht="55.5" customHeight="1" x14ac:dyDescent="0.25">
      <c r="B9" s="297" t="s">
        <v>463</v>
      </c>
      <c r="C9" s="298"/>
      <c r="D9" s="298"/>
      <c r="E9" s="298"/>
    </row>
    <row r="10" spans="2:5" ht="4.5" customHeight="1" x14ac:dyDescent="0.25">
      <c r="B10" s="97"/>
    </row>
    <row r="11" spans="2:5" x14ac:dyDescent="0.25">
      <c r="B11" s="96" t="s">
        <v>26</v>
      </c>
    </row>
    <row r="12" spans="2:5" ht="56.25" customHeight="1" x14ac:dyDescent="0.25">
      <c r="B12" s="301" t="s">
        <v>379</v>
      </c>
      <c r="C12" s="302"/>
      <c r="D12" s="302"/>
      <c r="E12" s="302"/>
    </row>
    <row r="13" spans="2:5" ht="9" customHeight="1" thickBot="1" x14ac:dyDescent="0.3">
      <c r="B13" s="96"/>
    </row>
    <row r="14" spans="2:5" ht="13.8" thickBot="1" x14ac:dyDescent="0.3">
      <c r="B14" s="283" t="s">
        <v>302</v>
      </c>
      <c r="C14" s="299"/>
      <c r="D14" s="300"/>
    </row>
    <row r="15" spans="2:5" x14ac:dyDescent="0.25">
      <c r="B15" s="274" t="s">
        <v>374</v>
      </c>
      <c r="C15" s="275"/>
      <c r="D15" s="276"/>
    </row>
    <row r="16" spans="2:5" x14ac:dyDescent="0.25">
      <c r="B16" s="277" t="s">
        <v>375</v>
      </c>
      <c r="C16" s="278"/>
      <c r="D16" s="279"/>
    </row>
    <row r="17" spans="2:5" x14ac:dyDescent="0.25">
      <c r="B17" s="288" t="s">
        <v>376</v>
      </c>
      <c r="C17" s="289"/>
      <c r="D17" s="290"/>
    </row>
    <row r="18" spans="2:5" ht="13.8" thickBot="1" x14ac:dyDescent="0.3">
      <c r="B18" s="280" t="s">
        <v>303</v>
      </c>
      <c r="C18" s="281"/>
      <c r="D18" s="282"/>
    </row>
    <row r="19" spans="2:5" ht="10.5" customHeight="1" thickBot="1" x14ac:dyDescent="0.3">
      <c r="B19" s="98"/>
      <c r="C19" s="99"/>
      <c r="D19" s="98"/>
      <c r="E19" s="25"/>
    </row>
    <row r="20" spans="2:5" ht="13.8" thickBot="1" x14ac:dyDescent="0.3">
      <c r="B20" s="283" t="s">
        <v>304</v>
      </c>
      <c r="C20" s="284"/>
      <c r="D20" s="285"/>
    </row>
    <row r="21" spans="2:5" ht="55.5" customHeight="1" x14ac:dyDescent="0.25">
      <c r="B21" s="211" t="s">
        <v>334</v>
      </c>
      <c r="C21" s="291" t="s">
        <v>345</v>
      </c>
      <c r="D21" s="292"/>
    </row>
    <row r="22" spans="2:5" ht="15" customHeight="1" x14ac:dyDescent="0.25">
      <c r="B22" s="212" t="s">
        <v>329</v>
      </c>
      <c r="C22" s="293" t="s">
        <v>339</v>
      </c>
      <c r="D22" s="295"/>
    </row>
    <row r="23" spans="2:5" ht="12.75" customHeight="1" x14ac:dyDescent="0.25">
      <c r="B23" s="152" t="s">
        <v>62</v>
      </c>
      <c r="C23" s="153" t="s">
        <v>91</v>
      </c>
      <c r="D23" s="154"/>
    </row>
    <row r="24" spans="2:5" ht="12.75" customHeight="1" x14ac:dyDescent="0.25">
      <c r="B24" s="152" t="s">
        <v>308</v>
      </c>
      <c r="C24" s="153" t="s">
        <v>309</v>
      </c>
      <c r="D24" s="154"/>
    </row>
    <row r="25" spans="2:5" ht="12.75" customHeight="1" x14ac:dyDescent="0.25">
      <c r="B25" s="152" t="s">
        <v>315</v>
      </c>
      <c r="C25" s="153" t="s">
        <v>316</v>
      </c>
      <c r="D25" s="154"/>
    </row>
    <row r="26" spans="2:5" ht="57.75" customHeight="1" x14ac:dyDescent="0.25">
      <c r="B26" s="213" t="s">
        <v>335</v>
      </c>
      <c r="C26" s="293" t="s">
        <v>346</v>
      </c>
      <c r="D26" s="294"/>
    </row>
    <row r="27" spans="2:5" ht="25.5" customHeight="1" x14ac:dyDescent="0.25">
      <c r="B27" s="156" t="s">
        <v>443</v>
      </c>
      <c r="C27" s="293" t="s">
        <v>464</v>
      </c>
      <c r="D27" s="295"/>
    </row>
    <row r="28" spans="2:5" ht="12.75" customHeight="1" x14ac:dyDescent="0.25">
      <c r="B28" s="152" t="s">
        <v>77</v>
      </c>
      <c r="C28" s="153" t="s">
        <v>95</v>
      </c>
      <c r="D28" s="154"/>
    </row>
    <row r="29" spans="2:5" ht="12.75" customHeight="1" x14ac:dyDescent="0.25">
      <c r="B29" s="152" t="s">
        <v>414</v>
      </c>
      <c r="C29" s="155" t="s">
        <v>432</v>
      </c>
      <c r="D29" s="255"/>
    </row>
    <row r="30" spans="2:5" ht="12.75" customHeight="1" x14ac:dyDescent="0.25">
      <c r="B30" s="152" t="s">
        <v>314</v>
      </c>
      <c r="C30" s="155" t="s">
        <v>92</v>
      </c>
      <c r="D30" s="255"/>
    </row>
    <row r="31" spans="2:5" ht="12.75" customHeight="1" x14ac:dyDescent="0.25">
      <c r="B31" s="152" t="s">
        <v>305</v>
      </c>
      <c r="C31" s="155" t="s">
        <v>51</v>
      </c>
      <c r="D31" s="255"/>
      <c r="E31" s="25"/>
    </row>
    <row r="32" spans="2:5" ht="15" customHeight="1" x14ac:dyDescent="0.25">
      <c r="B32" s="152" t="s">
        <v>75</v>
      </c>
      <c r="C32" s="286" t="s">
        <v>306</v>
      </c>
      <c r="D32" s="287"/>
    </row>
    <row r="33" spans="2:13" ht="14.25" customHeight="1" x14ac:dyDescent="0.25">
      <c r="B33" s="152" t="s">
        <v>76</v>
      </c>
      <c r="C33" s="254" t="s">
        <v>307</v>
      </c>
      <c r="D33" s="255"/>
    </row>
    <row r="34" spans="2:13" ht="15" customHeight="1" x14ac:dyDescent="0.25">
      <c r="B34" s="146" t="s">
        <v>322</v>
      </c>
      <c r="C34" s="157" t="s">
        <v>323</v>
      </c>
      <c r="D34" s="158"/>
    </row>
    <row r="35" spans="2:13" ht="14.25" customHeight="1" x14ac:dyDescent="0.25">
      <c r="B35" s="156" t="s">
        <v>74</v>
      </c>
      <c r="C35" s="157" t="s">
        <v>93</v>
      </c>
      <c r="D35" s="158"/>
    </row>
    <row r="36" spans="2:13" ht="12.75" customHeight="1" x14ac:dyDescent="0.25">
      <c r="B36" s="156" t="s">
        <v>3</v>
      </c>
      <c r="C36" s="286" t="s">
        <v>2</v>
      </c>
      <c r="D36" s="287"/>
    </row>
    <row r="37" spans="2:13" ht="12.75" customHeight="1" thickBot="1" x14ac:dyDescent="0.3">
      <c r="B37" s="159" t="s">
        <v>467</v>
      </c>
      <c r="C37" s="322" t="s">
        <v>468</v>
      </c>
      <c r="D37" s="323"/>
    </row>
    <row r="38" spans="2:13" ht="13.5" customHeight="1" thickBot="1" x14ac:dyDescent="0.3">
      <c r="B38" s="98"/>
      <c r="C38" s="98"/>
      <c r="D38" s="98"/>
      <c r="F38" s="25"/>
    </row>
    <row r="39" spans="2:13" ht="15.75" customHeight="1" thickBot="1" x14ac:dyDescent="0.3">
      <c r="B39" s="100" t="s">
        <v>47</v>
      </c>
      <c r="C39" s="101"/>
      <c r="D39" s="101"/>
      <c r="E39" s="102"/>
      <c r="F39" s="25"/>
    </row>
    <row r="40" spans="2:13" ht="16.5" customHeight="1" thickBot="1" x14ac:dyDescent="0.3">
      <c r="B40" s="215" t="s">
        <v>377</v>
      </c>
      <c r="C40" s="103"/>
      <c r="D40" s="103"/>
      <c r="E40" s="216"/>
      <c r="F40" s="25"/>
    </row>
    <row r="41" spans="2:13" ht="18" customHeight="1" x14ac:dyDescent="0.25">
      <c r="B41" s="310" t="s">
        <v>44</v>
      </c>
      <c r="C41" s="311"/>
      <c r="D41" s="324" t="s">
        <v>337</v>
      </c>
      <c r="E41" s="325"/>
      <c r="M41" s="25"/>
    </row>
    <row r="42" spans="2:13" ht="18.75" customHeight="1" x14ac:dyDescent="0.25">
      <c r="B42" s="312" t="s">
        <v>45</v>
      </c>
      <c r="C42" s="313"/>
      <c r="D42" s="326" t="s">
        <v>48</v>
      </c>
      <c r="E42" s="327"/>
    </row>
    <row r="43" spans="2:13" ht="54" customHeight="1" x14ac:dyDescent="0.25">
      <c r="B43" s="316" t="s">
        <v>46</v>
      </c>
      <c r="C43" s="317"/>
      <c r="D43" s="326" t="s">
        <v>338</v>
      </c>
      <c r="E43" s="327"/>
    </row>
    <row r="44" spans="2:13" ht="21.75" customHeight="1" x14ac:dyDescent="0.25">
      <c r="B44" s="318"/>
      <c r="C44" s="319"/>
      <c r="D44" s="308" t="s">
        <v>310</v>
      </c>
      <c r="E44" s="309"/>
    </row>
    <row r="45" spans="2:13" ht="130.5" customHeight="1" x14ac:dyDescent="0.25">
      <c r="B45" s="312" t="s">
        <v>58</v>
      </c>
      <c r="C45" s="313"/>
      <c r="D45" s="304" t="s">
        <v>473</v>
      </c>
      <c r="E45" s="305"/>
    </row>
    <row r="46" spans="2:13" ht="57.75" customHeight="1" x14ac:dyDescent="0.25">
      <c r="B46" s="320" t="s">
        <v>367</v>
      </c>
      <c r="C46" s="321"/>
      <c r="D46" s="304" t="s">
        <v>474</v>
      </c>
      <c r="E46" s="305"/>
    </row>
    <row r="47" spans="2:13" ht="41.25" customHeight="1" thickBot="1" x14ac:dyDescent="0.3">
      <c r="B47" s="314" t="s">
        <v>366</v>
      </c>
      <c r="C47" s="315"/>
      <c r="D47" s="306" t="s">
        <v>365</v>
      </c>
      <c r="E47" s="307"/>
    </row>
    <row r="48" spans="2:13" x14ac:dyDescent="0.25">
      <c r="B48" s="104"/>
      <c r="C48" s="105"/>
      <c r="D48" s="105"/>
    </row>
    <row r="49" spans="2:5" x14ac:dyDescent="0.25">
      <c r="B49" s="25"/>
      <c r="C49" s="25"/>
      <c r="D49" s="25"/>
      <c r="E49" s="25"/>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1">
    <mergeCell ref="C37:D37"/>
    <mergeCell ref="C27:D27"/>
    <mergeCell ref="D41:E41"/>
    <mergeCell ref="D42:E42"/>
    <mergeCell ref="D43:E43"/>
    <mergeCell ref="C36:D36"/>
    <mergeCell ref="D45:E45"/>
    <mergeCell ref="D47:E47"/>
    <mergeCell ref="D44:E44"/>
    <mergeCell ref="D46:E46"/>
    <mergeCell ref="B41:C41"/>
    <mergeCell ref="B42:C42"/>
    <mergeCell ref="B45:C45"/>
    <mergeCell ref="B47:C47"/>
    <mergeCell ref="B43:C44"/>
    <mergeCell ref="B46:C46"/>
    <mergeCell ref="B2:D2"/>
    <mergeCell ref="B9:E9"/>
    <mergeCell ref="B6:E6"/>
    <mergeCell ref="B14:D14"/>
    <mergeCell ref="B12:E12"/>
    <mergeCell ref="B3:E3"/>
    <mergeCell ref="B15:D15"/>
    <mergeCell ref="B16:D16"/>
    <mergeCell ref="B18:D18"/>
    <mergeCell ref="B20:D20"/>
    <mergeCell ref="C32:D32"/>
    <mergeCell ref="B17:D17"/>
    <mergeCell ref="C21:D21"/>
    <mergeCell ref="C26:D26"/>
    <mergeCell ref="C22:D22"/>
  </mergeCells>
  <phoneticPr fontId="0" type="noConversion"/>
  <hyperlinks>
    <hyperlink ref="D44" r:id="rId2"/>
  </hyperlinks>
  <pageMargins left="0.2" right="0.2" top="0.5" bottom="0.5" header="0.5" footer="0.5"/>
  <pageSetup scale="70" orientation="landscape" r:id="rId3"/>
  <headerFooter alignWithMargins="0">
    <oddFooter>&amp;LPage &amp;P of &amp;N&amp;C&amp;F&amp;RPrinted &amp;D</oddFooter>
  </headerFooter>
  <rowBreaks count="1" manualBreakCount="1">
    <brk id="3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95"/>
  <sheetViews>
    <sheetView showGridLines="0" zoomScaleNormal="100" workbookViewId="0"/>
  </sheetViews>
  <sheetFormatPr defaultColWidth="9.109375" defaultRowHeight="13.2" x14ac:dyDescent="0.25"/>
  <cols>
    <col min="1" max="1" width="2.88671875" style="24" customWidth="1"/>
    <col min="2" max="2" width="54.33203125" style="24" customWidth="1"/>
    <col min="3" max="3" width="95" style="24" customWidth="1"/>
    <col min="4" max="4" width="18" style="24" customWidth="1"/>
    <col min="5" max="5" width="97.44140625" style="24" hidden="1" customWidth="1"/>
    <col min="6" max="16384" width="9.109375" style="24"/>
  </cols>
  <sheetData>
    <row r="1" spans="2:5" ht="17.399999999999999" x14ac:dyDescent="0.3">
      <c r="B1" s="22" t="s">
        <v>301</v>
      </c>
    </row>
    <row r="2" spans="2:5" ht="16.2" thickBot="1" x14ac:dyDescent="0.4">
      <c r="E2" s="143" t="s">
        <v>295</v>
      </c>
    </row>
    <row r="3" spans="2:5" ht="13.8" thickBot="1" x14ac:dyDescent="0.3">
      <c r="B3" s="283" t="s">
        <v>5</v>
      </c>
      <c r="C3" s="285"/>
      <c r="E3" s="144" t="s">
        <v>11</v>
      </c>
    </row>
    <row r="4" spans="2:5" x14ac:dyDescent="0.25">
      <c r="B4" s="205" t="s">
        <v>6</v>
      </c>
      <c r="C4" s="206" t="s">
        <v>457</v>
      </c>
      <c r="E4" s="144" t="s">
        <v>296</v>
      </c>
    </row>
    <row r="5" spans="2:5" x14ac:dyDescent="0.25">
      <c r="B5" s="69" t="s">
        <v>7</v>
      </c>
      <c r="C5" s="42" t="s">
        <v>20</v>
      </c>
      <c r="E5" s="144" t="s">
        <v>16</v>
      </c>
    </row>
    <row r="6" spans="2:5" x14ac:dyDescent="0.25">
      <c r="B6" s="69" t="s">
        <v>112</v>
      </c>
      <c r="C6" s="42" t="s">
        <v>283</v>
      </c>
      <c r="E6" s="145"/>
    </row>
    <row r="7" spans="2:5" x14ac:dyDescent="0.25">
      <c r="B7" s="69" t="s">
        <v>104</v>
      </c>
      <c r="C7" s="262" t="s">
        <v>241</v>
      </c>
      <c r="E7" s="143" t="s">
        <v>297</v>
      </c>
    </row>
    <row r="8" spans="2:5" ht="13.8" thickBot="1" x14ac:dyDescent="0.3">
      <c r="B8" s="70" t="s">
        <v>284</v>
      </c>
      <c r="C8" s="207">
        <v>87101</v>
      </c>
      <c r="E8" s="144" t="s">
        <v>11</v>
      </c>
    </row>
    <row r="9" spans="2:5" ht="13.8" thickBot="1" x14ac:dyDescent="0.3">
      <c r="E9" s="144" t="s">
        <v>298</v>
      </c>
    </row>
    <row r="10" spans="2:5" ht="13.8" thickBot="1" x14ac:dyDescent="0.3">
      <c r="B10" s="332" t="s">
        <v>10</v>
      </c>
      <c r="C10" s="300"/>
      <c r="E10" s="144" t="s">
        <v>296</v>
      </c>
    </row>
    <row r="11" spans="2:5" x14ac:dyDescent="0.25">
      <c r="B11" s="68" t="s">
        <v>6</v>
      </c>
      <c r="C11" s="45" t="s">
        <v>17</v>
      </c>
      <c r="E11" s="144" t="s">
        <v>16</v>
      </c>
    </row>
    <row r="12" spans="2:5" x14ac:dyDescent="0.25">
      <c r="B12" s="69" t="s">
        <v>8</v>
      </c>
      <c r="C12" s="42" t="s">
        <v>18</v>
      </c>
      <c r="E12" s="144" t="s">
        <v>15</v>
      </c>
    </row>
    <row r="13" spans="2:5" ht="13.8" thickBot="1" x14ac:dyDescent="0.3">
      <c r="B13" s="71" t="s">
        <v>9</v>
      </c>
      <c r="C13" s="43" t="s">
        <v>19</v>
      </c>
      <c r="E13" s="144" t="s">
        <v>14</v>
      </c>
    </row>
    <row r="14" spans="2:5" ht="13.8" thickBot="1" x14ac:dyDescent="0.3">
      <c r="B14" s="106"/>
      <c r="C14" s="107"/>
    </row>
    <row r="15" spans="2:5" ht="16.2" thickBot="1" x14ac:dyDescent="0.4">
      <c r="B15" s="335" t="str">
        <f>"U.S. Environmental Protection Agency Region "&amp;VLOOKUP(C7,'EPA Regional Contact Info'!$A$5:$C$49,3,FALSE)&amp;" Contact"</f>
        <v>U.S. Environmental Protection Agency Region 6 Contact</v>
      </c>
      <c r="C15" s="336"/>
      <c r="E15" s="143" t="s">
        <v>299</v>
      </c>
    </row>
    <row r="16" spans="2:5" x14ac:dyDescent="0.25">
      <c r="B16" s="115" t="s">
        <v>285</v>
      </c>
      <c r="C16" s="116" t="str">
        <f>VLOOKUP($C$7,'EPA Regional Contact Info'!$A$5:$N$49,4,FALSE)</f>
        <v>Bonnie Braganza</v>
      </c>
      <c r="E16" s="144" t="s">
        <v>11</v>
      </c>
    </row>
    <row r="17" spans="2:5" x14ac:dyDescent="0.25">
      <c r="B17" s="117" t="s">
        <v>286</v>
      </c>
      <c r="C17" s="118" t="str">
        <f>VLOOKUP($C$7,'EPA Regional Contact Info'!$A$5:$N$49,5,FALSE)</f>
        <v>214-665-7340</v>
      </c>
      <c r="E17" s="144" t="s">
        <v>300</v>
      </c>
    </row>
    <row r="18" spans="2:5" x14ac:dyDescent="0.25">
      <c r="B18" s="117" t="s">
        <v>287</v>
      </c>
      <c r="C18" s="118" t="str">
        <f>VLOOKUP($C$7,'EPA Regional Contact Info'!$A$5:$N$49,6,FALSE)</f>
        <v>braganza.bonnie@epa.gov</v>
      </c>
      <c r="E18" s="145"/>
    </row>
    <row r="19" spans="2:5" x14ac:dyDescent="0.25">
      <c r="B19" s="117" t="s">
        <v>288</v>
      </c>
      <c r="C19" s="118" t="str">
        <f>VLOOKUP($C$7,'EPA Regional Contact Info'!$A$5:$N$49,7,FALSE)</f>
        <v>None</v>
      </c>
    </row>
    <row r="20" spans="2:5" x14ac:dyDescent="0.25">
      <c r="B20" s="117" t="s">
        <v>289</v>
      </c>
      <c r="C20" s="118" t="str">
        <f>IF(VLOOKUP($C$7,'EPA Regional Contact Info'!$A$5:$N$49,8,FALSE)=0,"",VLOOKUP($C$7,'EPA Regional Contact Info'!$A$5:$N$49,8,FALSE))</f>
        <v/>
      </c>
      <c r="E20" s="232" t="s">
        <v>383</v>
      </c>
    </row>
    <row r="21" spans="2:5" ht="15" customHeight="1" x14ac:dyDescent="0.25">
      <c r="B21" s="117" t="s">
        <v>290</v>
      </c>
      <c r="C21" s="118" t="str">
        <f>IF(VLOOKUP($C$7,'EPA Regional Contact Info'!$A$5:$N$49,9,FALSE)=0,"",VLOOKUP($C$7,'EPA Regional Contact Info'!$A$5:$N$49,9,FALSE))</f>
        <v/>
      </c>
      <c r="E21" s="44" t="s">
        <v>384</v>
      </c>
    </row>
    <row r="22" spans="2:5" x14ac:dyDescent="0.25">
      <c r="B22" s="119" t="s">
        <v>7</v>
      </c>
      <c r="C22" s="120" t="str">
        <f>"U.S. Environmental Protection Agency Region "&amp;VLOOKUP($C$7,'EPA Regional Contact Info'!$A$5:$C$49,3,FALSE)</f>
        <v>U.S. Environmental Protection Agency Region 6</v>
      </c>
      <c r="E22" s="44" t="s">
        <v>385</v>
      </c>
    </row>
    <row r="23" spans="2:5" ht="15" customHeight="1" x14ac:dyDescent="0.25">
      <c r="B23" s="121"/>
      <c r="C23" s="122" t="str">
        <f>VLOOKUP($C$7,'EPA Regional Contact Info'!$A$5:$N$49,10,FALSE)</f>
        <v>1445 Ross Avenue, Suite 1200</v>
      </c>
      <c r="E23" s="44" t="s">
        <v>386</v>
      </c>
    </row>
    <row r="24" spans="2:5" x14ac:dyDescent="0.25">
      <c r="B24" s="121"/>
      <c r="C24" s="122" t="str">
        <f>VLOOKUP($C$7,'EPA Regional Contact Info'!$A$5:$N$49,11,FALSE)</f>
        <v>MC: 6PD</v>
      </c>
      <c r="E24" s="44" t="s">
        <v>387</v>
      </c>
    </row>
    <row r="25" spans="2:5" ht="13.8" thickBot="1" x14ac:dyDescent="0.3">
      <c r="B25" s="123"/>
      <c r="C25" s="124" t="str">
        <f>VLOOKUP($C$7,'EPA Regional Contact Info'!$A$5:$N$49,12,FALSE)&amp;", "&amp;VLOOKUP($C$7,'EPA Regional Contact Info'!$A$5:$N$49,13,FALSE)&amp;" "&amp;VLOOKUP($C$7,'EPA Regional Contact Info'!$A$5:$N$49,14,FALSE)</f>
        <v>Dallas, TX 75202-2733</v>
      </c>
    </row>
    <row r="26" spans="2:5" ht="13.8" thickBot="1" x14ac:dyDescent="0.3">
      <c r="E26" s="232" t="s">
        <v>388</v>
      </c>
    </row>
    <row r="27" spans="2:5" ht="13.8" thickBot="1" x14ac:dyDescent="0.3">
      <c r="B27" s="333" t="s">
        <v>43</v>
      </c>
      <c r="C27" s="334"/>
      <c r="E27" s="44" t="s">
        <v>389</v>
      </c>
    </row>
    <row r="28" spans="2:5" x14ac:dyDescent="0.25">
      <c r="B28" s="134" t="s">
        <v>59</v>
      </c>
      <c r="C28" s="135" t="s">
        <v>11</v>
      </c>
      <c r="E28" s="44" t="s">
        <v>390</v>
      </c>
    </row>
    <row r="29" spans="2:5" ht="12.75" customHeight="1" x14ac:dyDescent="0.25">
      <c r="B29" s="136"/>
      <c r="C29" s="137"/>
    </row>
    <row r="30" spans="2:5" ht="12.75" customHeight="1" x14ac:dyDescent="0.25">
      <c r="B30" s="136" t="s">
        <v>294</v>
      </c>
      <c r="C30" s="138" t="s">
        <v>11</v>
      </c>
      <c r="E30" s="232" t="s">
        <v>392</v>
      </c>
    </row>
    <row r="31" spans="2:5" ht="12.75" customHeight="1" x14ac:dyDescent="0.25">
      <c r="B31" s="139"/>
      <c r="C31" s="140"/>
      <c r="E31" s="44" t="s">
        <v>397</v>
      </c>
    </row>
    <row r="32" spans="2:5" ht="12.75" customHeight="1" x14ac:dyDescent="0.25">
      <c r="B32" s="136" t="s">
        <v>60</v>
      </c>
      <c r="C32" s="138" t="s">
        <v>11</v>
      </c>
      <c r="E32" s="44" t="s">
        <v>398</v>
      </c>
    </row>
    <row r="33" spans="2:5" ht="12.75" customHeight="1" x14ac:dyDescent="0.25">
      <c r="B33" s="139"/>
      <c r="C33" s="140"/>
      <c r="D33" s="54"/>
    </row>
    <row r="34" spans="2:5" ht="12.75" customHeight="1" x14ac:dyDescent="0.25">
      <c r="B34" s="136" t="s">
        <v>61</v>
      </c>
      <c r="C34" s="138" t="s">
        <v>11</v>
      </c>
      <c r="E34" s="232" t="s">
        <v>395</v>
      </c>
    </row>
    <row r="35" spans="2:5" ht="12.75" customHeight="1" x14ac:dyDescent="0.25">
      <c r="B35" s="139"/>
      <c r="C35" s="140"/>
      <c r="E35" s="44" t="s">
        <v>68</v>
      </c>
    </row>
    <row r="36" spans="2:5" ht="12.75" customHeight="1" x14ac:dyDescent="0.25">
      <c r="B36" s="136" t="s">
        <v>324</v>
      </c>
      <c r="C36" s="138" t="s">
        <v>11</v>
      </c>
      <c r="E36" s="44" t="s">
        <v>399</v>
      </c>
    </row>
    <row r="37" spans="2:5" ht="12.75" customHeight="1" thickBot="1" x14ac:dyDescent="0.3">
      <c r="B37" s="141"/>
      <c r="C37" s="142"/>
      <c r="E37" s="44" t="s">
        <v>69</v>
      </c>
    </row>
    <row r="38" spans="2:5" ht="12.75" customHeight="1" thickBot="1" x14ac:dyDescent="0.3">
      <c r="B38" s="23"/>
      <c r="C38" s="107"/>
      <c r="D38" s="54"/>
      <c r="E38" s="44" t="s">
        <v>94</v>
      </c>
    </row>
    <row r="39" spans="2:5" ht="13.8" thickBot="1" x14ac:dyDescent="0.3">
      <c r="B39" s="94" t="s">
        <v>57</v>
      </c>
      <c r="C39" s="95"/>
      <c r="E39" s="173"/>
    </row>
    <row r="40" spans="2:5" ht="42.75" customHeight="1" thickBot="1" x14ac:dyDescent="0.3">
      <c r="B40" s="337" t="s">
        <v>440</v>
      </c>
      <c r="C40" s="338"/>
      <c r="E40" s="232" t="s">
        <v>405</v>
      </c>
    </row>
    <row r="41" spans="2:5" ht="28.5" customHeight="1" x14ac:dyDescent="0.25">
      <c r="B41" s="246" t="s">
        <v>465</v>
      </c>
      <c r="C41" s="263">
        <v>0.01</v>
      </c>
      <c r="E41" s="44" t="s">
        <v>52</v>
      </c>
    </row>
    <row r="42" spans="2:5" x14ac:dyDescent="0.25">
      <c r="B42" s="330" t="s">
        <v>396</v>
      </c>
      <c r="C42" s="331"/>
      <c r="E42" s="44" t="s">
        <v>53</v>
      </c>
    </row>
    <row r="43" spans="2:5" ht="30" customHeight="1" x14ac:dyDescent="0.25">
      <c r="B43" s="243" t="s">
        <v>413</v>
      </c>
      <c r="C43" s="263" t="s">
        <v>412</v>
      </c>
      <c r="E43" s="173"/>
    </row>
    <row r="44" spans="2:5" x14ac:dyDescent="0.25">
      <c r="B44" s="136" t="s">
        <v>382</v>
      </c>
      <c r="C44" s="138" t="s">
        <v>384</v>
      </c>
    </row>
    <row r="45" spans="2:5" ht="13.5" customHeight="1" x14ac:dyDescent="0.25">
      <c r="B45" s="136" t="s">
        <v>404</v>
      </c>
      <c r="C45" s="138" t="s">
        <v>389</v>
      </c>
      <c r="E45" s="232" t="s">
        <v>410</v>
      </c>
    </row>
    <row r="46" spans="2:5" ht="26.4" x14ac:dyDescent="0.25">
      <c r="B46" s="243" t="s">
        <v>409</v>
      </c>
      <c r="C46" s="138">
        <v>0.01</v>
      </c>
      <c r="E46" s="44" t="s">
        <v>411</v>
      </c>
    </row>
    <row r="47" spans="2:5" ht="30.75" customHeight="1" x14ac:dyDescent="0.25">
      <c r="B47" s="243" t="s">
        <v>441</v>
      </c>
      <c r="C47" s="138">
        <v>0.01</v>
      </c>
      <c r="E47" s="44" t="s">
        <v>412</v>
      </c>
    </row>
    <row r="48" spans="2:5" ht="36.75" customHeight="1" x14ac:dyDescent="0.25">
      <c r="B48" s="243" t="s">
        <v>442</v>
      </c>
      <c r="C48" s="138">
        <v>0</v>
      </c>
    </row>
    <row r="49" spans="2:5" ht="21.75" customHeight="1" x14ac:dyDescent="0.25">
      <c r="B49" s="243" t="s">
        <v>458</v>
      </c>
      <c r="C49" s="257">
        <f>IF(C48=0,Allowable_Ink_Solvent_Density,C48)</f>
        <v>6.2</v>
      </c>
    </row>
    <row r="50" spans="2:5" x14ac:dyDescent="0.25">
      <c r="B50" s="328" t="s">
        <v>393</v>
      </c>
      <c r="C50" s="329"/>
      <c r="E50" s="232" t="s">
        <v>445</v>
      </c>
    </row>
    <row r="51" spans="2:5" x14ac:dyDescent="0.25">
      <c r="B51" s="243" t="s">
        <v>466</v>
      </c>
      <c r="C51" s="264" t="s">
        <v>53</v>
      </c>
      <c r="E51" s="247" t="str">
        <f>'EPA Regional Contact Info'!A5</f>
        <v>Alabama</v>
      </c>
    </row>
    <row r="52" spans="2:5" ht="15" customHeight="1" x14ac:dyDescent="0.25">
      <c r="B52" s="243" t="s">
        <v>394</v>
      </c>
      <c r="C52" s="138" t="s">
        <v>397</v>
      </c>
      <c r="E52" s="247" t="str">
        <f>'EPA Regional Contact Info'!A6</f>
        <v>Alaska</v>
      </c>
    </row>
    <row r="53" spans="2:5" ht="15" customHeight="1" x14ac:dyDescent="0.25">
      <c r="B53" s="243" t="s">
        <v>406</v>
      </c>
      <c r="C53" s="138">
        <v>0</v>
      </c>
      <c r="E53" s="247" t="str">
        <f>'EPA Regional Contact Info'!A7</f>
        <v>Arizona</v>
      </c>
    </row>
    <row r="54" spans="2:5" ht="13.5" customHeight="1" x14ac:dyDescent="0.25">
      <c r="B54" s="243" t="s">
        <v>391</v>
      </c>
      <c r="C54" s="138" t="s">
        <v>69</v>
      </c>
      <c r="E54" s="247" t="str">
        <f>'EPA Regional Contact Info'!A8</f>
        <v>Arkansas</v>
      </c>
    </row>
    <row r="55" spans="2:5" ht="25.5" customHeight="1" x14ac:dyDescent="0.25">
      <c r="B55" s="243" t="str">
        <f xml:space="preserve"> IF(Dryer_fuel = "Natural Gas", "How much fuel was used in your facility's dryer during calendar year 2012? (in MMscf) ","How much fuel was used in your facility's dryer during calendar year 2012? (in 1000 gal)")</f>
        <v>How much fuel was used in your facility's dryer during calendar year 2012? (in 1000 gal)</v>
      </c>
      <c r="C55" s="138">
        <v>0.1</v>
      </c>
      <c r="E55" s="247" t="str">
        <f>'EPA Regional Contact Info'!A9</f>
        <v>California</v>
      </c>
    </row>
    <row r="56" spans="2:5" ht="33.75" customHeight="1" x14ac:dyDescent="0.25">
      <c r="B56" s="244" t="s">
        <v>470</v>
      </c>
      <c r="C56" s="138">
        <v>0</v>
      </c>
      <c r="E56" s="247" t="str">
        <f>'EPA Regional Contact Info'!A10</f>
        <v>Colorado</v>
      </c>
    </row>
    <row r="57" spans="2:5" ht="15.75" customHeight="1" thickBot="1" x14ac:dyDescent="0.3">
      <c r="B57" s="245" t="s">
        <v>469</v>
      </c>
      <c r="C57" s="228">
        <f>IF(C56=0,Distillate_Oil_Allowable_Sulfur_Content,C56)</f>
        <v>0.5</v>
      </c>
      <c r="E57" s="247" t="str">
        <f>'EPA Regional Contact Info'!A11</f>
        <v>Connecticut</v>
      </c>
    </row>
    <row r="58" spans="2:5" x14ac:dyDescent="0.25">
      <c r="B58" s="72"/>
      <c r="E58" s="247" t="str">
        <f>'EPA Regional Contact Info'!A12</f>
        <v>Florida</v>
      </c>
    </row>
    <row r="59" spans="2:5" x14ac:dyDescent="0.25">
      <c r="B59" s="72"/>
      <c r="E59" s="247" t="str">
        <f>'EPA Regional Contact Info'!A13</f>
        <v>Georgia</v>
      </c>
    </row>
    <row r="60" spans="2:5" x14ac:dyDescent="0.25">
      <c r="E60" s="247" t="str">
        <f>'EPA Regional Contact Info'!A14</f>
        <v>Hawaii</v>
      </c>
    </row>
    <row r="61" spans="2:5" x14ac:dyDescent="0.25">
      <c r="E61" s="247" t="str">
        <f>'EPA Regional Contact Info'!A15</f>
        <v>Idaho</v>
      </c>
    </row>
    <row r="62" spans="2:5" ht="14.25" customHeight="1" x14ac:dyDescent="0.25">
      <c r="E62" s="247" t="str">
        <f>'EPA Regional Contact Info'!A16</f>
        <v>Illinois</v>
      </c>
    </row>
    <row r="63" spans="2:5" x14ac:dyDescent="0.25">
      <c r="E63" s="247" t="str">
        <f>'EPA Regional Contact Info'!A17</f>
        <v>Indiana</v>
      </c>
    </row>
    <row r="64" spans="2:5" x14ac:dyDescent="0.25">
      <c r="E64" s="247" t="str">
        <f>'EPA Regional Contact Info'!A18</f>
        <v>Iowa</v>
      </c>
    </row>
    <row r="65" spans="5:5" x14ac:dyDescent="0.25">
      <c r="E65" s="247" t="str">
        <f>'EPA Regional Contact Info'!A19</f>
        <v>Kansas</v>
      </c>
    </row>
    <row r="66" spans="5:5" x14ac:dyDescent="0.25">
      <c r="E66" s="247" t="str">
        <f>'EPA Regional Contact Info'!A20</f>
        <v>Kentucky</v>
      </c>
    </row>
    <row r="67" spans="5:5" x14ac:dyDescent="0.25">
      <c r="E67" s="247" t="str">
        <f>'EPA Regional Contact Info'!A21</f>
        <v>Louisiana</v>
      </c>
    </row>
    <row r="68" spans="5:5" x14ac:dyDescent="0.25">
      <c r="E68" s="247" t="str">
        <f>'EPA Regional Contact Info'!A22</f>
        <v>Maine</v>
      </c>
    </row>
    <row r="69" spans="5:5" x14ac:dyDescent="0.25">
      <c r="E69" s="247" t="str">
        <f>'EPA Regional Contact Info'!A23</f>
        <v>Massachusetts</v>
      </c>
    </row>
    <row r="70" spans="5:5" x14ac:dyDescent="0.25">
      <c r="E70" s="247" t="str">
        <f>'EPA Regional Contact Info'!A24</f>
        <v>Michigan</v>
      </c>
    </row>
    <row r="71" spans="5:5" x14ac:dyDescent="0.25">
      <c r="E71" s="247" t="str">
        <f>'EPA Regional Contact Info'!A25</f>
        <v>Minnesota</v>
      </c>
    </row>
    <row r="72" spans="5:5" x14ac:dyDescent="0.25">
      <c r="E72" s="247" t="str">
        <f>'EPA Regional Contact Info'!A26</f>
        <v>Mississippi</v>
      </c>
    </row>
    <row r="73" spans="5:5" x14ac:dyDescent="0.25">
      <c r="E73" s="247" t="str">
        <f>'EPA Regional Contact Info'!A27</f>
        <v>Missouri</v>
      </c>
    </row>
    <row r="74" spans="5:5" x14ac:dyDescent="0.25">
      <c r="E74" s="247" t="str">
        <f>'EPA Regional Contact Info'!A28</f>
        <v>Montana</v>
      </c>
    </row>
    <row r="75" spans="5:5" x14ac:dyDescent="0.25">
      <c r="E75" s="247" t="str">
        <f>'EPA Regional Contact Info'!A29</f>
        <v>Nebraska</v>
      </c>
    </row>
    <row r="76" spans="5:5" x14ac:dyDescent="0.25">
      <c r="E76" s="247" t="str">
        <f>'EPA Regional Contact Info'!A30</f>
        <v>Nevada</v>
      </c>
    </row>
    <row r="77" spans="5:5" x14ac:dyDescent="0.25">
      <c r="E77" s="247" t="str">
        <f>'EPA Regional Contact Info'!A31</f>
        <v>New Hampshire</v>
      </c>
    </row>
    <row r="78" spans="5:5" x14ac:dyDescent="0.25">
      <c r="E78" s="247" t="str">
        <f>'EPA Regional Contact Info'!A32</f>
        <v>New Jersey</v>
      </c>
    </row>
    <row r="79" spans="5:5" x14ac:dyDescent="0.25">
      <c r="E79" s="247" t="str">
        <f>'EPA Regional Contact Info'!A33</f>
        <v>New Mexico</v>
      </c>
    </row>
    <row r="80" spans="5:5" x14ac:dyDescent="0.25">
      <c r="E80" s="247" t="str">
        <f>'EPA Regional Contact Info'!A34</f>
        <v>New York</v>
      </c>
    </row>
    <row r="81" spans="5:5" x14ac:dyDescent="0.25">
      <c r="E81" s="247" t="str">
        <f>'EPA Regional Contact Info'!A35</f>
        <v>North Carolina</v>
      </c>
    </row>
    <row r="82" spans="5:5" x14ac:dyDescent="0.25">
      <c r="E82" s="247" t="str">
        <f>'EPA Regional Contact Info'!A36</f>
        <v>North Dakota</v>
      </c>
    </row>
    <row r="83" spans="5:5" x14ac:dyDescent="0.25">
      <c r="E83" s="247" t="str">
        <f>'EPA Regional Contact Info'!A37</f>
        <v>Ohio</v>
      </c>
    </row>
    <row r="84" spans="5:5" x14ac:dyDescent="0.25">
      <c r="E84" s="247" t="str">
        <f>'EPA Regional Contact Info'!A38</f>
        <v>Oklahoma</v>
      </c>
    </row>
    <row r="85" spans="5:5" x14ac:dyDescent="0.25">
      <c r="E85" s="247" t="str">
        <f>'EPA Regional Contact Info'!A39</f>
        <v>Oregon</v>
      </c>
    </row>
    <row r="86" spans="5:5" x14ac:dyDescent="0.25">
      <c r="E86" s="247" t="str">
        <f>'EPA Regional Contact Info'!A40</f>
        <v>Rhode Island</v>
      </c>
    </row>
    <row r="87" spans="5:5" x14ac:dyDescent="0.25">
      <c r="E87" s="247" t="str">
        <f>'EPA Regional Contact Info'!A41</f>
        <v>South Carolina</v>
      </c>
    </row>
    <row r="88" spans="5:5" x14ac:dyDescent="0.25">
      <c r="E88" s="247" t="str">
        <f>'EPA Regional Contact Info'!A42</f>
        <v>South Dakota</v>
      </c>
    </row>
    <row r="89" spans="5:5" x14ac:dyDescent="0.25">
      <c r="E89" s="247" t="str">
        <f>'EPA Regional Contact Info'!A43</f>
        <v>Tennessee</v>
      </c>
    </row>
    <row r="90" spans="5:5" x14ac:dyDescent="0.25">
      <c r="E90" s="247" t="str">
        <f>'EPA Regional Contact Info'!A44</f>
        <v>Texas</v>
      </c>
    </row>
    <row r="91" spans="5:5" x14ac:dyDescent="0.25">
      <c r="E91" s="247" t="str">
        <f>'EPA Regional Contact Info'!A45</f>
        <v>Utah</v>
      </c>
    </row>
    <row r="92" spans="5:5" x14ac:dyDescent="0.25">
      <c r="E92" s="247" t="str">
        <f>'EPA Regional Contact Info'!A46</f>
        <v>Vermont</v>
      </c>
    </row>
    <row r="93" spans="5:5" x14ac:dyDescent="0.25">
      <c r="E93" s="247" t="str">
        <f>'EPA Regional Contact Info'!A47</f>
        <v>Washington</v>
      </c>
    </row>
    <row r="94" spans="5:5" x14ac:dyDescent="0.25">
      <c r="E94" s="247" t="str">
        <f>'EPA Regional Contact Info'!A48</f>
        <v>Wisconsin</v>
      </c>
    </row>
    <row r="95" spans="5:5" x14ac:dyDescent="0.25">
      <c r="E95" s="247" t="str">
        <f>'EPA Regional Contact Info'!A49</f>
        <v>Wyoming</v>
      </c>
    </row>
  </sheetData>
  <sheetProtection password="C969" sheet="1" objects="1" scenarios="1"/>
  <dataConsolidate/>
  <mergeCells count="7">
    <mergeCell ref="B50:C50"/>
    <mergeCell ref="B42:C42"/>
    <mergeCell ref="B3:C3"/>
    <mergeCell ref="B10:C10"/>
    <mergeCell ref="B27:C27"/>
    <mergeCell ref="B15:C15"/>
    <mergeCell ref="B40:C40"/>
  </mergeCells>
  <conditionalFormatting sqref="B52:C57">
    <cfRule type="expression" dxfId="11" priority="3">
      <formula>$C$51&lt;&gt;"Yes"</formula>
    </cfRule>
  </conditionalFormatting>
  <conditionalFormatting sqref="B56:C57">
    <cfRule type="expression" dxfId="10" priority="2">
      <formula>$C$54&lt;&gt;"Oil - Distillate"</formula>
    </cfRule>
  </conditionalFormatting>
  <dataValidations xWindow="831" yWindow="553" count="21">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Printing Process" prompt="Select the printing process that your facility uses. If your facility uses more than one of the listed printing processes, select the one that is most frequently used. " sqref="C44">
      <formula1>Printing_Processes_List</formula1>
    </dataValidation>
    <dataValidation type="list" allowBlank="1" showInputMessage="1" showErrorMessage="1" promptTitle="Printing Substrate" prompt="Select whether your facility primarily prints publications or newspapers. If your facility prints both publications and newspaper, select whichever is most frequently printed." sqref="C45">
      <formula1>Print_Type_List</formula1>
    </dataValidation>
    <dataValidation type="decimal" operator="greaterThan" allowBlank="1" showInputMessage="1" showErrorMessage="1" error="Gallons of ink used must be a positive number greater than zero." promptTitle="Average Mixed Ink Usage" prompt="Enter an estimate of the number of gallons of mixed ink that your facility uses in an average hour. Mixed ink is ink that includes pigments, binders, and solvents." sqref="C46">
      <formula1>0</formula1>
    </dataValidation>
    <dataValidation type="decimal" operator="greaterThanOrEqual" allowBlank="1" showInputMessage="1" showErrorMessage="1" promptTitle="Solvent Density (lb/gal)" prompt="Enter the density of solvent (lb/gal) used in ink at your facility. If you do not have this information, enter 0 and a default solvent density will be used. The solvent density used will be shown in the box below." sqref="C48">
      <formula1>0</formula1>
    </dataValidation>
    <dataValidation type="list" allowBlank="1" showInputMessage="1" showErrorMessage="1" promptTitle="Dryer Type" prompt="Select whether the dryer at your facility uses hot air or a direct flame." sqref="C52">
      <formula1>Dryer_Type_List</formula1>
    </dataValidation>
    <dataValidation type="list" allowBlank="1" showInputMessage="1" showErrorMessage="1" promptTitle="Fuel Type" prompt="Select the type of fuel combusted in your facility's dryer in calendar year 2012." sqref="C54">
      <formula1>Dryer_Fuel_List</formula1>
    </dataValidation>
    <dataValidation type="decimal" operator="greaterThan" allowBlank="1" showInputMessage="1" showErrorMessage="1" error="Fuel used must be a positive number greater than zero." promptTitle="Fuel Usage in Calendar Year 2012" prompt="Enter the quantity of fuel combusted. The units should match those provided in cell B55._x000a__x000a_MMscf = million standard cubic feet_x000a_1000 gal = thousand gallons_x000a__x000a_For example, if your facility combusted 2,000 gallons of distillate oil in 2012, you should enter 2." sqref="C55">
      <formula1>0</formula1>
    </dataValidation>
    <dataValidation type="list" allowBlank="1" showInputMessage="1" showErrorMessage="1" sqref="C51">
      <formula1>Dryer_Use_List</formula1>
    </dataValidation>
    <dataValidation type="decimal" allowBlank="1" showInputMessage="1" showErrorMessage="1" error="Dryer capacity must be between 0 and 100 MMBtu." promptTitle="Heat Input of Dryer" prompt="Enter the maximum heat input of your dryer in MMBtu/hr." sqref="C53">
      <formula1>0</formula1>
      <formula2>100</formula2>
    </dataValidation>
    <dataValidation type="list" allowBlank="1" showInputMessage="1" showErrorMessage="1" promptTitle="Ink Type" prompt="Select whether your printing operation used waterborne or solvent-borne ink for printing in calendar year 2012." sqref="C43">
      <formula1>Solvent_Type_List</formula1>
    </dataValidation>
    <dataValidation type="decimal" operator="greaterThanOrEqual" allowBlank="1" showInputMessage="1" showErrorMessage="1" errorTitle="Value Out of Range" error="Maximum potential gallons of ink used per hour must be greater than or equal to the average gallons of ink used per hour entered above." promptTitle="Maximum Mixed Ink Usage" prompt="Enter an estimate of the maximum number of gallons of mixed ink that your facility could use in an hour. Mixed ink is ink that includes pigments, binders, and solvents." sqref="C47">
      <formula1>Hourly_Gallons_Ink_Actual</formula1>
    </dataValidation>
    <dataValidation type="decimal" allowBlank="1" showInputMessage="1" showErrorMessage="1" errorTitle="Value Out of Range" error="The sulfur content must be between 0 and 0.5 percent. The maximum allowable sulfur content of distillate oil combusted on Tribal lands is 0.5 percent. See 40 CFR 49.130(d)(2)" promptTitle="Sulfur Content of Distillate Oil" prompt="Enter the sulfur content of fuel used in your facility's dryer (in percent). If you do not have this information enter 0 and a default value will be selected. The sulfur content used will be shown in the box below." sqref="C56">
      <formula1>0</formula1>
      <formula2>0.5</formula2>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Title="Solvent Density (lb/gal)" prompt="The average density (in pounds/gallon) of solvent used in mixed ink at your facility during calendar year 2012. If 0 is entered in the field above, a default value of 6.20 lb/gal will be used." sqref="C49"/>
    <dataValidation type="decimal" allowBlank="1" showInputMessage="1" showErrorMessage="1" errorTitle="Value Out of Range" error="The sulfur content must be between 0 and 0.5 percent. The maximum allowable sulfur content of distillate oil combusted on Tribal lands is 0.5 percent. See 40 CFR 49.130(d)(2)" promptTitle="Sulfur Content (percentage)" prompt="The sulfur content of the distillate oil as a weight percentage that is used to calculate emissions in this calculator. If 0 is entered in the field above, a default value of 0.5 percent will be used." sqref="C57">
      <formula1>0</formula1>
      <formula2>0.5</formula2>
    </dataValidation>
    <dataValidation type="decimal" allowBlank="1" showInputMessage="1" showErrorMessage="1" errorTitle="Value Out of Range" error="Hours of operation per week should be greater than 0 and less than or equal to 168." promptTitle="Average Hours of Operation" prompt="Enter the average hours per week that your printing operations ran in 2012." sqref="C41">
      <formula1>0.01</formula1>
      <formula2>168</formula2>
    </dataValidation>
  </dataValidations>
  <pageMargins left="0.7" right="0.7" top="0.75" bottom="0.75" header="0.3" footer="0.3"/>
  <pageSetup scale="82" orientation="landscape" r:id="rId1"/>
  <headerFooter>
    <oddFooter>&amp;LPage &amp;P of &amp;N&amp;C&amp;F&amp;RPrinted &amp;D</oddFooter>
  </headerFooter>
  <rowBreaks count="1" manualBreakCount="1">
    <brk id="3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zoomScaleNormal="100" workbookViewId="0"/>
  </sheetViews>
  <sheetFormatPr defaultColWidth="9.109375" defaultRowHeight="13.2" x14ac:dyDescent="0.25"/>
  <cols>
    <col min="1" max="1" width="2.5546875" style="24" customWidth="1"/>
    <col min="2" max="2" width="48" style="24" customWidth="1"/>
    <col min="3" max="3" width="95" style="24" customWidth="1"/>
    <col min="4" max="5" width="9.109375" style="24"/>
    <col min="6" max="6" width="30.109375" style="24" hidden="1" customWidth="1"/>
    <col min="7" max="7" width="26" style="24" hidden="1" customWidth="1"/>
    <col min="8" max="16384" width="9.109375" style="24"/>
  </cols>
  <sheetData>
    <row r="1" spans="2:7" ht="17.399999999999999" x14ac:dyDescent="0.3">
      <c r="B1" s="167" t="s">
        <v>368</v>
      </c>
    </row>
    <row r="2" spans="2:7" ht="13.8" thickBot="1" x14ac:dyDescent="0.3"/>
    <row r="3" spans="2:7" ht="13.8" thickBot="1" x14ac:dyDescent="0.3">
      <c r="B3" s="283" t="s">
        <v>325</v>
      </c>
      <c r="C3" s="285"/>
    </row>
    <row r="4" spans="2:7" ht="64.5" customHeight="1" x14ac:dyDescent="0.25">
      <c r="B4" s="93" t="s">
        <v>446</v>
      </c>
      <c r="C4" s="180" t="s">
        <v>132</v>
      </c>
      <c r="F4" s="227" t="s">
        <v>326</v>
      </c>
    </row>
    <row r="5" spans="2:7" ht="26.4" x14ac:dyDescent="0.25">
      <c r="B5" s="92" t="s">
        <v>371</v>
      </c>
      <c r="C5" s="138">
        <v>0</v>
      </c>
      <c r="F5" s="209" t="s">
        <v>327</v>
      </c>
    </row>
    <row r="6" spans="2:7" ht="13.8" thickBot="1" x14ac:dyDescent="0.3">
      <c r="B6" s="208" t="s">
        <v>372</v>
      </c>
      <c r="C6" s="228">
        <f>$F$18</f>
        <v>0</v>
      </c>
      <c r="F6" s="209" t="s">
        <v>328</v>
      </c>
    </row>
    <row r="7" spans="2:7" ht="13.8" thickBot="1" x14ac:dyDescent="0.3">
      <c r="F7" s="209" t="s">
        <v>132</v>
      </c>
    </row>
    <row r="8" spans="2:7" x14ac:dyDescent="0.25">
      <c r="B8" s="341" t="s">
        <v>455</v>
      </c>
      <c r="C8" s="342"/>
      <c r="F8" s="54"/>
    </row>
    <row r="9" spans="2:7" ht="75.75" customHeight="1" x14ac:dyDescent="0.25">
      <c r="B9" s="339" t="s">
        <v>471</v>
      </c>
      <c r="C9" s="340"/>
      <c r="F9" s="227" t="s">
        <v>452</v>
      </c>
      <c r="G9" s="227" t="s">
        <v>343</v>
      </c>
    </row>
    <row r="10" spans="2:7" ht="40.200000000000003" thickBot="1" x14ac:dyDescent="0.3">
      <c r="B10" s="261" t="s">
        <v>472</v>
      </c>
      <c r="C10" s="265">
        <v>0</v>
      </c>
      <c r="F10" s="44" t="s">
        <v>327</v>
      </c>
      <c r="G10" s="209">
        <f>'Additional References'!$B$12</f>
        <v>75</v>
      </c>
    </row>
    <row r="11" spans="2:7" x14ac:dyDescent="0.25">
      <c r="F11" s="44" t="s">
        <v>328</v>
      </c>
      <c r="G11" s="247"/>
    </row>
    <row r="12" spans="2:7" x14ac:dyDescent="0.25">
      <c r="F12" s="249" t="s">
        <v>448</v>
      </c>
      <c r="G12" s="209">
        <f>'Additional References'!$B$14</f>
        <v>85.5</v>
      </c>
    </row>
    <row r="13" spans="2:7" x14ac:dyDescent="0.25">
      <c r="F13" s="249" t="s">
        <v>385</v>
      </c>
      <c r="G13" s="209">
        <f>'Additional References'!$B$15</f>
        <v>85.5</v>
      </c>
    </row>
    <row r="14" spans="2:7" x14ac:dyDescent="0.25">
      <c r="F14" s="249" t="s">
        <v>386</v>
      </c>
      <c r="G14" s="209">
        <f>'Additional References'!$B$16</f>
        <v>65</v>
      </c>
    </row>
    <row r="15" spans="2:7" x14ac:dyDescent="0.25">
      <c r="F15" s="249" t="s">
        <v>387</v>
      </c>
      <c r="G15" s="209">
        <f>'Additional References'!$B$17</f>
        <v>60</v>
      </c>
    </row>
    <row r="17" spans="4:9" x14ac:dyDescent="0.25">
      <c r="F17" s="227" t="s">
        <v>340</v>
      </c>
    </row>
    <row r="18" spans="4:9" x14ac:dyDescent="0.25">
      <c r="F18" s="209">
        <f>IF(AND(VOC_Control_Efficiency=0,C4="Carbon Adsorption"),G10,IF(AND('Controls and Restrictions'!C4="Incineration",VOC_Control_Efficiency=0),VLOOKUP(Print_process,'Controls and Restrictions'!$F$12:$G$15,2,FALSE),IF(C4="None",0,VOC_Control_Efficiency)))</f>
        <v>0</v>
      </c>
    </row>
    <row r="20" spans="4:9" x14ac:dyDescent="0.25">
      <c r="F20" s="227" t="s">
        <v>453</v>
      </c>
    </row>
    <row r="21" spans="4:9" x14ac:dyDescent="0.25">
      <c r="F21" s="250">
        <f>1-F18/100</f>
        <v>1</v>
      </c>
    </row>
    <row r="31" spans="4:9" x14ac:dyDescent="0.25">
      <c r="D31" s="251"/>
      <c r="E31" s="251"/>
      <c r="F31" s="251"/>
      <c r="G31" s="251"/>
      <c r="H31" s="251"/>
      <c r="I31" s="251"/>
    </row>
    <row r="32" spans="4:9" ht="13.5" customHeight="1" x14ac:dyDescent="0.25">
      <c r="D32" s="252"/>
      <c r="E32" s="252"/>
      <c r="F32" s="252"/>
      <c r="G32" s="252"/>
      <c r="H32" s="252"/>
      <c r="I32" s="252"/>
    </row>
  </sheetData>
  <sheetProtection password="C969" sheet="1" objects="1" scenarios="1"/>
  <mergeCells count="3">
    <mergeCell ref="B3:C3"/>
    <mergeCell ref="B9:C9"/>
    <mergeCell ref="B8:C8"/>
  </mergeCells>
  <conditionalFormatting sqref="B5:C6">
    <cfRule type="expression" dxfId="9" priority="1">
      <formula>$C$4="None"</formula>
    </cfRule>
  </conditionalFormatting>
  <conditionalFormatting sqref="C10">
    <cfRule type="expression" dxfId="8" priority="2">
      <formula>Print_process&lt;&gt;"Rotogravure"</formula>
    </cfRule>
  </conditionalFormatting>
  <dataValidations count="4">
    <dataValidation type="list" operator="greaterThan" allowBlank="1" showInputMessage="1" showErrorMessage="1" promptTitle="VOC Control Device" prompt="Select the type of VOC control device used at your facility in 2012." sqref="C4">
      <formula1>VOC_Control_Device_List</formula1>
    </dataValidation>
    <dataValidation type="decimal" allowBlank="1" showInputMessage="1" showErrorMessage="1" errorTitle="Value - Out of Range" error="Value entered must be between 0 and 100." promptTitle="VOC Control Efficiency (percent)" prompt="Enter the VOC control efficiency (percentage) of the VOC control device used at your facility in 2012. If unknown, enter 0 and a default value will be used." sqref="C5">
      <formula1>0</formula1>
      <formula2>100</formula2>
    </dataValidation>
    <dataValidation allowBlank="1" showInputMessage="1" showErrorMessage="1" promptTitle="VOC Control Efficiency (percent)" prompt="VOC control efficiency used to calculate actual emissions in this calculator. If 0 is entered in the field above, a default value will be used." sqref="C6"/>
    <dataValidation allowBlank="1" showInputMessage="1" showErrorMessage="1" promptTitle="VOC Emissions Limit" prompt="Enter the VOC emission estimate for publication rotogravure printing operations at your facility in calendar year 2012 (pounds)" sqref="C10"/>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heetViews>
  <sheetFormatPr defaultColWidth="9.109375" defaultRowHeight="13.2" x14ac:dyDescent="0.25"/>
  <cols>
    <col min="1" max="1" width="3.88671875" style="24" customWidth="1"/>
    <col min="2" max="2" width="21" style="24" customWidth="1"/>
    <col min="3" max="3" width="14.5546875" style="24" customWidth="1"/>
    <col min="4" max="4" width="14" style="24" customWidth="1"/>
    <col min="5" max="5" width="11.88671875" style="24" customWidth="1"/>
    <col min="6" max="6" width="14.5546875" style="24" customWidth="1"/>
    <col min="7" max="7" width="13.88671875" style="24" customWidth="1"/>
    <col min="8" max="8" width="13" style="24" customWidth="1"/>
    <col min="9" max="16384" width="9.109375" style="24"/>
  </cols>
  <sheetData>
    <row r="1" spans="2:8" ht="17.399999999999999" x14ac:dyDescent="0.3">
      <c r="B1" s="167" t="s">
        <v>311</v>
      </c>
    </row>
    <row r="2" spans="2:8" ht="13.8" thickBot="1" x14ac:dyDescent="0.3"/>
    <row r="3" spans="2:8" ht="13.8" thickBot="1" x14ac:dyDescent="0.3">
      <c r="B3" s="343" t="s">
        <v>459</v>
      </c>
      <c r="C3" s="344"/>
      <c r="D3" s="344"/>
      <c r="E3" s="344"/>
      <c r="F3" s="344"/>
      <c r="G3" s="344"/>
      <c r="H3" s="345"/>
    </row>
    <row r="4" spans="2:8" ht="16.2" thickBot="1" x14ac:dyDescent="0.4">
      <c r="B4" s="94" t="s">
        <v>318</v>
      </c>
      <c r="C4" s="170" t="s">
        <v>62</v>
      </c>
      <c r="D4" s="169" t="s">
        <v>63</v>
      </c>
      <c r="E4" s="169" t="s">
        <v>64</v>
      </c>
      <c r="F4" s="169" t="s">
        <v>3</v>
      </c>
      <c r="G4" s="170" t="s">
        <v>65</v>
      </c>
      <c r="H4" s="171" t="s">
        <v>66</v>
      </c>
    </row>
    <row r="5" spans="2:8" x14ac:dyDescent="0.25">
      <c r="B5" s="258" t="s">
        <v>401</v>
      </c>
      <c r="C5" s="259">
        <v>0</v>
      </c>
      <c r="D5" s="259">
        <v>0</v>
      </c>
      <c r="E5" s="259">
        <v>0</v>
      </c>
      <c r="F5" s="259">
        <f>IF(AND(Print_process="Rotogravure",Print_type="Publication",Rotogravure_VOC_Emission_Limit&lt;&gt;0),Rotogravure_VOC_Emission_Limit/2000,VLOOKUP(Print_process &amp; "VOC", 'Emission Factors'!$C$4:$E$7,2,0)*Solvent_density*Hourly_Gallons_Ink_Actual*Weekly_operation_hours*52*(1/2000)*VOC_Control_Multiplier)</f>
        <v>6.4480000000000016E-6</v>
      </c>
      <c r="G5" s="259">
        <v>0</v>
      </c>
      <c r="H5" s="260">
        <v>0</v>
      </c>
    </row>
    <row r="6" spans="2:8" ht="13.8" thickBot="1" x14ac:dyDescent="0.3">
      <c r="B6" s="176" t="s">
        <v>402</v>
      </c>
      <c r="C6" s="172">
        <f>IF(Have_Dryer = "No", 0, IF(Dryer_fuel = "Electricity", 0, Annual_Dryer_Fuel * VLOOKUP(Dryer_fuel &amp; "CO", 'Emission Factors'!$C$8:$H$35,2,0) *(1/2000)))</f>
        <v>0</v>
      </c>
      <c r="D6" s="172">
        <f>IF(Have_Dryer = "No", 0, IF(Dryer_fuel = "Electricity", 0, Annual_Dryer_Fuel * VLOOKUP(Dryer_fuel &amp; "NOx", 'Emission Factors'!$C$8:$H$35,2,0) *(1/2000)))</f>
        <v>0</v>
      </c>
      <c r="E6" s="172">
        <f>IF(Have_Dryer = "No", 0, IF(Dryer_fuel = "Electricity", 0, Annual_Dryer_Fuel * VLOOKUP(Dryer_fuel &amp; "SO2", 'Emission Factors'!$C$8:$H$35,2,0) *(1/2000)))</f>
        <v>0</v>
      </c>
      <c r="F6" s="172">
        <f>IF(Have_Dryer = "No", 0, IF(Dryer_fuel = "Electricity", 0, Annual_Dryer_Fuel * VLOOKUP(Dryer_fuel &amp; "VOC", 'Emission Factors'!$C$8:$H$35,2,0) *(1/2000)))</f>
        <v>0</v>
      </c>
      <c r="G6" s="172">
        <f>IF(Have_Dryer = "No", 0, IF(Dryer_fuel = "Electricity", 0, Annual_Dryer_Fuel * VLOOKUP(Dryer_fuel &amp; "PM10", 'Emission Factors'!$C$8:$H$35,2,0) *(1/2000)))</f>
        <v>0</v>
      </c>
      <c r="H6" s="172">
        <f>IF(Have_Dryer = "No", 0, IF(Dryer_fuel = "Electricity", 0, Annual_Dryer_Fuel * VLOOKUP(Dryer_fuel &amp; "PM2.5", 'Emission Factors'!$C$8:$H$35,2,0) *(1/2000)))</f>
        <v>0</v>
      </c>
    </row>
    <row r="7" spans="2:8" ht="13.8" thickBot="1" x14ac:dyDescent="0.3">
      <c r="B7" s="177" t="s">
        <v>319</v>
      </c>
      <c r="C7" s="178">
        <f>SUM(C5:C6)</f>
        <v>0</v>
      </c>
      <c r="D7" s="178">
        <f t="shared" ref="D7:H7" si="0">SUM(D5:D6)</f>
        <v>0</v>
      </c>
      <c r="E7" s="178">
        <f t="shared" si="0"/>
        <v>0</v>
      </c>
      <c r="F7" s="178">
        <f t="shared" si="0"/>
        <v>6.4480000000000016E-6</v>
      </c>
      <c r="G7" s="178">
        <f t="shared" si="0"/>
        <v>0</v>
      </c>
      <c r="H7" s="179">
        <f t="shared" si="0"/>
        <v>0</v>
      </c>
    </row>
    <row r="8" spans="2:8" ht="13.8" thickBot="1" x14ac:dyDescent="0.3">
      <c r="B8" s="173"/>
      <c r="C8" s="173"/>
      <c r="D8" s="173"/>
      <c r="E8" s="173"/>
      <c r="F8" s="173"/>
      <c r="G8" s="174"/>
      <c r="H8" s="174"/>
    </row>
    <row r="9" spans="2:8" ht="13.8" thickBot="1" x14ac:dyDescent="0.3">
      <c r="B9" s="343" t="s">
        <v>336</v>
      </c>
      <c r="C9" s="344"/>
      <c r="D9" s="344"/>
      <c r="E9" s="344"/>
      <c r="F9" s="344"/>
      <c r="G9" s="344"/>
      <c r="H9" s="345"/>
    </row>
    <row r="10" spans="2:8" ht="16.2" thickBot="1" x14ac:dyDescent="0.4">
      <c r="B10" s="168" t="s">
        <v>318</v>
      </c>
      <c r="C10" s="169" t="s">
        <v>62</v>
      </c>
      <c r="D10" s="169" t="s">
        <v>63</v>
      </c>
      <c r="E10" s="169" t="s">
        <v>64</v>
      </c>
      <c r="F10" s="169" t="s">
        <v>3</v>
      </c>
      <c r="G10" s="170" t="s">
        <v>65</v>
      </c>
      <c r="H10" s="171" t="s">
        <v>66</v>
      </c>
    </row>
    <row r="11" spans="2:8" x14ac:dyDescent="0.25">
      <c r="B11" s="175" t="s">
        <v>401</v>
      </c>
      <c r="C11" s="224">
        <v>0</v>
      </c>
      <c r="D11" s="224">
        <v>0</v>
      </c>
      <c r="E11" s="224">
        <v>0</v>
      </c>
      <c r="F11" s="224">
        <f>IF(AND(Print_process="Rotogravure",Print_type="Publication",Rotogravure_VOC_Emission_Limit&lt;&gt;0),Rotogravure_VOC_Emission_Limit/2000,VLOOKUP(Print_process &amp; "VOC", 'Emission Factors'!$C$4:$E$7,3,0)*IF(Allowable_Ink_Solvent_Density&gt;Solvent_density,Allowable_Ink_Solvent_Density,Solvent_density)*Hourly_Gallons_of_Ink_Max*8760*(1/2000))</f>
        <v>0.10862400000000003</v>
      </c>
      <c r="G11" s="224">
        <v>0</v>
      </c>
      <c r="H11" s="225">
        <v>0</v>
      </c>
    </row>
    <row r="12" spans="2:8" ht="13.8" thickBot="1" x14ac:dyDescent="0.3">
      <c r="B12" s="176" t="s">
        <v>402</v>
      </c>
      <c r="C12" s="172">
        <f>IF(Have_Dryer="No",0,IF(Dryer_fuel="Electricity",0,Dryer_Capacity*(1/VLOOKUP(Dryer_fuel,'Fuel Energy Content'!$A$11:$C$13,2,0))*VLOOKUP(Dryer_fuel&amp;"CO",'Emission Factors'!$C$8:$H$35,3,0)*Allowable_Hours_for_Dryer_Operation*(1/2000)))</f>
        <v>0</v>
      </c>
      <c r="D12" s="172">
        <f>IF(Have_Dryer="No",0,IF(Dryer_fuel="Electricity",0,Dryer_Capacity*(1/VLOOKUP(Dryer_fuel,'Fuel Energy Content'!$A$11:$C$13,2,0))*VLOOKUP(Dryer_fuel&amp;"NOx",'Emission Factors'!$C$8:$H$35,3,0)*Allowable_Hours_for_Dryer_Operation*(1/2000)))</f>
        <v>0</v>
      </c>
      <c r="E12" s="172">
        <f>IF(Have_Dryer="No",0,IF(Dryer_fuel="Electricity",0,Dryer_Capacity*(1/VLOOKUP(Dryer_fuel,'Fuel Energy Content'!$A$11:$C$13,2,0))*VLOOKUP(Dryer_fuel&amp;"SO2",'Emission Factors'!$C$8:$H$35,3,0)*Allowable_Hours_for_Dryer_Operation*(1/2000)))</f>
        <v>0</v>
      </c>
      <c r="F12" s="172">
        <f>IF(Have_Dryer="No",0,IF(Dryer_fuel="Electricity",0,Dryer_Capacity*(1/VLOOKUP(Dryer_fuel,'Fuel Energy Content'!$A$11:$C$13,2,0))*VLOOKUP(Dryer_fuel&amp;"VOC",'Emission Factors'!$C$8:$H$35,3,0)*Allowable_Hours_for_Dryer_Operation*(1/2000)))</f>
        <v>0</v>
      </c>
      <c r="G12" s="172">
        <f>IF(Have_Dryer="No",0,IF(Dryer_fuel="Electricity",0,Dryer_Capacity*(1/VLOOKUP(Dryer_fuel,'Fuel Energy Content'!$A$11:$C$13,2,0))*VLOOKUP(Dryer_fuel&amp;"PM10",'Emission Factors'!$C$8:$H$35,3,0)*Allowable_Hours_for_Dryer_Operation*(1/2000)))</f>
        <v>0</v>
      </c>
      <c r="H12" s="172">
        <f>IF(Have_Dryer="No",0,IF(Dryer_fuel="Electricity",0,Dryer_Capacity*(1/VLOOKUP(Dryer_fuel,'Fuel Energy Content'!$A$11:$C$13,2,0))*VLOOKUP(Dryer_fuel&amp;"PM2.5",'Emission Factors'!$C$8:$H$35,3,0)*Allowable_Hours_for_Dryer_Operation*(1/2000)))</f>
        <v>0</v>
      </c>
    </row>
    <row r="13" spans="2:8" ht="13.8" thickBot="1" x14ac:dyDescent="0.3">
      <c r="B13" s="177" t="s">
        <v>319</v>
      </c>
      <c r="C13" s="178">
        <f>SUM(C11:C12)</f>
        <v>0</v>
      </c>
      <c r="D13" s="178">
        <f t="shared" ref="D13:H13" si="1">SUM(D11:D12)</f>
        <v>0</v>
      </c>
      <c r="E13" s="178">
        <f t="shared" si="1"/>
        <v>0</v>
      </c>
      <c r="F13" s="178">
        <f t="shared" si="1"/>
        <v>0.10862400000000003</v>
      </c>
      <c r="G13" s="178">
        <f t="shared" si="1"/>
        <v>0</v>
      </c>
      <c r="H13" s="179">
        <f t="shared" si="1"/>
        <v>0</v>
      </c>
    </row>
    <row r="15" spans="2:8" x14ac:dyDescent="0.25">
      <c r="C15" s="54"/>
    </row>
  </sheetData>
  <sheetProtection password="C969" sheet="1" objects="1" scenarios="1"/>
  <mergeCells count="2">
    <mergeCell ref="B3:H3"/>
    <mergeCell ref="B9:H9"/>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9:B10"/>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2"/>
  <sheetViews>
    <sheetView showGridLines="0" zoomScaleNormal="100" workbookViewId="0">
      <selection sqref="A1:XFD1"/>
    </sheetView>
  </sheetViews>
  <sheetFormatPr defaultColWidth="3.33203125" defaultRowHeight="13.2" x14ac:dyDescent="0.25"/>
  <cols>
    <col min="1" max="1" width="16.109375" style="24" customWidth="1"/>
    <col min="2" max="2" width="4.6640625" style="24" customWidth="1"/>
    <col min="3" max="3" width="24.6640625" style="24" customWidth="1"/>
    <col min="4" max="4" width="5.5546875" style="24" customWidth="1"/>
    <col min="5" max="5" width="25.44140625" style="24" customWidth="1"/>
    <col min="6" max="6" width="32.44140625" style="24" customWidth="1"/>
    <col min="7" max="9" width="1.88671875" style="24" customWidth="1"/>
    <col min="10" max="10" width="3.109375" style="24" customWidth="1"/>
    <col min="11" max="11" width="16.6640625" style="55" hidden="1" customWidth="1"/>
    <col min="12" max="12" width="16.6640625" style="196" hidden="1" customWidth="1"/>
    <col min="13" max="13" width="18" style="196" hidden="1" customWidth="1"/>
    <col min="14" max="14" width="20.44140625" style="24" customWidth="1"/>
    <col min="15" max="58" width="1.88671875" style="24" customWidth="1"/>
    <col min="59" max="16384" width="3.33203125" style="24"/>
  </cols>
  <sheetData>
    <row r="1" spans="1:13" ht="24.75" customHeight="1" thickBot="1" x14ac:dyDescent="0.3"/>
    <row r="2" spans="1:13" ht="14.25" customHeight="1" x14ac:dyDescent="0.25">
      <c r="A2" s="26"/>
      <c r="B2" s="27"/>
      <c r="C2" s="27"/>
      <c r="D2" s="27"/>
      <c r="E2" s="27"/>
      <c r="F2" s="28"/>
    </row>
    <row r="3" spans="1:13" x14ac:dyDescent="0.25">
      <c r="A3" s="29" t="s">
        <v>30</v>
      </c>
      <c r="B3" s="147" t="str">
        <f>"  "&amp;Inputs!C4</f>
        <v xml:space="preserve">  Acme Printing Services</v>
      </c>
      <c r="C3" s="147"/>
      <c r="E3" s="194" t="str">
        <f>"Facility Contact:"&amp;"  "&amp;Inputs!C11</f>
        <v>Facility Contact:  John Doe</v>
      </c>
      <c r="F3" s="30"/>
    </row>
    <row r="4" spans="1:13" ht="14.25" customHeight="1" x14ac:dyDescent="0.25">
      <c r="A4" s="29" t="s">
        <v>31</v>
      </c>
      <c r="B4" s="147" t="str">
        <f>"  "&amp;Inputs!C5</f>
        <v xml:space="preserve">  101 Acme Way</v>
      </c>
      <c r="C4" s="147"/>
      <c r="E4" s="194" t="str">
        <f>"              Phone:"&amp;"  "&amp;Inputs!C12</f>
        <v xml:space="preserve">              Phone:  555-555-5555</v>
      </c>
      <c r="F4" s="30"/>
    </row>
    <row r="5" spans="1:13" x14ac:dyDescent="0.25">
      <c r="A5" s="31"/>
      <c r="B5" s="147" t="str">
        <f>"  "&amp;Inputs!C6&amp;", "&amp;VLOOKUP(Inputs!C7,'EPA Regional Contact Info'!$A$5:$B$49,2,FALSE)&amp;" "&amp;Inputs!C8</f>
        <v xml:space="preserve">  Albuquerque, NM 87101</v>
      </c>
      <c r="C5" s="147"/>
      <c r="E5" s="194" t="str">
        <f>"               Email:"&amp;"  "&amp;Inputs!C13</f>
        <v xml:space="preserve">               Email:  john.doe@acme.com</v>
      </c>
      <c r="F5" s="30"/>
    </row>
    <row r="6" spans="1:13" ht="13.8" thickBot="1" x14ac:dyDescent="0.3">
      <c r="A6" s="38"/>
      <c r="B6" s="39"/>
      <c r="C6" s="39"/>
      <c r="D6" s="39"/>
      <c r="E6" s="39"/>
      <c r="F6" s="40"/>
    </row>
    <row r="7" spans="1:13" ht="18" customHeight="1" thickBot="1" x14ac:dyDescent="0.3">
      <c r="A7" s="360" t="s">
        <v>313</v>
      </c>
      <c r="B7" s="361"/>
      <c r="C7" s="361"/>
      <c r="D7" s="361"/>
      <c r="E7" s="361"/>
      <c r="F7" s="362"/>
    </row>
    <row r="8" spans="1:13" ht="15.75" customHeight="1" x14ac:dyDescent="0.25">
      <c r="A8" s="363" t="s">
        <v>0</v>
      </c>
      <c r="B8" s="366" t="s">
        <v>460</v>
      </c>
      <c r="C8" s="367"/>
      <c r="D8" s="59"/>
      <c r="E8" s="256"/>
      <c r="F8" s="41" t="s">
        <v>13</v>
      </c>
      <c r="K8" s="347" t="s">
        <v>330</v>
      </c>
      <c r="L8" s="36" t="s">
        <v>331</v>
      </c>
      <c r="M8" s="346" t="s">
        <v>333</v>
      </c>
    </row>
    <row r="9" spans="1:13" x14ac:dyDescent="0.25">
      <c r="A9" s="364"/>
      <c r="B9" s="366"/>
      <c r="C9" s="367"/>
      <c r="D9" s="368" t="s">
        <v>334</v>
      </c>
      <c r="E9" s="369"/>
      <c r="F9" s="41" t="s">
        <v>312</v>
      </c>
      <c r="K9" s="347"/>
      <c r="L9" s="36" t="s">
        <v>312</v>
      </c>
      <c r="M9" s="346"/>
    </row>
    <row r="10" spans="1:13" ht="13.8" thickBot="1" x14ac:dyDescent="0.3">
      <c r="A10" s="365"/>
      <c r="B10" s="370" t="s">
        <v>1</v>
      </c>
      <c r="C10" s="371"/>
      <c r="D10" s="372" t="s">
        <v>1</v>
      </c>
      <c r="E10" s="373"/>
      <c r="F10" s="32" t="s">
        <v>1</v>
      </c>
      <c r="K10" s="347"/>
      <c r="L10" s="195" t="s">
        <v>1</v>
      </c>
      <c r="M10" s="346"/>
    </row>
    <row r="11" spans="1:13" ht="5.25" customHeight="1" x14ac:dyDescent="0.25">
      <c r="A11" s="73"/>
      <c r="B11" s="74"/>
      <c r="C11" s="203"/>
      <c r="D11" s="75"/>
      <c r="E11" s="204"/>
      <c r="F11" s="76"/>
      <c r="L11" s="197"/>
    </row>
    <row r="12" spans="1:13" x14ac:dyDescent="0.25">
      <c r="A12" s="186" t="s">
        <v>62</v>
      </c>
      <c r="B12" s="56"/>
      <c r="C12" s="182">
        <f>'Total Emissions'!$C$7</f>
        <v>0</v>
      </c>
      <c r="D12" s="25"/>
      <c r="E12" s="183">
        <f>'Total Emissions'!$C$13</f>
        <v>0</v>
      </c>
      <c r="F12" s="191">
        <f>IF(Inputs!$C$28="Attainment",10,5)</f>
        <v>10</v>
      </c>
      <c r="K12" s="55">
        <f>IF(E12&gt;=F12,1,0)</f>
        <v>0</v>
      </c>
      <c r="L12" s="200">
        <f>IF(Inputs!$C$28="Attainment",250,IF(Inputs!$C$28="Nonattainment - moderate",100,50))</f>
        <v>250</v>
      </c>
      <c r="M12" s="196">
        <f>IF(E12&gt;=L12,1,0)</f>
        <v>0</v>
      </c>
    </row>
    <row r="13" spans="1:13" ht="5.25" customHeight="1" x14ac:dyDescent="0.25">
      <c r="A13" s="187"/>
      <c r="B13" s="77"/>
      <c r="C13" s="182"/>
      <c r="D13" s="184"/>
      <c r="E13" s="185"/>
      <c r="F13" s="191"/>
      <c r="L13" s="200"/>
    </row>
    <row r="14" spans="1:13" ht="15.75" customHeight="1" x14ac:dyDescent="0.35">
      <c r="A14" s="186" t="s">
        <v>63</v>
      </c>
      <c r="B14" s="56"/>
      <c r="C14" s="182">
        <f>'Total Emissions'!$D$7</f>
        <v>0</v>
      </c>
      <c r="D14" s="25"/>
      <c r="E14" s="183">
        <f>'Total Emissions'!D13</f>
        <v>0</v>
      </c>
      <c r="F14" s="191">
        <f>IF(Inputs!$C$30="Attainment",10,5)</f>
        <v>10</v>
      </c>
      <c r="K14" s="55">
        <f t="shared" ref="K14:K22" si="0">IF(E14&gt;=F14,1,0)</f>
        <v>0</v>
      </c>
      <c r="L14" s="200">
        <f>IF(Inputs!$C$30="Attainment",250,IF(Inputs!$C$30="Nonattainment - marginal",100,IF(Inputs!$C$30="Nonattainment - moderate",100,IF(Inputs!$C$30="Nonattainment - serious",50,IF(Inputs!$C$30="Nonattainment - severe",25,10)))))</f>
        <v>250</v>
      </c>
      <c r="M14" s="196">
        <f t="shared" ref="M14:M22" si="1">IF(E14&gt;=L14,1,0)</f>
        <v>0</v>
      </c>
    </row>
    <row r="15" spans="1:13" ht="5.25" customHeight="1" x14ac:dyDescent="0.25">
      <c r="A15" s="187"/>
      <c r="B15" s="77"/>
      <c r="C15" s="182"/>
      <c r="D15" s="25"/>
      <c r="E15" s="193"/>
      <c r="F15" s="191"/>
      <c r="L15" s="200"/>
    </row>
    <row r="16" spans="1:13" ht="15.6" x14ac:dyDescent="0.35">
      <c r="A16" s="186" t="s">
        <v>64</v>
      </c>
      <c r="B16" s="56"/>
      <c r="C16" s="182">
        <f>'Total Emissions'!$E$7</f>
        <v>0</v>
      </c>
      <c r="D16" s="25"/>
      <c r="E16" s="183">
        <f>'Total Emissions'!$E$13</f>
        <v>0</v>
      </c>
      <c r="F16" s="191">
        <f>IF(Inputs!$C$32="Attainment",10,5)</f>
        <v>10</v>
      </c>
      <c r="K16" s="55">
        <f t="shared" si="0"/>
        <v>0</v>
      </c>
      <c r="L16" s="200">
        <f>IF(Inputs!$C$32="Attainment",250,100)</f>
        <v>250</v>
      </c>
      <c r="M16" s="196">
        <f t="shared" si="1"/>
        <v>0</v>
      </c>
    </row>
    <row r="17" spans="1:13" ht="5.25" customHeight="1" x14ac:dyDescent="0.25">
      <c r="A17" s="188"/>
      <c r="B17" s="57"/>
      <c r="C17" s="182"/>
      <c r="D17" s="25"/>
      <c r="E17" s="193"/>
      <c r="F17" s="191"/>
      <c r="L17" s="200"/>
    </row>
    <row r="18" spans="1:13" x14ac:dyDescent="0.25">
      <c r="A18" s="186" t="s">
        <v>3</v>
      </c>
      <c r="B18" s="56"/>
      <c r="C18" s="182">
        <f>'Total Emissions'!$F$7</f>
        <v>6.4480000000000016E-6</v>
      </c>
      <c r="D18" s="25"/>
      <c r="E18" s="183">
        <f>'Total Emissions'!$F$13</f>
        <v>0.10862400000000003</v>
      </c>
      <c r="F18" s="191">
        <f>IF(Inputs!$C$30="Attainment",5,2)</f>
        <v>5</v>
      </c>
      <c r="K18" s="55">
        <f t="shared" si="0"/>
        <v>0</v>
      </c>
      <c r="L18" s="200">
        <f>IF(Inputs!$C$30="Attainment",250,IF(Inputs!$C$30="Nonattainment - marginal",100,IF(Inputs!$C$30="Nonattainment - moderate",100,IF(Inputs!$C$30="Nonattainment - serious",50,IF(Inputs!$C$30="Nonattainment - severe",25,10)))))</f>
        <v>250</v>
      </c>
      <c r="M18" s="196">
        <f t="shared" si="1"/>
        <v>0</v>
      </c>
    </row>
    <row r="19" spans="1:13" ht="5.25" customHeight="1" x14ac:dyDescent="0.25">
      <c r="A19" s="189"/>
      <c r="B19" s="78"/>
      <c r="C19" s="182"/>
      <c r="D19" s="25"/>
      <c r="E19" s="193"/>
      <c r="F19" s="191"/>
      <c r="L19" s="200"/>
    </row>
    <row r="20" spans="1:13" ht="15.6" x14ac:dyDescent="0.35">
      <c r="A20" s="186" t="s">
        <v>65</v>
      </c>
      <c r="B20" s="56"/>
      <c r="C20" s="182">
        <f>'Total Emissions'!$G$7</f>
        <v>0</v>
      </c>
      <c r="D20" s="25"/>
      <c r="E20" s="183">
        <f>'Total Emissions'!$G$13</f>
        <v>0</v>
      </c>
      <c r="F20" s="191">
        <f>IF(Inputs!$C$34="Attainment",5,1)</f>
        <v>5</v>
      </c>
      <c r="K20" s="55">
        <f t="shared" si="0"/>
        <v>0</v>
      </c>
      <c r="L20" s="200">
        <f>IF(Inputs!$C$34="Attainment",250,IF(Inputs!$C$34="Nonattainment - moderate",100,70))</f>
        <v>250</v>
      </c>
      <c r="M20" s="196">
        <f t="shared" si="1"/>
        <v>0</v>
      </c>
    </row>
    <row r="21" spans="1:13" ht="5.25" customHeight="1" x14ac:dyDescent="0.25">
      <c r="A21" s="187"/>
      <c r="B21" s="77"/>
      <c r="C21" s="182"/>
      <c r="D21" s="25"/>
      <c r="E21" s="193"/>
      <c r="F21" s="192"/>
      <c r="L21" s="201"/>
    </row>
    <row r="22" spans="1:13" ht="15.6" x14ac:dyDescent="0.35">
      <c r="A22" s="190" t="s">
        <v>66</v>
      </c>
      <c r="B22" s="79"/>
      <c r="C22" s="182">
        <f>'Total Emissions'!$H$7</f>
        <v>0</v>
      </c>
      <c r="D22" s="25"/>
      <c r="E22" s="183">
        <f>'Total Emissions'!$H$13</f>
        <v>0</v>
      </c>
      <c r="F22" s="191">
        <f>IF(Inputs!$C$36="Attainment",3,0.6)</f>
        <v>3</v>
      </c>
      <c r="K22" s="55">
        <f t="shared" si="0"/>
        <v>0</v>
      </c>
      <c r="L22" s="200">
        <f>IF(Inputs!$C$36="Attainment",250,100)</f>
        <v>250</v>
      </c>
      <c r="M22" s="196">
        <f t="shared" si="1"/>
        <v>0</v>
      </c>
    </row>
    <row r="23" spans="1:13" ht="5.25" customHeight="1" x14ac:dyDescent="0.25">
      <c r="A23" s="33"/>
      <c r="B23" s="58"/>
      <c r="C23" s="181"/>
      <c r="D23" s="25"/>
      <c r="E23" s="61"/>
      <c r="F23" s="34"/>
      <c r="L23" s="199"/>
    </row>
    <row r="24" spans="1:13" x14ac:dyDescent="0.25">
      <c r="A24" s="354" t="s">
        <v>29</v>
      </c>
      <c r="B24" s="355"/>
      <c r="C24" s="355"/>
      <c r="D24" s="355"/>
      <c r="E24" s="355"/>
      <c r="F24" s="356"/>
      <c r="L24" s="198"/>
    </row>
    <row r="25" spans="1:13" x14ac:dyDescent="0.25">
      <c r="A25" s="35"/>
      <c r="B25" s="36"/>
      <c r="C25" s="36"/>
      <c r="D25" s="36"/>
      <c r="E25" s="36"/>
      <c r="F25" s="80"/>
      <c r="L25" s="197"/>
    </row>
    <row r="26" spans="1:13" x14ac:dyDescent="0.25">
      <c r="A26" s="31"/>
      <c r="B26" s="25"/>
      <c r="C26" s="202">
        <v>100</v>
      </c>
      <c r="D26" s="23" t="s">
        <v>332</v>
      </c>
      <c r="E26" s="25"/>
      <c r="F26" s="80"/>
      <c r="G26" s="36"/>
      <c r="K26" s="24"/>
      <c r="L26" s="55"/>
    </row>
    <row r="27" spans="1:13" x14ac:dyDescent="0.25">
      <c r="A27" s="31"/>
      <c r="B27" s="25"/>
      <c r="C27" s="37">
        <v>50</v>
      </c>
      <c r="D27" s="23" t="s">
        <v>27</v>
      </c>
      <c r="E27" s="25"/>
      <c r="F27" s="30"/>
      <c r="L27" s="197"/>
    </row>
    <row r="28" spans="1:13" x14ac:dyDescent="0.25">
      <c r="A28" s="31"/>
      <c r="B28" s="25"/>
      <c r="C28" s="37">
        <v>0</v>
      </c>
      <c r="D28" s="23" t="s">
        <v>28</v>
      </c>
      <c r="E28" s="25"/>
      <c r="F28" s="30"/>
    </row>
    <row r="29" spans="1:13" ht="13.8" thickBot="1" x14ac:dyDescent="0.3">
      <c r="A29" s="38"/>
      <c r="B29" s="39"/>
      <c r="C29" s="39"/>
      <c r="D29" s="39"/>
      <c r="E29" s="39"/>
      <c r="F29" s="40"/>
    </row>
    <row r="30" spans="1:13" ht="22.5" customHeight="1" thickBot="1" x14ac:dyDescent="0.3">
      <c r="A30" s="357" t="str">
        <f>IF(OR($M$12=1,$M$14=1,$M$16=1,$M$18=1,$M$20=1,$M$22=1),"PLEASE CONSULT WITH YOUR EPA REGIONAL CONTACT LISTED BELOW",IF(OR(K12=1,K14=1,K16=1,K18=1,K20=1,K22=1),"YOU ARE REQUIRED TO REGISTER YOUR FACILITY UNDER THE TRIBAL NEW SOURCE REVIEW RULE","PLEASE SEE NOTE BELOW"))</f>
        <v>PLEASE SEE NOTE BELOW</v>
      </c>
      <c r="B30" s="358"/>
      <c r="C30" s="358"/>
      <c r="D30" s="358"/>
      <c r="E30" s="358"/>
      <c r="F30" s="359"/>
    </row>
    <row r="31" spans="1:13" x14ac:dyDescent="0.25">
      <c r="A31" s="26"/>
      <c r="B31" s="27"/>
      <c r="C31" s="27"/>
      <c r="D31" s="27"/>
      <c r="E31" s="27"/>
      <c r="F31" s="28"/>
    </row>
    <row r="32" spans="1:13" ht="164.25" customHeight="1" thickBot="1" x14ac:dyDescent="0.3">
      <c r="A32" s="348"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49"/>
      <c r="C32" s="349"/>
      <c r="D32" s="349"/>
      <c r="E32" s="349"/>
      <c r="F32" s="350"/>
    </row>
    <row r="33" spans="1:6" ht="15.75" customHeight="1" thickBot="1" x14ac:dyDescent="0.3">
      <c r="A33" s="351" t="str">
        <f>"U.S. Environmental Protection Agency Region "&amp;VLOOKUP(Inputs!$C$7,'EPA Regional Contact Info'!$A$5:$C$49,3,FALSE)&amp;" Contact"</f>
        <v>U.S. Environmental Protection Agency Region 6 Contact</v>
      </c>
      <c r="B33" s="352"/>
      <c r="C33" s="352"/>
      <c r="D33" s="352"/>
      <c r="E33" s="352"/>
      <c r="F33" s="353"/>
    </row>
    <row r="34" spans="1:6" ht="15.6" x14ac:dyDescent="0.3">
      <c r="A34" s="125"/>
      <c r="B34" s="126" t="s">
        <v>291</v>
      </c>
      <c r="C34" s="162"/>
      <c r="D34" s="160" t="str">
        <f>Inputs!C16</f>
        <v>Bonnie Braganza</v>
      </c>
      <c r="E34" s="162"/>
      <c r="F34" s="127"/>
    </row>
    <row r="35" spans="1:6" ht="15.6" x14ac:dyDescent="0.3">
      <c r="A35" s="128"/>
      <c r="B35" s="129" t="s">
        <v>292</v>
      </c>
      <c r="C35" s="163"/>
      <c r="D35" s="161" t="str">
        <f>Inputs!C22</f>
        <v>U.S. Environmental Protection Agency Region 6</v>
      </c>
      <c r="E35" s="163"/>
      <c r="F35" s="130"/>
    </row>
    <row r="36" spans="1:6" ht="15.6" x14ac:dyDescent="0.3">
      <c r="A36" s="128"/>
      <c r="B36" s="129"/>
      <c r="C36" s="163"/>
      <c r="D36" s="161" t="str">
        <f>Inputs!C23</f>
        <v>1445 Ross Avenue, Suite 1200</v>
      </c>
      <c r="E36" s="163"/>
      <c r="F36" s="130"/>
    </row>
    <row r="37" spans="1:6" ht="15.6" x14ac:dyDescent="0.3">
      <c r="A37" s="128"/>
      <c r="B37" s="129"/>
      <c r="C37" s="163"/>
      <c r="D37" s="161" t="str">
        <f>Inputs!C24</f>
        <v>MC: 6PD</v>
      </c>
      <c r="E37" s="163"/>
      <c r="F37" s="130"/>
    </row>
    <row r="38" spans="1:6" ht="15.6" x14ac:dyDescent="0.3">
      <c r="A38" s="128"/>
      <c r="B38" s="129"/>
      <c r="C38" s="163"/>
      <c r="D38" s="161" t="str">
        <f>Inputs!C25</f>
        <v>Dallas, TX 75202-2733</v>
      </c>
      <c r="E38" s="163"/>
      <c r="F38" s="130"/>
    </row>
    <row r="39" spans="1:6" ht="15.6" x14ac:dyDescent="0.3">
      <c r="A39" s="128"/>
      <c r="B39" s="129"/>
      <c r="C39" s="163"/>
      <c r="D39" s="161"/>
      <c r="E39" s="163"/>
      <c r="F39" s="130"/>
    </row>
    <row r="40" spans="1:6" ht="15.6" x14ac:dyDescent="0.3">
      <c r="A40" s="128"/>
      <c r="B40" s="129" t="s">
        <v>293</v>
      </c>
      <c r="C40" s="163"/>
      <c r="D40" s="161" t="str">
        <f>Inputs!C17</f>
        <v>214-665-7340</v>
      </c>
      <c r="E40" s="163"/>
      <c r="F40" s="130"/>
    </row>
    <row r="41" spans="1:6" ht="15.6" x14ac:dyDescent="0.3">
      <c r="A41" s="128"/>
      <c r="B41" s="129" t="s">
        <v>32</v>
      </c>
      <c r="C41" s="163"/>
      <c r="D41" s="161" t="str">
        <f>Inputs!C18</f>
        <v>braganza.bonnie@epa.gov</v>
      </c>
      <c r="E41" s="163"/>
      <c r="F41" s="130"/>
    </row>
    <row r="42" spans="1:6" ht="13.8" thickBot="1" x14ac:dyDescent="0.3">
      <c r="A42" s="131"/>
      <c r="B42" s="132"/>
      <c r="C42" s="132"/>
      <c r="D42" s="132"/>
      <c r="E42" s="132"/>
      <c r="F42" s="133"/>
    </row>
  </sheetData>
  <sheetProtection password="C969" sheet="1" objects="1" scenarios="1"/>
  <customSheetViews>
    <customSheetView guid="{8C263A95-99F9-4260-B64A-0E771D03F536}" showRuler="0">
      <selection sqref="A1:H1"/>
      <pageMargins left="0.5" right="0.5" top="0.5" bottom="0.5" header="0.25" footer="0.25"/>
      <printOptions gridLines="1"/>
      <pageSetup scale="95" orientation="landscape" horizontalDpi="4294967292" verticalDpi="300" r:id="rId1"/>
      <headerFooter alignWithMargins="0">
        <oddHeader>&amp;A</oddHeader>
        <oddFooter>Page &amp;P</oddFooter>
      </headerFooter>
    </customSheetView>
  </customSheetViews>
  <mergeCells count="12">
    <mergeCell ref="A7:F7"/>
    <mergeCell ref="A8:A10"/>
    <mergeCell ref="B8:C9"/>
    <mergeCell ref="D9:E9"/>
    <mergeCell ref="B10:C10"/>
    <mergeCell ref="D10:E10"/>
    <mergeCell ref="M8:M10"/>
    <mergeCell ref="K8:K10"/>
    <mergeCell ref="A32:F32"/>
    <mergeCell ref="A33:F33"/>
    <mergeCell ref="A24:F24"/>
    <mergeCell ref="A30:F30"/>
  </mergeCells>
  <phoneticPr fontId="0" type="noConversion"/>
  <conditionalFormatting sqref="A33 A32:F32">
    <cfRule type="expression" dxfId="7" priority="10">
      <formula>$A$30="PLEASE SEE NOTE BELOW"</formula>
    </cfRule>
  </conditionalFormatting>
  <conditionalFormatting sqref="A30:F30">
    <cfRule type="expression" dxfId="6" priority="9">
      <formula>$A$30="You are required to register your facility under the tribal new source review rule"</formula>
    </cfRule>
  </conditionalFormatting>
  <conditionalFormatting sqref="C27:C28">
    <cfRule type="iconSet" priority="34">
      <iconSet iconSet="3Symbols" showValue="0" reverse="1">
        <cfvo type="percent" val="0"/>
        <cfvo type="num" val="0" gte="0"/>
        <cfvo type="num" val="100"/>
      </iconSet>
    </cfRule>
  </conditionalFormatting>
  <conditionalFormatting sqref="C12 E12">
    <cfRule type="cellIs" dxfId="5" priority="55" operator="greaterThanOrEqual">
      <formula>$F$12</formula>
    </cfRule>
  </conditionalFormatting>
  <conditionalFormatting sqref="C14 E14">
    <cfRule type="cellIs" dxfId="4" priority="59" operator="greaterThanOrEqual">
      <formula>$F$14</formula>
    </cfRule>
  </conditionalFormatting>
  <conditionalFormatting sqref="C16 E16">
    <cfRule type="cellIs" dxfId="3" priority="63" operator="greaterThanOrEqual">
      <formula>$F$16</formula>
    </cfRule>
  </conditionalFormatting>
  <conditionalFormatting sqref="C18 E18">
    <cfRule type="cellIs" dxfId="2" priority="67" operator="greaterThanOrEqual">
      <formula>$F$18</formula>
    </cfRule>
  </conditionalFormatting>
  <conditionalFormatting sqref="C20 E20">
    <cfRule type="cellIs" dxfId="1" priority="71" operator="greaterThanOrEqual">
      <formula>$F$20</formula>
    </cfRule>
  </conditionalFormatting>
  <conditionalFormatting sqref="C22 E22">
    <cfRule type="cellIs" dxfId="0" priority="7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56">
      <iconSet iconSet="3Symbols" reverse="1">
        <cfvo type="percent" val="0"/>
        <cfvo type="formula" val="$F$12"/>
        <cfvo type="formula" val="$L$12"/>
      </iconSet>
    </cfRule>
  </conditionalFormatting>
  <conditionalFormatting sqref="E14">
    <cfRule type="iconSet" priority="60">
      <iconSet iconSet="3Symbols" reverse="1">
        <cfvo type="percent" val="0"/>
        <cfvo type="formula" val="$F$14"/>
        <cfvo type="formula" val="$L$14"/>
      </iconSet>
    </cfRule>
  </conditionalFormatting>
  <conditionalFormatting sqref="E16">
    <cfRule type="iconSet" priority="64">
      <iconSet iconSet="3Symbols" reverse="1">
        <cfvo type="percent" val="0"/>
        <cfvo type="formula" val="$F$16"/>
        <cfvo type="formula" val="$L$16"/>
      </iconSet>
    </cfRule>
  </conditionalFormatting>
  <conditionalFormatting sqref="E18">
    <cfRule type="iconSet" priority="68">
      <iconSet iconSet="3Symbols" reverse="1">
        <cfvo type="percent" val="0"/>
        <cfvo type="formula" val="$F$18"/>
        <cfvo type="formula" val="$L$18"/>
      </iconSet>
    </cfRule>
  </conditionalFormatting>
  <conditionalFormatting sqref="E20">
    <cfRule type="iconSet" priority="72">
      <iconSet iconSet="3Symbols" reverse="1">
        <cfvo type="percent" val="0"/>
        <cfvo type="formula" val="$F$20"/>
        <cfvo type="formula" val="$L$20"/>
      </iconSet>
    </cfRule>
  </conditionalFormatting>
  <conditionalFormatting sqref="E22">
    <cfRule type="iconSet" priority="7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2"/>
  <headerFooter alignWithMargins="0">
    <oddHeader xml:space="preserve">&amp;C&amp;"Arial,Bold"&amp;14
Printing Operation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6"/>
  <sheetViews>
    <sheetView workbookViewId="0">
      <selection sqref="A1:F1"/>
    </sheetView>
  </sheetViews>
  <sheetFormatPr defaultRowHeight="13.2" x14ac:dyDescent="0.25"/>
  <cols>
    <col min="1" max="1" width="17.88671875" style="16" bestFit="1" customWidth="1"/>
    <col min="2" max="2" width="17.5546875" style="151" customWidth="1"/>
    <col min="3" max="3" width="34.33203125" customWidth="1"/>
    <col min="4" max="5" width="20" style="8" customWidth="1"/>
    <col min="6" max="6" width="25" style="8" customWidth="1"/>
    <col min="7" max="7" width="29.5546875" customWidth="1"/>
  </cols>
  <sheetData>
    <row r="1" spans="1:7" ht="17.399999999999999" x14ac:dyDescent="0.3">
      <c r="A1" s="375" t="s">
        <v>380</v>
      </c>
      <c r="B1" s="375"/>
      <c r="C1" s="375"/>
      <c r="D1" s="375"/>
      <c r="E1" s="375"/>
      <c r="F1" s="375"/>
    </row>
    <row r="2" spans="1:7" x14ac:dyDescent="0.25">
      <c r="A2" s="374" t="s">
        <v>483</v>
      </c>
      <c r="B2" s="374"/>
      <c r="C2" s="374"/>
      <c r="D2" s="374"/>
      <c r="E2" s="374"/>
      <c r="F2" s="374"/>
    </row>
    <row r="4" spans="1:7" x14ac:dyDescent="0.25">
      <c r="A4" s="15" t="s">
        <v>25</v>
      </c>
      <c r="B4" s="148" t="s">
        <v>21</v>
      </c>
      <c r="C4" s="3" t="s">
        <v>23</v>
      </c>
      <c r="D4" s="3" t="s">
        <v>22</v>
      </c>
      <c r="E4" s="12" t="s">
        <v>40</v>
      </c>
      <c r="F4" s="12" t="s">
        <v>42</v>
      </c>
      <c r="G4" s="3" t="s">
        <v>24</v>
      </c>
    </row>
    <row r="5" spans="1:7" ht="27" customHeight="1" x14ac:dyDescent="0.25">
      <c r="A5" s="46">
        <v>1</v>
      </c>
      <c r="B5" s="149">
        <v>41307</v>
      </c>
      <c r="C5" s="47" t="s">
        <v>39</v>
      </c>
      <c r="D5" s="231" t="s">
        <v>381</v>
      </c>
      <c r="E5" s="6" t="s">
        <v>41</v>
      </c>
      <c r="F5" s="6" t="s">
        <v>454</v>
      </c>
      <c r="G5" s="267" t="s">
        <v>101</v>
      </c>
    </row>
    <row r="6" spans="1:7" ht="62.25" customHeight="1" x14ac:dyDescent="0.25">
      <c r="A6" s="48">
        <v>1.1000000000000001</v>
      </c>
      <c r="B6" s="149">
        <v>41320</v>
      </c>
      <c r="C6" s="49" t="s">
        <v>477</v>
      </c>
      <c r="D6" s="6" t="s">
        <v>478</v>
      </c>
      <c r="E6" s="67" t="s">
        <v>41</v>
      </c>
      <c r="F6" s="67" t="s">
        <v>454</v>
      </c>
      <c r="G6" s="267" t="s">
        <v>101</v>
      </c>
    </row>
    <row r="7" spans="1:7" ht="14.25" customHeight="1" x14ac:dyDescent="0.25">
      <c r="A7" s="52">
        <v>1.2</v>
      </c>
      <c r="B7" s="214" t="s">
        <v>479</v>
      </c>
      <c r="C7" s="53" t="s">
        <v>480</v>
      </c>
      <c r="D7" s="50" t="s">
        <v>478</v>
      </c>
      <c r="E7" s="50" t="s">
        <v>41</v>
      </c>
      <c r="F7" s="50" t="s">
        <v>454</v>
      </c>
      <c r="G7" s="267" t="s">
        <v>101</v>
      </c>
    </row>
    <row r="8" spans="1:7" ht="41.25" customHeight="1" x14ac:dyDescent="0.25">
      <c r="A8" s="52">
        <v>1.3</v>
      </c>
      <c r="B8" s="226" t="s">
        <v>481</v>
      </c>
      <c r="C8" s="53" t="s">
        <v>482</v>
      </c>
      <c r="D8" s="50" t="s">
        <v>478</v>
      </c>
      <c r="E8" s="50" t="s">
        <v>41</v>
      </c>
      <c r="F8" s="50" t="s">
        <v>454</v>
      </c>
      <c r="G8" s="267" t="s">
        <v>101</v>
      </c>
    </row>
    <row r="9" spans="1:7" ht="16.5" customHeight="1" x14ac:dyDescent="0.25">
      <c r="A9" s="52"/>
      <c r="B9" s="150"/>
      <c r="C9" s="53"/>
      <c r="D9" s="50"/>
      <c r="E9" s="50"/>
      <c r="F9" s="50"/>
      <c r="G9" s="51"/>
    </row>
    <row r="10" spans="1:7" ht="16.5" customHeight="1" x14ac:dyDescent="0.25">
      <c r="A10" s="52"/>
      <c r="B10" s="150"/>
      <c r="C10" s="53"/>
      <c r="D10" s="50"/>
      <c r="E10" s="50"/>
      <c r="F10" s="50"/>
      <c r="G10" s="51"/>
    </row>
    <row r="11" spans="1:7" ht="16.5" customHeight="1" x14ac:dyDescent="0.25">
      <c r="A11" s="52"/>
      <c r="B11" s="150"/>
      <c r="C11" s="53"/>
      <c r="D11" s="50"/>
      <c r="E11" s="50"/>
      <c r="F11" s="50"/>
      <c r="G11" s="51"/>
    </row>
    <row r="12" spans="1:7" ht="16.5" customHeight="1" x14ac:dyDescent="0.25">
      <c r="A12" s="52"/>
      <c r="B12" s="150"/>
      <c r="C12" s="53"/>
      <c r="D12" s="50"/>
      <c r="E12" s="50"/>
      <c r="F12" s="50"/>
      <c r="G12" s="51"/>
    </row>
    <row r="13" spans="1:7" ht="16.5" customHeight="1" x14ac:dyDescent="0.25">
      <c r="A13" s="52"/>
      <c r="B13" s="150"/>
      <c r="C13" s="53"/>
      <c r="D13" s="50"/>
      <c r="E13" s="50"/>
      <c r="F13" s="50"/>
      <c r="G13" s="51"/>
    </row>
    <row r="14" spans="1:7" ht="16.5" customHeight="1" x14ac:dyDescent="0.25">
      <c r="A14" s="52"/>
      <c r="B14" s="150"/>
      <c r="C14" s="53"/>
      <c r="D14" s="50"/>
      <c r="E14" s="50"/>
      <c r="F14" s="50"/>
      <c r="G14" s="51"/>
    </row>
    <row r="15" spans="1:7" ht="16.5" customHeight="1" x14ac:dyDescent="0.25">
      <c r="A15" s="52"/>
      <c r="B15" s="150"/>
      <c r="C15" s="53"/>
      <c r="D15" s="50"/>
      <c r="E15" s="50"/>
      <c r="F15" s="50"/>
      <c r="G15" s="51"/>
    </row>
    <row r="16" spans="1:7" ht="16.5" customHeight="1" x14ac:dyDescent="0.25">
      <c r="A16" s="52"/>
      <c r="B16" s="150"/>
      <c r="C16" s="53"/>
      <c r="D16" s="50"/>
      <c r="E16" s="50"/>
      <c r="F16" s="50"/>
      <c r="G16" s="51"/>
    </row>
    <row r="17" spans="1:7" ht="16.5" customHeight="1" x14ac:dyDescent="0.25">
      <c r="A17" s="52"/>
      <c r="B17" s="150"/>
      <c r="C17" s="53"/>
      <c r="D17" s="50"/>
      <c r="E17" s="50"/>
      <c r="F17" s="50"/>
      <c r="G17" s="51"/>
    </row>
    <row r="18" spans="1:7" ht="16.5" customHeight="1" x14ac:dyDescent="0.25">
      <c r="A18" s="52"/>
      <c r="B18" s="150"/>
      <c r="C18" s="53"/>
      <c r="D18" s="50"/>
      <c r="E18" s="50"/>
      <c r="F18" s="50"/>
      <c r="G18" s="51"/>
    </row>
    <row r="19" spans="1:7" ht="16.5" customHeight="1" x14ac:dyDescent="0.25">
      <c r="A19" s="52"/>
      <c r="B19" s="150"/>
      <c r="C19" s="53"/>
      <c r="D19" s="50"/>
      <c r="E19" s="50"/>
      <c r="F19" s="50"/>
      <c r="G19" s="51"/>
    </row>
    <row r="20" spans="1:7" ht="16.5" customHeight="1" x14ac:dyDescent="0.25">
      <c r="A20" s="52"/>
      <c r="B20" s="150"/>
      <c r="C20" s="53"/>
      <c r="D20" s="50"/>
      <c r="E20" s="50"/>
      <c r="F20" s="50"/>
      <c r="G20" s="51"/>
    </row>
    <row r="21" spans="1:7" ht="16.5" customHeight="1" x14ac:dyDescent="0.25">
      <c r="A21" s="52"/>
      <c r="B21" s="150"/>
      <c r="C21" s="53"/>
      <c r="D21" s="50"/>
      <c r="E21" s="50"/>
      <c r="F21" s="50"/>
      <c r="G21" s="51"/>
    </row>
    <row r="22" spans="1:7" ht="16.5" customHeight="1" x14ac:dyDescent="0.25">
      <c r="A22" s="52"/>
      <c r="B22" s="150"/>
      <c r="C22" s="53"/>
      <c r="D22" s="50"/>
      <c r="E22" s="50"/>
      <c r="F22" s="50"/>
      <c r="G22" s="51"/>
    </row>
    <row r="23" spans="1:7" ht="16.5" customHeight="1" x14ac:dyDescent="0.25">
      <c r="A23" s="52"/>
      <c r="B23" s="150"/>
      <c r="C23" s="53"/>
      <c r="D23" s="50"/>
      <c r="E23" s="50"/>
      <c r="F23" s="50"/>
      <c r="G23" s="51"/>
    </row>
    <row r="24" spans="1:7" ht="16.5" customHeight="1" x14ac:dyDescent="0.25">
      <c r="A24" s="52"/>
      <c r="B24" s="150"/>
      <c r="C24" s="53"/>
      <c r="D24" s="50"/>
      <c r="E24" s="50"/>
      <c r="F24" s="50"/>
      <c r="G24" s="51"/>
    </row>
    <row r="25" spans="1:7" ht="16.5" customHeight="1" x14ac:dyDescent="0.25">
      <c r="A25" s="52"/>
      <c r="B25" s="150"/>
      <c r="C25" s="53"/>
      <c r="D25" s="50"/>
      <c r="E25" s="50"/>
      <c r="F25" s="50"/>
      <c r="G25" s="51"/>
    </row>
    <row r="26" spans="1:7" ht="16.5" customHeight="1" x14ac:dyDescent="0.25">
      <c r="A26" s="52"/>
      <c r="B26" s="150"/>
      <c r="C26" s="53"/>
      <c r="D26" s="50"/>
      <c r="E26" s="50"/>
      <c r="F26" s="50"/>
      <c r="G26" s="51"/>
    </row>
  </sheetData>
  <mergeCells count="2">
    <mergeCell ref="A2:F2"/>
    <mergeCell ref="A1:F1"/>
  </mergeCells>
  <hyperlinks>
    <hyperlink ref="G5" r:id="rId1"/>
    <hyperlink ref="G6" r:id="rId2"/>
    <hyperlink ref="G7" r:id="rId3"/>
    <hyperlink ref="G8"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35"/>
  <sheetViews>
    <sheetView zoomScaleNormal="100" workbookViewId="0">
      <pane ySplit="3" topLeftCell="A4" activePane="bottomLeft" state="frozen"/>
      <selection pane="bottomLeft" activeCell="A4" sqref="A4"/>
    </sheetView>
  </sheetViews>
  <sheetFormatPr defaultRowHeight="13.2" x14ac:dyDescent="0.25"/>
  <cols>
    <col min="1" max="1" width="34.44140625" style="4" customWidth="1"/>
    <col min="2" max="2" width="17" customWidth="1"/>
    <col min="3" max="3" width="36.44140625" customWidth="1"/>
    <col min="4" max="4" width="26" style="9" customWidth="1"/>
    <col min="5" max="5" width="29.109375" style="9" customWidth="1"/>
    <col min="6" max="6" width="17" customWidth="1"/>
    <col min="7" max="7" width="19.6640625" customWidth="1"/>
    <col min="8" max="8" width="40.6640625" customWidth="1"/>
  </cols>
  <sheetData>
    <row r="1" spans="1:8" ht="17.399999999999999" x14ac:dyDescent="0.3">
      <c r="A1" s="1" t="s">
        <v>33</v>
      </c>
    </row>
    <row r="2" spans="1:8" ht="13.8" thickBot="1" x14ac:dyDescent="0.3"/>
    <row r="3" spans="1:8" x14ac:dyDescent="0.25">
      <c r="A3" s="17" t="s">
        <v>54</v>
      </c>
      <c r="B3" s="18" t="s">
        <v>0</v>
      </c>
      <c r="C3" s="18" t="s">
        <v>34</v>
      </c>
      <c r="D3" s="19" t="s">
        <v>461</v>
      </c>
      <c r="E3" s="19" t="s">
        <v>462</v>
      </c>
      <c r="F3" s="18" t="s">
        <v>36</v>
      </c>
      <c r="G3" s="18" t="s">
        <v>35</v>
      </c>
      <c r="H3" s="21" t="s">
        <v>37</v>
      </c>
    </row>
    <row r="4" spans="1:8" x14ac:dyDescent="0.25">
      <c r="A4" s="238" t="s">
        <v>400</v>
      </c>
      <c r="B4" s="233" t="s">
        <v>3</v>
      </c>
      <c r="C4" s="233" t="str">
        <f>A4&amp;B4</f>
        <v>Web Offset lithographyVOC</v>
      </c>
      <c r="D4" s="234">
        <f>IF(Have_Dryer="Yes",IF(AND(Print_type = "Publication", Dryer_type = "Hot air"), (40/100)*((100-40)/100), IF(AND(Print_type = "Publication", Dryer_type = "Direct flame"), (40/100)*((100-60)/100), (5/100)*((100-100)/100))),IF(Print_type = "Publication",40/100,5/100))</f>
        <v>0.4</v>
      </c>
      <c r="E4" s="234">
        <f>D4</f>
        <v>0.4</v>
      </c>
      <c r="F4" s="233" t="s">
        <v>56</v>
      </c>
      <c r="G4" s="233" t="s">
        <v>56</v>
      </c>
      <c r="H4" s="235" t="s">
        <v>408</v>
      </c>
    </row>
    <row r="5" spans="1:8" x14ac:dyDescent="0.25">
      <c r="A5" s="238" t="s">
        <v>385</v>
      </c>
      <c r="B5" s="233" t="s">
        <v>3</v>
      </c>
      <c r="C5" s="233" t="str">
        <f t="shared" ref="C5:C7" si="0">A5&amp;B5</f>
        <v>Web letterpressVOC</v>
      </c>
      <c r="D5" s="234">
        <f>IF(Have_Dryer="Yes",IF(Print_type = "Publication", (40/100)*((100-40)/100),0),IF(Print_type = "Publication",40/100,0))</f>
        <v>0.4</v>
      </c>
      <c r="E5" s="234">
        <f t="shared" ref="E5" si="1">D5</f>
        <v>0.4</v>
      </c>
      <c r="F5" s="233" t="s">
        <v>56</v>
      </c>
      <c r="G5" s="233" t="s">
        <v>56</v>
      </c>
      <c r="H5" s="235" t="s">
        <v>408</v>
      </c>
    </row>
    <row r="6" spans="1:8" x14ac:dyDescent="0.25">
      <c r="A6" s="238" t="s">
        <v>386</v>
      </c>
      <c r="B6" s="233" t="s">
        <v>3</v>
      </c>
      <c r="C6" s="233" t="str">
        <f t="shared" si="0"/>
        <v>RotogravureVOC</v>
      </c>
      <c r="D6" s="234">
        <f>IF(Have_Dryer="Yes",(75/100)*((100-4.5)/100),75/100)</f>
        <v>0.75</v>
      </c>
      <c r="E6" s="234">
        <f>IF(Have_Dryer="Yes",(75/100)*((100-2)/100),75/100)</f>
        <v>0.75</v>
      </c>
      <c r="F6" s="233" t="s">
        <v>56</v>
      </c>
      <c r="G6" s="233" t="s">
        <v>56</v>
      </c>
      <c r="H6" s="235" t="s">
        <v>408</v>
      </c>
    </row>
    <row r="7" spans="1:8" x14ac:dyDescent="0.25">
      <c r="A7" s="238" t="s">
        <v>387</v>
      </c>
      <c r="B7" s="233" t="s">
        <v>3</v>
      </c>
      <c r="C7" s="233" t="str">
        <f t="shared" si="0"/>
        <v>FlexographyVOC</v>
      </c>
      <c r="D7" s="234">
        <f>IF(Have_Dryer="Yes",(75/100)*((100-4.5)/100),75/100)</f>
        <v>0.75</v>
      </c>
      <c r="E7" s="234">
        <f>IF(Have_Dryer="Yes",(75/100)*((100-2)/100),75/100)</f>
        <v>0.75</v>
      </c>
      <c r="F7" s="233" t="s">
        <v>56</v>
      </c>
      <c r="G7" s="233" t="s">
        <v>56</v>
      </c>
      <c r="H7" s="235" t="s">
        <v>408</v>
      </c>
    </row>
    <row r="8" spans="1:8" x14ac:dyDescent="0.25">
      <c r="A8" s="14" t="s">
        <v>69</v>
      </c>
      <c r="B8" s="5" t="s">
        <v>3</v>
      </c>
      <c r="C8" s="5" t="str">
        <f t="shared" ref="C8:C28" si="2">A8&amp;B8</f>
        <v>Oil - DistillateVOC</v>
      </c>
      <c r="D8" s="10">
        <v>0.2</v>
      </c>
      <c r="E8" s="10">
        <f t="shared" ref="E8:E35" si="3">D8</f>
        <v>0.2</v>
      </c>
      <c r="F8" s="7" t="s">
        <v>38</v>
      </c>
      <c r="G8" s="7" t="s">
        <v>71</v>
      </c>
      <c r="H8" s="20" t="s">
        <v>72</v>
      </c>
    </row>
    <row r="9" spans="1:8" ht="15.6" x14ac:dyDescent="0.25">
      <c r="A9" s="14" t="s">
        <v>69</v>
      </c>
      <c r="B9" s="7" t="s">
        <v>73</v>
      </c>
      <c r="C9" s="5" t="str">
        <f t="shared" si="2"/>
        <v>Oil - DistillateNOx</v>
      </c>
      <c r="D9" s="10">
        <v>20</v>
      </c>
      <c r="E9" s="10">
        <f t="shared" si="3"/>
        <v>20</v>
      </c>
      <c r="F9" s="7" t="s">
        <v>38</v>
      </c>
      <c r="G9" s="7" t="s">
        <v>71</v>
      </c>
      <c r="H9" s="20" t="s">
        <v>72</v>
      </c>
    </row>
    <row r="10" spans="1:8" x14ac:dyDescent="0.25">
      <c r="A10" s="14" t="s">
        <v>69</v>
      </c>
      <c r="B10" s="7" t="s">
        <v>62</v>
      </c>
      <c r="C10" s="5" t="str">
        <f t="shared" si="2"/>
        <v>Oil - DistillateCO</v>
      </c>
      <c r="D10" s="10">
        <v>5</v>
      </c>
      <c r="E10" s="10">
        <f t="shared" si="3"/>
        <v>5</v>
      </c>
      <c r="F10" s="7" t="s">
        <v>38</v>
      </c>
      <c r="G10" s="7" t="s">
        <v>71</v>
      </c>
      <c r="H10" s="20" t="s">
        <v>72</v>
      </c>
    </row>
    <row r="11" spans="1:8" ht="15.6" x14ac:dyDescent="0.25">
      <c r="A11" s="14" t="s">
        <v>69</v>
      </c>
      <c r="B11" s="7" t="s">
        <v>74</v>
      </c>
      <c r="C11" s="5" t="str">
        <f t="shared" si="2"/>
        <v>Oil - DistillateSO2</v>
      </c>
      <c r="D11" s="11">
        <f>142*Sulfur_Content_of_Fuel</f>
        <v>71</v>
      </c>
      <c r="E11" s="10">
        <f>IF(D11&gt;142*Distillate_Oil_Allowable_Sulfur_Content, D11, 142*Distillate_Oil_Allowable_Sulfur_Content)</f>
        <v>71</v>
      </c>
      <c r="F11" s="7" t="s">
        <v>38</v>
      </c>
      <c r="G11" s="7" t="s">
        <v>71</v>
      </c>
      <c r="H11" s="20" t="s">
        <v>72</v>
      </c>
    </row>
    <row r="12" spans="1:8" x14ac:dyDescent="0.25">
      <c r="A12" s="14" t="s">
        <v>69</v>
      </c>
      <c r="B12" s="7" t="s">
        <v>70</v>
      </c>
      <c r="C12" s="5" t="str">
        <f t="shared" si="2"/>
        <v>Oil - DistillateTotal PM</v>
      </c>
      <c r="D12" s="10">
        <v>4.5999999999999996</v>
      </c>
      <c r="E12" s="10">
        <f t="shared" si="3"/>
        <v>4.5999999999999996</v>
      </c>
      <c r="F12" s="7" t="s">
        <v>38</v>
      </c>
      <c r="G12" s="7" t="s">
        <v>71</v>
      </c>
      <c r="H12" s="20" t="s">
        <v>72</v>
      </c>
    </row>
    <row r="13" spans="1:8" ht="15.6" x14ac:dyDescent="0.25">
      <c r="A13" s="14" t="s">
        <v>69</v>
      </c>
      <c r="B13" s="7" t="s">
        <v>75</v>
      </c>
      <c r="C13" s="5" t="str">
        <f t="shared" si="2"/>
        <v>Oil - DistillatePM10</v>
      </c>
      <c r="D13" s="10">
        <v>2.2999999999999998</v>
      </c>
      <c r="E13" s="10">
        <f t="shared" si="3"/>
        <v>2.2999999999999998</v>
      </c>
      <c r="F13" s="7" t="s">
        <v>38</v>
      </c>
      <c r="G13" s="7" t="s">
        <v>71</v>
      </c>
      <c r="H13" s="20" t="s">
        <v>72</v>
      </c>
    </row>
    <row r="14" spans="1:8" ht="15.6" x14ac:dyDescent="0.25">
      <c r="A14" s="14" t="s">
        <v>69</v>
      </c>
      <c r="B14" s="7" t="s">
        <v>76</v>
      </c>
      <c r="C14" s="5" t="str">
        <f t="shared" si="2"/>
        <v>Oil - DistillatePM2.5</v>
      </c>
      <c r="D14" s="10">
        <v>1.55</v>
      </c>
      <c r="E14" s="10">
        <f t="shared" si="3"/>
        <v>1.55</v>
      </c>
      <c r="F14" s="7" t="s">
        <v>38</v>
      </c>
      <c r="G14" s="7" t="s">
        <v>71</v>
      </c>
      <c r="H14" s="20" t="s">
        <v>72</v>
      </c>
    </row>
    <row r="15" spans="1:8" x14ac:dyDescent="0.25">
      <c r="A15" s="14" t="s">
        <v>67</v>
      </c>
      <c r="B15" s="5" t="s">
        <v>3</v>
      </c>
      <c r="C15" s="5" t="str">
        <f t="shared" si="2"/>
        <v>Natural GasVOC</v>
      </c>
      <c r="D15" s="10">
        <v>5.5</v>
      </c>
      <c r="E15" s="10">
        <f t="shared" si="3"/>
        <v>5.5</v>
      </c>
      <c r="F15" s="7" t="s">
        <v>38</v>
      </c>
      <c r="G15" s="7" t="s">
        <v>414</v>
      </c>
      <c r="H15" s="20" t="s">
        <v>72</v>
      </c>
    </row>
    <row r="16" spans="1:8" ht="15.6" x14ac:dyDescent="0.25">
      <c r="A16" s="14" t="s">
        <v>67</v>
      </c>
      <c r="B16" s="7" t="s">
        <v>73</v>
      </c>
      <c r="C16" s="5" t="str">
        <f t="shared" si="2"/>
        <v>Natural GasNOx</v>
      </c>
      <c r="D16" s="10">
        <v>100</v>
      </c>
      <c r="E16" s="10">
        <f t="shared" si="3"/>
        <v>100</v>
      </c>
      <c r="F16" s="7" t="s">
        <v>38</v>
      </c>
      <c r="G16" s="7" t="s">
        <v>414</v>
      </c>
      <c r="H16" s="20" t="s">
        <v>72</v>
      </c>
    </row>
    <row r="17" spans="1:8" x14ac:dyDescent="0.25">
      <c r="A17" s="14" t="s">
        <v>67</v>
      </c>
      <c r="B17" s="7" t="s">
        <v>62</v>
      </c>
      <c r="C17" s="5" t="str">
        <f t="shared" si="2"/>
        <v>Natural GasCO</v>
      </c>
      <c r="D17" s="10">
        <v>84</v>
      </c>
      <c r="E17" s="10">
        <f t="shared" si="3"/>
        <v>84</v>
      </c>
      <c r="F17" s="7" t="s">
        <v>38</v>
      </c>
      <c r="G17" s="7" t="s">
        <v>414</v>
      </c>
      <c r="H17" s="20" t="s">
        <v>72</v>
      </c>
    </row>
    <row r="18" spans="1:8" ht="15.6" x14ac:dyDescent="0.25">
      <c r="A18" s="14" t="s">
        <v>67</v>
      </c>
      <c r="B18" s="7" t="s">
        <v>74</v>
      </c>
      <c r="C18" s="5" t="str">
        <f t="shared" si="2"/>
        <v>Natural GasSO2</v>
      </c>
      <c r="D18" s="10">
        <v>0.6</v>
      </c>
      <c r="E18" s="10">
        <f>D18*Natural_Gas_Allowable_Sulfur_Content/Natural_Gas_Actual_Sulfur_Content</f>
        <v>143.99999999999997</v>
      </c>
      <c r="F18" s="7" t="s">
        <v>38</v>
      </c>
      <c r="G18" s="7" t="s">
        <v>414</v>
      </c>
      <c r="H18" s="20" t="s">
        <v>72</v>
      </c>
    </row>
    <row r="19" spans="1:8" x14ac:dyDescent="0.25">
      <c r="A19" s="14" t="s">
        <v>67</v>
      </c>
      <c r="B19" s="7" t="s">
        <v>70</v>
      </c>
      <c r="C19" s="5" t="str">
        <f t="shared" si="2"/>
        <v>Natural GasTotal PM</v>
      </c>
      <c r="D19" s="81">
        <v>0.52</v>
      </c>
      <c r="E19" s="10">
        <f t="shared" si="3"/>
        <v>0.52</v>
      </c>
      <c r="F19" s="7" t="s">
        <v>38</v>
      </c>
      <c r="G19" s="7" t="s">
        <v>414</v>
      </c>
      <c r="H19" s="20" t="s">
        <v>72</v>
      </c>
    </row>
    <row r="20" spans="1:8" ht="15.6" x14ac:dyDescent="0.25">
      <c r="A20" s="14" t="s">
        <v>67</v>
      </c>
      <c r="B20" s="7" t="s">
        <v>75</v>
      </c>
      <c r="C20" s="5" t="str">
        <f t="shared" si="2"/>
        <v>Natural GasPM10</v>
      </c>
      <c r="D20" s="10">
        <v>0.52</v>
      </c>
      <c r="E20" s="10">
        <f t="shared" si="3"/>
        <v>0.52</v>
      </c>
      <c r="F20" s="7" t="s">
        <v>38</v>
      </c>
      <c r="G20" s="7" t="s">
        <v>414</v>
      </c>
      <c r="H20" s="20" t="s">
        <v>72</v>
      </c>
    </row>
    <row r="21" spans="1:8" ht="15.6" x14ac:dyDescent="0.25">
      <c r="A21" s="14" t="s">
        <v>67</v>
      </c>
      <c r="B21" s="7" t="s">
        <v>76</v>
      </c>
      <c r="C21" s="5" t="str">
        <f t="shared" si="2"/>
        <v>Natural GasPM2.5</v>
      </c>
      <c r="D21" s="10">
        <v>0.43</v>
      </c>
      <c r="E21" s="10">
        <f t="shared" si="3"/>
        <v>0.43</v>
      </c>
      <c r="F21" s="7" t="s">
        <v>38</v>
      </c>
      <c r="G21" s="7" t="s">
        <v>414</v>
      </c>
      <c r="H21" s="20" t="s">
        <v>72</v>
      </c>
    </row>
    <row r="22" spans="1:8" x14ac:dyDescent="0.25">
      <c r="A22" s="14" t="s">
        <v>68</v>
      </c>
      <c r="B22" s="5" t="s">
        <v>3</v>
      </c>
      <c r="C22" s="5" t="str">
        <f t="shared" si="2"/>
        <v>LPGVOC</v>
      </c>
      <c r="D22" s="10">
        <v>0.52</v>
      </c>
      <c r="E22" s="10">
        <f t="shared" si="3"/>
        <v>0.52</v>
      </c>
      <c r="F22" s="7" t="s">
        <v>38</v>
      </c>
      <c r="G22" s="7" t="s">
        <v>71</v>
      </c>
      <c r="H22" s="20" t="s">
        <v>72</v>
      </c>
    </row>
    <row r="23" spans="1:8" ht="15.6" x14ac:dyDescent="0.25">
      <c r="A23" s="14" t="s">
        <v>68</v>
      </c>
      <c r="B23" s="7" t="s">
        <v>73</v>
      </c>
      <c r="C23" s="5" t="str">
        <f t="shared" si="2"/>
        <v>LPGNOx</v>
      </c>
      <c r="D23" s="10">
        <v>14.23</v>
      </c>
      <c r="E23" s="10">
        <f t="shared" si="3"/>
        <v>14.23</v>
      </c>
      <c r="F23" s="7" t="s">
        <v>38</v>
      </c>
      <c r="G23" s="7" t="s">
        <v>71</v>
      </c>
      <c r="H23" s="20" t="s">
        <v>72</v>
      </c>
    </row>
    <row r="24" spans="1:8" x14ac:dyDescent="0.25">
      <c r="A24" s="14" t="s">
        <v>68</v>
      </c>
      <c r="B24" s="7" t="s">
        <v>62</v>
      </c>
      <c r="C24" s="5" t="str">
        <f t="shared" si="2"/>
        <v>LPGCO</v>
      </c>
      <c r="D24" s="10">
        <v>7.97</v>
      </c>
      <c r="E24" s="10">
        <f t="shared" si="3"/>
        <v>7.97</v>
      </c>
      <c r="F24" s="7" t="s">
        <v>38</v>
      </c>
      <c r="G24" s="7" t="s">
        <v>71</v>
      </c>
      <c r="H24" s="20" t="s">
        <v>72</v>
      </c>
    </row>
    <row r="25" spans="1:8" ht="15.6" x14ac:dyDescent="0.25">
      <c r="A25" s="14" t="s">
        <v>68</v>
      </c>
      <c r="B25" s="7" t="s">
        <v>74</v>
      </c>
      <c r="C25" s="5" t="str">
        <f t="shared" si="2"/>
        <v>LPGSO2</v>
      </c>
      <c r="D25" s="10">
        <v>0.06</v>
      </c>
      <c r="E25" s="10">
        <f>D25*LPG_Allowable_Sulfur_Content/LPG_Actual_Sulfur_Content</f>
        <v>14.399999999999999</v>
      </c>
      <c r="F25" s="7" t="s">
        <v>38</v>
      </c>
      <c r="G25" s="7" t="s">
        <v>71</v>
      </c>
      <c r="H25" s="20" t="s">
        <v>72</v>
      </c>
    </row>
    <row r="26" spans="1:8" x14ac:dyDescent="0.25">
      <c r="A26" s="14" t="s">
        <v>68</v>
      </c>
      <c r="B26" s="7" t="s">
        <v>70</v>
      </c>
      <c r="C26" s="5" t="str">
        <f t="shared" si="2"/>
        <v>LPGTotal PM</v>
      </c>
      <c r="D26" s="81">
        <v>0.05</v>
      </c>
      <c r="E26" s="10">
        <f t="shared" si="3"/>
        <v>0.05</v>
      </c>
      <c r="F26" s="7" t="s">
        <v>38</v>
      </c>
      <c r="G26" s="7" t="s">
        <v>71</v>
      </c>
      <c r="H26" s="20" t="s">
        <v>72</v>
      </c>
    </row>
    <row r="27" spans="1:8" ht="15.6" x14ac:dyDescent="0.25">
      <c r="A27" s="14" t="s">
        <v>68</v>
      </c>
      <c r="B27" s="7" t="s">
        <v>75</v>
      </c>
      <c r="C27" s="5" t="str">
        <f t="shared" si="2"/>
        <v>LPGPM10</v>
      </c>
      <c r="D27" s="10">
        <v>0.05</v>
      </c>
      <c r="E27" s="10">
        <f t="shared" si="3"/>
        <v>0.05</v>
      </c>
      <c r="F27" s="7" t="s">
        <v>38</v>
      </c>
      <c r="G27" s="7" t="s">
        <v>71</v>
      </c>
      <c r="H27" s="20" t="s">
        <v>72</v>
      </c>
    </row>
    <row r="28" spans="1:8" ht="15.6" x14ac:dyDescent="0.25">
      <c r="A28" s="14" t="s">
        <v>68</v>
      </c>
      <c r="B28" s="7" t="s">
        <v>76</v>
      </c>
      <c r="C28" s="5" t="str">
        <f t="shared" si="2"/>
        <v>LPGPM2.5</v>
      </c>
      <c r="D28" s="10">
        <v>0.04</v>
      </c>
      <c r="E28" s="10">
        <f t="shared" si="3"/>
        <v>0.04</v>
      </c>
      <c r="F28" s="7" t="s">
        <v>38</v>
      </c>
      <c r="G28" s="7" t="s">
        <v>71</v>
      </c>
      <c r="H28" s="20" t="s">
        <v>72</v>
      </c>
    </row>
    <row r="29" spans="1:8" x14ac:dyDescent="0.25">
      <c r="A29" s="236" t="s">
        <v>94</v>
      </c>
      <c r="B29" s="5" t="s">
        <v>3</v>
      </c>
      <c r="C29" s="210" t="str">
        <f>A29&amp;B29</f>
        <v>ElectricityVOC</v>
      </c>
      <c r="D29" s="237">
        <v>0</v>
      </c>
      <c r="E29" s="237">
        <f t="shared" si="3"/>
        <v>0</v>
      </c>
      <c r="F29" s="13" t="s">
        <v>56</v>
      </c>
      <c r="G29" s="13" t="s">
        <v>56</v>
      </c>
      <c r="H29" s="66" t="s">
        <v>403</v>
      </c>
    </row>
    <row r="30" spans="1:8" ht="15.6" x14ac:dyDescent="0.25">
      <c r="A30" s="236" t="s">
        <v>94</v>
      </c>
      <c r="B30" s="7" t="s">
        <v>73</v>
      </c>
      <c r="C30" s="210" t="str">
        <f t="shared" ref="C30:C35" si="4">A30&amp;B30</f>
        <v>ElectricityNOx</v>
      </c>
      <c r="D30" s="237">
        <v>0</v>
      </c>
      <c r="E30" s="237">
        <f t="shared" si="3"/>
        <v>0</v>
      </c>
      <c r="F30" s="13" t="s">
        <v>56</v>
      </c>
      <c r="G30" s="13" t="s">
        <v>56</v>
      </c>
      <c r="H30" s="66" t="s">
        <v>403</v>
      </c>
    </row>
    <row r="31" spans="1:8" x14ac:dyDescent="0.25">
      <c r="A31" s="236" t="s">
        <v>94</v>
      </c>
      <c r="B31" s="7" t="s">
        <v>62</v>
      </c>
      <c r="C31" s="210" t="str">
        <f t="shared" si="4"/>
        <v>ElectricityCO</v>
      </c>
      <c r="D31" s="237">
        <v>0</v>
      </c>
      <c r="E31" s="237">
        <f t="shared" si="3"/>
        <v>0</v>
      </c>
      <c r="F31" s="13" t="s">
        <v>56</v>
      </c>
      <c r="G31" s="13" t="s">
        <v>56</v>
      </c>
      <c r="H31" s="66" t="s">
        <v>403</v>
      </c>
    </row>
    <row r="32" spans="1:8" ht="15.6" x14ac:dyDescent="0.25">
      <c r="A32" s="236" t="s">
        <v>94</v>
      </c>
      <c r="B32" s="7" t="s">
        <v>74</v>
      </c>
      <c r="C32" s="210" t="str">
        <f t="shared" si="4"/>
        <v>ElectricitySO2</v>
      </c>
      <c r="D32" s="237">
        <v>0</v>
      </c>
      <c r="E32" s="237">
        <f t="shared" si="3"/>
        <v>0</v>
      </c>
      <c r="F32" s="13" t="s">
        <v>56</v>
      </c>
      <c r="G32" s="13" t="s">
        <v>56</v>
      </c>
      <c r="H32" s="66" t="s">
        <v>403</v>
      </c>
    </row>
    <row r="33" spans="1:8" x14ac:dyDescent="0.25">
      <c r="A33" s="236" t="s">
        <v>94</v>
      </c>
      <c r="B33" s="7" t="s">
        <v>70</v>
      </c>
      <c r="C33" s="210" t="str">
        <f t="shared" si="4"/>
        <v>ElectricityTotal PM</v>
      </c>
      <c r="D33" s="237">
        <v>0</v>
      </c>
      <c r="E33" s="237">
        <f t="shared" si="3"/>
        <v>0</v>
      </c>
      <c r="F33" s="13" t="s">
        <v>56</v>
      </c>
      <c r="G33" s="13" t="s">
        <v>56</v>
      </c>
      <c r="H33" s="66" t="s">
        <v>403</v>
      </c>
    </row>
    <row r="34" spans="1:8" ht="15.6" x14ac:dyDescent="0.25">
      <c r="A34" s="236" t="s">
        <v>94</v>
      </c>
      <c r="B34" s="7" t="s">
        <v>75</v>
      </c>
      <c r="C34" s="210" t="str">
        <f t="shared" si="4"/>
        <v>ElectricityPM10</v>
      </c>
      <c r="D34" s="237">
        <v>0</v>
      </c>
      <c r="E34" s="237">
        <f t="shared" si="3"/>
        <v>0</v>
      </c>
      <c r="F34" s="13" t="s">
        <v>56</v>
      </c>
      <c r="G34" s="13" t="s">
        <v>56</v>
      </c>
      <c r="H34" s="66" t="s">
        <v>403</v>
      </c>
    </row>
    <row r="35" spans="1:8" ht="15.6" x14ac:dyDescent="0.25">
      <c r="A35" s="236" t="s">
        <v>94</v>
      </c>
      <c r="B35" s="7" t="s">
        <v>76</v>
      </c>
      <c r="C35" s="210" t="str">
        <f t="shared" si="4"/>
        <v>ElectricityPM2.5</v>
      </c>
      <c r="D35" s="237">
        <v>0</v>
      </c>
      <c r="E35" s="237">
        <f t="shared" si="3"/>
        <v>0</v>
      </c>
      <c r="F35" s="13" t="s">
        <v>56</v>
      </c>
      <c r="G35" s="13" t="s">
        <v>56</v>
      </c>
      <c r="H35" s="66" t="s">
        <v>403</v>
      </c>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
  <sheetViews>
    <sheetView workbookViewId="0"/>
  </sheetViews>
  <sheetFormatPr defaultRowHeight="13.2" x14ac:dyDescent="0.25"/>
  <cols>
    <col min="1" max="1" width="19.88671875" bestFit="1" customWidth="1"/>
    <col min="2" max="2" width="15" bestFit="1" customWidth="1"/>
    <col min="3" max="3" width="25.5546875" bestFit="1" customWidth="1"/>
    <col min="4" max="4" width="27.6640625" bestFit="1" customWidth="1"/>
    <col min="5" max="5" width="228.109375" bestFit="1" customWidth="1"/>
  </cols>
  <sheetData>
    <row r="1" spans="1:5" ht="17.399999999999999" x14ac:dyDescent="0.3">
      <c r="A1" s="1" t="s">
        <v>85</v>
      </c>
      <c r="C1" s="8"/>
      <c r="D1" s="8"/>
    </row>
    <row r="2" spans="1:5" ht="13.8" thickBot="1" x14ac:dyDescent="0.3">
      <c r="C2" s="8"/>
      <c r="D2" s="8"/>
    </row>
    <row r="3" spans="1:5" x14ac:dyDescent="0.25">
      <c r="A3" s="376" t="s">
        <v>84</v>
      </c>
      <c r="B3" s="377"/>
      <c r="C3" s="377"/>
      <c r="D3" s="377"/>
      <c r="E3" s="378"/>
    </row>
    <row r="4" spans="1:5" x14ac:dyDescent="0.25">
      <c r="A4" s="84" t="s">
        <v>86</v>
      </c>
      <c r="B4" s="85" t="s">
        <v>87</v>
      </c>
      <c r="C4" s="12" t="s">
        <v>88</v>
      </c>
      <c r="D4" s="12" t="s">
        <v>89</v>
      </c>
      <c r="E4" s="86" t="s">
        <v>37</v>
      </c>
    </row>
    <row r="5" spans="1:5" x14ac:dyDescent="0.25">
      <c r="A5" s="14" t="s">
        <v>68</v>
      </c>
      <c r="B5" s="82">
        <v>3.8492000000000002</v>
      </c>
      <c r="C5" s="13" t="s">
        <v>77</v>
      </c>
      <c r="D5" s="13" t="s">
        <v>78</v>
      </c>
      <c r="E5" s="83" t="s">
        <v>79</v>
      </c>
    </row>
    <row r="6" spans="1:5" ht="15.6" x14ac:dyDescent="0.25">
      <c r="A6" s="14" t="s">
        <v>67</v>
      </c>
      <c r="B6" s="82">
        <v>1023</v>
      </c>
      <c r="C6" s="13" t="s">
        <v>80</v>
      </c>
      <c r="D6" s="13" t="s">
        <v>81</v>
      </c>
      <c r="E6" s="83" t="s">
        <v>82</v>
      </c>
    </row>
    <row r="7" spans="1:5" x14ac:dyDescent="0.25">
      <c r="A7" s="14" t="s">
        <v>69</v>
      </c>
      <c r="B7" s="82">
        <v>5.8250000000000002</v>
      </c>
      <c r="C7" s="13" t="s">
        <v>77</v>
      </c>
      <c r="D7" s="13" t="s">
        <v>78</v>
      </c>
      <c r="E7" s="83" t="s">
        <v>83</v>
      </c>
    </row>
    <row r="8" spans="1:5" ht="13.8" thickBot="1" x14ac:dyDescent="0.3">
      <c r="A8" s="2"/>
      <c r="C8" s="8"/>
      <c r="D8" s="8"/>
    </row>
    <row r="9" spans="1:5" x14ac:dyDescent="0.25">
      <c r="A9" s="376" t="s">
        <v>90</v>
      </c>
      <c r="B9" s="377"/>
      <c r="C9" s="377"/>
      <c r="D9" s="378"/>
    </row>
    <row r="10" spans="1:5" x14ac:dyDescent="0.25">
      <c r="A10" s="84" t="s">
        <v>86</v>
      </c>
      <c r="B10" s="85" t="s">
        <v>87</v>
      </c>
      <c r="C10" s="12" t="s">
        <v>88</v>
      </c>
      <c r="D10" s="87" t="s">
        <v>89</v>
      </c>
      <c r="E10" s="88"/>
    </row>
    <row r="11" spans="1:5" x14ac:dyDescent="0.25">
      <c r="A11" s="14" t="s">
        <v>68</v>
      </c>
      <c r="B11" s="82">
        <f>3.86*1000/42</f>
        <v>91.904761904761898</v>
      </c>
      <c r="C11" s="13" t="s">
        <v>77</v>
      </c>
      <c r="D11" s="89" t="s">
        <v>71</v>
      </c>
    </row>
    <row r="12" spans="1:5" x14ac:dyDescent="0.25">
      <c r="A12" s="14" t="s">
        <v>67</v>
      </c>
      <c r="B12" s="82">
        <f>B6</f>
        <v>1023</v>
      </c>
      <c r="C12" s="13" t="s">
        <v>77</v>
      </c>
      <c r="D12" s="89" t="s">
        <v>414</v>
      </c>
    </row>
    <row r="13" spans="1:5" x14ac:dyDescent="0.25">
      <c r="A13" s="14" t="s">
        <v>69</v>
      </c>
      <c r="B13" s="82">
        <f>B7*1000/42</f>
        <v>138.6904761904762</v>
      </c>
      <c r="C13" s="13" t="s">
        <v>77</v>
      </c>
      <c r="D13" s="89" t="s">
        <v>71</v>
      </c>
    </row>
    <row r="14" spans="1:5" x14ac:dyDescent="0.25">
      <c r="C14" s="8"/>
      <c r="D14" s="8"/>
    </row>
  </sheetData>
  <mergeCells count="2">
    <mergeCell ref="A3:E3"/>
    <mergeCell ref="A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Registration FAQs</vt:lpstr>
      <vt:lpstr>Instructions</vt:lpstr>
      <vt:lpstr>Inputs</vt:lpstr>
      <vt:lpstr>Controls and Restrictions</vt:lpstr>
      <vt:lpstr>Total Emissions</vt:lpstr>
      <vt:lpstr>Output-Summary Printout</vt:lpstr>
      <vt:lpstr>Change Log</vt:lpstr>
      <vt:lpstr>Emission Factors</vt:lpstr>
      <vt:lpstr>Fuel Energy Content</vt:lpstr>
      <vt:lpstr>Additional References</vt:lpstr>
      <vt:lpstr>EPA Regional Contact Info</vt:lpstr>
      <vt:lpstr>Allowable_Hours_for_Dryer_Operation</vt:lpstr>
      <vt:lpstr>Allowable_Ink_Solvent_Density</vt:lpstr>
      <vt:lpstr>Allowable_Ink_Solvent_VOC_Content</vt:lpstr>
      <vt:lpstr>Annual_Dryer_Fuel</vt:lpstr>
      <vt:lpstr>CO_PM10_Attainment_List</vt:lpstr>
      <vt:lpstr>Distillate_Oil_Allowable_Sulfur_Content</vt:lpstr>
      <vt:lpstr>Dryer_Capacity</vt:lpstr>
      <vt:lpstr>Dryer_fuel</vt:lpstr>
      <vt:lpstr>Dryer_Fuel_List</vt:lpstr>
      <vt:lpstr>Dryer_type</vt:lpstr>
      <vt:lpstr>Dryer_Type_List</vt:lpstr>
      <vt:lpstr>Dryer_Use_List</vt:lpstr>
      <vt:lpstr>Have_Dryer</vt:lpstr>
      <vt:lpstr>Hourly_Gallons_Ink_Actual</vt:lpstr>
      <vt:lpstr>Hourly_Gallons_of_Ink_Max</vt:lpstr>
      <vt:lpstr>Ink_Type</vt:lpstr>
      <vt:lpstr>LPG_Actual_Sulfur_Content</vt:lpstr>
      <vt:lpstr>LPG_Allowable_Sulfur_Content</vt:lpstr>
      <vt:lpstr>Natural_Gas_Actual_Sulfur_Content</vt:lpstr>
      <vt:lpstr>Natural_Gas_Allowable_Sulfur_Content</vt:lpstr>
      <vt:lpstr>Ozone_Attainment_List</vt:lpstr>
      <vt:lpstr>Inputs!Print_Area</vt:lpstr>
      <vt:lpstr>Instructions!Print_Area</vt:lpstr>
      <vt:lpstr>'Output-Summary Printout'!Print_Area</vt:lpstr>
      <vt:lpstr>'Registration FAQs'!Print_Area</vt:lpstr>
      <vt:lpstr>Print_process</vt:lpstr>
      <vt:lpstr>Print_type</vt:lpstr>
      <vt:lpstr>Print_Type_List</vt:lpstr>
      <vt:lpstr>Printing_Processes_List</vt:lpstr>
      <vt:lpstr>Rotogravure_VOC_Emission_Limit</vt:lpstr>
      <vt:lpstr>SO2_PM2.5_Attainment_List</vt:lpstr>
      <vt:lpstr>Solvent_density</vt:lpstr>
      <vt:lpstr>Solvent_Type_List</vt:lpstr>
      <vt:lpstr>State_List</vt:lpstr>
      <vt:lpstr>Sulfur_Content_of_Fuel</vt:lpstr>
      <vt:lpstr>VOC_Control_Device_List</vt:lpstr>
      <vt:lpstr>VOC_Control_Efficiency</vt:lpstr>
      <vt:lpstr>VOC_Control_Multiplier</vt:lpstr>
      <vt:lpstr>Weekly_operation_hours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2013-02-02T15:02:31Z</cp:lastPrinted>
  <dcterms:created xsi:type="dcterms:W3CDTF">1999-01-25T20:14:01Z</dcterms:created>
  <dcterms:modified xsi:type="dcterms:W3CDTF">2016-02-03T17:59:36Z</dcterms:modified>
</cp:coreProperties>
</file>