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DDIXON\Desktop\"/>
    </mc:Choice>
  </mc:AlternateContent>
  <workbookProtection workbookPassword="C969" lockStructure="1"/>
  <bookViews>
    <workbookView xWindow="120" yWindow="576" windowWidth="19440" windowHeight="11400" tabRatio="706"/>
  </bookViews>
  <sheets>
    <sheet name="Registration FAQs" sheetId="30" r:id="rId1"/>
    <sheet name="Instructions" sheetId="4" r:id="rId2"/>
    <sheet name="Inputs" sheetId="5" r:id="rId3"/>
    <sheet name="Generator" sheetId="25" r:id="rId4"/>
    <sheet name="Engine (Crusher)" sheetId="32" r:id="rId5"/>
    <sheet name="Controls and Restrictions" sheetId="27" r:id="rId6"/>
    <sheet name="Total Emissions" sheetId="23" r:id="rId7"/>
    <sheet name="Output-Summary Printout" sheetId="29" r:id="rId8"/>
    <sheet name="Change Log" sheetId="13" state="hidden" r:id="rId9"/>
    <sheet name="Emission Factors" sheetId="14" state="hidden" r:id="rId10"/>
    <sheet name="Engine Emission Factors" sheetId="26" state="hidden" r:id="rId11"/>
    <sheet name="Fuel Energy Content" sheetId="31" state="hidden" r:id="rId12"/>
    <sheet name="Additional References" sheetId="17" state="hidden" r:id="rId13"/>
    <sheet name="EPA Regional Contact Info" sheetId="18" state="hidden" r:id="rId14"/>
  </sheets>
  <definedNames>
    <definedName name="_xlnm._FilterDatabase" localSheetId="13" hidden="1">'EPA Regional Contact Info'!$A$4:$N$55</definedName>
    <definedName name="Allowable_Hours_for_Emergency_Operation">'Additional References'!$B$8</definedName>
    <definedName name="Allowable_Hours_for_Routine_Operation">'Additional References'!$B$7</definedName>
    <definedName name="Brake_Specific_Fuel_Consumption">'Additional References'!$B$15</definedName>
    <definedName name="Btu_hr_to_hp_Conversion_Factor">'Additional References'!$B$11</definedName>
    <definedName name="CO_PM10_Attainment_List">Inputs!$F$3:$F$5</definedName>
    <definedName name="Cubic_Meter_to_Cubic_Foot_Conversion_Factor">'Additional References'!$B$14</definedName>
    <definedName name="Emission_Rate_Unit_Crusher">'Engine (Crusher)'!$K$20:$K$21</definedName>
    <definedName name="Emission_Rate_Unit_Generator">Generator!$K$20:$K$21</definedName>
    <definedName name="Engine_Fuel_Type_Crusher">'Engine (Crusher)'!$F$5</definedName>
    <definedName name="Engine_Fuel_Type_Generator">Generator!$F$5</definedName>
    <definedName name="EngineFuelType1">Generator!$K$5:$K$10</definedName>
    <definedName name="EngineUse1">Generator!$K$16:$K$17</definedName>
    <definedName name="Facility_Type">Inputs!$C$9</definedName>
    <definedName name="Facility_Type_List">Inputs!$F$22:$F$26</definedName>
    <definedName name="Fines_Allowable_PM_Emissions">'Controls and Restrictions'!$M$18</definedName>
    <definedName name="Fines_Conveyor_Transfer_Points">Inputs!$C$61</definedName>
    <definedName name="Fines_Crushing_Rate_Avg">Inputs!$C$49</definedName>
    <definedName name="Fines_Crushing_Rate_Max">Inputs!$C$54</definedName>
    <definedName name="Fuel_Consumption_Crusher">'Engine (Crusher)'!$F$10</definedName>
    <definedName name="Fuel_Consumption_Generator">Generator!$F$10</definedName>
    <definedName name="Fuel_Energy_to_Output_Efficiency">'Additional References'!$B$16</definedName>
    <definedName name="g_hp_hr_crusher">'Engine (Crusher)'!$K$20</definedName>
    <definedName name="g_hp_hr_Generator">Generator!$K$20</definedName>
    <definedName name="Gasoline_Energy_Content">'Fuel Energy Content'!$B$11</definedName>
    <definedName name="Grams_to_Pounds_Conversion_Factor">'Additional References'!$B$9</definedName>
    <definedName name="Hp_to_Btu_hr_Conversion_Factor">'Additional References'!$B$12</definedName>
    <definedName name="ICE_Yes_No_List">Inputs!$F$29:$F$30</definedName>
    <definedName name="kW_to_Btu_hr_Conversion_Factor">'Additional References'!$B$13</definedName>
    <definedName name="kW_to_hp_Conversion_Factor">'Additional References'!$B$10</definedName>
    <definedName name="Mechanical_Output_Crusher">'Engine (Crusher)'!$F$8</definedName>
    <definedName name="Mechanical_Output_Generator">Generator!$F$8</definedName>
    <definedName name="Natural_Gas_Energy_Content">'Fuel Energy Content'!$B$12</definedName>
    <definedName name="Oil_Distillate_Energy_Content">'Fuel Energy Content'!$B$13</definedName>
    <definedName name="Ozone_Attainment_List">Inputs!$F$9:$F$14</definedName>
    <definedName name="PM_Emission_Controls_Yes_No_List">'Controls and Restrictions'!$M$5:$M$6</definedName>
    <definedName name="Power_Generator_Yes_No">Inputs!$C$65</definedName>
    <definedName name="Power_Output_Crusher">'Engine (Crusher)'!$F$9</definedName>
    <definedName name="Power_Output_Generator">Generator!$F$9</definedName>
    <definedName name="Primary_Allowable_PM_Emissions">'Controls and Restrictions'!$M$15</definedName>
    <definedName name="Primary_Conveyor_Transfer_Points">Inputs!$C$58</definedName>
    <definedName name="Primary_Crushing_Rate_Avg">Inputs!$C$46</definedName>
    <definedName name="Primary_Crushing_Rate_Max">Inputs!$C$51</definedName>
    <definedName name="_xlnm.Print_Area" localSheetId="5">'Controls and Restrictions'!$A$1:$I$18</definedName>
    <definedName name="_xlnm.Print_Area" localSheetId="2">Inputs!$A$1:$C$66</definedName>
    <definedName name="_xlnm.Print_Area" localSheetId="7">'Output-Summary Printout'!$A$1:$F$42</definedName>
    <definedName name="_xlnm.Print_Area" localSheetId="0">'Registration FAQs'!$B$1:$C$37</definedName>
    <definedName name="_xlnm.Print_Area" localSheetId="6">'Total Emissions'!$A$1:$H$38</definedName>
    <definedName name="Production_Hours">Inputs!$C$42</definedName>
    <definedName name="Secondary_Allowable_PM_Emissions">'Controls and Restrictions'!$M$16</definedName>
    <definedName name="Secondary_Conveyor_Transfer_Points">Inputs!$C$59</definedName>
    <definedName name="Secondary_Crushing_Rate_Avg">Inputs!$C$47</definedName>
    <definedName name="Secondary_Crushing_Rate_Max">Inputs!$C$52</definedName>
    <definedName name="SO2_PM2.5_Attainment_List">Inputs!$F$17:$F$18</definedName>
    <definedName name="State_List">Inputs!$F$33:$F$77</definedName>
    <definedName name="Tertiary_Allowable_PM_Emissions">'Controls and Restrictions'!$M$17</definedName>
    <definedName name="Tertiary_Conveyor_Transfer_Points">Inputs!$C$60</definedName>
    <definedName name="Tertiary_Crushing_Rate_Avg">Inputs!$C$48</definedName>
    <definedName name="Tertiary_Crushing_Rate_Max">Inputs!$C$53</definedName>
  </definedNames>
  <calcPr calcId="152511"/>
</workbook>
</file>

<file path=xl/calcChain.xml><?xml version="1.0" encoding="utf-8"?>
<calcChain xmlns="http://schemas.openxmlformats.org/spreadsheetml/2006/main">
  <c r="M18" i="27" l="1"/>
  <c r="M17" i="27"/>
  <c r="M16" i="27"/>
  <c r="M15" i="27"/>
  <c r="F84" i="5" l="1"/>
  <c r="F85" i="5"/>
  <c r="F77" i="5"/>
  <c r="F76" i="5"/>
  <c r="F75" i="5"/>
  <c r="F74" i="5"/>
  <c r="F73" i="5"/>
  <c r="F72" i="5"/>
  <c r="F71" i="5"/>
  <c r="F70" i="5"/>
  <c r="F69" i="5"/>
  <c r="F68" i="5"/>
  <c r="F67" i="5"/>
  <c r="F66" i="5"/>
  <c r="F65" i="5"/>
  <c r="F64" i="5"/>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F35" i="5"/>
  <c r="F34" i="5"/>
  <c r="F33" i="5"/>
  <c r="B10" i="5" l="1"/>
  <c r="B2" i="23" l="1"/>
  <c r="B2" i="27"/>
  <c r="B3" i="32"/>
  <c r="B3" i="25"/>
  <c r="F27" i="14" l="1"/>
  <c r="F16" i="14"/>
  <c r="F21" i="14"/>
  <c r="F20" i="14"/>
  <c r="F19" i="14"/>
  <c r="F18" i="14"/>
  <c r="F17" i="14"/>
  <c r="F9" i="14"/>
  <c r="F8" i="14"/>
  <c r="F7" i="14"/>
  <c r="F6" i="14"/>
  <c r="F5" i="14"/>
  <c r="F4" i="14"/>
  <c r="D27" i="14"/>
  <c r="D24" i="14"/>
  <c r="D15" i="14"/>
  <c r="D12" i="14"/>
  <c r="D30" i="14"/>
  <c r="C45" i="14" l="1"/>
  <c r="B45" i="14"/>
  <c r="D45" i="14" s="1"/>
  <c r="C44" i="14"/>
  <c r="B44" i="14"/>
  <c r="D44" i="14" s="1"/>
  <c r="E44" i="14" s="1"/>
  <c r="F44" i="14" s="1"/>
  <c r="C43" i="14"/>
  <c r="B43" i="14"/>
  <c r="D43" i="14" s="1"/>
  <c r="C42" i="14"/>
  <c r="B42" i="14"/>
  <c r="D42" i="14" s="1"/>
  <c r="C41" i="14"/>
  <c r="A41" i="14"/>
  <c r="B41" i="14" s="1"/>
  <c r="D41" i="14" s="1"/>
  <c r="A40" i="14"/>
  <c r="C40" i="14" s="1"/>
  <c r="E43" i="14" l="1"/>
  <c r="F43" i="14" s="1"/>
  <c r="E45" i="14"/>
  <c r="F45" i="14" s="1"/>
  <c r="E41" i="14"/>
  <c r="F41" i="14" s="1"/>
  <c r="E42" i="14"/>
  <c r="F42" i="14" s="1"/>
  <c r="B40" i="14"/>
  <c r="D40" i="14" s="1"/>
  <c r="E40" i="14" s="1"/>
  <c r="F40" i="14" s="1"/>
  <c r="H31" i="32" l="1"/>
  <c r="H30" i="32"/>
  <c r="H29" i="32"/>
  <c r="H28" i="32"/>
  <c r="H27" i="32"/>
  <c r="H26" i="32"/>
  <c r="C25" i="32"/>
  <c r="K21" i="32"/>
  <c r="G16" i="32"/>
  <c r="K12" i="32"/>
  <c r="B10" i="32"/>
  <c r="G9" i="32"/>
  <c r="G8" i="32"/>
  <c r="G7" i="32"/>
  <c r="L22" i="29" l="1"/>
  <c r="L20" i="29"/>
  <c r="L18" i="29"/>
  <c r="L16" i="29"/>
  <c r="L14" i="29"/>
  <c r="L12" i="29"/>
  <c r="B13" i="31" l="1"/>
  <c r="G10" i="32" s="1"/>
  <c r="K13" i="32" s="1"/>
  <c r="B12" i="31"/>
  <c r="B11" i="31"/>
  <c r="B11" i="32" l="1"/>
  <c r="C28" i="32"/>
  <c r="D28" i="32" s="1"/>
  <c r="I28" i="32" s="1"/>
  <c r="E18" i="23" s="1"/>
  <c r="C27" i="32"/>
  <c r="D27" i="32" s="1"/>
  <c r="C31" i="32"/>
  <c r="D31" i="32" s="1"/>
  <c r="C30" i="32"/>
  <c r="D30" i="32" s="1"/>
  <c r="C29" i="32"/>
  <c r="D29" i="32" s="1"/>
  <c r="C26" i="32"/>
  <c r="D26" i="32" s="1"/>
  <c r="B9" i="17"/>
  <c r="H31" i="25"/>
  <c r="H30" i="25"/>
  <c r="H29" i="25"/>
  <c r="H28" i="25"/>
  <c r="H27" i="25"/>
  <c r="H26" i="25"/>
  <c r="C25" i="25"/>
  <c r="K21" i="25"/>
  <c r="G21" i="25"/>
  <c r="G20" i="25"/>
  <c r="G19" i="25"/>
  <c r="G18" i="25"/>
  <c r="G17" i="25"/>
  <c r="G16" i="25"/>
  <c r="K12" i="25"/>
  <c r="G10" i="25"/>
  <c r="B10" i="25"/>
  <c r="G9" i="25"/>
  <c r="G8" i="25"/>
  <c r="G7" i="25"/>
  <c r="I26" i="32" l="1"/>
  <c r="G18" i="23" s="1"/>
  <c r="I27" i="32"/>
  <c r="H18" i="23" s="1"/>
  <c r="I30" i="32"/>
  <c r="F18" i="23" s="1"/>
  <c r="I29" i="32"/>
  <c r="D18" i="23" s="1"/>
  <c r="G19" i="32"/>
  <c r="G18" i="32"/>
  <c r="G21" i="32"/>
  <c r="G17" i="32"/>
  <c r="G20" i="32"/>
  <c r="I31" i="32"/>
  <c r="C18" i="23" s="1"/>
  <c r="K13" i="25"/>
  <c r="C27" i="25" l="1"/>
  <c r="D27" i="25" s="1"/>
  <c r="I27" i="25" s="1"/>
  <c r="H17" i="23" s="1"/>
  <c r="B11" i="25"/>
  <c r="C30" i="25"/>
  <c r="D30" i="25" s="1"/>
  <c r="C29" i="25"/>
  <c r="D29" i="25" s="1"/>
  <c r="I29" i="25" s="1"/>
  <c r="D17" i="23" s="1"/>
  <c r="D19" i="23" s="1"/>
  <c r="C28" i="25"/>
  <c r="D28" i="25" s="1"/>
  <c r="C31" i="25"/>
  <c r="D31" i="25" s="1"/>
  <c r="I31" i="25" s="1"/>
  <c r="C17" i="23" s="1"/>
  <c r="C19" i="23" s="1"/>
  <c r="C26" i="25"/>
  <c r="D26" i="25" s="1"/>
  <c r="I28" i="25" l="1"/>
  <c r="E17" i="23" s="1"/>
  <c r="E19" i="23" s="1"/>
  <c r="I26" i="25"/>
  <c r="G17" i="23" s="1"/>
  <c r="I30" i="25"/>
  <c r="F17" i="23" s="1"/>
  <c r="F19" i="23" s="1"/>
  <c r="F22" i="29" l="1"/>
  <c r="F20" i="29"/>
  <c r="F18" i="29"/>
  <c r="F16" i="29"/>
  <c r="F14" i="29"/>
  <c r="F12" i="29"/>
  <c r="E5" i="29"/>
  <c r="E4" i="29"/>
  <c r="E3" i="29"/>
  <c r="A33" i="29"/>
  <c r="B5" i="29"/>
  <c r="B4" i="29"/>
  <c r="B3" i="29"/>
  <c r="B7" i="17" l="1"/>
  <c r="E30" i="32" l="1"/>
  <c r="F30" i="32" s="1"/>
  <c r="F37" i="23" s="1"/>
  <c r="E28" i="32"/>
  <c r="F28" i="32" s="1"/>
  <c r="E37" i="23" s="1"/>
  <c r="E26" i="32"/>
  <c r="F26" i="32" s="1"/>
  <c r="G37" i="23" s="1"/>
  <c r="E31" i="32"/>
  <c r="F31" i="32" s="1"/>
  <c r="C37" i="23" s="1"/>
  <c r="E29" i="32"/>
  <c r="F29" i="32" s="1"/>
  <c r="D37" i="23" s="1"/>
  <c r="E27" i="32"/>
  <c r="F27" i="32" s="1"/>
  <c r="H37" i="23" s="1"/>
  <c r="E31" i="25"/>
  <c r="F31" i="25" s="1"/>
  <c r="C36" i="23" s="1"/>
  <c r="E27" i="25"/>
  <c r="F27" i="25" s="1"/>
  <c r="H36" i="23" s="1"/>
  <c r="E30" i="25"/>
  <c r="F30" i="25" s="1"/>
  <c r="F36" i="23" s="1"/>
  <c r="F38" i="23" s="1"/>
  <c r="E26" i="25"/>
  <c r="F26" i="25" s="1"/>
  <c r="G36" i="23" s="1"/>
  <c r="E29" i="25"/>
  <c r="F29" i="25" s="1"/>
  <c r="D36" i="23" s="1"/>
  <c r="D38" i="23" s="1"/>
  <c r="E14" i="29" s="1"/>
  <c r="E28" i="25"/>
  <c r="F28" i="25" s="1"/>
  <c r="E36" i="23" s="1"/>
  <c r="E38" i="23" s="1"/>
  <c r="E18" i="29"/>
  <c r="C12" i="29"/>
  <c r="C18" i="29"/>
  <c r="C14" i="29"/>
  <c r="C38" i="23" l="1"/>
  <c r="E12" i="29" s="1"/>
  <c r="M12" i="29"/>
  <c r="K12" i="29"/>
  <c r="M18" i="29"/>
  <c r="K18" i="29"/>
  <c r="M14" i="29"/>
  <c r="K14" i="29"/>
  <c r="C16" i="29"/>
  <c r="E16" i="29"/>
  <c r="K16" i="29" l="1"/>
  <c r="M16" i="29"/>
  <c r="D17" i="14"/>
  <c r="D18" i="14" s="1"/>
  <c r="D16" i="14"/>
  <c r="E16" i="14" s="1"/>
  <c r="D20" i="14"/>
  <c r="D21" i="14" s="1"/>
  <c r="D19" i="14"/>
  <c r="E23" i="14"/>
  <c r="E24" i="14" s="1"/>
  <c r="E22" i="14"/>
  <c r="E20" i="14" l="1"/>
  <c r="E21" i="14" s="1"/>
  <c r="E19" i="14"/>
  <c r="C18" i="14"/>
  <c r="E17" i="14"/>
  <c r="E18" i="14" s="1"/>
  <c r="C17" i="14"/>
  <c r="C16" i="14"/>
  <c r="C21" i="14"/>
  <c r="C20" i="14"/>
  <c r="C19" i="14"/>
  <c r="C24" i="14"/>
  <c r="C23" i="14"/>
  <c r="C22" i="14"/>
  <c r="D9" i="14"/>
  <c r="D6" i="14"/>
  <c r="D8" i="14"/>
  <c r="D7" i="14"/>
  <c r="E7" i="14" s="1"/>
  <c r="D5" i="14"/>
  <c r="E5" i="14" s="1"/>
  <c r="D4" i="14"/>
  <c r="E4" i="14" s="1"/>
  <c r="C30" i="14" l="1"/>
  <c r="E29" i="14"/>
  <c r="E30" i="14" s="1"/>
  <c r="C29" i="14"/>
  <c r="E28" i="14"/>
  <c r="C28" i="14"/>
  <c r="C27" i="14"/>
  <c r="E26" i="14"/>
  <c r="E27" i="14" s="1"/>
  <c r="C26" i="14"/>
  <c r="E25" i="14"/>
  <c r="C25" i="14"/>
  <c r="C15" i="14"/>
  <c r="E14" i="14"/>
  <c r="E15" i="14" s="1"/>
  <c r="C14" i="14"/>
  <c r="E13" i="14"/>
  <c r="C13" i="14"/>
  <c r="C12" i="14"/>
  <c r="E11" i="14"/>
  <c r="E12" i="14" s="1"/>
  <c r="C11" i="14"/>
  <c r="E10" i="14"/>
  <c r="C10" i="14"/>
  <c r="C9" i="14"/>
  <c r="C8" i="14"/>
  <c r="C7" i="14"/>
  <c r="C6" i="14"/>
  <c r="C5" i="14"/>
  <c r="C4" i="14"/>
  <c r="H32" i="23" l="1"/>
  <c r="H13" i="23" s="1"/>
  <c r="H28" i="23"/>
  <c r="H9" i="23" s="1"/>
  <c r="G28" i="23"/>
  <c r="G9" i="23" s="1"/>
  <c r="H35" i="23"/>
  <c r="H16" i="23" s="1"/>
  <c r="G27" i="23"/>
  <c r="G8" i="23" s="1"/>
  <c r="H27" i="23"/>
  <c r="H8" i="23" s="1"/>
  <c r="G30" i="23"/>
  <c r="G11" i="23" s="1"/>
  <c r="H33" i="23"/>
  <c r="H14" i="23" s="1"/>
  <c r="H29" i="23"/>
  <c r="H10" i="23" s="1"/>
  <c r="H26" i="23"/>
  <c r="H7" i="23" s="1"/>
  <c r="G33" i="23"/>
  <c r="G14" i="23" s="1"/>
  <c r="G29" i="23"/>
  <c r="G10" i="23" s="1"/>
  <c r="G32" i="23"/>
  <c r="G13" i="23" s="1"/>
  <c r="G24" i="23"/>
  <c r="H31" i="23"/>
  <c r="H12" i="23" s="1"/>
  <c r="G35" i="23"/>
  <c r="G16" i="23" s="1"/>
  <c r="G31" i="23"/>
  <c r="G12" i="23" s="1"/>
  <c r="H34" i="23"/>
  <c r="H15" i="23" s="1"/>
  <c r="H30" i="23"/>
  <c r="H11" i="23" s="1"/>
  <c r="G34" i="23"/>
  <c r="G15" i="23" s="1"/>
  <c r="G26" i="23"/>
  <c r="G7" i="23" s="1"/>
  <c r="E8" i="14"/>
  <c r="G25" i="23" s="1"/>
  <c r="G6" i="23" s="1"/>
  <c r="B17" i="5"/>
  <c r="G5" i="23" l="1"/>
  <c r="G19" i="23" s="1"/>
  <c r="G38" i="23"/>
  <c r="E20" i="29"/>
  <c r="M20" i="29" s="1"/>
  <c r="C20" i="29"/>
  <c r="E9" i="14"/>
  <c r="H25" i="23" s="1"/>
  <c r="H6" i="23" s="1"/>
  <c r="E6" i="14"/>
  <c r="H24" i="23" s="1"/>
  <c r="C23" i="5"/>
  <c r="C22" i="5"/>
  <c r="C27" i="5"/>
  <c r="D38" i="29" s="1"/>
  <c r="C26" i="5"/>
  <c r="D37" i="29" s="1"/>
  <c r="C25" i="5"/>
  <c r="D36" i="29" s="1"/>
  <c r="C21" i="5"/>
  <c r="C20" i="5"/>
  <c r="D41" i="29" s="1"/>
  <c r="C19" i="5"/>
  <c r="D40" i="29" s="1"/>
  <c r="C18" i="5"/>
  <c r="D34" i="29" s="1"/>
  <c r="C24" i="5"/>
  <c r="D35" i="29" s="1"/>
  <c r="H5" i="23" l="1"/>
  <c r="H19" i="23" s="1"/>
  <c r="C22" i="29" s="1"/>
  <c r="H38" i="23"/>
  <c r="E22" i="29"/>
  <c r="K20" i="29"/>
  <c r="K22" i="29" l="1"/>
  <c r="M22" i="29"/>
  <c r="B2" i="4"/>
  <c r="A30" i="29" l="1"/>
  <c r="A32" i="29" s="1"/>
  <c r="B1" i="4"/>
  <c r="B16" i="17"/>
</calcChain>
</file>

<file path=xl/sharedStrings.xml><?xml version="1.0" encoding="utf-8"?>
<sst xmlns="http://schemas.openxmlformats.org/spreadsheetml/2006/main" count="1275" uniqueCount="576">
  <si>
    <t>Purpose</t>
  </si>
  <si>
    <t>Source Category Description</t>
  </si>
  <si>
    <t>Instructions - Please read prior to filling out workbook</t>
  </si>
  <si>
    <t>carbon monoxide</t>
  </si>
  <si>
    <t>nitrogen oxides</t>
  </si>
  <si>
    <t>new source review</t>
  </si>
  <si>
    <t>sulfur dioxide</t>
  </si>
  <si>
    <t>volatile organic compound</t>
  </si>
  <si>
    <t>Steps to Complete this Workbook</t>
  </si>
  <si>
    <t>1:  Facility Information</t>
  </si>
  <si>
    <t>2:  Facility Contact</t>
  </si>
  <si>
    <r>
      <t xml:space="preserve">On the </t>
    </r>
    <r>
      <rPr>
        <b/>
        <i/>
        <sz val="10"/>
        <rFont val="Arial"/>
        <family val="2"/>
      </rPr>
      <t>Inputs</t>
    </r>
    <r>
      <rPr>
        <sz val="10"/>
        <rFont val="Arial"/>
        <family val="2"/>
      </rPr>
      <t xml:space="preserve"> worksheet, replace the default contact information with information specific to your facility's primary contact.</t>
    </r>
  </si>
  <si>
    <t>3:  Air Basin Attainment Status</t>
  </si>
  <si>
    <t>Facility Information</t>
  </si>
  <si>
    <t>Name</t>
  </si>
  <si>
    <t>Address</t>
  </si>
  <si>
    <t>101 Acme Way</t>
  </si>
  <si>
    <t>Nonattainment - serious</t>
  </si>
  <si>
    <t>Nonattainment - severe</t>
  </si>
  <si>
    <t>Nonattainment - extreme</t>
  </si>
  <si>
    <t>Facility Contact</t>
  </si>
  <si>
    <t>John Doe</t>
  </si>
  <si>
    <t>Telephone</t>
  </si>
  <si>
    <t>555-555-5555</t>
  </si>
  <si>
    <t>Stationary Source Category List</t>
  </si>
  <si>
    <t>Email</t>
  </si>
  <si>
    <t>john.doe@acme.com</t>
  </si>
  <si>
    <t>Air Basin Attainment Status</t>
  </si>
  <si>
    <t>CO Attainment Status (select one):</t>
  </si>
  <si>
    <t>Attainment</t>
  </si>
  <si>
    <r>
      <t>SO</t>
    </r>
    <r>
      <rPr>
        <vertAlign val="subscript"/>
        <sz val="10"/>
        <rFont val="Arial"/>
        <family val="2"/>
      </rPr>
      <t>2</t>
    </r>
    <r>
      <rPr>
        <sz val="10"/>
        <rFont val="Arial"/>
        <family val="2"/>
      </rPr>
      <t xml:space="preserve"> Attainment Status (select one):</t>
    </r>
  </si>
  <si>
    <r>
      <t>PM</t>
    </r>
    <r>
      <rPr>
        <vertAlign val="subscript"/>
        <sz val="10"/>
        <rFont val="Arial"/>
        <family val="2"/>
      </rPr>
      <t>10</t>
    </r>
    <r>
      <rPr>
        <sz val="10"/>
        <rFont val="Arial"/>
        <family val="2"/>
      </rPr>
      <t xml:space="preserve"> Attainment Status (select one):</t>
    </r>
  </si>
  <si>
    <t>reciprocating - diesel</t>
  </si>
  <si>
    <t>reciprocating - gasoline</t>
  </si>
  <si>
    <t>turbine - natural gas</t>
  </si>
  <si>
    <t>reciprocating - natural gas rich burn</t>
  </si>
  <si>
    <t>Pollutant</t>
  </si>
  <si>
    <t>Emission Factor</t>
  </si>
  <si>
    <t>Emission Rate</t>
  </si>
  <si>
    <t>(lb/hr)</t>
  </si>
  <si>
    <t>(hr/yr)</t>
  </si>
  <si>
    <t>(hour/yr)</t>
  </si>
  <si>
    <t>PM</t>
  </si>
  <si>
    <r>
      <t>PM</t>
    </r>
    <r>
      <rPr>
        <vertAlign val="subscript"/>
        <sz val="10"/>
        <rFont val="Arial"/>
        <family val="2"/>
      </rPr>
      <t>10</t>
    </r>
  </si>
  <si>
    <r>
      <t>PM</t>
    </r>
    <r>
      <rPr>
        <vertAlign val="subscript"/>
        <sz val="10"/>
        <rFont val="Arial"/>
        <family val="2"/>
      </rPr>
      <t>2.5</t>
    </r>
  </si>
  <si>
    <r>
      <t>SO</t>
    </r>
    <r>
      <rPr>
        <vertAlign val="subscript"/>
        <sz val="10"/>
        <rFont val="Arial"/>
        <family val="2"/>
      </rPr>
      <t>2</t>
    </r>
  </si>
  <si>
    <r>
      <t>NO</t>
    </r>
    <r>
      <rPr>
        <vertAlign val="subscript"/>
        <sz val="10"/>
        <rFont val="Arial"/>
        <family val="2"/>
      </rPr>
      <t>x</t>
    </r>
  </si>
  <si>
    <t>VOC</t>
  </si>
  <si>
    <t>CO</t>
  </si>
  <si>
    <t>Total Emissions</t>
  </si>
  <si>
    <r>
      <t>PM</t>
    </r>
    <r>
      <rPr>
        <b/>
        <vertAlign val="subscript"/>
        <sz val="10"/>
        <rFont val="Arial"/>
        <family val="2"/>
      </rPr>
      <t>10</t>
    </r>
  </si>
  <si>
    <r>
      <t>PM</t>
    </r>
    <r>
      <rPr>
        <b/>
        <vertAlign val="subscript"/>
        <sz val="10"/>
        <rFont val="Arial"/>
        <family val="2"/>
      </rPr>
      <t>2.5</t>
    </r>
  </si>
  <si>
    <r>
      <t>SO</t>
    </r>
    <r>
      <rPr>
        <b/>
        <vertAlign val="subscript"/>
        <sz val="10"/>
        <rFont val="Arial"/>
        <family val="2"/>
      </rPr>
      <t>2</t>
    </r>
  </si>
  <si>
    <r>
      <t>NO</t>
    </r>
    <r>
      <rPr>
        <b/>
        <vertAlign val="subscript"/>
        <sz val="10"/>
        <rFont val="Arial"/>
        <family val="2"/>
      </rPr>
      <t>x</t>
    </r>
  </si>
  <si>
    <t xml:space="preserve"> </t>
  </si>
  <si>
    <t>Facility Name:</t>
  </si>
  <si>
    <t>Facility Address:</t>
  </si>
  <si>
    <t>Email:</t>
  </si>
  <si>
    <t>Major Source</t>
  </si>
  <si>
    <t>Minor Source</t>
  </si>
  <si>
    <t>(tons/yr)</t>
  </si>
  <si>
    <t>Icon Key</t>
  </si>
  <si>
    <t>Exceeds major source threshold.</t>
  </si>
  <si>
    <t>Exceeds minor source threshold.</t>
  </si>
  <si>
    <t>Below minor source threshold.</t>
  </si>
  <si>
    <t>Workbook Version</t>
  </si>
  <si>
    <t>Date</t>
  </si>
  <si>
    <t>Description</t>
  </si>
  <si>
    <t>Change made by:</t>
  </si>
  <si>
    <t>Affiliation:</t>
  </si>
  <si>
    <t>QA performed by:</t>
  </si>
  <si>
    <t>Contact Information</t>
  </si>
  <si>
    <t>Initial workbook version</t>
  </si>
  <si>
    <t>Abt Associates</t>
  </si>
  <si>
    <t>RECIPROCATING ENGINES (&lt;600HP) DIESEL (lb/hp*hr)</t>
  </si>
  <si>
    <r>
      <t>RECIPROCATING ENGINES (&gt;=600HP) DIESEL (lb/hp*hr)</t>
    </r>
    <r>
      <rPr>
        <b/>
        <vertAlign val="superscript"/>
        <sz val="10"/>
        <rFont val="Arial"/>
        <family val="2"/>
      </rPr>
      <t>1</t>
    </r>
  </si>
  <si>
    <r>
      <t>TURBINE ENGINES (electrical generation) NATURAL GAS (lb/MMBtu fuel input)</t>
    </r>
    <r>
      <rPr>
        <b/>
        <vertAlign val="superscript"/>
        <sz val="10"/>
        <rFont val="Arial"/>
        <family val="2"/>
      </rPr>
      <t>1</t>
    </r>
  </si>
  <si>
    <t>RECIPROCATING GASOLINE (lb/hp*hr)</t>
  </si>
  <si>
    <t>RECIPROCATING Natural Gas 4-Stroke  Rich-Burn (lb/MMBtu)</t>
  </si>
  <si>
    <t>RECIPROCATING Natural Gas 4-Stroke Lean-Burn (lb/MMBtu)</t>
  </si>
  <si>
    <t>source</t>
  </si>
  <si>
    <t>horsepower</t>
  </si>
  <si>
    <t>million British thermal units</t>
  </si>
  <si>
    <t>Engine and Fuel Parameters</t>
  </si>
  <si>
    <t>Sources:</t>
  </si>
  <si>
    <t>A</t>
  </si>
  <si>
    <t>B</t>
  </si>
  <si>
    <t>C</t>
  </si>
  <si>
    <t>D</t>
  </si>
  <si>
    <t>E</t>
  </si>
  <si>
    <t>F</t>
  </si>
  <si>
    <r>
      <t>SO</t>
    </r>
    <r>
      <rPr>
        <vertAlign val="subscript"/>
        <sz val="10"/>
        <rFont val="Arial"/>
        <family val="2"/>
      </rPr>
      <t>2</t>
    </r>
    <r>
      <rPr>
        <sz val="10"/>
        <rFont val="Arial"/>
        <family val="2"/>
      </rPr>
      <t xml:space="preserve"> emission factor given is multiplied by the sulfur content of the fuel (in percent) in the </t>
    </r>
    <r>
      <rPr>
        <b/>
        <i/>
        <sz val="10"/>
        <rFont val="Arial"/>
        <family val="2"/>
      </rPr>
      <t>Engine</t>
    </r>
    <r>
      <rPr>
        <sz val="10"/>
        <rFont val="Arial"/>
        <family val="2"/>
      </rPr>
      <t xml:space="preserve"> worksheets.</t>
    </r>
  </si>
  <si>
    <t>United States Environmental Protection Agency, 1996, AP 42 Compilation of Air Pollution Emissions Factors, Fifth Edition, Volume I, Chapter 3.3 - Gasoline and Diesel Industrial Engines, available at http://www.epa.gov/ttn/chief/ap42/ch03/index.html (accessed December 2012).</t>
  </si>
  <si>
    <t>United States Environmental Protection Agency, 1996, AP 42 Compilation of Air Pollution Emissions Factors, Fifth Edition, Volume I, Chapter 3.4 - Large Stationary Diesel and All Stationary Dual-fuel Engines , available at http://www.epa.gov/ttn/chief/ap42/ch03/final/c03s04.pdf (accessed December 2012).</t>
  </si>
  <si>
    <t>United States Environmental Protection Agency, 2000, AP 42 Compilation of Air Pollution Emissions Factors, Fifth Edition, Volume I, Chapter 3.1 - Stationary Gas Turbines, available at http://www.epa.gov/ttn/chief/ap42/ch03/final/c03s01.pdf (accessed December 2012).</t>
  </si>
  <si>
    <t>United States Environmental Protection Agency, 2000, AP 42 Compilation of Air Pollution Emissions Factors, Fifth Edition, Volume I, Chapter 3.2 - Natural Gas-fired Reciprocating Engines, available at http://www.epa.gov/ttn/chief/ap42/ch03/final/c03s02.pdf (accessed December 2012).</t>
  </si>
  <si>
    <t>Additional References</t>
  </si>
  <si>
    <t>Data Element</t>
  </si>
  <si>
    <t xml:space="preserve">Value </t>
  </si>
  <si>
    <t>Units</t>
  </si>
  <si>
    <t>Source</t>
  </si>
  <si>
    <t>Percent</t>
  </si>
  <si>
    <t>Hours</t>
  </si>
  <si>
    <t>Assuming continuous operation</t>
  </si>
  <si>
    <t>"Calculating Potential to Emit (PTE) for Emergency Generators," Memorandum from John S. Seitz, Director of EPA's OAQPS, to EPA Regional Directors, September 6, 1995, available at http://www.epa.gov/region07/air/title5/t5memos/emgen.pdf (accessed December 2012).</t>
  </si>
  <si>
    <t>Emission Factors</t>
  </si>
  <si>
    <t>RECIPROCATING Natural Gas 2-Stroke Lean-Burn (lb/MMBtu)</t>
  </si>
  <si>
    <t>G</t>
  </si>
  <si>
    <t>reciprocating - natural gas 2-stroke lean burn</t>
  </si>
  <si>
    <t>reciprocating - natural gas 4-stroke lean burn</t>
  </si>
  <si>
    <t>Engineering judgment, including odorant, based on United States Environmental Protection Agency, 2000, AP 42 Compilation of Air Pollution Emissions Factors, Fifth Edition, Volume I, Chapter 3.2 - Natural Gas-fired Reciprocating Engines, available at http://www.epa.gov/ttn/chief/ap42/ch03/final/c03s02.pdf (accessed December 2012).</t>
  </si>
  <si>
    <t>Registration Calculator Inputs</t>
  </si>
  <si>
    <t>Registration Summary</t>
  </si>
  <si>
    <t>Explanation of Text Colors and Cell Shading</t>
  </si>
  <si>
    <t>Cells shaded gray do not need to be completed.</t>
  </si>
  <si>
    <t>particulate matter less than or equal to 10 micrometers (µm) in size</t>
  </si>
  <si>
    <t>particulate matter less than or equal to 2.5 micrometers (µm) in size</t>
  </si>
  <si>
    <t>Acronyms/Definitions</t>
  </si>
  <si>
    <t>hp</t>
  </si>
  <si>
    <t>MMBtu</t>
  </si>
  <si>
    <t>NSR</t>
  </si>
  <si>
    <r>
      <t>PM</t>
    </r>
    <r>
      <rPr>
        <vertAlign val="subscript"/>
        <sz val="10"/>
        <rFont val="Arial"/>
        <family val="2"/>
      </rPr>
      <t>10</t>
    </r>
    <r>
      <rPr>
        <sz val="10"/>
        <rFont val="Arial"/>
        <family val="2"/>
      </rPr>
      <t xml:space="preserve"> </t>
    </r>
  </si>
  <si>
    <r>
      <t>PM</t>
    </r>
    <r>
      <rPr>
        <vertAlign val="subscript"/>
        <sz val="10"/>
        <rFont val="Arial"/>
        <family val="2"/>
      </rPr>
      <t>2.5</t>
    </r>
    <r>
      <rPr>
        <sz val="10"/>
        <rFont val="Arial"/>
        <family val="2"/>
      </rPr>
      <t xml:space="preserve"> </t>
    </r>
  </si>
  <si>
    <r>
      <t>SO</t>
    </r>
    <r>
      <rPr>
        <vertAlign val="subscript"/>
        <sz val="10"/>
        <rFont val="Arial"/>
        <family val="2"/>
      </rPr>
      <t xml:space="preserve">2 </t>
    </r>
  </si>
  <si>
    <t xml:space="preserve">VOC </t>
  </si>
  <si>
    <t>Threshold</t>
  </si>
  <si>
    <t>Regional Contact Information</t>
  </si>
  <si>
    <t>State</t>
  </si>
  <si>
    <t>State Abbreviation</t>
  </si>
  <si>
    <t>EPA Region</t>
  </si>
  <si>
    <t>City</t>
  </si>
  <si>
    <t>ZIP</t>
  </si>
  <si>
    <t>Connecticut</t>
  </si>
  <si>
    <t>CT</t>
  </si>
  <si>
    <t>Maine</t>
  </si>
  <si>
    <t>ME</t>
  </si>
  <si>
    <t>Massachusetts</t>
  </si>
  <si>
    <t>MA</t>
  </si>
  <si>
    <t>New Hampshire</t>
  </si>
  <si>
    <t>NH</t>
  </si>
  <si>
    <t>Rhode Island</t>
  </si>
  <si>
    <t>RI</t>
  </si>
  <si>
    <t>Vermont</t>
  </si>
  <si>
    <t>VT</t>
  </si>
  <si>
    <t>New Jersey</t>
  </si>
  <si>
    <t>NJ</t>
  </si>
  <si>
    <t>New York</t>
  </si>
  <si>
    <t>NY</t>
  </si>
  <si>
    <t>Delaware</t>
  </si>
  <si>
    <t>DE</t>
  </si>
  <si>
    <t>District of Columbia</t>
  </si>
  <si>
    <t>DC</t>
  </si>
  <si>
    <t>Maryland</t>
  </si>
  <si>
    <t>MD</t>
  </si>
  <si>
    <t>Pennsylvania</t>
  </si>
  <si>
    <t>PA</t>
  </si>
  <si>
    <t>Virginia</t>
  </si>
  <si>
    <t>VA</t>
  </si>
  <si>
    <t>West Virginia</t>
  </si>
  <si>
    <t>WV</t>
  </si>
  <si>
    <t>Alabama</t>
  </si>
  <si>
    <t>AL</t>
  </si>
  <si>
    <t>Florida</t>
  </si>
  <si>
    <t>FL</t>
  </si>
  <si>
    <t>GA</t>
  </si>
  <si>
    <t>Kentucky</t>
  </si>
  <si>
    <t>KY</t>
  </si>
  <si>
    <t>Mississippi</t>
  </si>
  <si>
    <t>MS</t>
  </si>
  <si>
    <t>North Carolina</t>
  </si>
  <si>
    <t>NC</t>
  </si>
  <si>
    <t>South Carolina</t>
  </si>
  <si>
    <t>SC</t>
  </si>
  <si>
    <t>Tennessee</t>
  </si>
  <si>
    <t>TN</t>
  </si>
  <si>
    <t>Illinois</t>
  </si>
  <si>
    <t>IL</t>
  </si>
  <si>
    <t>Indiana</t>
  </si>
  <si>
    <t>IN</t>
  </si>
  <si>
    <t>Michigan</t>
  </si>
  <si>
    <t>MI</t>
  </si>
  <si>
    <t>Minnesota</t>
  </si>
  <si>
    <t>MN</t>
  </si>
  <si>
    <t>Ohio</t>
  </si>
  <si>
    <t>OH</t>
  </si>
  <si>
    <t>Wisconsin</t>
  </si>
  <si>
    <t>WI</t>
  </si>
  <si>
    <t>Arkansas</t>
  </si>
  <si>
    <t>AR</t>
  </si>
  <si>
    <t>LA</t>
  </si>
  <si>
    <t>New Mexico</t>
  </si>
  <si>
    <t>NM</t>
  </si>
  <si>
    <t>Oklahoma</t>
  </si>
  <si>
    <t>OK</t>
  </si>
  <si>
    <t>Texas</t>
  </si>
  <si>
    <t>TX</t>
  </si>
  <si>
    <t>Iowa</t>
  </si>
  <si>
    <t>IA</t>
  </si>
  <si>
    <t>Kansas</t>
  </si>
  <si>
    <t>KS</t>
  </si>
  <si>
    <t>Missouri</t>
  </si>
  <si>
    <t>MO</t>
  </si>
  <si>
    <t>Nebraska</t>
  </si>
  <si>
    <t>NE</t>
  </si>
  <si>
    <t>Colorado</t>
  </si>
  <si>
    <t>Montana</t>
  </si>
  <si>
    <t>MT</t>
  </si>
  <si>
    <t>North Dakota</t>
  </si>
  <si>
    <t>ND</t>
  </si>
  <si>
    <t>South Dakota</t>
  </si>
  <si>
    <t>SD</t>
  </si>
  <si>
    <t>Utah</t>
  </si>
  <si>
    <t>UT</t>
  </si>
  <si>
    <t>Wyoming</t>
  </si>
  <si>
    <t>WY</t>
  </si>
  <si>
    <t>Arizona</t>
  </si>
  <si>
    <t>AZ</t>
  </si>
  <si>
    <t>California</t>
  </si>
  <si>
    <t>CA</t>
  </si>
  <si>
    <t>Hawaii</t>
  </si>
  <si>
    <t>HI</t>
  </si>
  <si>
    <t>Nevada</t>
  </si>
  <si>
    <t>NV</t>
  </si>
  <si>
    <t>Alaska</t>
  </si>
  <si>
    <t>AK</t>
  </si>
  <si>
    <t>Idaho</t>
  </si>
  <si>
    <t>ID</t>
  </si>
  <si>
    <t>Oregon</t>
  </si>
  <si>
    <t>OR</t>
  </si>
  <si>
    <t>Washington</t>
  </si>
  <si>
    <t>WA</t>
  </si>
  <si>
    <t>EPA Regional Contact Information</t>
  </si>
  <si>
    <t xml:space="preserve">Brendan McCahill </t>
  </si>
  <si>
    <t>Address 1</t>
  </si>
  <si>
    <t>Address 2</t>
  </si>
  <si>
    <t>Boston</t>
  </si>
  <si>
    <t>02109-3912</t>
  </si>
  <si>
    <t>617-918-1652</t>
  </si>
  <si>
    <t>McCahill.brendan@epa.gov</t>
  </si>
  <si>
    <t>Alternate Name</t>
  </si>
  <si>
    <t>Alt Telephone</t>
  </si>
  <si>
    <t>Alt Email</t>
  </si>
  <si>
    <t>Gavin Lau</t>
  </si>
  <si>
    <t>212-637-3708</t>
  </si>
  <si>
    <t>lau.gavin@epa.gov</t>
  </si>
  <si>
    <t>Umesh Dholakia</t>
  </si>
  <si>
    <t>212-637-4023</t>
  </si>
  <si>
    <t>Dholakia.umesh@epa.gov</t>
  </si>
  <si>
    <t>290 Broadway</t>
  </si>
  <si>
    <t>10007-1866</t>
  </si>
  <si>
    <t>Ana Oquendo</t>
  </si>
  <si>
    <t>404-562-9781</t>
  </si>
  <si>
    <t>oquendo.ana@epa.gov</t>
  </si>
  <si>
    <t>Lorinda Shepherd</t>
  </si>
  <si>
    <t>404-562-8435</t>
  </si>
  <si>
    <t>shepherd.lorinda@epa.gov</t>
  </si>
  <si>
    <t>61 Forsyth Street, S.W.</t>
  </si>
  <si>
    <t>Atlanta</t>
  </si>
  <si>
    <t>30303-8960</t>
  </si>
  <si>
    <t>Kaushal Gupta</t>
  </si>
  <si>
    <t>312-886-6803</t>
  </si>
  <si>
    <t>gupta.kaushal@epa.gov</t>
  </si>
  <si>
    <t>77 West Jackson Boulevard</t>
  </si>
  <si>
    <t>Chicago</t>
  </si>
  <si>
    <t>60604-3507</t>
  </si>
  <si>
    <t>Bob Webber</t>
  </si>
  <si>
    <t>913-551-7251</t>
  </si>
  <si>
    <t>webber.robert@epa.gov</t>
  </si>
  <si>
    <t xml:space="preserve">KS  </t>
  </si>
  <si>
    <t>Claudia Smith</t>
  </si>
  <si>
    <t>303-312-6520</t>
  </si>
  <si>
    <t>smith.claudia@epa.gov</t>
  </si>
  <si>
    <t>Kathleen Paser</t>
  </si>
  <si>
    <t>303-312-6526</t>
  </si>
  <si>
    <t>paser.kathleen@epa.gov</t>
  </si>
  <si>
    <t>1595 Wynkoop St.</t>
  </si>
  <si>
    <t>MC: 8P-AR</t>
  </si>
  <si>
    <t>Denver</t>
  </si>
  <si>
    <t>80202-1129</t>
  </si>
  <si>
    <t>Geoffrey Glass</t>
  </si>
  <si>
    <t>415-972-3498</t>
  </si>
  <si>
    <t>glass.geoffrey@epa.gov</t>
  </si>
  <si>
    <t>Roberto Gutierrez</t>
  </si>
  <si>
    <t>415-947-4276</t>
  </si>
  <si>
    <t>Gutierrez.roberto@epa.gov</t>
  </si>
  <si>
    <t xml:space="preserve">75 Hawthorne St. </t>
  </si>
  <si>
    <t>MC: AIR-3</t>
  </si>
  <si>
    <t>San Francisco</t>
  </si>
  <si>
    <t>Bill Todd</t>
  </si>
  <si>
    <t>206-553-6914</t>
  </si>
  <si>
    <t>todd.bill@epa.gov</t>
  </si>
  <si>
    <t>1200 Sixth Avenue</t>
  </si>
  <si>
    <t>MC: AWT-107</t>
  </si>
  <si>
    <t>Seattle</t>
  </si>
  <si>
    <t>None</t>
  </si>
  <si>
    <t>5 Post Office Square</t>
  </si>
  <si>
    <t>MC: OEP</t>
  </si>
  <si>
    <t>25th Floor</t>
  </si>
  <si>
    <t>12th Floor</t>
  </si>
  <si>
    <t>Rm#: 18130</t>
  </si>
  <si>
    <t>Primary Contact Email</t>
  </si>
  <si>
    <t>Alternate Contact Email</t>
  </si>
  <si>
    <t>Primary Contact Name</t>
  </si>
  <si>
    <t>Alternate Contact Name</t>
  </si>
  <si>
    <t>Primary Contact Telephone</t>
  </si>
  <si>
    <t>Alternate Contact Telephone</t>
  </si>
  <si>
    <t>Albuquerque</t>
  </si>
  <si>
    <t>Zip Code</t>
  </si>
  <si>
    <t>Nonattainment</t>
  </si>
  <si>
    <t>Nonattainment - marginal</t>
  </si>
  <si>
    <t>Nonattainment - moderate</t>
  </si>
  <si>
    <t>Ozone Attainment Status List</t>
  </si>
  <si>
    <r>
      <t>CO and PM</t>
    </r>
    <r>
      <rPr>
        <b/>
        <vertAlign val="subscript"/>
        <sz val="10"/>
        <rFont val="Arial"/>
        <family val="2"/>
      </rPr>
      <t>10</t>
    </r>
    <r>
      <rPr>
        <b/>
        <sz val="10"/>
        <rFont val="Arial"/>
        <family val="2"/>
      </rPr>
      <t xml:space="preserve"> Attainment Status List</t>
    </r>
  </si>
  <si>
    <r>
      <t>SO</t>
    </r>
    <r>
      <rPr>
        <b/>
        <vertAlign val="subscript"/>
        <sz val="10"/>
        <rFont val="Arial"/>
        <family val="2"/>
      </rPr>
      <t>2</t>
    </r>
    <r>
      <rPr>
        <b/>
        <sz val="10"/>
        <rFont val="Arial"/>
        <family val="2"/>
      </rPr>
      <t xml:space="preserve"> and PM</t>
    </r>
    <r>
      <rPr>
        <b/>
        <vertAlign val="subscript"/>
        <sz val="10"/>
        <rFont val="Arial"/>
        <family val="2"/>
      </rPr>
      <t>2.5</t>
    </r>
    <r>
      <rPr>
        <b/>
        <sz val="10"/>
        <rFont val="Arial"/>
        <family val="2"/>
      </rPr>
      <t xml:space="preserve"> Attainment Status List</t>
    </r>
  </si>
  <si>
    <t xml:space="preserve">http://www.epa.gov/oar/oaqps/greenbk/ancl.html </t>
  </si>
  <si>
    <t>EPA</t>
  </si>
  <si>
    <t>U.S. Environmental Protection Agency</t>
  </si>
  <si>
    <t>Name:</t>
  </si>
  <si>
    <t>Address:</t>
  </si>
  <si>
    <t>Telephone:</t>
  </si>
  <si>
    <t>U.S. Environmental Protection Agency 1993. Emissions Factor Documentation for AP-42 Section 1.11 Waste Oil Combustion. Table 2-1. Available electronically at: http://www.epa.gov/ttnchie1/ap42/ch01/bgdocs/b01s11.pdf (accessed December 2012).</t>
  </si>
  <si>
    <t>Data Key 1</t>
  </si>
  <si>
    <t>EF Numerator</t>
  </si>
  <si>
    <t>EF Denominator</t>
  </si>
  <si>
    <t>Primary Crushing</t>
  </si>
  <si>
    <t>Total PM</t>
  </si>
  <si>
    <t>PM10</t>
  </si>
  <si>
    <t>PM2.5</t>
  </si>
  <si>
    <t>Secondary Crushing</t>
  </si>
  <si>
    <t>Tertiary Crushing</t>
  </si>
  <si>
    <t>lb</t>
  </si>
  <si>
    <t>tons of material</t>
  </si>
  <si>
    <t>U.S. Environmental Protection Agency. 2004. AP 42, Fifth Edition, Volume I, Chapter 11.19 Crushed Stone Processing and Pulverized Mineral Processing. Table 11.19.2-2. Available electronically at: http://www.epa.gov/ttn/chief/ap42/ch11/final/c11s1902.pdf</t>
  </si>
  <si>
    <t>Fines Crushing</t>
  </si>
  <si>
    <t>Fines Screening</t>
  </si>
  <si>
    <t>Conveyor Transfer Point</t>
  </si>
  <si>
    <t>Facility Throughput</t>
  </si>
  <si>
    <t>Yes</t>
  </si>
  <si>
    <t>No</t>
  </si>
  <si>
    <t>Process</t>
  </si>
  <si>
    <t>General Questions</t>
  </si>
  <si>
    <t>Conveyor Transfer Points</t>
  </si>
  <si>
    <t>Generator</t>
  </si>
  <si>
    <t>Primary Screening</t>
  </si>
  <si>
    <t>Secondary Screening</t>
  </si>
  <si>
    <t>Tertiary Screening</t>
  </si>
  <si>
    <t xml:space="preserve">  </t>
  </si>
  <si>
    <t xml:space="preserve">    Primary Crushing and Screening:</t>
  </si>
  <si>
    <t xml:space="preserve">    Secondary Crushing and Screening:</t>
  </si>
  <si>
    <t xml:space="preserve">    Tertiary Crushing and Screening:</t>
  </si>
  <si>
    <t xml:space="preserve">    Fines Crushing and Screening:</t>
  </si>
  <si>
    <t xml:space="preserve">Primary Crushing emissions were assumed to be 25 % of Tertiary crushing emissions, based on particle surface area. </t>
  </si>
  <si>
    <t>Secondary Crushing emissions were assumed to be 50% of Tertiary Crushing Emissions, based on surface area.</t>
  </si>
  <si>
    <t>Primary Screening emissions were assumed to be 25% of Tertiary Screening emissions, based on particle surface area.</t>
  </si>
  <si>
    <t>Secondary Screening emissions were assumed to be 50% of Tertiary Screening emissions, based on particle surface area.</t>
  </si>
  <si>
    <t>Tracey Westfield</t>
  </si>
  <si>
    <t xml:space="preserve">jonathan_dorn@abtassoc.com </t>
  </si>
  <si>
    <t>Jonathan Dorn
Matt Hynson</t>
  </si>
  <si>
    <t>Engine Emission Factors</t>
  </si>
  <si>
    <t>Bonnie Braganza</t>
  </si>
  <si>
    <t>214-665-7340</t>
  </si>
  <si>
    <t>braganza.bonnie@epa.gov</t>
  </si>
  <si>
    <t>1445 Ross Avenue, Suite 1200</t>
  </si>
  <si>
    <t>MC: 6PD</t>
  </si>
  <si>
    <t>Dallas</t>
  </si>
  <si>
    <t>75202-2733</t>
  </si>
  <si>
    <t>Rock Crushing and Stone Processing Registration Calculator</t>
  </si>
  <si>
    <t>Acme Rock Crushing</t>
  </si>
  <si>
    <t>EF</t>
  </si>
  <si>
    <t>emission factor</t>
  </si>
  <si>
    <t>4:  Material Throughput</t>
  </si>
  <si>
    <t>5:  Engine Information</t>
  </si>
  <si>
    <t>1997 8-Hr Ozone Attainment Status (select one):</t>
  </si>
  <si>
    <t>Emissions Source:</t>
  </si>
  <si>
    <t>TOTAL</t>
  </si>
  <si>
    <r>
      <t xml:space="preserve">This workbook is designed to estimate emissions from rock crushing and stone processing operations.  You will need to enter information on the operations at your facility. This workbook automatically calculates air pollutant emissions based on this information.  Some sample data have already been entered (in blue font) to assist with filling this out.  You will need to replace these sample data with your own.  The last tab along the bottom of this workbook, called the </t>
    </r>
    <r>
      <rPr>
        <b/>
        <i/>
        <sz val="10"/>
        <rFont val="Arial"/>
        <family val="2"/>
      </rPr>
      <t>Output-Summary Printout</t>
    </r>
    <r>
      <rPr>
        <sz val="10"/>
        <rFont val="Arial"/>
        <family val="2"/>
      </rPr>
      <t>, is a one-page summary of your facility's emissions and, based on the information entered, indicates whether your facility is required to register under the Tribal New Source Review Rule.  Please read all instructions below before using this workbook.  All worksheets in this workbook are printer-friendly. If necessary, print this page for reference while completing the worksheets.</t>
    </r>
  </si>
  <si>
    <t>01/01/2013</t>
  </si>
  <si>
    <t>TRIBAL NEW SOURCE REVIEW PROGRAM</t>
  </si>
  <si>
    <t>Registration for Existing True Minor Sources of Air Pollution in Indian Country</t>
  </si>
  <si>
    <t>What is the Tribal New Source Review Rule?</t>
  </si>
  <si>
    <t>Do I need to register my minor source?</t>
  </si>
  <si>
    <r>
      <t xml:space="preserve">How do I determine if my source is a </t>
    </r>
    <r>
      <rPr>
        <b/>
        <i/>
        <sz val="10"/>
        <rFont val="Arial"/>
        <family val="2"/>
      </rPr>
      <t>true minor</t>
    </r>
    <r>
      <rPr>
        <b/>
        <sz val="10"/>
        <rFont val="Arial"/>
        <family val="2"/>
      </rPr>
      <t xml:space="preserve"> source?</t>
    </r>
  </si>
  <si>
    <t>How do I register my true minor source?</t>
  </si>
  <si>
    <t>1.</t>
  </si>
  <si>
    <t>2.</t>
  </si>
  <si>
    <t>How often must I register?</t>
  </si>
  <si>
    <t>This is a one-time registration for your true minor source.  However, after registration, you must notify your EPA Regional Office in writing if:</t>
  </si>
  <si>
    <t>3.</t>
  </si>
  <si>
    <t>May I register using my own emission information, rather than using the Registration Calculators?</t>
  </si>
  <si>
    <t>How does registration relate to obtaining a permit?</t>
  </si>
  <si>
    <t>Registration steps for existing true minor sources:</t>
  </si>
  <si>
    <t>Once completed, the calculator’s Output-Summary Printout worksheet will provide information on your registration requirements.</t>
  </si>
  <si>
    <t>4.</t>
  </si>
  <si>
    <t>5.</t>
  </si>
  <si>
    <t>If you have any questions about registration or completing the calculators, please contact your EPA Regional Office.</t>
  </si>
  <si>
    <r>
      <t>PM</t>
    </r>
    <r>
      <rPr>
        <vertAlign val="subscript"/>
        <sz val="10"/>
        <rFont val="Arial"/>
        <family val="2"/>
      </rPr>
      <t>2.5</t>
    </r>
    <r>
      <rPr>
        <sz val="10"/>
        <rFont val="Arial"/>
        <family val="2"/>
      </rPr>
      <t xml:space="preserve"> Attainment Status (select one):</t>
    </r>
  </si>
  <si>
    <t>Estimated Actual Emissions</t>
  </si>
  <si>
    <t>Registration Determination</t>
  </si>
  <si>
    <t>Exceeds Major Source Threshold Determination</t>
  </si>
  <si>
    <t>Allowable Emissions</t>
  </si>
  <si>
    <r>
      <t xml:space="preserve">Text in </t>
    </r>
    <r>
      <rPr>
        <b/>
        <sz val="10"/>
        <color rgb="FFFF0000"/>
        <rFont val="Arial"/>
        <family val="2"/>
      </rPr>
      <t>red</t>
    </r>
    <r>
      <rPr>
        <sz val="10"/>
        <rFont val="Arial"/>
        <family val="2"/>
      </rPr>
      <t xml:space="preserve"> or </t>
    </r>
    <r>
      <rPr>
        <b/>
        <sz val="10"/>
        <color rgb="FFCC6600"/>
        <rFont val="Arial"/>
        <family val="2"/>
      </rPr>
      <t>brown</t>
    </r>
    <r>
      <rPr>
        <sz val="10"/>
        <rFont val="Arial"/>
        <family val="2"/>
      </rPr>
      <t xml:space="preserve"> is a disclaimer or calculated value and cannot be changed.</t>
    </r>
  </si>
  <si>
    <r>
      <t xml:space="preserve">Text in </t>
    </r>
    <r>
      <rPr>
        <b/>
        <sz val="10"/>
        <color indexed="12"/>
        <rFont val="Arial"/>
        <family val="2"/>
      </rPr>
      <t>blue</t>
    </r>
    <r>
      <rPr>
        <sz val="10"/>
        <rFont val="Arial"/>
        <family val="2"/>
      </rPr>
      <t xml:space="preserve"> is to be overwritten, as necessary, with your facility's inputs.</t>
    </r>
  </si>
  <si>
    <t>Allowable
Emissions</t>
  </si>
  <si>
    <t>Potential annual emissions from a source calculated using the maximum rated capacity of the source (unless the source is subject to practically and legally enforceable limits which restrict the operating rate, or hours of operation, or both) and any applicable standards as set forth in 40 CFR parts 60 and 61.</t>
  </si>
  <si>
    <t>CE</t>
  </si>
  <si>
    <t>control efficiency</t>
  </si>
  <si>
    <t>Estimates of actual emissions take into account equipment, operating conditions, and air pollution control measures and are calculated using the actual operating hours, production rates, in-place control equipment, and types of materials processed, stored, or combusted during the preceding calendar year (e.g., 2012).</t>
  </si>
  <si>
    <r>
      <t xml:space="preserve">On the </t>
    </r>
    <r>
      <rPr>
        <b/>
        <i/>
        <sz val="10"/>
        <rFont val="Arial"/>
        <family val="2"/>
      </rPr>
      <t>Inputs</t>
    </r>
    <r>
      <rPr>
        <sz val="10"/>
        <rFont val="Arial"/>
        <family val="2"/>
      </rPr>
      <t xml:space="preserve"> worksheet, replace the default facility information with information specific to your facility. </t>
    </r>
  </si>
  <si>
    <r>
      <t xml:space="preserve">On the </t>
    </r>
    <r>
      <rPr>
        <b/>
        <i/>
        <sz val="10"/>
        <rFont val="Arial"/>
        <family val="2"/>
      </rPr>
      <t>Inputs</t>
    </r>
    <r>
      <rPr>
        <sz val="10"/>
        <rFont val="Arial"/>
        <family val="2"/>
      </rPr>
      <t xml:space="preserve"> worksheet, select the air basin attainment status for each pollutant from the drop-down lists for the air basin in which your facility resides. This information is necessary since the pollutant thresholds that trigger registration requirements vary by attainment status. If you are unsure of the appropriate attainment statuses for the air basin in which your facility is located, refer to EPA’s Green Book (available by clicking on the link below) or ask your EPA Regional contact for help. Your EPA Regional contact will be listed on the </t>
    </r>
    <r>
      <rPr>
        <b/>
        <i/>
        <sz val="10"/>
        <rFont val="Arial"/>
        <family val="2"/>
      </rPr>
      <t>Inputs</t>
    </r>
    <r>
      <rPr>
        <sz val="10"/>
        <rFont val="Arial"/>
        <family val="2"/>
      </rPr>
      <t xml:space="preserve"> worksheet once you have selected the correct state in which your facility resides.</t>
    </r>
  </si>
  <si>
    <r>
      <t xml:space="preserve">The </t>
    </r>
    <r>
      <rPr>
        <b/>
        <i/>
        <sz val="10"/>
        <rFont val="Arial"/>
        <family val="2"/>
      </rPr>
      <t>Total Emissions</t>
    </r>
    <r>
      <rPr>
        <sz val="10"/>
        <rFont val="Arial"/>
        <family val="2"/>
      </rPr>
      <t xml:space="preserve"> worksheet provides a summary of your estimated actual emissions and allowable emissions by source. The </t>
    </r>
    <r>
      <rPr>
        <b/>
        <i/>
        <sz val="10"/>
        <rFont val="Arial"/>
        <family val="2"/>
      </rPr>
      <t>Output-Summary Printout</t>
    </r>
    <r>
      <rPr>
        <sz val="10"/>
        <rFont val="Arial"/>
        <family val="2"/>
      </rPr>
      <t xml:space="preserve"> worksheet provides a facility-level summary of your estimated actual emissions and allowable emissions and indicates whether or not your facility is required to register under the Tribal New Source Review Rule.   </t>
    </r>
  </si>
  <si>
    <t>Allowable Emissions (tons/yr):</t>
  </si>
  <si>
    <t>40 CFR 49.130(d)(2)</t>
  </si>
  <si>
    <t>MC: AWMD/APCO</t>
  </si>
  <si>
    <t>Lenexa</t>
  </si>
  <si>
    <t xml:space="preserve">The Tribal New Source Review (NSR) Rule protects public health and the environment in Indian country as new facilities are built, and existing facilities expand, without unduly burdening economic development.  The Tribal NSR Rule establishes a registration program that will allow the United States Environmental Protection Agency (EPA) to develop and maintain a record of minor source emissions in Indian country.  The EPA developed the Excel Workbook Registration Calculators for you (the source owner/operator) to use to determine if you must register and to facilitate the registration process, if required.  
</t>
  </si>
  <si>
    <r>
      <rPr>
        <sz val="10"/>
        <rFont val="Arial"/>
        <family val="2"/>
      </rPr>
      <t xml:space="preserve">Please visit EPA's Tribal Air website at </t>
    </r>
    <r>
      <rPr>
        <u/>
        <sz val="10"/>
        <color theme="10"/>
        <rFont val="Arial"/>
        <family val="2"/>
      </rPr>
      <t xml:space="preserve">http://www.epa.gov/air/tribal/tribalnsr.html </t>
    </r>
    <r>
      <rPr>
        <sz val="10"/>
        <rFont val="Arial"/>
        <family val="2"/>
      </rPr>
      <t>for more information about the Tribal NSR Rule.</t>
    </r>
  </si>
  <si>
    <t>You are exempt from the registration requirement if your source is subject to the registration requirements under 40 CFR 49.138—Rule for the registration of air pollution sources and the reporting of emissions (also known as the Federal Air Rules for Reservations (FARR)).  The FARR is a set of federal air rules that only apply to 39 Indian Reservations in Idaho, Oregon, and Washington.
If your air pollution source is not located on one of the 39 Indian Reservations in Idaho, Oregon, or Washington, you must register your source with your EPA Regional Office (the reviewing authority) by March 1, 2013 if you own or operate an existing true minor air pollution source (as defined in 40 CFR 49.152(d)) and your source’s emissions are equal to or greater than the cutoff levels listed in Table 1 at 40 CFR 49.153.</t>
  </si>
  <si>
    <t>True minor source means a source, not including exempt emissions units and activities listed in 40 CFR 49.153(c), that emits or has the potential to emit regulated NSR pollutants in amounts that are less than the major source thresholds in 40 CFR 52.21, (generally 100 to 250 tons per year), but equal to or greater than the minor NSR thresholds in Table 1 at 40 CFR 49.153, without the need to take an enforceable restriction to reduce its potential to emit to such levels.  That is, a true minor source is a minor source that is not a synthetic minor source.  The potential to emit includes fugitive emissions, to the extent that they are quantifiable, only if the source belongs to one of the source categories listed in 40 CFR 51, Appendix S, paragraph II.A.4(iii).</t>
  </si>
  <si>
    <t>The EPA has provided this registration calculator to assist you in determining your registration requirements. Completing this calculator will:</t>
  </si>
  <si>
    <r>
      <t>help you determine if you need to register your air pollution emission source, based on your emission level and area’s attainment status</t>
    </r>
    <r>
      <rPr>
        <b/>
        <sz val="10"/>
        <rFont val="Arial"/>
        <family val="2"/>
      </rPr>
      <t>;</t>
    </r>
    <r>
      <rPr>
        <sz val="10"/>
        <rFont val="Arial"/>
        <family val="2"/>
      </rPr>
      <t xml:space="preserve"> and</t>
    </r>
  </si>
  <si>
    <t>your source relocates (send report no later than 30 days prior to relocation);</t>
  </si>
  <si>
    <t>your source has a new owner/operator (send report within 90 days after change in ownership); or</t>
  </si>
  <si>
    <t>your source closes (send report within 90 days after cessation of all operations).</t>
  </si>
  <si>
    <t>The Registration Calculators are provided for the convenience of most minor sources, which are unlikely to have tracked emissions data since minor sources in Indian country have been unregulated until now.  However, if you have actual emission data from your source you may choose not to use the calculator(s), but your registration information must comply with all of the requirements in 40 CFR 49.160 and be submitted using the form provided on EPA's Tribal Air website. Please click on the URL below to access the form.</t>
  </si>
  <si>
    <t xml:space="preserve">http://www.epa.gov/air/tribal/pdfs/existing_source_registration_rev.pdf </t>
  </si>
  <si>
    <r>
      <t xml:space="preserve">Registering your source does not relieve you of the requirement to obtain any required permit.  Please note that </t>
    </r>
    <r>
      <rPr>
        <i/>
        <sz val="10"/>
        <rFont val="Arial"/>
        <family val="2"/>
      </rPr>
      <t>registering</t>
    </r>
    <r>
      <rPr>
        <sz val="10"/>
        <rFont val="Arial"/>
        <family val="2"/>
      </rPr>
      <t xml:space="preserve"> your source and </t>
    </r>
    <r>
      <rPr>
        <i/>
        <sz val="10"/>
        <rFont val="Arial"/>
        <family val="2"/>
      </rPr>
      <t>obtaining a permit</t>
    </r>
    <r>
      <rPr>
        <sz val="10"/>
        <rFont val="Arial"/>
        <family val="2"/>
      </rPr>
      <t xml:space="preserve">, if needed, are two different and separate requirements.  The emissions information generated by the Registration Calculators is different than the emissions information needed for a permit application, thus you may </t>
    </r>
    <r>
      <rPr>
        <b/>
        <i/>
        <sz val="10"/>
        <rFont val="Arial"/>
        <family val="2"/>
      </rPr>
      <t>not</t>
    </r>
    <r>
      <rPr>
        <sz val="10"/>
        <rFont val="Arial"/>
        <family val="2"/>
      </rPr>
      <t xml:space="preserve"> use the Registration Calculator emissions information when applying for a permit.</t>
    </r>
  </si>
  <si>
    <t>Complete this calculator and all other calculators that are applicable to your true minor source as accurately as possible.</t>
  </si>
  <si>
    <t>Georgia</t>
  </si>
  <si>
    <t>11201 Renner Boulevard</t>
  </si>
  <si>
    <t>Louisiana</t>
  </si>
  <si>
    <t>Distillate Oil Actual Sulfur Content</t>
  </si>
  <si>
    <t>Distillate Oil Allowable Sulfur Content</t>
  </si>
  <si>
    <t>Natural Gas Allowable Sulfur Content</t>
  </si>
  <si>
    <t>Allowable Hours for Routine Operation</t>
  </si>
  <si>
    <t>Allowable Hours for Emergency Operation</t>
  </si>
  <si>
    <t>02/15/2013</t>
  </si>
  <si>
    <t>Facility Type</t>
  </si>
  <si>
    <t>Estimated Actual and Allowable Emissions Calculations</t>
  </si>
  <si>
    <t>routine</t>
  </si>
  <si>
    <t>Using your engine spec sheet, enter a value for one of the following:</t>
  </si>
  <si>
    <t>Rated mechanical output (hp)</t>
  </si>
  <si>
    <t>Rated power output (ekW)</t>
  </si>
  <si>
    <t>Enter the total number of hours operated in calendar year 2012</t>
  </si>
  <si>
    <t>Emission Controls and Operational Restrictions</t>
  </si>
  <si>
    <t>Emission Rate Unit</t>
  </si>
  <si>
    <t>g/hp-hr</t>
  </si>
  <si>
    <t>Hours for Allowable Emissions Calculation</t>
  </si>
  <si>
    <t>Hours Operated in 2012</t>
  </si>
  <si>
    <t>Estimated Actual Emissions for 2012</t>
  </si>
  <si>
    <t>emergency</t>
  </si>
  <si>
    <t>Grams to Pounds Conversion Factor</t>
  </si>
  <si>
    <t xml:space="preserve"> Pounds/Gram</t>
  </si>
  <si>
    <t>U.S. Environmental Protection Agency, AP 42 Compilation of Air Pollution Emissions Factors, Fifth Edition, Volume I, Appendix A: Miscellaneous Data and Conversion Factors, http://www.epa.gov/ttnchie1/ap42/appendix/appa.pdf.</t>
  </si>
  <si>
    <t>kW to hp Conversion Factor</t>
  </si>
  <si>
    <t>hp/kW</t>
  </si>
  <si>
    <t>Btu/hr to hp Conversion Factor</t>
  </si>
  <si>
    <t>hp-hr/Btu</t>
  </si>
  <si>
    <t>Hp to Btu/hr Conversion Factor</t>
  </si>
  <si>
    <t>Btu/hp-hr</t>
  </si>
  <si>
    <t>kW to Btu/hr Conversion Factor</t>
  </si>
  <si>
    <t>Btu/kW-hr</t>
  </si>
  <si>
    <t>Cubic Meter to Cubic Foot Conversion Factor</t>
  </si>
  <si>
    <r>
      <t>scf/m</t>
    </r>
    <r>
      <rPr>
        <vertAlign val="superscript"/>
        <sz val="10"/>
        <rFont val="Arial"/>
        <family val="2"/>
      </rPr>
      <t>3</t>
    </r>
  </si>
  <si>
    <t>Brake Specific Fuel Consumption</t>
  </si>
  <si>
    <t>Fuel Energy to Output Efficiency</t>
  </si>
  <si>
    <t>This is the percent of energy in the fuel converted to useful work (e.g., fuel energy input minus heat rejection). Engineering judgment based on spec sheets from Caterpillar engines. See http://www.cat.com/cda/layout?m=206981&amp;x=7&amp;f=416505</t>
  </si>
  <si>
    <t>Fuel Energy Content</t>
  </si>
  <si>
    <t>Units Same as Source</t>
  </si>
  <si>
    <t>Fuel</t>
  </si>
  <si>
    <t>Energy Content</t>
  </si>
  <si>
    <t>Energy Content Numerator</t>
  </si>
  <si>
    <t>Energy Content Denominator</t>
  </si>
  <si>
    <t>Gasoline</t>
  </si>
  <si>
    <t>Btu</t>
  </si>
  <si>
    <t>gal</t>
  </si>
  <si>
    <t>Natural Gas</t>
  </si>
  <si>
    <r>
      <t>ft</t>
    </r>
    <r>
      <rPr>
        <vertAlign val="superscript"/>
        <sz val="10"/>
        <rFont val="Arial"/>
        <family val="2"/>
      </rPr>
      <t>3</t>
    </r>
  </si>
  <si>
    <r>
      <t xml:space="preserve">U.S. Energy Information Administration, </t>
    </r>
    <r>
      <rPr>
        <b/>
        <sz val="10"/>
        <rFont val="Arial"/>
        <family val="2"/>
      </rPr>
      <t>Annual Energy Review 2011</t>
    </r>
    <r>
      <rPr>
        <sz val="10"/>
        <rFont val="Arial"/>
        <family val="2"/>
      </rPr>
      <t xml:space="preserve">, </t>
    </r>
    <r>
      <rPr>
        <i/>
        <sz val="10"/>
        <rFont val="Arial"/>
        <family val="2"/>
      </rPr>
      <t>Table A4. Approximate Heat Content of Natural Gas</t>
    </r>
    <r>
      <rPr>
        <sz val="10"/>
        <rFont val="Arial"/>
        <family val="2"/>
      </rPr>
      <t>, September 2012,  http://www.eia.gov/totalenergy/data/annual/pdf/aer.pdf.</t>
    </r>
  </si>
  <si>
    <t>Oil - Distillate</t>
  </si>
  <si>
    <t>bbl</t>
  </si>
  <si>
    <r>
      <t xml:space="preserve">U.S. Energy Information Administration, </t>
    </r>
    <r>
      <rPr>
        <b/>
        <sz val="10"/>
        <rFont val="Arial"/>
        <family val="2"/>
      </rPr>
      <t>Annual Energy Review 2011</t>
    </r>
    <r>
      <rPr>
        <sz val="10"/>
        <rFont val="Arial"/>
        <family val="2"/>
      </rPr>
      <t xml:space="preserve">, </t>
    </r>
    <r>
      <rPr>
        <i/>
        <sz val="10"/>
        <rFont val="Arial"/>
        <family val="2"/>
      </rPr>
      <t>Table A1. Approximate Heat Content of Petroleum Products (Million Btu per Barrel)</t>
    </r>
    <r>
      <rPr>
        <sz val="10"/>
        <rFont val="Arial"/>
        <family val="2"/>
      </rPr>
      <t>, September 2012, http://www.eia.gov/totalenergy/data/annual/pdf/aer.pdf.</t>
    </r>
  </si>
  <si>
    <t>Units Converted to Match Emission Factors</t>
  </si>
  <si>
    <t>1000 gal</t>
  </si>
  <si>
    <t>MMscf</t>
  </si>
  <si>
    <t>Internal Combustion Engine</t>
  </si>
  <si>
    <t>Internal Combustion Engine Emissions</t>
  </si>
  <si>
    <t>Internal Combustion Engine Emission Controls and Operational Restrictions</t>
  </si>
  <si>
    <r>
      <t xml:space="preserve">This workbook is an aid to assist facility owners/operators in determining their need to register their facility under the Tribal New Source Review Rule. Owners/operators should provide the best estimate of inputs required in this workbook based on their facility's existing available records, actual test data, manufacturers' data and/or fuel (instrumentation) meters. If a source owner/operator has a more accurate methodology for estimating emissions, he/she is not obligated to use this registration calculator; however, the source owner/operator must comply with all of the applicable requirements in 40 CFR 49.160 and submit all registration information using the forms provided on EPA's Tribal Air website. For example, if you believe that the actual emissions in calendar year 2012 estimated using this calculator are not representative of the emissions that your source actually emitted, you may submit your own estimate of actual emissions and the rationale for the actual emissions.
</t>
    </r>
    <r>
      <rPr>
        <b/>
        <i/>
        <sz val="10"/>
        <color rgb="FFFF0000"/>
        <rFont val="Arial"/>
        <family val="2"/>
      </rPr>
      <t xml:space="preserve">Please note that the emissions information generated by this registration calculator is different than the emissions information needed for a permit application, thus you may not use the registration calculator emission estimates when applying for a permit (if required). </t>
    </r>
  </si>
  <si>
    <r>
      <t xml:space="preserve">Text in </t>
    </r>
    <r>
      <rPr>
        <b/>
        <sz val="10"/>
        <rFont val="Arial"/>
        <family val="2"/>
      </rPr>
      <t>black</t>
    </r>
    <r>
      <rPr>
        <sz val="10"/>
        <rFont val="Arial"/>
        <family val="2"/>
      </rPr>
      <t xml:space="preserve"> is a title, heading or calculated value and cannot be changed.</t>
    </r>
  </si>
  <si>
    <t>Emergency Generator</t>
  </si>
  <si>
    <t>A generator whose sole function is to provide back-up power when electric power from the local utility is interrupted.</t>
  </si>
  <si>
    <t>Enter the actual amount of material (in tons) that passed through each of the following processes in an average hour at your facility in 2012:</t>
  </si>
  <si>
    <t>Enter the maximum amount of material (in tons) that could have passed through each of the following processes in an hour at your facility in 2012:</t>
  </si>
  <si>
    <t>Emission Control Questions</t>
  </si>
  <si>
    <t>Operational Restrictions and Applicable Standards in 40 CFR parts 60 and 61</t>
  </si>
  <si>
    <t>Internal Combustion Engine (Crusher)</t>
  </si>
  <si>
    <t>Internal Combustion Engine (Generator)</t>
  </si>
  <si>
    <t>Internal Combustion Engines</t>
  </si>
  <si>
    <t>Did your facility use an engine to power its crushing operations in calendar year 2012?</t>
  </si>
  <si>
    <t>Excluding the crusher engine, did your facility use a power generator in calendar year 2012?</t>
  </si>
  <si>
    <t>On average, how many hours per week did your facility run rock crushing operations in calendar year 2012?</t>
  </si>
  <si>
    <t>Engine (Crusher)</t>
  </si>
  <si>
    <t>Controlled Actual Emission Factor</t>
  </si>
  <si>
    <t>Allowable Emission Factor</t>
  </si>
  <si>
    <t>Uncontrolled Actual Emission Factor</t>
  </si>
  <si>
    <t>Primary Crusher Output is 3 - 12 inches</t>
  </si>
  <si>
    <t>Secondary Crusher Output is 1 - 3 inches</t>
  </si>
  <si>
    <t>Tertiary Crusher Output is 3/16 - 1 inches</t>
  </si>
  <si>
    <t>Diameter</t>
  </si>
  <si>
    <t>Volume</t>
  </si>
  <si>
    <t>Surface Area/piece</t>
  </si>
  <si>
    <t>Pieces in 1 cubic foot</t>
  </si>
  <si>
    <t>Surface area in 1 cubic foot</t>
  </si>
  <si>
    <t>Ratio</t>
  </si>
  <si>
    <r>
      <t>Assumed to be 15% of PM</t>
    </r>
    <r>
      <rPr>
        <vertAlign val="subscript"/>
        <sz val="10"/>
        <rFont val="Arial"/>
        <family val="2"/>
      </rPr>
      <t>10</t>
    </r>
    <r>
      <rPr>
        <sz val="10"/>
        <rFont val="Arial"/>
        <family val="2"/>
      </rPr>
      <t>. Midwest Research Institute, "Background Document for Revisions to Fine Fraction Ratios Used for AP-42 Fugitive Dust Emission Factors," February 2006, available at http://www.epa.gov/ttnchie1/ap42/ch13/bgdocs/b13s02.pdf</t>
    </r>
  </si>
  <si>
    <t>Note:  AP-42 emission factors for primary crushing, secondary crushing, and screening of rock output from primary crushing are not available. Emission factors are estimated based on the assumption that emissions are proportional to the relative surface area of the product emerging from the crusher. Secondary crushing emissions are conservatively estimated at 50% of tertiary crushing emissions, and primary crushing emissions are conservatively estimated at 50% of secondary crushing emissions.</t>
  </si>
  <si>
    <r>
      <t>Assumed to be 50% of PM</t>
    </r>
    <r>
      <rPr>
        <vertAlign val="subscript"/>
        <sz val="10"/>
        <rFont val="Arial"/>
        <family val="2"/>
      </rPr>
      <t>10</t>
    </r>
    <r>
      <rPr>
        <sz val="10"/>
        <rFont val="Arial"/>
        <family val="2"/>
      </rPr>
      <t>. Based on assumptions in permitting calculations by state air quality agencies. For example, see http://www.maricopa.gov/aq/divisions/planning_analysis/docs/2005_PM10/05_PM_All.pdf</t>
    </r>
  </si>
  <si>
    <t>Calculation for Relative Surface Area of Different Rock Sizes</t>
  </si>
  <si>
    <t>Changed all terminology to use "allowable emissions" and "estimated actual emissions. Added "Registration FAQs" and "Controls and Emissions" worksheets. Removed fugitive dust sources. Added additional note for facilities with rock crushing listed in 40 CFR 52.21(b)(1(iii)</t>
  </si>
  <si>
    <t>Primary Crushing/Screening/Conveying</t>
  </si>
  <si>
    <t>Secondary Crushing/Screening/Conveying</t>
  </si>
  <si>
    <t>Tertiary Crushing/Screening/Conveying</t>
  </si>
  <si>
    <t>Fines Crushing/Screening/Conveying</t>
  </si>
  <si>
    <t>PM Emission Controls</t>
  </si>
  <si>
    <t>Primary Conveyor Transfer Points</t>
  </si>
  <si>
    <t>Secondary Conveyor Transfer Points</t>
  </si>
  <si>
    <t>Tertiary Conveyor Transfer Points</t>
  </si>
  <si>
    <t>Fines Conveyor Transfer Points</t>
  </si>
  <si>
    <t>coal cleaning plant (with thermal dryer)</t>
  </si>
  <si>
    <t>lime plant</t>
  </si>
  <si>
    <t>phosphate rock processing plant</t>
  </si>
  <si>
    <t>taconite ore processing plant</t>
  </si>
  <si>
    <t>other</t>
  </si>
  <si>
    <t>Did your facility commence construction, modification, or reconstruction on or after April 22, 2008?</t>
  </si>
  <si>
    <t xml:space="preserve">Note: 40 CFR part 60, subpart OOO, requires all fixed nonmetallic mineral processing plants with a capacity of 25 tons per hour or more that commenced construction or modification after August 31, 1983, to limit the discharge of particulate matter in gases vented to the atmosphere.  If your facility is subject to this requirement, answer the questions below. </t>
  </si>
  <si>
    <t>Allowable Emissions (tons)</t>
  </si>
  <si>
    <t>dscm</t>
  </si>
  <si>
    <t>dry standard cubic meters</t>
  </si>
  <si>
    <t>7:  Emissions Summaries</t>
  </si>
  <si>
    <r>
      <t xml:space="preserve">On the </t>
    </r>
    <r>
      <rPr>
        <b/>
        <i/>
        <sz val="10"/>
        <rFont val="Arial"/>
        <family val="2"/>
      </rPr>
      <t>Inputs</t>
    </r>
    <r>
      <rPr>
        <sz val="10"/>
        <rFont val="Arial"/>
        <family val="2"/>
      </rPr>
      <t xml:space="preserve"> worksheet, enter information on the material that passed through each of the listed processes at your facility in calendar year 2012. For example, if your facility typically loads 20 tons of material per hour into the primary crusher, enter 20 after Primary Crushing and Screening. If your facility does not typically use a process that is listed, enter 0 after that process. Also enter the maximum tons of rock per hour that could have passed through each process at your facility in calendar year 2012. Under 'Conveyor Transfer Points', enter the number of times that material is transferred to or from a conveyor belt for each of the processes listed. Under 'Internal Combustion Engines,' select from the drop-down list whether your facility used an engine to drive its crushing operations in 2012 and whether your facility used a generator in 2012.</t>
    </r>
  </si>
  <si>
    <t>hp-hr</t>
  </si>
  <si>
    <t>horsepower-hour</t>
  </si>
  <si>
    <t>mg</t>
  </si>
  <si>
    <t>milligram</t>
  </si>
  <si>
    <r>
      <t>Nm</t>
    </r>
    <r>
      <rPr>
        <vertAlign val="superscript"/>
        <sz val="10"/>
        <rFont val="Arial"/>
        <family val="2"/>
      </rPr>
      <t>3</t>
    </r>
  </si>
  <si>
    <t>normal cubic meters</t>
  </si>
  <si>
    <r>
      <t>Nm</t>
    </r>
    <r>
      <rPr>
        <vertAlign val="superscript"/>
        <sz val="10"/>
        <rFont val="Arial"/>
        <family val="2"/>
      </rPr>
      <t>3</t>
    </r>
    <r>
      <rPr>
        <sz val="10"/>
        <rFont val="Arial"/>
        <family val="2"/>
      </rPr>
      <t>/hr</t>
    </r>
  </si>
  <si>
    <t>normal cubic meters per hour</t>
  </si>
  <si>
    <t>ekW</t>
  </si>
  <si>
    <t>electrical kilowatt</t>
  </si>
  <si>
    <t>Engine and Fuel Type</t>
  </si>
  <si>
    <t>Engine Use</t>
  </si>
  <si>
    <t>List of States with Federally Recognized Tribes</t>
  </si>
  <si>
    <t>How many conveyor transfer points were associated with the following processes at your facility in 2012?</t>
  </si>
  <si>
    <t>Estimated Actual Emissions for 2012 (tons/yr):</t>
  </si>
  <si>
    <t>Estimated Actual Emissions 
for 2012</t>
  </si>
  <si>
    <r>
      <t xml:space="preserve">Note: Your facility's information and estimates will be entered on the </t>
    </r>
    <r>
      <rPr>
        <b/>
        <i/>
        <sz val="10"/>
        <rFont val="Arial"/>
        <family val="2"/>
      </rPr>
      <t xml:space="preserve">Inputs, Generator, Engine (Crusher), </t>
    </r>
    <r>
      <rPr>
        <sz val="10"/>
        <rFont val="Arial"/>
        <family val="2"/>
      </rPr>
      <t>and</t>
    </r>
    <r>
      <rPr>
        <b/>
        <i/>
        <sz val="10"/>
        <rFont val="Arial"/>
        <family val="2"/>
      </rPr>
      <t xml:space="preserve"> Controls and Restrictions</t>
    </r>
    <r>
      <rPr>
        <sz val="10"/>
        <rFont val="Arial"/>
        <family val="2"/>
      </rPr>
      <t xml:space="preserve"> worksheets.</t>
    </r>
  </si>
  <si>
    <r>
      <t xml:space="preserve">On the </t>
    </r>
    <r>
      <rPr>
        <b/>
        <i/>
        <sz val="10"/>
        <rFont val="Arial"/>
        <family val="2"/>
      </rPr>
      <t>Generator</t>
    </r>
    <r>
      <rPr>
        <sz val="10"/>
        <rFont val="Arial"/>
        <family val="2"/>
      </rPr>
      <t xml:space="preserve"> and </t>
    </r>
    <r>
      <rPr>
        <b/>
        <i/>
        <sz val="10"/>
        <rFont val="Arial"/>
        <family val="2"/>
      </rPr>
      <t>Engine (Crusher)</t>
    </r>
    <r>
      <rPr>
        <sz val="10"/>
        <rFont val="Arial"/>
        <family val="2"/>
      </rPr>
      <t xml:space="preserve"> worksheets, replace the default engine and fuel parameters with data specific to engines at your facility. Select the engine-fuel type from the drop-down list and indicate whether the engine is used in routine or emergency operations. An emergency generator is a generator whose sole function is to provide back-up power when electric power from the local utility is interrupted. Enter the rated mechanical output (hp), rated power output (ekW) or rated fuel consumption (gal/hr for diesel and gasoline or MMBtu/hr for natural gas) of the engine, the sulfur content of the fuel (where applicable), and the annual hours operated. 
40 CFR part 60, Subpart JJJJ, and 40 CFR part 60, Subpart IIII, provide standards of performance for stationary spark ignition internal combustion engines and stationary compression engine internal combustion engines. If the standards listed in these sections apply to your engine, please enter the emission standards or the actual emission rates of your engine from the manufacturer's spec sheet. Enter 0 if unknown or not applicable. For natural gas combustion, please select the appropriate units for the emission rate value that you entered (if applicable). </t>
    </r>
  </si>
  <si>
    <t>6: Emission Controls and 
    Operational Restrictions</t>
  </si>
  <si>
    <r>
      <t xml:space="preserve">For each of the crushing/screening/conveying processes listed on the </t>
    </r>
    <r>
      <rPr>
        <b/>
        <i/>
        <sz val="10"/>
        <rFont val="Arial"/>
        <family val="2"/>
      </rPr>
      <t>Controls and Restrictions</t>
    </r>
    <r>
      <rPr>
        <sz val="10"/>
        <rFont val="Arial"/>
        <family val="2"/>
      </rPr>
      <t xml:space="preserve"> worksheet, select whether the process at your facility was equipped with a particulate matter (PM) control device in 2012.  If material is wetted at the crusher, this counts as control for subsequent screening and conveying steps, up to the next crushing operation.  If a process is not applicable to your facility, select 'No'.
40 CFR part 60, subpart OOO, requires all fixed nonmetallic mineral processing plants with a capacity of 25 tons per hour or more that commenced construction or modification after August 31, 1983, to limit the discharge of particulate matter in gases vented to the atmosphere.  If your facility is subject to this requirement, answer whether your facility commenced construction, modification, or reconstruction on or after April 22, 2008, and enter the maximum gas flow rate (in dry standard cubic meters per hour) from the exhaust stack for each of the crushing/screening/conveying processes at your facility, if applicable. If unknown or not applicable, enter 0.</t>
    </r>
  </si>
  <si>
    <t>Select engine - fuel type combination used in calendar year 2012:</t>
  </si>
  <si>
    <t>Select engine use (routine operation or emergency generation) for 2012:</t>
  </si>
  <si>
    <t xml:space="preserve">Note: 40 CFR part 60, subpart JJJJ, and 40 CFR part 60, subpart IIII, provide standards of performance for stationary spark ignition internal combustion engines and stationary compression engine internal combustion engines. If the standards listed in these sections apply to your engine, please enter in the table below the emission standards or the actual emission rates of your engine from the manufacturer's spec sheet. Enter 0 if unknown or not applicable. Select the appropriate units for the emission rate from natural gas combustion. </t>
  </si>
  <si>
    <t>For each of the following crushing/screening/conveying processes at your facility, enter the maximum gas flow rate in calendar year 2012 (in dry standard cubic meters per hour) from the exhaust stack, if applicable. Enter 0 if unknown or not applicable.</t>
  </si>
  <si>
    <t>For each of the following crushing/screening/conveying processes at your facility, select whether the process was equipped with a particulate matter (PM) control device in 2012. If material was wetted at the crusher, this counts as control for subsequent screening and conveying steps, up to the next crushing operation.</t>
  </si>
  <si>
    <r>
      <t xml:space="preserve">Owners/operators of rock crushing and/or stone processing facilities must evaluate the emissions of air pollutants from their facility to determine the need to register their facility under the Tribal New Source Review Rule. This workbook should </t>
    </r>
    <r>
      <rPr>
        <b/>
        <i/>
        <sz val="10"/>
        <rFont val="Arial"/>
        <family val="2"/>
      </rPr>
      <t>not</t>
    </r>
    <r>
      <rPr>
        <sz val="10"/>
        <rFont val="Arial"/>
        <family val="2"/>
      </rPr>
      <t xml:space="preserve"> be used for permitting purposes.</t>
    </r>
  </si>
  <si>
    <r>
      <t>Rock crushing and stone processing operations, including sand and gravel production, extract useful rocks and minerals and crush them to a desired size and consistency. There are four general levels of rock crushing processes, which are classified by their average output rock diameter: primary (3-12 inches), secondary (1-4 inches), tertiary (3/16-1 inch), and fines (&lt; 3/16 inch). After being crushed, rocks are passed through a series of screens to further separate by size. The processing of stone can release high levels of particulate matter (PM).  Engines used to power crushing processes can release PM, CO, VOCs, NO</t>
    </r>
    <r>
      <rPr>
        <vertAlign val="subscript"/>
        <sz val="10"/>
        <rFont val="Arial"/>
        <family val="2"/>
      </rPr>
      <t>x</t>
    </r>
    <r>
      <rPr>
        <sz val="10"/>
        <rFont val="Arial"/>
        <family val="2"/>
      </rPr>
      <t>, and SO</t>
    </r>
    <r>
      <rPr>
        <vertAlign val="subscript"/>
        <sz val="10"/>
        <rFont val="Arial"/>
        <family val="2"/>
      </rPr>
      <t>2</t>
    </r>
    <r>
      <rPr>
        <sz val="10"/>
        <rFont val="Arial"/>
        <family val="2"/>
      </rPr>
      <t xml:space="preserve">. </t>
    </r>
  </si>
  <si>
    <t>Jonathan Dorn</t>
  </si>
  <si>
    <t>02/13/2013</t>
  </si>
  <si>
    <t>Updated region 6 telephone number.</t>
  </si>
  <si>
    <t>02/26/2013</t>
  </si>
  <si>
    <t>Updated conditional formatting and data validations to be compatible with Excel 2007.</t>
  </si>
  <si>
    <t>v1.3 (last updated 2013.02.26)</t>
  </si>
  <si>
    <r>
      <t xml:space="preserve">If the Output-Summary Printout worksheet indicates that you </t>
    </r>
    <r>
      <rPr>
        <b/>
        <i/>
        <sz val="10"/>
        <rFont val="Arial"/>
        <family val="2"/>
      </rPr>
      <t>do</t>
    </r>
    <r>
      <rPr>
        <i/>
        <sz val="10"/>
        <rFont val="Arial"/>
        <family val="2"/>
      </rPr>
      <t xml:space="preserve"> need to register</t>
    </r>
    <r>
      <rPr>
        <sz val="10"/>
        <rFont val="Arial"/>
        <family val="2"/>
      </rPr>
      <t>, contact your EPA Regional Office to determine what they require for registration. The contact information for your Regional Office is located on the Output-Summary Printout.</t>
    </r>
  </si>
  <si>
    <t>generate the Output-Summary Printout that will indicate if you need to register. If registration is required, contact your EPA Regional Office for further guidance. The contact information for your Regional Office is located on the Output-Summary Printout.</t>
  </si>
  <si>
    <r>
      <t xml:space="preserve">If the Output-Summary Printout worksheet indicates that you </t>
    </r>
    <r>
      <rPr>
        <b/>
        <i/>
        <sz val="10"/>
        <rFont val="Arial"/>
        <family val="2"/>
      </rPr>
      <t>do not</t>
    </r>
    <r>
      <rPr>
        <i/>
        <sz val="10"/>
        <rFont val="Arial"/>
        <family val="2"/>
      </rPr>
      <t xml:space="preserve"> need to register</t>
    </r>
    <r>
      <rPr>
        <sz val="10"/>
        <rFont val="Arial"/>
        <family val="2"/>
      </rPr>
      <t>, no further action is required. It is recommended that you save a copy of the calculation worksheets and the Output-Summary Printout for your files.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</si>
</sst>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0"/>
    <numFmt numFmtId="165" formatCode="#,##0.000"/>
    <numFmt numFmtId="166" formatCode="#,##0.0"/>
    <numFmt numFmtId="167" formatCode="0.0"/>
    <numFmt numFmtId="168" formatCode="0.00000"/>
    <numFmt numFmtId="169" formatCode="0.000000"/>
    <numFmt numFmtId="170" formatCode="0.0000000"/>
  </numFmts>
  <fonts count="36" x14ac:knownFonts="1">
    <font>
      <sz val="11"/>
      <color theme="1"/>
      <name val="Calibri"/>
      <family val="2"/>
      <scheme val="minor"/>
    </font>
    <font>
      <sz val="10"/>
      <name val="Arial"/>
      <family val="2"/>
    </font>
    <font>
      <b/>
      <sz val="14"/>
      <name val="Arial"/>
      <family val="2"/>
    </font>
    <font>
      <sz val="8"/>
      <name val="Arial"/>
      <family val="2"/>
    </font>
    <font>
      <b/>
      <u/>
      <sz val="10"/>
      <name val="Arial"/>
      <family val="2"/>
    </font>
    <font>
      <i/>
      <sz val="10"/>
      <name val="Arial"/>
      <family val="2"/>
    </font>
    <font>
      <b/>
      <sz val="10"/>
      <name val="Arial"/>
      <family val="2"/>
    </font>
    <font>
      <b/>
      <sz val="10"/>
      <color indexed="12"/>
      <name val="Arial"/>
      <family val="2"/>
    </font>
    <font>
      <vertAlign val="subscript"/>
      <sz val="10"/>
      <name val="Arial"/>
      <family val="2"/>
    </font>
    <font>
      <b/>
      <i/>
      <sz val="10"/>
      <name val="Arial"/>
      <family val="2"/>
    </font>
    <font>
      <u/>
      <sz val="10"/>
      <color theme="10"/>
      <name val="Arial"/>
      <family val="2"/>
    </font>
    <font>
      <sz val="10"/>
      <color indexed="8"/>
      <name val="Arial"/>
      <family val="2"/>
    </font>
    <font>
      <sz val="10"/>
      <color theme="1"/>
      <name val="Arial"/>
      <family val="2"/>
    </font>
    <font>
      <sz val="10"/>
      <color rgb="FF0000FF"/>
      <name val="Arial"/>
      <family val="2"/>
    </font>
    <font>
      <b/>
      <vertAlign val="subscript"/>
      <sz val="10"/>
      <name val="Arial"/>
      <family val="2"/>
    </font>
    <font>
      <b/>
      <sz val="10"/>
      <color indexed="9"/>
      <name val="Arial"/>
      <family val="2"/>
    </font>
    <font>
      <b/>
      <vertAlign val="superscript"/>
      <sz val="10"/>
      <name val="Arial"/>
      <family val="2"/>
    </font>
    <font>
      <vertAlign val="superscript"/>
      <sz val="10"/>
      <name val="Arial"/>
      <family val="2"/>
    </font>
    <font>
      <i/>
      <sz val="10"/>
      <color rgb="FFFF0000"/>
      <name val="Arial"/>
      <family val="2"/>
    </font>
    <font>
      <b/>
      <i/>
      <sz val="10"/>
      <color rgb="FFFF0000"/>
      <name val="Arial"/>
      <family val="2"/>
    </font>
    <font>
      <b/>
      <sz val="11"/>
      <color theme="1"/>
      <name val="Calibri"/>
      <family val="2"/>
      <scheme val="minor"/>
    </font>
    <font>
      <u/>
      <sz val="11"/>
      <color theme="10"/>
      <name val="Calibri"/>
      <family val="2"/>
      <scheme val="minor"/>
    </font>
    <font>
      <b/>
      <sz val="10"/>
      <color rgb="FFCC6600"/>
      <name val="Arial"/>
      <family val="2"/>
    </font>
    <font>
      <sz val="10"/>
      <color rgb="FFCC6600"/>
      <name val="Arial"/>
      <family val="2"/>
    </font>
    <font>
      <b/>
      <sz val="12"/>
      <name val="Arial"/>
      <family val="2"/>
    </font>
    <font>
      <b/>
      <sz val="11"/>
      <color rgb="FFFF0000"/>
      <name val="Arial"/>
      <family val="2"/>
    </font>
    <font>
      <b/>
      <sz val="11"/>
      <name val="Arial"/>
      <family val="2"/>
    </font>
    <font>
      <sz val="11"/>
      <color theme="1"/>
      <name val="Calibri"/>
      <family val="2"/>
      <scheme val="minor"/>
    </font>
    <font>
      <b/>
      <sz val="10"/>
      <color rgb="FFFF0000"/>
      <name val="Arial"/>
      <family val="2"/>
    </font>
    <font>
      <sz val="11"/>
      <name val="Arial"/>
      <family val="2"/>
    </font>
    <font>
      <sz val="11"/>
      <color rgb="FFCC6600"/>
      <name val="Calibri"/>
      <family val="2"/>
      <scheme val="minor"/>
    </font>
    <font>
      <b/>
      <sz val="11"/>
      <color rgb="FFCC6600"/>
      <name val="Calibri"/>
      <family val="2"/>
      <scheme val="minor"/>
    </font>
    <font>
      <sz val="10"/>
      <name val="Arial"/>
      <family val="2"/>
    </font>
    <font>
      <sz val="10"/>
      <color indexed="10"/>
      <name val="Arial"/>
      <family val="2"/>
    </font>
    <font>
      <sz val="10"/>
      <name val="Arial"/>
    </font>
    <font>
      <b/>
      <sz val="10"/>
      <color theme="1"/>
      <name val="Arial"/>
      <family val="2"/>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indexed="9"/>
        <bgColor indexed="64"/>
      </patternFill>
    </fill>
    <fill>
      <patternFill patternType="solid">
        <fgColor indexed="8"/>
        <bgColor indexed="64"/>
      </patternFill>
    </fill>
    <fill>
      <patternFill patternType="solid">
        <fgColor rgb="FFBFBFBF"/>
        <bgColor indexed="64"/>
      </patternFill>
    </fill>
    <fill>
      <patternFill patternType="solid">
        <fgColor rgb="FFFFFFCC"/>
        <bgColor indexed="64"/>
      </patternFill>
    </fill>
    <fill>
      <patternFill patternType="solid">
        <fgColor theme="3" tint="0.79998168889431442"/>
        <bgColor indexed="64"/>
      </patternFill>
    </fill>
    <fill>
      <patternFill patternType="solid">
        <fgColor rgb="FFFFFF99"/>
        <bgColor indexed="64"/>
      </patternFill>
    </fill>
    <fill>
      <patternFill patternType="solid">
        <fgColor theme="9" tint="0.79998168889431442"/>
        <bgColor indexed="64"/>
      </patternFill>
    </fill>
  </fills>
  <borders count="8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auto="1"/>
      </left>
      <right/>
      <top/>
      <bottom/>
      <diagonal/>
    </border>
    <border>
      <left/>
      <right style="double">
        <color indexed="64"/>
      </right>
      <top/>
      <bottom/>
      <diagonal/>
    </border>
    <border>
      <left style="thin">
        <color theme="1" tint="0.499984740745262"/>
      </left>
      <right style="medium">
        <color indexed="64"/>
      </right>
      <top/>
      <bottom/>
      <diagonal/>
    </border>
    <border>
      <left style="double">
        <color indexed="64"/>
      </left>
      <right/>
      <top/>
      <bottom style="medium">
        <color indexed="64"/>
      </bottom>
      <diagonal/>
    </border>
    <border>
      <left/>
      <right style="double">
        <color indexed="64"/>
      </right>
      <top/>
      <bottom style="medium">
        <color indexed="64"/>
      </bottom>
      <diagonal/>
    </border>
    <border>
      <left style="thin">
        <color theme="1" tint="0.499984740745262"/>
      </left>
      <right style="medium">
        <color indexed="64"/>
      </right>
      <top/>
      <bottom style="medium">
        <color indexed="64"/>
      </bottom>
      <diagonal/>
    </border>
    <border>
      <left style="thin">
        <color theme="1" tint="0.499984740745262"/>
      </left>
      <right style="medium">
        <color indexed="64"/>
      </right>
      <top style="medium">
        <color indexed="64"/>
      </top>
      <bottom/>
      <diagonal/>
    </border>
    <border>
      <left style="double">
        <color indexed="64"/>
      </left>
      <right/>
      <top/>
      <bottom style="thin">
        <color indexed="64"/>
      </bottom>
      <diagonal/>
    </border>
    <border>
      <left style="thin">
        <color theme="1" tint="0.499984740745262"/>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dashed">
        <color indexed="64"/>
      </left>
      <right style="thin">
        <color indexed="64"/>
      </right>
      <top style="medium">
        <color indexed="64"/>
      </top>
      <bottom style="thin">
        <color indexed="64"/>
      </bottom>
      <diagonal/>
    </border>
    <border>
      <left style="dashed">
        <color indexed="64"/>
      </left>
      <right/>
      <top/>
      <bottom style="thin">
        <color indexed="64"/>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thin">
        <color indexed="64"/>
      </top>
      <bottom/>
      <diagonal/>
    </border>
    <border>
      <left style="dashed">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dashed">
        <color indexed="64"/>
      </top>
      <bottom style="thin">
        <color indexed="64"/>
      </bottom>
      <diagonal/>
    </border>
    <border>
      <left/>
      <right style="medium">
        <color indexed="64"/>
      </right>
      <top style="dashed">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thin">
        <color indexed="64"/>
      </right>
      <top style="medium">
        <color indexed="64"/>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1">
    <xf numFmtId="0" fontId="0" fillId="0" borderId="0"/>
    <xf numFmtId="2" fontId="1" fillId="0" borderId="0"/>
    <xf numFmtId="0" fontId="10" fillId="0" borderId="0" applyNumberFormat="0" applyFill="0" applyBorder="0" applyAlignment="0" applyProtection="0">
      <alignment vertical="top"/>
      <protection locked="0"/>
    </xf>
    <xf numFmtId="0" fontId="11" fillId="0" borderId="0"/>
    <xf numFmtId="0" fontId="12" fillId="0" borderId="0"/>
    <xf numFmtId="9" fontId="1" fillId="0" borderId="0" applyFont="0" applyFill="0" applyBorder="0" applyAlignment="0" applyProtection="0"/>
    <xf numFmtId="0" fontId="1" fillId="0" borderId="0"/>
    <xf numFmtId="2" fontId="10" fillId="0" borderId="0" applyNumberFormat="0" applyFill="0" applyBorder="0" applyAlignment="0" applyProtection="0"/>
    <xf numFmtId="0" fontId="27" fillId="0" borderId="0"/>
    <xf numFmtId="2" fontId="32" fillId="0" borderId="0"/>
    <xf numFmtId="2" fontId="34" fillId="0" borderId="0"/>
  </cellStyleXfs>
  <cellXfs count="549">
    <xf numFmtId="0" fontId="0" fillId="0" borderId="0" xfId="0"/>
    <xf numFmtId="2" fontId="2" fillId="0" borderId="0" xfId="1" applyFont="1"/>
    <xf numFmtId="2" fontId="1" fillId="0" borderId="0" xfId="1"/>
    <xf numFmtId="2" fontId="1" fillId="0" borderId="0" xfId="1" applyFont="1"/>
    <xf numFmtId="2" fontId="2" fillId="0" borderId="0" xfId="1" applyFont="1" applyProtection="1"/>
    <xf numFmtId="2" fontId="1" fillId="0" borderId="0" xfId="1" applyProtection="1"/>
    <xf numFmtId="2" fontId="6" fillId="3" borderId="8" xfId="1" applyFont="1" applyFill="1" applyBorder="1" applyProtection="1"/>
    <xf numFmtId="2" fontId="1" fillId="0" borderId="4" xfId="1" applyBorder="1" applyAlignment="1" applyProtection="1">
      <alignment horizontal="left" indent="2"/>
    </xf>
    <xf numFmtId="2" fontId="13" fillId="0" borderId="6" xfId="1" applyFont="1" applyBorder="1" applyProtection="1">
      <protection locked="0"/>
    </xf>
    <xf numFmtId="2" fontId="1" fillId="2" borderId="8" xfId="1" applyFont="1" applyFill="1" applyBorder="1" applyAlignment="1" applyProtection="1">
      <alignment horizontal="left"/>
    </xf>
    <xf numFmtId="2" fontId="1" fillId="0" borderId="7" xfId="1" applyBorder="1" applyAlignment="1" applyProtection="1">
      <alignment horizontal="left" indent="2"/>
    </xf>
    <xf numFmtId="2" fontId="13" fillId="0" borderId="9" xfId="1" applyFont="1" applyBorder="1" applyProtection="1">
      <protection locked="0"/>
    </xf>
    <xf numFmtId="2" fontId="1" fillId="0" borderId="7" xfId="1" applyFont="1" applyBorder="1" applyAlignment="1" applyProtection="1">
      <alignment horizontal="left" indent="2"/>
    </xf>
    <xf numFmtId="2" fontId="1" fillId="0" borderId="10" xfId="1" applyFont="1" applyBorder="1" applyAlignment="1" applyProtection="1">
      <alignment horizontal="left" indent="2"/>
    </xf>
    <xf numFmtId="2" fontId="13" fillId="0" borderId="12" xfId="1" applyFont="1" applyBorder="1" applyProtection="1">
      <protection locked="0"/>
    </xf>
    <xf numFmtId="2" fontId="6" fillId="3" borderId="8" xfId="1" applyFont="1" applyFill="1" applyBorder="1" applyAlignment="1" applyProtection="1">
      <alignment horizontal="left"/>
    </xf>
    <xf numFmtId="2" fontId="1" fillId="0" borderId="10" xfId="1" applyBorder="1" applyAlignment="1" applyProtection="1">
      <alignment horizontal="left" indent="2"/>
    </xf>
    <xf numFmtId="2" fontId="1" fillId="0" borderId="29" xfId="1" applyBorder="1" applyProtection="1"/>
    <xf numFmtId="2" fontId="1" fillId="0" borderId="14" xfId="1" applyBorder="1" applyProtection="1"/>
    <xf numFmtId="2" fontId="1" fillId="0" borderId="30" xfId="1" applyBorder="1" applyProtection="1"/>
    <xf numFmtId="2" fontId="1" fillId="0" borderId="32" xfId="1" applyBorder="1" applyProtection="1"/>
    <xf numFmtId="0" fontId="1" fillId="0" borderId="0" xfId="6" applyFont="1" applyFill="1" applyBorder="1"/>
    <xf numFmtId="2" fontId="1" fillId="0" borderId="23" xfId="1" applyBorder="1" applyProtection="1"/>
    <xf numFmtId="2" fontId="1" fillId="0" borderId="24" xfId="1" applyBorder="1" applyProtection="1"/>
    <xf numFmtId="2" fontId="1" fillId="0" borderId="0" xfId="1" applyBorder="1" applyProtection="1"/>
    <xf numFmtId="2" fontId="1" fillId="0" borderId="0" xfId="1" applyFont="1" applyProtection="1"/>
    <xf numFmtId="2" fontId="1" fillId="0" borderId="31" xfId="1" applyBorder="1" applyProtection="1"/>
    <xf numFmtId="167" fontId="6" fillId="2" borderId="8" xfId="1" applyNumberFormat="1" applyFont="1" applyFill="1" applyBorder="1" applyAlignment="1">
      <alignment horizontal="center"/>
    </xf>
    <xf numFmtId="2" fontId="6" fillId="2" borderId="8" xfId="1" applyFont="1" applyFill="1" applyBorder="1" applyAlignment="1">
      <alignment horizontal="center"/>
    </xf>
    <xf numFmtId="167" fontId="1" fillId="0" borderId="8" xfId="1" applyNumberFormat="1" applyBorder="1" applyAlignment="1">
      <alignment horizontal="center" vertical="center"/>
    </xf>
    <xf numFmtId="2" fontId="1" fillId="0" borderId="8" xfId="1" quotePrefix="1" applyFont="1" applyBorder="1" applyAlignment="1">
      <alignment horizontal="center" vertical="center"/>
    </xf>
    <xf numFmtId="2" fontId="1" fillId="0" borderId="8" xfId="1" applyFont="1" applyBorder="1" applyAlignment="1">
      <alignment horizontal="center" vertical="center"/>
    </xf>
    <xf numFmtId="2" fontId="1" fillId="0" borderId="8" xfId="1" applyBorder="1" applyAlignment="1">
      <alignment horizontal="center" vertical="center"/>
    </xf>
    <xf numFmtId="2" fontId="1" fillId="0" borderId="0" xfId="1" applyAlignment="1">
      <alignment horizontal="center" vertical="center"/>
    </xf>
    <xf numFmtId="167" fontId="1" fillId="0" borderId="8" xfId="1" applyNumberFormat="1" applyFont="1" applyBorder="1" applyAlignment="1" applyProtection="1">
      <alignment horizontal="center" vertical="center"/>
      <protection locked="0"/>
    </xf>
    <xf numFmtId="2" fontId="1" fillId="0" borderId="8" xfId="1" applyBorder="1" applyAlignment="1" applyProtection="1">
      <alignment horizontal="center" vertical="center"/>
      <protection locked="0"/>
    </xf>
    <xf numFmtId="2" fontId="1" fillId="0" borderId="8" xfId="1" applyFont="1" applyBorder="1" applyAlignment="1" applyProtection="1">
      <alignment horizontal="center" vertical="center"/>
      <protection locked="0"/>
    </xf>
    <xf numFmtId="2" fontId="10" fillId="0" borderId="8" xfId="7" applyBorder="1" applyAlignment="1">
      <alignment horizontal="center" vertical="center"/>
    </xf>
    <xf numFmtId="167" fontId="1" fillId="0" borderId="8" xfId="1" applyNumberFormat="1" applyBorder="1" applyAlignment="1" applyProtection="1">
      <alignment horizontal="center" vertical="center"/>
      <protection locked="0"/>
    </xf>
    <xf numFmtId="2" fontId="1" fillId="0" borderId="8" xfId="1" applyBorder="1" applyAlignment="1" applyProtection="1">
      <alignment horizontal="center" vertical="center" wrapText="1"/>
      <protection locked="0"/>
    </xf>
    <xf numFmtId="167" fontId="1" fillId="0" borderId="0" xfId="1" applyNumberFormat="1" applyAlignment="1">
      <alignment horizontal="center"/>
    </xf>
    <xf numFmtId="2" fontId="1" fillId="0" borderId="0" xfId="1" applyAlignment="1">
      <alignment horizontal="center"/>
    </xf>
    <xf numFmtId="0" fontId="2" fillId="0" borderId="0" xfId="6" applyFont="1" applyFill="1" applyBorder="1"/>
    <xf numFmtId="0" fontId="1" fillId="0" borderId="8" xfId="6" applyFont="1" applyFill="1" applyBorder="1"/>
    <xf numFmtId="0" fontId="6" fillId="2" borderId="8" xfId="6" applyFont="1" applyFill="1" applyBorder="1" applyAlignment="1">
      <alignment horizontal="center" wrapText="1"/>
    </xf>
    <xf numFmtId="0" fontId="1" fillId="0" borderId="0" xfId="6" applyFont="1" applyFill="1"/>
    <xf numFmtId="0" fontId="6" fillId="0" borderId="54" xfId="6" applyFont="1" applyFill="1" applyBorder="1"/>
    <xf numFmtId="0" fontId="1" fillId="0" borderId="16" xfId="6" applyFont="1" applyFill="1" applyBorder="1" applyAlignment="1">
      <alignment horizontal="left"/>
    </xf>
    <xf numFmtId="0" fontId="1" fillId="0" borderId="55" xfId="6" applyFont="1" applyFill="1" applyBorder="1" applyAlignment="1">
      <alignment horizontal="left"/>
    </xf>
    <xf numFmtId="0" fontId="6" fillId="0" borderId="39" xfId="6" applyFont="1" applyFill="1" applyBorder="1"/>
    <xf numFmtId="0" fontId="1" fillId="0" borderId="0" xfId="6" applyFont="1" applyFill="1" applyBorder="1" applyAlignment="1">
      <alignment horizontal="left"/>
    </xf>
    <xf numFmtId="0" fontId="1" fillId="0" borderId="37" xfId="6" applyFont="1" applyFill="1" applyBorder="1" applyAlignment="1">
      <alignment horizontal="left"/>
    </xf>
    <xf numFmtId="0" fontId="6" fillId="0" borderId="41" xfId="6" applyFont="1" applyFill="1" applyBorder="1"/>
    <xf numFmtId="0" fontId="1" fillId="0" borderId="42" xfId="6" applyFont="1" applyFill="1" applyBorder="1" applyAlignment="1">
      <alignment horizontal="left"/>
    </xf>
    <xf numFmtId="0" fontId="1" fillId="0" borderId="38" xfId="6" applyFont="1" applyFill="1" applyBorder="1" applyAlignment="1">
      <alignment horizontal="left"/>
    </xf>
    <xf numFmtId="0" fontId="17" fillId="0" borderId="0" xfId="6" applyFont="1" applyFill="1"/>
    <xf numFmtId="0" fontId="1" fillId="0" borderId="0" xfId="6" applyFont="1" applyFill="1" applyAlignment="1">
      <alignment horizontal="left"/>
    </xf>
    <xf numFmtId="0" fontId="6" fillId="0" borderId="0" xfId="6" applyFont="1" applyFill="1"/>
    <xf numFmtId="0" fontId="9" fillId="0" borderId="40" xfId="6" applyFont="1" applyFill="1" applyBorder="1" applyAlignment="1">
      <alignment horizontal="right"/>
    </xf>
    <xf numFmtId="0" fontId="6" fillId="0" borderId="0" xfId="6" applyFont="1" applyFill="1" applyAlignment="1">
      <alignment horizontal="right" indent="1"/>
    </xf>
    <xf numFmtId="2" fontId="2" fillId="0" borderId="0" xfId="1" applyFont="1" applyAlignment="1">
      <alignment horizontal="center"/>
    </xf>
    <xf numFmtId="2" fontId="1" fillId="0" borderId="0" xfId="1" applyFont="1" applyAlignment="1">
      <alignment horizontal="center"/>
    </xf>
    <xf numFmtId="2" fontId="1" fillId="0" borderId="8" xfId="1" applyFont="1" applyBorder="1" applyAlignment="1">
      <alignment horizontal="center"/>
    </xf>
    <xf numFmtId="3" fontId="1" fillId="0" borderId="8" xfId="1" applyNumberFormat="1" applyBorder="1" applyAlignment="1">
      <alignment horizontal="center"/>
    </xf>
    <xf numFmtId="2" fontId="1" fillId="0" borderId="7" xfId="1" applyFont="1" applyBorder="1"/>
    <xf numFmtId="2" fontId="1" fillId="0" borderId="9" xfId="1" applyFont="1" applyBorder="1"/>
    <xf numFmtId="2" fontId="1" fillId="0" borderId="7" xfId="1" applyFont="1" applyFill="1" applyBorder="1"/>
    <xf numFmtId="2" fontId="1" fillId="0" borderId="9" xfId="1" applyFont="1" applyFill="1" applyBorder="1"/>
    <xf numFmtId="0" fontId="6" fillId="0" borderId="40" xfId="6" applyFont="1" applyFill="1" applyBorder="1" applyAlignment="1">
      <alignment horizontal="center"/>
    </xf>
    <xf numFmtId="0" fontId="2" fillId="0" borderId="0" xfId="6" applyFont="1" applyAlignment="1" applyProtection="1">
      <alignment horizontal="left"/>
    </xf>
    <xf numFmtId="0" fontId="1" fillId="0" borderId="0" xfId="6" applyProtection="1"/>
    <xf numFmtId="0" fontId="6" fillId="0" borderId="0" xfId="6" applyFont="1" applyAlignment="1" applyProtection="1">
      <alignment horizontal="left"/>
    </xf>
    <xf numFmtId="0" fontId="1" fillId="4" borderId="0" xfId="6" applyFill="1" applyBorder="1" applyProtection="1"/>
    <xf numFmtId="0" fontId="1" fillId="0" borderId="0" xfId="6" applyFill="1" applyProtection="1"/>
    <xf numFmtId="0" fontId="1" fillId="0" borderId="0" xfId="6" applyBorder="1" applyProtection="1"/>
    <xf numFmtId="9" fontId="6" fillId="0" borderId="0" xfId="5" applyFont="1" applyProtection="1"/>
    <xf numFmtId="0" fontId="1" fillId="0" borderId="0" xfId="6" applyFill="1" applyBorder="1" applyProtection="1"/>
    <xf numFmtId="0" fontId="6" fillId="4" borderId="36" xfId="6" applyFont="1" applyFill="1" applyBorder="1" applyAlignment="1" applyProtection="1">
      <alignment horizontal="center" vertical="center" wrapText="1"/>
    </xf>
    <xf numFmtId="0" fontId="6" fillId="0" borderId="37" xfId="6" applyFont="1" applyBorder="1" applyAlignment="1" applyProtection="1">
      <alignment horizontal="center" vertical="center" wrapText="1"/>
    </xf>
    <xf numFmtId="0" fontId="1" fillId="0" borderId="5" xfId="6" applyFont="1" applyBorder="1" applyAlignment="1" applyProtection="1">
      <alignment wrapText="1"/>
    </xf>
    <xf numFmtId="0" fontId="1" fillId="0" borderId="5" xfId="6" applyFont="1" applyBorder="1" applyAlignment="1" applyProtection="1">
      <alignment horizontal="center" wrapText="1"/>
    </xf>
    <xf numFmtId="0" fontId="1" fillId="0" borderId="38" xfId="6" applyFont="1" applyBorder="1" applyAlignment="1" applyProtection="1">
      <alignment horizontal="center" wrapText="1"/>
    </xf>
    <xf numFmtId="0" fontId="1" fillId="0" borderId="39" xfId="6" applyFont="1" applyBorder="1" applyProtection="1"/>
    <xf numFmtId="0" fontId="1" fillId="0" borderId="41" xfId="6" applyFont="1" applyBorder="1" applyProtection="1"/>
    <xf numFmtId="0" fontId="13" fillId="0" borderId="8" xfId="6" applyFont="1" applyFill="1" applyBorder="1" applyAlignment="1" applyProtection="1">
      <alignment horizontal="center"/>
      <protection locked="0"/>
    </xf>
    <xf numFmtId="1" fontId="13" fillId="0" borderId="8" xfId="6" applyNumberFormat="1" applyFont="1" applyFill="1" applyBorder="1" applyAlignment="1" applyProtection="1">
      <alignment horizontal="center"/>
      <protection locked="0"/>
    </xf>
    <xf numFmtId="0" fontId="13" fillId="0" borderId="8" xfId="6" applyFont="1" applyFill="1" applyBorder="1" applyAlignment="1" applyProtection="1">
      <alignment horizontal="center" vertical="center"/>
      <protection locked="0"/>
    </xf>
    <xf numFmtId="2" fontId="1" fillId="0" borderId="8" xfId="1" applyFont="1" applyBorder="1" applyAlignment="1">
      <alignment horizontal="left" vertical="center" wrapText="1"/>
    </xf>
    <xf numFmtId="2" fontId="1" fillId="0" borderId="8" xfId="1" applyFont="1" applyBorder="1" applyAlignment="1" applyProtection="1">
      <alignment horizontal="left" vertical="center" wrapText="1"/>
      <protection locked="0"/>
    </xf>
    <xf numFmtId="0" fontId="6" fillId="7" borderId="37" xfId="6" applyFont="1" applyFill="1" applyBorder="1" applyAlignment="1" applyProtection="1">
      <alignment horizontal="center" vertical="center" wrapText="1"/>
    </xf>
    <xf numFmtId="0" fontId="1" fillId="7" borderId="38" xfId="6" applyFont="1" applyFill="1" applyBorder="1" applyAlignment="1" applyProtection="1">
      <alignment horizontal="center" wrapText="1"/>
    </xf>
    <xf numFmtId="0" fontId="6" fillId="7" borderId="36" xfId="6" applyFont="1" applyFill="1" applyBorder="1" applyAlignment="1" applyProtection="1">
      <alignment horizontal="center" vertical="center" wrapText="1"/>
    </xf>
    <xf numFmtId="0" fontId="1" fillId="7" borderId="5" xfId="6" applyFont="1" applyFill="1" applyBorder="1" applyAlignment="1" applyProtection="1">
      <alignment horizontal="center" wrapText="1"/>
    </xf>
    <xf numFmtId="0" fontId="0" fillId="0" borderId="0" xfId="0" applyProtection="1"/>
    <xf numFmtId="2" fontId="4" fillId="0" borderId="0" xfId="1" applyFont="1" applyProtection="1"/>
    <xf numFmtId="2" fontId="1" fillId="0" borderId="13" xfId="1" applyBorder="1" applyAlignment="1" applyProtection="1"/>
    <xf numFmtId="2" fontId="1" fillId="0" borderId="0" xfId="1" applyBorder="1" applyAlignment="1" applyProtection="1"/>
    <xf numFmtId="2" fontId="1" fillId="0" borderId="56" xfId="1" applyFont="1" applyBorder="1" applyAlignment="1" applyProtection="1">
      <alignment horizontal="left" vertical="center" wrapText="1"/>
    </xf>
    <xf numFmtId="2" fontId="1" fillId="0" borderId="57" xfId="1" applyFont="1" applyBorder="1" applyAlignment="1" applyProtection="1">
      <alignment horizontal="left" vertical="center"/>
    </xf>
    <xf numFmtId="2" fontId="1" fillId="0" borderId="60" xfId="1" applyFont="1" applyBorder="1" applyAlignment="1" applyProtection="1">
      <alignment horizontal="left" vertical="center"/>
    </xf>
    <xf numFmtId="2" fontId="1" fillId="0" borderId="58" xfId="1" applyBorder="1" applyAlignment="1" applyProtection="1">
      <alignment horizontal="left" vertical="center"/>
    </xf>
    <xf numFmtId="2" fontId="1" fillId="0" borderId="29" xfId="1" applyFont="1" applyBorder="1" applyAlignment="1" applyProtection="1">
      <alignment horizontal="left" vertical="center"/>
    </xf>
    <xf numFmtId="2" fontId="1" fillId="0" borderId="61" xfId="1" applyFont="1" applyBorder="1" applyAlignment="1" applyProtection="1">
      <alignment horizontal="left" vertical="center"/>
    </xf>
    <xf numFmtId="2" fontId="1" fillId="0" borderId="14" xfId="1" applyBorder="1" applyAlignment="1" applyProtection="1">
      <alignment horizontal="left" vertical="center"/>
    </xf>
    <xf numFmtId="2" fontId="1" fillId="0" borderId="15" xfId="1" applyFont="1" applyBorder="1" applyAlignment="1" applyProtection="1">
      <alignment horizontal="left" vertical="center"/>
    </xf>
    <xf numFmtId="2" fontId="1" fillId="0" borderId="62" xfId="1" applyFont="1" applyBorder="1" applyAlignment="1" applyProtection="1">
      <alignment horizontal="left" vertical="center"/>
    </xf>
    <xf numFmtId="2" fontId="1" fillId="0" borderId="19" xfId="1" applyBorder="1" applyAlignment="1" applyProtection="1">
      <alignment horizontal="left" vertical="center"/>
    </xf>
    <xf numFmtId="2" fontId="1" fillId="0" borderId="63" xfId="1" applyFont="1" applyBorder="1" applyAlignment="1" applyProtection="1">
      <alignment horizontal="left" vertical="center"/>
    </xf>
    <xf numFmtId="2" fontId="1" fillId="0" borderId="15" xfId="1" applyBorder="1" applyAlignment="1" applyProtection="1">
      <alignment horizontal="left" vertical="center"/>
    </xf>
    <xf numFmtId="2" fontId="1" fillId="0" borderId="20" xfId="1" applyFont="1" applyBorder="1" applyAlignment="1" applyProtection="1">
      <alignment horizontal="left" vertical="center"/>
    </xf>
    <xf numFmtId="2" fontId="1" fillId="0" borderId="63" xfId="1" applyFont="1" applyBorder="1" applyAlignment="1" applyProtection="1">
      <alignment horizontal="left" vertical="center" wrapText="1"/>
    </xf>
    <xf numFmtId="2" fontId="1" fillId="0" borderId="17" xfId="1" applyBorder="1" applyAlignment="1" applyProtection="1">
      <alignment horizontal="left" vertical="center" wrapText="1"/>
    </xf>
    <xf numFmtId="2" fontId="1" fillId="0" borderId="21" xfId="1" applyBorder="1" applyAlignment="1" applyProtection="1">
      <alignment horizontal="left" vertical="center"/>
    </xf>
    <xf numFmtId="49" fontId="1" fillId="0" borderId="0" xfId="1" applyNumberFormat="1" applyBorder="1" applyAlignment="1" applyProtection="1">
      <alignment horizontal="left" vertical="top"/>
    </xf>
    <xf numFmtId="2" fontId="1" fillId="0" borderId="0" xfId="1" applyBorder="1" applyAlignment="1" applyProtection="1">
      <alignment horizontal="left" vertical="top" wrapText="1"/>
    </xf>
    <xf numFmtId="2" fontId="1" fillId="0" borderId="8" xfId="1" quotePrefix="1" applyBorder="1" applyAlignment="1" applyProtection="1">
      <alignment horizontal="center" vertical="center"/>
      <protection locked="0"/>
    </xf>
    <xf numFmtId="2" fontId="1" fillId="0" borderId="8" xfId="1" applyBorder="1" applyAlignment="1" applyProtection="1">
      <alignment horizontal="left" vertical="center" wrapText="1"/>
      <protection locked="0"/>
    </xf>
    <xf numFmtId="2" fontId="10" fillId="0" borderId="8" xfId="7" applyBorder="1" applyAlignment="1" applyProtection="1">
      <alignment horizontal="center" vertical="center"/>
      <protection locked="0"/>
    </xf>
    <xf numFmtId="2" fontId="2" fillId="0" borderId="0" xfId="1" applyFont="1" applyAlignment="1"/>
    <xf numFmtId="0" fontId="21" fillId="0" borderId="0" xfId="7" applyNumberFormat="1" applyFont="1" applyAlignment="1"/>
    <xf numFmtId="0" fontId="21" fillId="0" borderId="0" xfId="7" applyNumberFormat="1" applyFont="1" applyAlignment="1">
      <alignment horizontal="left" vertical="center"/>
    </xf>
    <xf numFmtId="4" fontId="22" fillId="7" borderId="37" xfId="6" applyNumberFormat="1" applyFont="1" applyFill="1" applyBorder="1" applyProtection="1"/>
    <xf numFmtId="0" fontId="23" fillId="0" borderId="37" xfId="6" applyFont="1" applyBorder="1" applyAlignment="1" applyProtection="1">
      <alignment horizontal="center"/>
    </xf>
    <xf numFmtId="4" fontId="22" fillId="7" borderId="36" xfId="6" applyNumberFormat="1" applyFont="1" applyFill="1" applyBorder="1" applyProtection="1"/>
    <xf numFmtId="0" fontId="23" fillId="0" borderId="36" xfId="6" applyFont="1" applyBorder="1" applyProtection="1"/>
    <xf numFmtId="165" fontId="23" fillId="0" borderId="36" xfId="6" applyNumberFormat="1" applyFont="1" applyBorder="1" applyProtection="1"/>
    <xf numFmtId="3" fontId="23" fillId="0" borderId="36" xfId="6" applyNumberFormat="1" applyFont="1" applyBorder="1" applyAlignment="1" applyProtection="1">
      <alignment horizontal="center"/>
    </xf>
    <xf numFmtId="0" fontId="23" fillId="0" borderId="5" xfId="6" applyFont="1" applyBorder="1" applyProtection="1"/>
    <xf numFmtId="165" fontId="23" fillId="0" borderId="5" xfId="6" applyNumberFormat="1" applyFont="1" applyBorder="1" applyProtection="1"/>
    <xf numFmtId="3" fontId="23" fillId="0" borderId="5" xfId="6" applyNumberFormat="1" applyFont="1" applyBorder="1" applyAlignment="1" applyProtection="1">
      <alignment horizontal="center"/>
    </xf>
    <xf numFmtId="4" fontId="22" fillId="7" borderId="38" xfId="6" applyNumberFormat="1" applyFont="1" applyFill="1" applyBorder="1" applyProtection="1"/>
    <xf numFmtId="0" fontId="23" fillId="0" borderId="38" xfId="6" applyFont="1" applyBorder="1" applyAlignment="1" applyProtection="1">
      <alignment horizontal="center"/>
    </xf>
    <xf numFmtId="4" fontId="22" fillId="7" borderId="5" xfId="6" applyNumberFormat="1" applyFont="1" applyFill="1" applyBorder="1" applyProtection="1"/>
    <xf numFmtId="2" fontId="6" fillId="2" borderId="8" xfId="1" applyFont="1" applyFill="1" applyBorder="1"/>
    <xf numFmtId="2" fontId="24" fillId="0" borderId="0" xfId="1" applyFont="1" applyBorder="1" applyAlignment="1" applyProtection="1">
      <alignment horizontal="left" indent="3"/>
    </xf>
    <xf numFmtId="2" fontId="24" fillId="0" borderId="13" xfId="1" applyFont="1" applyBorder="1" applyAlignment="1" applyProtection="1">
      <alignment horizontal="left" indent="3"/>
    </xf>
    <xf numFmtId="2" fontId="1" fillId="0" borderId="35" xfId="1" applyFont="1" applyBorder="1"/>
    <xf numFmtId="164" fontId="1" fillId="0" borderId="0" xfId="1" applyNumberFormat="1"/>
    <xf numFmtId="1" fontId="1" fillId="0" borderId="8" xfId="1" applyNumberFormat="1" applyFont="1" applyBorder="1" applyAlignment="1">
      <alignment horizontal="left" vertical="center"/>
    </xf>
    <xf numFmtId="2" fontId="1" fillId="0" borderId="8" xfId="1" applyFont="1" applyBorder="1"/>
    <xf numFmtId="2" fontId="1" fillId="0" borderId="8" xfId="1" applyBorder="1"/>
    <xf numFmtId="2" fontId="1" fillId="0" borderId="0" xfId="1" applyBorder="1"/>
    <xf numFmtId="168" fontId="1" fillId="0" borderId="8" xfId="1" applyNumberFormat="1" applyBorder="1"/>
    <xf numFmtId="1" fontId="1" fillId="0" borderId="0" xfId="1" applyNumberFormat="1" applyAlignment="1">
      <alignment horizontal="center" vertical="center"/>
    </xf>
    <xf numFmtId="2" fontId="1" fillId="0" borderId="0" xfId="1" applyFill="1" applyBorder="1"/>
    <xf numFmtId="2" fontId="1" fillId="0" borderId="0" xfId="1" applyAlignment="1">
      <alignment horizontal="left"/>
    </xf>
    <xf numFmtId="2" fontId="1" fillId="0" borderId="7" xfId="1" applyBorder="1" applyProtection="1"/>
    <xf numFmtId="2" fontId="1" fillId="0" borderId="10" xfId="1" applyBorder="1" applyProtection="1"/>
    <xf numFmtId="2" fontId="1" fillId="0" borderId="10" xfId="1" applyBorder="1" applyAlignment="1" applyProtection="1">
      <alignment wrapText="1"/>
    </xf>
    <xf numFmtId="2" fontId="13" fillId="0" borderId="0" xfId="1" applyFont="1" applyBorder="1" applyAlignment="1" applyProtection="1">
      <alignment horizontal="left"/>
    </xf>
    <xf numFmtId="168" fontId="1" fillId="0" borderId="8" xfId="1" applyNumberFormat="1" applyFill="1" applyBorder="1"/>
    <xf numFmtId="2" fontId="1" fillId="0" borderId="8" xfId="1" applyFont="1" applyBorder="1" applyAlignment="1">
      <alignment horizontal="center" vertical="center" wrapText="1"/>
    </xf>
    <xf numFmtId="0" fontId="27" fillId="0" borderId="0" xfId="8" applyAlignment="1">
      <alignment horizontal="center"/>
    </xf>
    <xf numFmtId="0" fontId="27" fillId="0" borderId="0" xfId="8" applyAlignment="1"/>
    <xf numFmtId="0" fontId="20" fillId="2" borderId="8" xfId="8" applyFont="1" applyFill="1" applyBorder="1" applyAlignment="1"/>
    <xf numFmtId="0" fontId="27" fillId="0" borderId="0" xfId="8" applyFont="1" applyAlignment="1">
      <alignment horizontal="left" vertical="center"/>
    </xf>
    <xf numFmtId="0" fontId="27" fillId="0" borderId="0" xfId="8" applyFont="1" applyAlignment="1"/>
    <xf numFmtId="0" fontId="27" fillId="0" borderId="0" xfId="8" applyFont="1" applyAlignment="1">
      <alignment horizontal="center"/>
    </xf>
    <xf numFmtId="0" fontId="10" fillId="0" borderId="0" xfId="7" applyNumberFormat="1" applyAlignment="1">
      <alignment horizontal="left" vertical="center"/>
    </xf>
    <xf numFmtId="2" fontId="1" fillId="0" borderId="25" xfId="1" applyBorder="1" applyAlignment="1" applyProtection="1">
      <alignment horizontal="left" indent="2"/>
    </xf>
    <xf numFmtId="2" fontId="1" fillId="0" borderId="25" xfId="1" applyFont="1" applyBorder="1" applyProtection="1"/>
    <xf numFmtId="2" fontId="1" fillId="0" borderId="7" xfId="1" applyFont="1" applyBorder="1" applyProtection="1"/>
    <xf numFmtId="2" fontId="13" fillId="0" borderId="27" xfId="1" applyFont="1" applyBorder="1" applyAlignment="1" applyProtection="1">
      <alignment horizontal="center"/>
      <protection locked="0"/>
    </xf>
    <xf numFmtId="2" fontId="13" fillId="0" borderId="9" xfId="1" applyFont="1" applyBorder="1" applyAlignment="1" applyProtection="1">
      <alignment horizontal="center"/>
    </xf>
    <xf numFmtId="2" fontId="13" fillId="0" borderId="9" xfId="1" applyFont="1" applyBorder="1" applyAlignment="1" applyProtection="1">
      <alignment horizontal="center"/>
      <protection locked="0"/>
    </xf>
    <xf numFmtId="2" fontId="1" fillId="0" borderId="9" xfId="1" applyBorder="1" applyAlignment="1" applyProtection="1">
      <alignment horizontal="center"/>
    </xf>
    <xf numFmtId="2" fontId="1" fillId="0" borderId="12" xfId="1" applyBorder="1" applyAlignment="1" applyProtection="1">
      <alignment horizontal="center"/>
    </xf>
    <xf numFmtId="0" fontId="12" fillId="2" borderId="8" xfId="0" applyFont="1" applyFill="1" applyBorder="1" applyProtection="1"/>
    <xf numFmtId="2" fontId="23" fillId="0" borderId="27" xfId="1" applyFont="1" applyBorder="1" applyProtection="1"/>
    <xf numFmtId="2" fontId="23" fillId="0" borderId="9" xfId="1" applyFont="1" applyBorder="1" applyProtection="1"/>
    <xf numFmtId="2" fontId="29" fillId="0" borderId="13" xfId="1" applyFont="1" applyBorder="1" applyProtection="1"/>
    <xf numFmtId="2" fontId="26" fillId="0" borderId="13" xfId="1" applyFont="1" applyBorder="1" applyProtection="1"/>
    <xf numFmtId="2" fontId="29" fillId="0" borderId="0" xfId="1" applyFont="1" applyBorder="1" applyProtection="1"/>
    <xf numFmtId="2" fontId="26" fillId="0" borderId="0" xfId="1" applyFont="1" applyBorder="1" applyProtection="1"/>
    <xf numFmtId="0" fontId="1" fillId="0" borderId="15" xfId="0" applyFont="1" applyBorder="1" applyAlignment="1" applyProtection="1">
      <alignment vertical="center"/>
    </xf>
    <xf numFmtId="0" fontId="1" fillId="0" borderId="62" xfId="0" applyFont="1" applyBorder="1" applyAlignment="1" applyProtection="1">
      <alignment horizontal="left" vertical="center"/>
    </xf>
    <xf numFmtId="0" fontId="0" fillId="0" borderId="19" xfId="0" applyBorder="1" applyAlignment="1" applyProtection="1">
      <alignment horizontal="left" vertical="center"/>
    </xf>
    <xf numFmtId="0" fontId="2" fillId="0" borderId="0" xfId="6" applyFont="1" applyProtection="1"/>
    <xf numFmtId="0" fontId="12" fillId="0" borderId="0" xfId="0" applyFont="1" applyBorder="1"/>
    <xf numFmtId="0" fontId="6" fillId="2" borderId="33" xfId="0" applyFont="1" applyFill="1" applyBorder="1" applyProtection="1"/>
    <xf numFmtId="0" fontId="6" fillId="2" borderId="72" xfId="0" applyFont="1" applyFill="1" applyBorder="1" applyAlignment="1" applyProtection="1">
      <alignment horizontal="center"/>
    </xf>
    <xf numFmtId="0" fontId="6" fillId="2" borderId="34" xfId="0" applyFont="1" applyFill="1" applyBorder="1" applyAlignment="1" applyProtection="1">
      <alignment horizontal="center"/>
    </xf>
    <xf numFmtId="0" fontId="1" fillId="0" borderId="7" xfId="0" applyFont="1" applyFill="1" applyBorder="1" applyProtection="1"/>
    <xf numFmtId="4" fontId="23" fillId="0" borderId="8" xfId="0" applyNumberFormat="1" applyFont="1" applyFill="1" applyBorder="1" applyProtection="1"/>
    <xf numFmtId="4" fontId="30" fillId="0" borderId="8" xfId="0" applyNumberFormat="1" applyFont="1" applyBorder="1" applyProtection="1"/>
    <xf numFmtId="4" fontId="30" fillId="0" borderId="9" xfId="0" applyNumberFormat="1" applyFont="1" applyBorder="1" applyProtection="1"/>
    <xf numFmtId="4" fontId="31" fillId="2" borderId="72" xfId="0" applyNumberFormat="1" applyFont="1" applyFill="1" applyBorder="1" applyProtection="1"/>
    <xf numFmtId="4" fontId="31" fillId="2" borderId="34" xfId="0" applyNumberFormat="1" applyFont="1" applyFill="1" applyBorder="1" applyProtection="1"/>
    <xf numFmtId="2" fontId="13" fillId="0" borderId="12" xfId="1" applyFont="1" applyBorder="1" applyAlignment="1" applyProtection="1">
      <alignment horizontal="center" vertical="center"/>
      <protection locked="0"/>
    </xf>
    <xf numFmtId="2" fontId="13" fillId="0" borderId="12" xfId="1" applyFont="1" applyBorder="1" applyAlignment="1" applyProtection="1">
      <alignment horizontal="center"/>
      <protection locked="0"/>
    </xf>
    <xf numFmtId="2" fontId="32" fillId="0" borderId="0" xfId="9" applyProtection="1"/>
    <xf numFmtId="2" fontId="10" fillId="0" borderId="0" xfId="7" applyFont="1" applyAlignment="1" applyProtection="1">
      <alignment vertical="center" wrapText="1"/>
    </xf>
    <xf numFmtId="2" fontId="32" fillId="0" borderId="0" xfId="9" applyAlignment="1" applyProtection="1">
      <alignment horizontal="center" vertical="center"/>
    </xf>
    <xf numFmtId="2" fontId="32" fillId="0" borderId="0" xfId="9" applyAlignment="1" applyProtection="1">
      <alignment horizontal="center"/>
    </xf>
    <xf numFmtId="2" fontId="32" fillId="0" borderId="23" xfId="9" applyBorder="1" applyProtection="1"/>
    <xf numFmtId="2" fontId="32" fillId="0" borderId="13" xfId="9" applyBorder="1" applyProtection="1"/>
    <xf numFmtId="2" fontId="32" fillId="0" borderId="24" xfId="9" applyBorder="1" applyProtection="1"/>
    <xf numFmtId="2" fontId="6" fillId="0" borderId="29" xfId="9" applyFont="1" applyBorder="1" applyAlignment="1" applyProtection="1">
      <alignment horizontal="right"/>
    </xf>
    <xf numFmtId="2" fontId="6" fillId="0" borderId="0" xfId="9" applyFont="1" applyBorder="1" applyAlignment="1" applyProtection="1">
      <alignment horizontal="left"/>
    </xf>
    <xf numFmtId="2" fontId="6" fillId="0" borderId="0" xfId="9" applyFont="1" applyBorder="1" applyProtection="1"/>
    <xf numFmtId="2" fontId="32" fillId="0" borderId="14" xfId="9" applyBorder="1" applyProtection="1"/>
    <xf numFmtId="2" fontId="32" fillId="0" borderId="29" xfId="9" applyBorder="1" applyProtection="1"/>
    <xf numFmtId="2" fontId="32" fillId="0" borderId="30" xfId="9" applyBorder="1" applyProtection="1"/>
    <xf numFmtId="2" fontId="32" fillId="0" borderId="31" xfId="9" applyBorder="1" applyProtection="1"/>
    <xf numFmtId="2" fontId="32" fillId="0" borderId="32" xfId="9" applyBorder="1" applyProtection="1"/>
    <xf numFmtId="2" fontId="6" fillId="0" borderId="0" xfId="9" applyFont="1" applyBorder="1" applyAlignment="1" applyProtection="1">
      <alignment horizontal="center" wrapText="1"/>
    </xf>
    <xf numFmtId="2" fontId="6" fillId="0" borderId="47" xfId="9" applyFont="1" applyBorder="1" applyAlignment="1" applyProtection="1">
      <alignment horizontal="center"/>
    </xf>
    <xf numFmtId="2" fontId="6" fillId="0" borderId="0" xfId="9" applyFont="1" applyBorder="1" applyAlignment="1" applyProtection="1">
      <alignment horizontal="center"/>
    </xf>
    <xf numFmtId="2" fontId="1" fillId="0" borderId="50" xfId="9" applyFont="1" applyFill="1" applyBorder="1" applyAlignment="1" applyProtection="1">
      <alignment horizontal="center"/>
    </xf>
    <xf numFmtId="2" fontId="32" fillId="0" borderId="0" xfId="9" applyFill="1" applyBorder="1" applyAlignment="1" applyProtection="1">
      <alignment horizontal="center"/>
    </xf>
    <xf numFmtId="2" fontId="32" fillId="0" borderId="23" xfId="9" applyNumberFormat="1" applyBorder="1" applyAlignment="1" applyProtection="1">
      <alignment horizontal="left" indent="1"/>
    </xf>
    <xf numFmtId="2" fontId="32" fillId="0" borderId="43" xfId="9" applyNumberFormat="1" applyBorder="1" applyAlignment="1" applyProtection="1">
      <alignment horizontal="left" indent="1"/>
    </xf>
    <xf numFmtId="165" fontId="33" fillId="0" borderId="44" xfId="9" applyNumberFormat="1" applyFont="1" applyBorder="1" applyAlignment="1" applyProtection="1">
      <alignment horizontal="right" indent="3"/>
    </xf>
    <xf numFmtId="2" fontId="32" fillId="0" borderId="13" xfId="9" applyNumberFormat="1" applyBorder="1" applyProtection="1"/>
    <xf numFmtId="166" fontId="33" fillId="0" borderId="44" xfId="9" applyNumberFormat="1" applyFont="1" applyBorder="1" applyAlignment="1" applyProtection="1">
      <alignment horizontal="right" indent="3"/>
    </xf>
    <xf numFmtId="2" fontId="32" fillId="0" borderId="51" xfId="9" applyBorder="1" applyProtection="1"/>
    <xf numFmtId="2" fontId="32" fillId="0" borderId="0" xfId="9" applyBorder="1" applyAlignment="1" applyProtection="1">
      <alignment horizontal="center"/>
    </xf>
    <xf numFmtId="2" fontId="6" fillId="0" borderId="29" xfId="9" applyNumberFormat="1" applyFont="1" applyBorder="1" applyAlignment="1" applyProtection="1">
      <alignment horizontal="left" indent="3"/>
    </xf>
    <xf numFmtId="2" fontId="6" fillId="0" borderId="45" xfId="9" applyNumberFormat="1" applyFont="1" applyBorder="1" applyAlignment="1" applyProtection="1">
      <alignment horizontal="left" indent="1"/>
    </xf>
    <xf numFmtId="4" fontId="6" fillId="0" borderId="46" xfId="9" applyNumberFormat="1" applyFont="1" applyBorder="1" applyAlignment="1" applyProtection="1">
      <alignment horizontal="right" indent="7"/>
    </xf>
    <xf numFmtId="2" fontId="32" fillId="0" borderId="0" xfId="9" applyBorder="1" applyProtection="1"/>
    <xf numFmtId="167" fontId="6" fillId="0" borderId="46" xfId="9" applyNumberFormat="1" applyFont="1" applyBorder="1" applyAlignment="1" applyProtection="1">
      <alignment horizontal="right" indent="7"/>
    </xf>
    <xf numFmtId="167" fontId="6" fillId="0" borderId="14" xfId="1" applyNumberFormat="1" applyFont="1" applyFill="1" applyBorder="1" applyAlignment="1" applyProtection="1">
      <alignment horizontal="right" indent="8"/>
    </xf>
    <xf numFmtId="167" fontId="6" fillId="0" borderId="0" xfId="1" applyNumberFormat="1" applyFont="1" applyFill="1" applyBorder="1" applyAlignment="1" applyProtection="1">
      <alignment horizontal="right" indent="3"/>
    </xf>
    <xf numFmtId="2" fontId="32" fillId="0" borderId="29" xfId="9" applyBorder="1" applyAlignment="1" applyProtection="1">
      <alignment horizontal="left" indent="3"/>
    </xf>
    <xf numFmtId="2" fontId="32" fillId="0" borderId="45" xfId="9" applyBorder="1" applyAlignment="1" applyProtection="1">
      <alignment horizontal="left" indent="1"/>
    </xf>
    <xf numFmtId="165" fontId="6" fillId="0" borderId="0" xfId="9" applyNumberFormat="1" applyFont="1" applyBorder="1" applyAlignment="1" applyProtection="1">
      <alignment horizontal="right" indent="8"/>
    </xf>
    <xf numFmtId="167" fontId="6" fillId="0" borderId="46" xfId="9" applyNumberFormat="1" applyFont="1" applyBorder="1" applyAlignment="1" applyProtection="1">
      <alignment horizontal="right" indent="8"/>
    </xf>
    <xf numFmtId="165" fontId="6" fillId="0" borderId="46" xfId="9" applyNumberFormat="1" applyFont="1" applyBorder="1" applyAlignment="1" applyProtection="1">
      <alignment horizontal="right" indent="7"/>
    </xf>
    <xf numFmtId="2" fontId="32" fillId="0" borderId="29" xfId="9" applyNumberFormat="1" applyBorder="1" applyAlignment="1" applyProtection="1">
      <alignment horizontal="left" indent="3"/>
    </xf>
    <xf numFmtId="2" fontId="32" fillId="0" borderId="45" xfId="9" applyNumberFormat="1" applyBorder="1" applyAlignment="1" applyProtection="1">
      <alignment horizontal="left" indent="1"/>
    </xf>
    <xf numFmtId="2" fontId="1" fillId="0" borderId="29" xfId="9" applyNumberFormat="1" applyFont="1" applyBorder="1" applyAlignment="1" applyProtection="1">
      <alignment horizontal="left" indent="3"/>
    </xf>
    <xf numFmtId="2" fontId="1" fillId="0" borderId="45" xfId="9" applyNumberFormat="1" applyFont="1" applyBorder="1" applyAlignment="1" applyProtection="1">
      <alignment horizontal="left" indent="1"/>
    </xf>
    <xf numFmtId="167" fontId="1" fillId="0" borderId="14" xfId="1" applyNumberFormat="1" applyFont="1" applyFill="1" applyBorder="1" applyAlignment="1" applyProtection="1">
      <alignment horizontal="right" indent="8"/>
    </xf>
    <xf numFmtId="167" fontId="1" fillId="0" borderId="0" xfId="1" applyNumberFormat="1" applyFont="1" applyFill="1" applyBorder="1" applyAlignment="1" applyProtection="1">
      <alignment horizontal="right" indent="3"/>
    </xf>
    <xf numFmtId="2" fontId="6" fillId="0" borderId="29" xfId="9" applyFont="1" applyBorder="1" applyAlignment="1" applyProtection="1">
      <alignment horizontal="left" indent="3"/>
    </xf>
    <xf numFmtId="2" fontId="6" fillId="0" borderId="45" xfId="9" applyFont="1" applyBorder="1" applyAlignment="1" applyProtection="1">
      <alignment horizontal="left" indent="1"/>
    </xf>
    <xf numFmtId="2" fontId="32" fillId="0" borderId="29" xfId="9" applyBorder="1" applyAlignment="1" applyProtection="1">
      <alignment horizontal="left" indent="1"/>
    </xf>
    <xf numFmtId="2" fontId="32" fillId="0" borderId="52" xfId="9" applyBorder="1" applyAlignment="1" applyProtection="1">
      <alignment horizontal="left" indent="1"/>
    </xf>
    <xf numFmtId="165" fontId="33" fillId="0" borderId="46" xfId="9" applyNumberFormat="1" applyFont="1" applyBorder="1" applyAlignment="1" applyProtection="1">
      <alignment horizontal="right" indent="6"/>
    </xf>
    <xf numFmtId="166" fontId="33" fillId="0" borderId="46" xfId="9" applyNumberFormat="1" applyFont="1" applyBorder="1" applyAlignment="1" applyProtection="1">
      <alignment horizontal="right" indent="3"/>
    </xf>
    <xf numFmtId="2" fontId="32" fillId="0" borderId="53" xfId="9" applyBorder="1" applyProtection="1"/>
    <xf numFmtId="167" fontId="1" fillId="0" borderId="0" xfId="1" applyNumberFormat="1" applyFont="1" applyFill="1" applyBorder="1" applyAlignment="1" applyProtection="1">
      <alignment horizontal="center"/>
    </xf>
    <xf numFmtId="167" fontId="6" fillId="0" borderId="0" xfId="1" applyNumberFormat="1" applyFont="1" applyFill="1" applyBorder="1" applyAlignment="1" applyProtection="1">
      <alignment horizontal="center"/>
    </xf>
    <xf numFmtId="2" fontId="6" fillId="0" borderId="29" xfId="9" applyFont="1" applyBorder="1" applyAlignment="1" applyProtection="1">
      <alignment horizontal="center"/>
    </xf>
    <xf numFmtId="2" fontId="6" fillId="0" borderId="14" xfId="9" applyFont="1" applyBorder="1" applyAlignment="1" applyProtection="1">
      <alignment horizontal="center"/>
    </xf>
    <xf numFmtId="2" fontId="6" fillId="0" borderId="0" xfId="9" applyFont="1" applyFill="1" applyBorder="1" applyAlignment="1" applyProtection="1">
      <alignment horizontal="right" vertical="center"/>
    </xf>
    <xf numFmtId="2" fontId="1" fillId="0" borderId="0" xfId="9" applyFont="1" applyBorder="1" applyProtection="1"/>
    <xf numFmtId="2" fontId="32" fillId="0" borderId="0" xfId="9" applyFill="1" applyBorder="1" applyAlignment="1" applyProtection="1">
      <alignment horizontal="right" vertical="center"/>
    </xf>
    <xf numFmtId="2" fontId="13" fillId="0" borderId="27" xfId="1" applyFont="1" applyBorder="1" applyProtection="1">
      <protection locked="0"/>
    </xf>
    <xf numFmtId="1" fontId="13" fillId="0" borderId="12" xfId="1" applyNumberFormat="1" applyFont="1" applyBorder="1" applyAlignment="1" applyProtection="1">
      <alignment horizontal="left"/>
      <protection locked="0"/>
    </xf>
    <xf numFmtId="2" fontId="23" fillId="0" borderId="65" xfId="1" applyFont="1" applyBorder="1" applyProtection="1"/>
    <xf numFmtId="2" fontId="1" fillId="0" borderId="66" xfId="1" applyBorder="1" applyAlignment="1" applyProtection="1">
      <alignment horizontal="left" indent="2"/>
    </xf>
    <xf numFmtId="2" fontId="23" fillId="0" borderId="17" xfId="1" applyFont="1" applyBorder="1" applyProtection="1"/>
    <xf numFmtId="2" fontId="23" fillId="0" borderId="14" xfId="1" applyFont="1" applyBorder="1" applyProtection="1"/>
    <xf numFmtId="2" fontId="23" fillId="0" borderId="32" xfId="1" applyFont="1" applyBorder="1" applyAlignment="1" applyProtection="1">
      <alignment vertical="top"/>
    </xf>
    <xf numFmtId="2" fontId="1" fillId="0" borderId="76" xfId="1" applyBorder="1" applyProtection="1"/>
    <xf numFmtId="2" fontId="1" fillId="0" borderId="77" xfId="1" applyBorder="1" applyProtection="1"/>
    <xf numFmtId="2" fontId="1" fillId="0" borderId="57" xfId="1" applyFont="1" applyBorder="1" applyAlignment="1" applyProtection="1">
      <alignment horizontal="left" vertical="center" wrapText="1"/>
    </xf>
    <xf numFmtId="2" fontId="1" fillId="0" borderId="60" xfId="1" applyFont="1" applyBorder="1" applyAlignment="1" applyProtection="1">
      <alignment horizontal="left" vertical="center" wrapText="1"/>
    </xf>
    <xf numFmtId="2" fontId="1" fillId="0" borderId="58" xfId="1" applyFont="1" applyBorder="1" applyAlignment="1" applyProtection="1">
      <alignment horizontal="left" vertical="center" wrapText="1"/>
    </xf>
    <xf numFmtId="2" fontId="1" fillId="0" borderId="15" xfId="1" applyFont="1" applyBorder="1" applyAlignment="1" applyProtection="1">
      <alignment horizontal="left" vertical="center" wrapText="1"/>
    </xf>
    <xf numFmtId="0" fontId="12" fillId="0" borderId="0" xfId="0" applyFont="1"/>
    <xf numFmtId="0" fontId="20" fillId="2" borderId="8" xfId="8" applyFont="1" applyFill="1" applyBorder="1" applyAlignment="1">
      <alignment horizontal="center"/>
    </xf>
    <xf numFmtId="2" fontId="1" fillId="0" borderId="0" xfId="10" applyFont="1" applyProtection="1"/>
    <xf numFmtId="2" fontId="6" fillId="0" borderId="0" xfId="10" applyFont="1" applyAlignment="1" applyProtection="1">
      <alignment vertical="center" wrapText="1"/>
    </xf>
    <xf numFmtId="2" fontId="10" fillId="0" borderId="0" xfId="7" applyProtection="1"/>
    <xf numFmtId="2" fontId="1" fillId="0" borderId="0" xfId="10" applyFont="1" applyAlignment="1" applyProtection="1">
      <alignment vertical="center" wrapText="1"/>
    </xf>
    <xf numFmtId="2" fontId="1" fillId="0" borderId="0" xfId="10" quotePrefix="1" applyFont="1" applyAlignment="1" applyProtection="1">
      <alignment horizontal="right" vertical="top"/>
    </xf>
    <xf numFmtId="2" fontId="1" fillId="0" borderId="0" xfId="10" applyFont="1" applyAlignment="1" applyProtection="1">
      <alignment horizontal="left" vertical="top" wrapText="1" indent="1"/>
    </xf>
    <xf numFmtId="2" fontId="1" fillId="0" borderId="0" xfId="10" applyFont="1" applyAlignment="1" applyProtection="1">
      <alignment horizontal="left" vertical="center" wrapText="1" indent="1"/>
    </xf>
    <xf numFmtId="2" fontId="1" fillId="0" borderId="0" xfId="10" applyFont="1" applyAlignment="1" applyProtection="1">
      <alignment wrapText="1"/>
    </xf>
    <xf numFmtId="2" fontId="34" fillId="0" borderId="0" xfId="10" applyProtection="1"/>
    <xf numFmtId="2" fontId="1" fillId="0" borderId="66" xfId="1" applyFont="1" applyBorder="1" applyAlignment="1" applyProtection="1">
      <alignment horizontal="left" indent="2"/>
    </xf>
    <xf numFmtId="1" fontId="13" fillId="0" borderId="65" xfId="1" applyNumberFormat="1" applyFont="1" applyBorder="1" applyAlignment="1" applyProtection="1">
      <alignment horizontal="left"/>
      <protection locked="0"/>
    </xf>
    <xf numFmtId="0" fontId="6" fillId="0" borderId="0" xfId="6" applyFont="1" applyFill="1" applyBorder="1" applyAlignment="1" applyProtection="1">
      <alignment horizontal="left"/>
    </xf>
    <xf numFmtId="0" fontId="13" fillId="0" borderId="0" xfId="6" applyFont="1" applyFill="1" applyBorder="1" applyAlignment="1" applyProtection="1">
      <alignment horizontal="center"/>
    </xf>
    <xf numFmtId="2" fontId="1" fillId="2" borderId="8" xfId="1" applyFill="1" applyBorder="1" applyProtection="1"/>
    <xf numFmtId="1" fontId="13" fillId="0" borderId="0" xfId="6" applyNumberFormat="1" applyFont="1" applyFill="1" applyBorder="1" applyAlignment="1" applyProtection="1">
      <alignment horizontal="center"/>
    </xf>
    <xf numFmtId="2" fontId="1" fillId="2" borderId="8" xfId="1" applyFont="1" applyFill="1" applyBorder="1" applyProtection="1"/>
    <xf numFmtId="2" fontId="6" fillId="3" borderId="8" xfId="1" applyFont="1" applyFill="1" applyBorder="1" applyAlignment="1" applyProtection="1">
      <alignment horizontal="center"/>
    </xf>
    <xf numFmtId="2" fontId="13" fillId="0" borderId="8" xfId="1" applyFont="1" applyBorder="1" applyAlignment="1" applyProtection="1">
      <alignment horizontal="center"/>
      <protection locked="0"/>
    </xf>
    <xf numFmtId="2" fontId="1" fillId="2" borderId="8" xfId="1" applyFill="1" applyBorder="1" applyAlignment="1" applyProtection="1">
      <alignment horizontal="center"/>
    </xf>
    <xf numFmtId="2" fontId="1" fillId="4" borderId="0" xfId="6" applyNumberFormat="1" applyFill="1" applyBorder="1" applyProtection="1"/>
    <xf numFmtId="2" fontId="1" fillId="2" borderId="8" xfId="1" applyFont="1" applyFill="1" applyBorder="1" applyAlignment="1" applyProtection="1">
      <alignment horizontal="center"/>
    </xf>
    <xf numFmtId="0" fontId="13" fillId="0" borderId="0" xfId="6" applyFont="1" applyFill="1" applyBorder="1" applyAlignment="1" applyProtection="1">
      <alignment horizontal="center" vertical="center"/>
    </xf>
    <xf numFmtId="2" fontId="1" fillId="0" borderId="8" xfId="6" applyNumberFormat="1" applyFont="1" applyFill="1" applyBorder="1" applyAlignment="1" applyProtection="1">
      <alignment horizontal="center"/>
    </xf>
    <xf numFmtId="0" fontId="1" fillId="0" borderId="0" xfId="6" applyFill="1" applyBorder="1" applyAlignment="1" applyProtection="1">
      <alignment horizontal="left" wrapText="1"/>
    </xf>
    <xf numFmtId="0" fontId="6" fillId="2" borderId="8" xfId="6" applyFont="1" applyFill="1" applyBorder="1" applyAlignment="1" applyProtection="1">
      <alignment horizontal="center" vertical="center"/>
    </xf>
    <xf numFmtId="0" fontId="13" fillId="0" borderId="8" xfId="6" applyFont="1" applyBorder="1" applyAlignment="1" applyProtection="1">
      <alignment horizontal="center" vertical="center"/>
      <protection locked="0"/>
    </xf>
    <xf numFmtId="2" fontId="1" fillId="0" borderId="8" xfId="1" applyFont="1" applyFill="1" applyBorder="1" applyAlignment="1" applyProtection="1">
      <alignment horizontal="left"/>
    </xf>
    <xf numFmtId="169" fontId="1" fillId="0" borderId="8" xfId="1" applyNumberFormat="1" applyFill="1" applyBorder="1" applyAlignment="1" applyProtection="1">
      <alignment horizontal="center"/>
    </xf>
    <xf numFmtId="2" fontId="1" fillId="0" borderId="8" xfId="1" applyBorder="1" applyAlignment="1">
      <alignment horizontal="center"/>
    </xf>
    <xf numFmtId="2" fontId="1" fillId="0" borderId="8" xfId="10" applyFont="1" applyBorder="1"/>
    <xf numFmtId="170" fontId="1" fillId="0" borderId="8" xfId="1" applyNumberFormat="1" applyBorder="1" applyAlignment="1" applyProtection="1">
      <alignment horizontal="center"/>
    </xf>
    <xf numFmtId="0" fontId="1" fillId="0" borderId="8" xfId="1" applyNumberFormat="1" applyBorder="1" applyAlignment="1">
      <alignment horizontal="center"/>
    </xf>
    <xf numFmtId="2" fontId="2" fillId="0" borderId="0" xfId="10" applyFont="1"/>
    <xf numFmtId="2" fontId="34" fillId="0" borderId="0" xfId="10"/>
    <xf numFmtId="2" fontId="34" fillId="0" borderId="0" xfId="10" applyAlignment="1">
      <alignment horizontal="center"/>
    </xf>
    <xf numFmtId="2" fontId="6" fillId="2" borderId="7" xfId="10" applyFont="1" applyFill="1" applyBorder="1"/>
    <xf numFmtId="2" fontId="6" fillId="2" borderId="8" xfId="10" applyFont="1" applyFill="1" applyBorder="1"/>
    <xf numFmtId="2" fontId="6" fillId="2" borderId="8" xfId="10" applyFont="1" applyFill="1" applyBorder="1" applyAlignment="1">
      <alignment horizontal="center"/>
    </xf>
    <xf numFmtId="2" fontId="6" fillId="2" borderId="9" xfId="10" applyFont="1" applyFill="1" applyBorder="1"/>
    <xf numFmtId="2" fontId="1" fillId="0" borderId="7" xfId="10" applyFont="1" applyBorder="1"/>
    <xf numFmtId="2" fontId="34" fillId="0" borderId="8" xfId="10" applyBorder="1"/>
    <xf numFmtId="2" fontId="1" fillId="0" borderId="8" xfId="10" applyFont="1" applyBorder="1" applyAlignment="1">
      <alignment horizontal="center"/>
    </xf>
    <xf numFmtId="2" fontId="1" fillId="0" borderId="9" xfId="10" applyFont="1" applyBorder="1"/>
    <xf numFmtId="2" fontId="1" fillId="0" borderId="0" xfId="10" applyFont="1"/>
    <xf numFmtId="2" fontId="6" fillId="2" borderId="9" xfId="10" applyFont="1" applyFill="1" applyBorder="1" applyAlignment="1">
      <alignment horizontal="center"/>
    </xf>
    <xf numFmtId="2" fontId="6" fillId="0" borderId="0" xfId="10" applyFont="1" applyFill="1" applyBorder="1"/>
    <xf numFmtId="2" fontId="1" fillId="0" borderId="9" xfId="10" applyFont="1" applyBorder="1" applyAlignment="1">
      <alignment horizontal="center"/>
    </xf>
    <xf numFmtId="4" fontId="30" fillId="0" borderId="8" xfId="0" applyNumberFormat="1" applyFont="1" applyFill="1" applyBorder="1" applyProtection="1"/>
    <xf numFmtId="4" fontId="30" fillId="0" borderId="9" xfId="0" applyNumberFormat="1" applyFont="1" applyFill="1" applyBorder="1" applyProtection="1"/>
    <xf numFmtId="0" fontId="1" fillId="0" borderId="4" xfId="0" applyFont="1" applyFill="1" applyBorder="1" applyProtection="1"/>
    <xf numFmtId="4" fontId="30" fillId="0" borderId="5" xfId="0" applyNumberFormat="1" applyFont="1" applyFill="1" applyBorder="1" applyProtection="1"/>
    <xf numFmtId="4" fontId="30" fillId="0" borderId="6" xfId="0" applyNumberFormat="1" applyFont="1" applyFill="1" applyBorder="1" applyProtection="1"/>
    <xf numFmtId="2" fontId="1" fillId="0" borderId="10" xfId="1" applyBorder="1" applyAlignment="1" applyProtection="1">
      <alignment vertical="center" wrapText="1"/>
    </xf>
    <xf numFmtId="2" fontId="1" fillId="0" borderId="79" xfId="1" applyFont="1" applyBorder="1" applyAlignment="1" applyProtection="1">
      <alignment horizontal="left" vertical="center" wrapText="1"/>
    </xf>
    <xf numFmtId="0" fontId="6" fillId="2" borderId="1" xfId="0" applyFont="1" applyFill="1" applyBorder="1" applyProtection="1"/>
    <xf numFmtId="2" fontId="1" fillId="0" borderId="7" xfId="1" applyBorder="1" applyAlignment="1" applyProtection="1">
      <alignment vertical="center" wrapText="1"/>
    </xf>
    <xf numFmtId="4" fontId="30" fillId="0" borderId="5" xfId="0" applyNumberFormat="1" applyFont="1" applyBorder="1" applyProtection="1"/>
    <xf numFmtId="4" fontId="30" fillId="0" borderId="6" xfId="0" applyNumberFormat="1" applyFont="1" applyBorder="1" applyProtection="1"/>
    <xf numFmtId="1" fontId="1" fillId="0" borderId="5" xfId="1" applyNumberFormat="1" applyFont="1" applyBorder="1" applyAlignment="1">
      <alignment horizontal="left" vertical="center"/>
    </xf>
    <xf numFmtId="2" fontId="1" fillId="0" borderId="5" xfId="1" applyFont="1" applyBorder="1"/>
    <xf numFmtId="2" fontId="1" fillId="0" borderId="5" xfId="1" applyBorder="1"/>
    <xf numFmtId="168" fontId="1" fillId="0" borderId="5" xfId="1" applyNumberFormat="1" applyFill="1" applyBorder="1"/>
    <xf numFmtId="2" fontId="1" fillId="0" borderId="5" xfId="1" applyFont="1" applyBorder="1" applyAlignment="1">
      <alignment horizontal="center"/>
    </xf>
    <xf numFmtId="1" fontId="6" fillId="2" borderId="8" xfId="1" applyNumberFormat="1" applyFont="1" applyFill="1" applyBorder="1" applyAlignment="1">
      <alignment horizontal="center" vertical="center"/>
    </xf>
    <xf numFmtId="164" fontId="6" fillId="2" borderId="8" xfId="1" applyNumberFormat="1" applyFont="1" applyFill="1" applyBorder="1" applyAlignment="1">
      <alignment horizontal="center" vertical="center" wrapText="1"/>
    </xf>
    <xf numFmtId="1" fontId="6" fillId="2" borderId="8" xfId="1" applyNumberFormat="1" applyFont="1" applyFill="1" applyBorder="1" applyAlignment="1">
      <alignment horizontal="left" vertical="center"/>
    </xf>
    <xf numFmtId="0" fontId="1" fillId="0" borderId="8" xfId="0" applyFont="1" applyBorder="1" applyAlignment="1">
      <alignment horizontal="center" wrapText="1"/>
    </xf>
    <xf numFmtId="0" fontId="12" fillId="0" borderId="8" xfId="0" applyFont="1" applyBorder="1" applyAlignment="1">
      <alignment horizontal="center"/>
    </xf>
    <xf numFmtId="0" fontId="1" fillId="0" borderId="39" xfId="0" applyFont="1" applyBorder="1"/>
    <xf numFmtId="0" fontId="12" fillId="0" borderId="37" xfId="0" applyFont="1" applyBorder="1"/>
    <xf numFmtId="0" fontId="12" fillId="0" borderId="39" xfId="0" applyFont="1" applyBorder="1"/>
    <xf numFmtId="0" fontId="1" fillId="0" borderId="8" xfId="1" applyNumberFormat="1" applyFill="1" applyBorder="1"/>
    <xf numFmtId="3" fontId="12" fillId="0" borderId="8" xfId="0" applyNumberFormat="1" applyFont="1" applyBorder="1" applyAlignment="1">
      <alignment horizontal="center"/>
    </xf>
    <xf numFmtId="2" fontId="1" fillId="0" borderId="0" xfId="9" applyFont="1" applyFill="1" applyProtection="1"/>
    <xf numFmtId="2" fontId="32" fillId="0" borderId="0" xfId="9" applyFill="1" applyProtection="1"/>
    <xf numFmtId="2" fontId="6" fillId="3" borderId="8" xfId="1" applyFont="1" applyFill="1" applyBorder="1" applyAlignment="1" applyProtection="1">
      <alignment horizontal="center" vertical="center"/>
    </xf>
    <xf numFmtId="2" fontId="1" fillId="2" borderId="8" xfId="1" applyFill="1" applyBorder="1" applyAlignment="1" applyProtection="1">
      <alignment horizontal="center" vertical="center"/>
    </xf>
    <xf numFmtId="2" fontId="1" fillId="2" borderId="8" xfId="1" applyFont="1" applyFill="1" applyBorder="1" applyAlignment="1" applyProtection="1">
      <alignment horizontal="center" vertical="center"/>
    </xf>
    <xf numFmtId="2" fontId="6" fillId="0" borderId="0" xfId="9" applyFont="1" applyFill="1" applyAlignment="1" applyProtection="1">
      <alignment horizontal="center" vertical="center" wrapText="1"/>
    </xf>
    <xf numFmtId="0" fontId="0" fillId="0" borderId="0" xfId="0" applyFill="1" applyProtection="1"/>
    <xf numFmtId="2" fontId="1" fillId="0" borderId="0" xfId="10" applyFont="1" applyAlignment="1" applyProtection="1">
      <alignment horizontal="left" vertical="center" wrapText="1"/>
    </xf>
    <xf numFmtId="0" fontId="18" fillId="0" borderId="0" xfId="0" applyFont="1" applyAlignment="1" applyProtection="1">
      <alignment horizontal="left" vertical="center" wrapText="1"/>
    </xf>
    <xf numFmtId="2" fontId="1" fillId="0" borderId="63" xfId="1" applyBorder="1" applyAlignment="1" applyProtection="1">
      <alignment horizontal="left" vertical="center"/>
    </xf>
    <xf numFmtId="2" fontId="1" fillId="0" borderId="17" xfId="1" applyBorder="1" applyAlignment="1" applyProtection="1">
      <alignment horizontal="left" vertical="center"/>
    </xf>
    <xf numFmtId="0" fontId="6" fillId="2" borderId="1" xfId="0" applyFont="1" applyFill="1" applyBorder="1" applyAlignment="1" applyProtection="1">
      <alignment horizontal="left"/>
    </xf>
    <xf numFmtId="0" fontId="6" fillId="2" borderId="2" xfId="0" applyFont="1" applyFill="1" applyBorder="1" applyAlignment="1" applyProtection="1">
      <alignment horizontal="left"/>
    </xf>
    <xf numFmtId="0" fontId="6" fillId="2" borderId="3" xfId="0" applyFont="1" applyFill="1" applyBorder="1" applyAlignment="1" applyProtection="1">
      <alignment horizontal="left"/>
    </xf>
    <xf numFmtId="2" fontId="6" fillId="0" borderId="46" xfId="9" applyFont="1" applyBorder="1" applyAlignment="1" applyProtection="1">
      <alignment horizontal="center"/>
    </xf>
    <xf numFmtId="2" fontId="28" fillId="0" borderId="0" xfId="1" applyFont="1" applyFill="1" applyProtection="1"/>
    <xf numFmtId="0" fontId="28" fillId="0" borderId="0" xfId="0" applyFont="1" applyProtection="1"/>
    <xf numFmtId="1" fontId="13" fillId="0" borderId="9" xfId="1" applyNumberFormat="1" applyFont="1" applyBorder="1" applyAlignment="1" applyProtection="1">
      <alignment horizontal="center"/>
      <protection locked="0"/>
    </xf>
    <xf numFmtId="1" fontId="13" fillId="0" borderId="12" xfId="1" applyNumberFormat="1" applyFont="1" applyBorder="1" applyAlignment="1" applyProtection="1">
      <alignment horizontal="center"/>
      <protection locked="0"/>
    </xf>
    <xf numFmtId="2" fontId="13" fillId="0" borderId="9" xfId="1" applyFont="1" applyBorder="1" applyAlignment="1" applyProtection="1">
      <alignment horizontal="center" vertical="center"/>
      <protection locked="0"/>
    </xf>
    <xf numFmtId="0" fontId="0" fillId="0" borderId="0" xfId="8" applyFont="1" applyAlignment="1"/>
    <xf numFmtId="2" fontId="6" fillId="0" borderId="0" xfId="10" applyFont="1" applyAlignment="1" applyProtection="1">
      <alignment horizontal="left" vertical="center" wrapText="1"/>
    </xf>
    <xf numFmtId="2" fontId="1" fillId="0" borderId="0" xfId="10" applyFont="1" applyAlignment="1" applyProtection="1">
      <alignment horizontal="left" vertical="center" wrapText="1"/>
    </xf>
    <xf numFmtId="2" fontId="1" fillId="0" borderId="0" xfId="10" applyFont="1" applyAlignment="1" applyProtection="1">
      <alignment horizontal="left" wrapText="1"/>
    </xf>
    <xf numFmtId="2" fontId="10" fillId="0" borderId="0" xfId="7" applyAlignment="1" applyProtection="1">
      <alignment horizontal="left" vertical="center" wrapText="1"/>
    </xf>
    <xf numFmtId="2" fontId="2" fillId="0" borderId="0" xfId="10" applyFont="1" applyAlignment="1" applyProtection="1">
      <alignment horizontal="left" vertical="center" wrapText="1"/>
    </xf>
    <xf numFmtId="2" fontId="24" fillId="0" borderId="0" xfId="10" applyFont="1" applyAlignment="1" applyProtection="1">
      <alignment horizontal="left" vertical="center" wrapText="1"/>
    </xf>
    <xf numFmtId="2" fontId="3" fillId="0" borderId="0" xfId="1" applyFont="1" applyAlignment="1" applyProtection="1">
      <alignment horizontal="left" vertical="top"/>
    </xf>
    <xf numFmtId="2" fontId="1" fillId="0" borderId="0" xfId="1" applyFont="1" applyAlignment="1" applyProtection="1">
      <alignment horizontal="left" vertical="center" wrapText="1"/>
    </xf>
    <xf numFmtId="2" fontId="1" fillId="0" borderId="0" xfId="1" applyFont="1" applyAlignment="1" applyProtection="1">
      <alignment horizontal="left" vertical="top" wrapText="1"/>
    </xf>
    <xf numFmtId="2" fontId="6" fillId="2" borderId="1" xfId="1" applyFont="1" applyFill="1" applyBorder="1" applyAlignment="1" applyProtection="1">
      <alignment horizontal="left"/>
    </xf>
    <xf numFmtId="2" fontId="6" fillId="2" borderId="2" xfId="1" applyFont="1" applyFill="1" applyBorder="1" applyAlignment="1" applyProtection="1">
      <alignment horizontal="left"/>
    </xf>
    <xf numFmtId="2" fontId="6" fillId="2" borderId="3" xfId="1" applyFont="1" applyFill="1" applyBorder="1" applyAlignment="1" applyProtection="1">
      <alignment horizontal="left"/>
    </xf>
    <xf numFmtId="49" fontId="1" fillId="0" borderId="10" xfId="1" applyNumberFormat="1" applyFont="1" applyBorder="1" applyAlignment="1" applyProtection="1">
      <alignment horizontal="left" vertical="top"/>
    </xf>
    <xf numFmtId="49" fontId="1" fillId="0" borderId="11" xfId="1" applyNumberFormat="1" applyFont="1" applyBorder="1" applyAlignment="1" applyProtection="1">
      <alignment horizontal="left" vertical="top"/>
    </xf>
    <xf numFmtId="2" fontId="1" fillId="0" borderId="11" xfId="1" applyFont="1" applyBorder="1" applyAlignment="1" applyProtection="1">
      <alignment horizontal="left" vertical="top" wrapText="1"/>
    </xf>
    <xf numFmtId="2" fontId="1" fillId="0" borderId="12" xfId="1" applyFont="1" applyBorder="1" applyAlignment="1" applyProtection="1">
      <alignment horizontal="left" vertical="top" wrapText="1"/>
    </xf>
    <xf numFmtId="0" fontId="18" fillId="0" borderId="0" xfId="0" applyFont="1" applyAlignment="1" applyProtection="1">
      <alignment horizontal="left" vertical="center" wrapText="1"/>
    </xf>
    <xf numFmtId="0" fontId="1" fillId="0" borderId="15" xfId="0" applyFont="1" applyBorder="1" applyAlignment="1" applyProtection="1"/>
    <xf numFmtId="0" fontId="0" fillId="0" borderId="18" xfId="0" applyBorder="1" applyAlignment="1" applyProtection="1"/>
    <xf numFmtId="0" fontId="0" fillId="0" borderId="19" xfId="0" applyBorder="1" applyAlignment="1" applyProtection="1"/>
    <xf numFmtId="2" fontId="1" fillId="0" borderId="59" xfId="1" applyFont="1" applyBorder="1" applyAlignment="1" applyProtection="1">
      <alignment horizontal="left" vertical="center" wrapText="1"/>
    </xf>
    <xf numFmtId="2" fontId="1" fillId="0" borderId="27" xfId="1" applyFont="1" applyBorder="1" applyAlignment="1" applyProtection="1">
      <alignment horizontal="left" vertical="center" wrapText="1"/>
    </xf>
    <xf numFmtId="2" fontId="6" fillId="2" borderId="23" xfId="1" applyFont="1" applyFill="1" applyBorder="1" applyAlignment="1" applyProtection="1"/>
    <xf numFmtId="2" fontId="6" fillId="2" borderId="13" xfId="1" applyFont="1" applyFill="1" applyBorder="1" applyAlignment="1" applyProtection="1"/>
    <xf numFmtId="2" fontId="6" fillId="2" borderId="24" xfId="1" applyFont="1" applyFill="1" applyBorder="1" applyAlignment="1" applyProtection="1"/>
    <xf numFmtId="0" fontId="1" fillId="0" borderId="4" xfId="0" applyFont="1" applyBorder="1" applyAlignment="1" applyProtection="1"/>
    <xf numFmtId="0" fontId="0" fillId="0" borderId="5" xfId="0" applyBorder="1" applyAlignment="1" applyProtection="1"/>
    <xf numFmtId="0" fontId="0" fillId="0" borderId="6" xfId="0" applyBorder="1" applyAlignment="1" applyProtection="1"/>
    <xf numFmtId="2" fontId="1" fillId="0" borderId="7" xfId="1" applyFont="1" applyBorder="1" applyAlignment="1" applyProtection="1"/>
    <xf numFmtId="2" fontId="1" fillId="0" borderId="8" xfId="1" applyBorder="1" applyAlignment="1" applyProtection="1"/>
    <xf numFmtId="2" fontId="1" fillId="0" borderId="9" xfId="1" applyBorder="1" applyAlignment="1" applyProtection="1"/>
    <xf numFmtId="2" fontId="1" fillId="6" borderId="10" xfId="1" applyFill="1" applyBorder="1" applyAlignment="1" applyProtection="1"/>
    <xf numFmtId="2" fontId="1" fillId="6" borderId="11" xfId="1" applyFill="1" applyBorder="1" applyAlignment="1" applyProtection="1"/>
    <xf numFmtId="2" fontId="1" fillId="6" borderId="12" xfId="1" applyFill="1" applyBorder="1" applyAlignment="1" applyProtection="1"/>
    <xf numFmtId="2" fontId="6" fillId="2" borderId="23" xfId="1" applyFont="1" applyFill="1" applyBorder="1" applyAlignment="1" applyProtection="1">
      <alignment horizontal="left"/>
    </xf>
    <xf numFmtId="2" fontId="6" fillId="2" borderId="13" xfId="1" applyFont="1" applyFill="1" applyBorder="1" applyAlignment="1" applyProtection="1">
      <alignment horizontal="left"/>
    </xf>
    <xf numFmtId="2" fontId="6" fillId="2" borderId="24" xfId="1" applyFont="1" applyFill="1" applyBorder="1" applyAlignment="1" applyProtection="1">
      <alignment horizontal="left"/>
    </xf>
    <xf numFmtId="2" fontId="1" fillId="0" borderId="63" xfId="1" applyBorder="1" applyAlignment="1" applyProtection="1">
      <alignment horizontal="left" vertical="center"/>
    </xf>
    <xf numFmtId="2" fontId="1" fillId="0" borderId="17" xfId="1" applyBorder="1" applyAlignment="1" applyProtection="1">
      <alignment horizontal="left" vertical="center"/>
    </xf>
    <xf numFmtId="2" fontId="1" fillId="0" borderId="64" xfId="1" applyBorder="1" applyAlignment="1" applyProtection="1">
      <alignment horizontal="left" vertical="center"/>
    </xf>
    <xf numFmtId="2" fontId="1" fillId="0" borderId="22" xfId="1" applyBorder="1" applyAlignment="1" applyProtection="1">
      <alignment horizontal="left" vertical="center"/>
    </xf>
    <xf numFmtId="2" fontId="1" fillId="0" borderId="62" xfId="1" applyFont="1" applyBorder="1" applyAlignment="1" applyProtection="1">
      <alignment horizontal="left" vertical="center" wrapText="1"/>
    </xf>
    <xf numFmtId="0" fontId="0" fillId="0" borderId="19" xfId="0" applyBorder="1" applyAlignment="1">
      <alignment horizontal="left" vertical="center" wrapText="1"/>
    </xf>
    <xf numFmtId="0" fontId="1" fillId="0" borderId="15" xfId="0" applyFont="1" applyBorder="1" applyAlignment="1" applyProtection="1">
      <alignment horizontal="left" vertical="top" wrapText="1"/>
    </xf>
    <xf numFmtId="0" fontId="0" fillId="0" borderId="35" xfId="0" applyBorder="1" applyAlignment="1">
      <alignment horizontal="left" vertical="top"/>
    </xf>
    <xf numFmtId="0" fontId="1" fillId="0" borderId="28" xfId="0" applyFont="1" applyBorder="1" applyAlignment="1" applyProtection="1">
      <alignment horizontal="left" vertical="top" wrapText="1"/>
    </xf>
    <xf numFmtId="0" fontId="0" fillId="0" borderId="19" xfId="0" applyBorder="1" applyAlignment="1">
      <alignment horizontal="left" vertical="top" wrapText="1"/>
    </xf>
    <xf numFmtId="49" fontId="1" fillId="0" borderId="4" xfId="1" applyNumberFormat="1" applyFont="1" applyBorder="1" applyAlignment="1" applyProtection="1">
      <alignment horizontal="left" vertical="top"/>
    </xf>
    <xf numFmtId="49" fontId="1" fillId="0" borderId="5" xfId="1" applyNumberFormat="1" applyFont="1" applyBorder="1" applyAlignment="1" applyProtection="1">
      <alignment horizontal="left" vertical="top"/>
    </xf>
    <xf numFmtId="2" fontId="1" fillId="0" borderId="28" xfId="1" applyFont="1" applyBorder="1" applyAlignment="1" applyProtection="1">
      <alignment horizontal="left" vertical="top" wrapText="1"/>
    </xf>
    <xf numFmtId="2" fontId="1" fillId="0" borderId="19" xfId="1" applyFont="1" applyBorder="1" applyAlignment="1" applyProtection="1">
      <alignment horizontal="left" vertical="top" wrapText="1"/>
    </xf>
    <xf numFmtId="0" fontId="1" fillId="0" borderId="70" xfId="0" applyFont="1" applyBorder="1" applyAlignment="1" applyProtection="1">
      <alignment horizontal="left" vertical="top" wrapText="1"/>
    </xf>
    <xf numFmtId="0" fontId="1" fillId="0" borderId="71" xfId="0" applyFont="1" applyBorder="1" applyAlignment="1" applyProtection="1">
      <alignment horizontal="left" vertical="top" wrapText="1"/>
    </xf>
    <xf numFmtId="2" fontId="10" fillId="0" borderId="67" xfId="7" applyBorder="1" applyAlignment="1" applyProtection="1">
      <alignment horizontal="center" vertical="center" wrapText="1"/>
    </xf>
    <xf numFmtId="2" fontId="1" fillId="0" borderId="68" xfId="1" applyFont="1" applyBorder="1" applyAlignment="1" applyProtection="1">
      <alignment horizontal="center" vertical="center" wrapText="1"/>
    </xf>
    <xf numFmtId="49" fontId="1" fillId="0" borderId="20" xfId="1" applyNumberFormat="1" applyFont="1" applyBorder="1" applyAlignment="1" applyProtection="1">
      <alignment horizontal="left" vertical="top"/>
    </xf>
    <xf numFmtId="49" fontId="1" fillId="0" borderId="55" xfId="1" applyNumberFormat="1" applyFont="1" applyBorder="1" applyAlignment="1" applyProtection="1">
      <alignment horizontal="left" vertical="top"/>
    </xf>
    <xf numFmtId="49" fontId="1" fillId="0" borderId="57" xfId="1" applyNumberFormat="1" applyFont="1" applyBorder="1" applyAlignment="1" applyProtection="1">
      <alignment horizontal="left" vertical="top"/>
    </xf>
    <xf numFmtId="49" fontId="1" fillId="0" borderId="38" xfId="1" applyNumberFormat="1" applyFont="1" applyBorder="1" applyAlignment="1" applyProtection="1">
      <alignment horizontal="left" vertical="top"/>
    </xf>
    <xf numFmtId="2" fontId="1" fillId="0" borderId="5" xfId="1" applyFont="1" applyBorder="1" applyAlignment="1" applyProtection="1">
      <alignment horizontal="left" vertical="top" wrapText="1"/>
    </xf>
    <xf numFmtId="2" fontId="1" fillId="0" borderId="6" xfId="1" applyBorder="1" applyAlignment="1" applyProtection="1">
      <alignment horizontal="left" vertical="top" wrapText="1"/>
    </xf>
    <xf numFmtId="2" fontId="1" fillId="0" borderId="19" xfId="1" applyFont="1" applyBorder="1" applyAlignment="1" applyProtection="1">
      <alignment horizontal="left" vertical="center" wrapText="1"/>
    </xf>
    <xf numFmtId="2" fontId="1" fillId="2" borderId="23" xfId="1" applyFont="1" applyFill="1" applyBorder="1" applyAlignment="1" applyProtection="1">
      <alignment horizontal="left"/>
    </xf>
    <xf numFmtId="2" fontId="1" fillId="2" borderId="13" xfId="1" applyFont="1" applyFill="1" applyBorder="1" applyAlignment="1" applyProtection="1">
      <alignment horizontal="left"/>
    </xf>
    <xf numFmtId="2" fontId="1" fillId="2" borderId="24" xfId="1" applyFont="1" applyFill="1" applyBorder="1" applyAlignment="1" applyProtection="1">
      <alignment horizontal="left"/>
    </xf>
    <xf numFmtId="49" fontId="1" fillId="0" borderId="25" xfId="1" applyNumberFormat="1" applyFont="1" applyBorder="1" applyAlignment="1" applyProtection="1">
      <alignment horizontal="left" vertical="top"/>
    </xf>
    <xf numFmtId="49" fontId="1" fillId="0" borderId="26" xfId="1" applyNumberFormat="1" applyFont="1" applyBorder="1" applyAlignment="1" applyProtection="1">
      <alignment horizontal="left" vertical="top"/>
    </xf>
    <xf numFmtId="2" fontId="1" fillId="0" borderId="26" xfId="1" applyFont="1" applyBorder="1" applyAlignment="1" applyProtection="1">
      <alignment horizontal="left" vertical="top" wrapText="1"/>
    </xf>
    <xf numFmtId="2" fontId="1" fillId="0" borderId="27" xfId="1" applyBorder="1" applyAlignment="1" applyProtection="1">
      <alignment horizontal="left" vertical="top" wrapText="1"/>
    </xf>
    <xf numFmtId="49" fontId="1" fillId="0" borderId="66" xfId="1" applyNumberFormat="1" applyFont="1" applyBorder="1" applyAlignment="1" applyProtection="1">
      <alignment horizontal="left" vertical="top"/>
    </xf>
    <xf numFmtId="49" fontId="1" fillId="0" borderId="40" xfId="1" applyNumberFormat="1" applyFont="1" applyBorder="1" applyAlignment="1" applyProtection="1">
      <alignment horizontal="left" vertical="top"/>
    </xf>
    <xf numFmtId="2" fontId="1" fillId="0" borderId="54" xfId="1" applyFont="1" applyBorder="1" applyAlignment="1" applyProtection="1">
      <alignment horizontal="left" vertical="top"/>
    </xf>
    <xf numFmtId="2" fontId="1" fillId="0" borderId="17" xfId="1" applyBorder="1" applyAlignment="1" applyProtection="1">
      <alignment horizontal="left" vertical="top"/>
    </xf>
    <xf numFmtId="2" fontId="6" fillId="2" borderId="56" xfId="1" applyFont="1" applyFill="1" applyBorder="1" applyAlignment="1" applyProtection="1">
      <alignment horizontal="left"/>
    </xf>
    <xf numFmtId="2" fontId="6" fillId="2" borderId="69" xfId="1" applyFont="1" applyFill="1" applyBorder="1" applyAlignment="1" applyProtection="1">
      <alignment horizontal="left"/>
    </xf>
    <xf numFmtId="2" fontId="1" fillId="0" borderId="7" xfId="1" applyFill="1" applyBorder="1" applyAlignment="1" applyProtection="1">
      <alignment horizontal="left"/>
    </xf>
    <xf numFmtId="2" fontId="1" fillId="0" borderId="9" xfId="1" applyFill="1" applyBorder="1" applyAlignment="1" applyProtection="1">
      <alignment horizontal="left"/>
    </xf>
    <xf numFmtId="2" fontId="1" fillId="0" borderId="25" xfId="1" applyFill="1" applyBorder="1" applyAlignment="1" applyProtection="1">
      <alignment horizontal="left"/>
    </xf>
    <xf numFmtId="2" fontId="1" fillId="0" borderId="27" xfId="1" applyFill="1" applyBorder="1" applyAlignment="1" applyProtection="1">
      <alignment horizontal="left"/>
    </xf>
    <xf numFmtId="2" fontId="1" fillId="0" borderId="4" xfId="1" applyFill="1" applyBorder="1" applyAlignment="1" applyProtection="1">
      <alignment horizontal="left"/>
    </xf>
    <xf numFmtId="2" fontId="1" fillId="0" borderId="6" xfId="1" applyFill="1" applyBorder="1" applyAlignment="1" applyProtection="1">
      <alignment horizontal="left"/>
    </xf>
    <xf numFmtId="2" fontId="6" fillId="2" borderId="33" xfId="1" applyFont="1" applyFill="1" applyBorder="1" applyAlignment="1" applyProtection="1">
      <alignment horizontal="left"/>
    </xf>
    <xf numFmtId="2" fontId="6" fillId="2" borderId="34" xfId="1" applyFont="1" applyFill="1" applyBorder="1" applyAlignment="1" applyProtection="1">
      <alignment horizontal="left"/>
    </xf>
    <xf numFmtId="2" fontId="6" fillId="2" borderId="25" xfId="1" applyFont="1" applyFill="1" applyBorder="1" applyAlignment="1" applyProtection="1">
      <alignment horizontal="left"/>
    </xf>
    <xf numFmtId="2" fontId="6" fillId="2" borderId="27" xfId="1" applyFont="1" applyFill="1" applyBorder="1" applyAlignment="1" applyProtection="1">
      <alignment horizontal="left"/>
    </xf>
    <xf numFmtId="2" fontId="28" fillId="0" borderId="13" xfId="1" applyFont="1" applyBorder="1" applyAlignment="1" applyProtection="1">
      <alignment horizontal="center" vertical="center" wrapText="1"/>
    </xf>
    <xf numFmtId="0" fontId="1" fillId="0" borderId="8" xfId="6" applyBorder="1" applyAlignment="1" applyProtection="1">
      <alignment horizontal="center" vertical="center"/>
    </xf>
    <xf numFmtId="167" fontId="13" fillId="0" borderId="8" xfId="6" applyNumberFormat="1" applyFont="1" applyBorder="1" applyAlignment="1" applyProtection="1">
      <alignment horizontal="center" vertical="center"/>
      <protection locked="0"/>
    </xf>
    <xf numFmtId="2" fontId="1" fillId="0" borderId="8" xfId="1" applyBorder="1" applyAlignment="1" applyProtection="1">
      <alignment horizontal="center" vertical="center"/>
    </xf>
    <xf numFmtId="167" fontId="13" fillId="0" borderId="8" xfId="1" applyNumberFormat="1" applyFont="1" applyBorder="1" applyAlignment="1" applyProtection="1">
      <alignment horizontal="center" vertical="center"/>
      <protection locked="0"/>
    </xf>
    <xf numFmtId="0" fontId="6" fillId="2" borderId="28" xfId="6" applyFont="1" applyFill="1" applyBorder="1" applyAlignment="1" applyProtection="1">
      <alignment horizontal="left"/>
    </xf>
    <xf numFmtId="0" fontId="6" fillId="2" borderId="18" xfId="6" applyFont="1" applyFill="1" applyBorder="1" applyAlignment="1" applyProtection="1">
      <alignment horizontal="left"/>
    </xf>
    <xf numFmtId="0" fontId="6" fillId="2" borderId="35" xfId="6" applyFont="1" applyFill="1" applyBorder="1" applyAlignment="1" applyProtection="1">
      <alignment horizontal="left"/>
    </xf>
    <xf numFmtId="0" fontId="1" fillId="0" borderId="28" xfId="6" applyFont="1" applyBorder="1" applyAlignment="1" applyProtection="1">
      <alignment horizontal="left"/>
    </xf>
    <xf numFmtId="0" fontId="1" fillId="0" borderId="18" xfId="6" applyFont="1" applyBorder="1" applyAlignment="1" applyProtection="1">
      <alignment horizontal="left"/>
    </xf>
    <xf numFmtId="0" fontId="1" fillId="0" borderId="35" xfId="6" applyFont="1" applyBorder="1" applyAlignment="1" applyProtection="1">
      <alignment horizontal="left"/>
    </xf>
    <xf numFmtId="0" fontId="1" fillId="0" borderId="28" xfId="6" applyFont="1" applyBorder="1" applyAlignment="1" applyProtection="1">
      <alignment horizontal="left" vertical="center" indent="2"/>
    </xf>
    <xf numFmtId="0" fontId="1" fillId="0" borderId="18" xfId="6" applyFont="1" applyBorder="1" applyAlignment="1" applyProtection="1">
      <alignment horizontal="left" vertical="center" indent="2"/>
    </xf>
    <xf numFmtId="0" fontId="1" fillId="0" borderId="35" xfId="6" applyFont="1" applyBorder="1" applyAlignment="1" applyProtection="1">
      <alignment horizontal="left" vertical="center" indent="2"/>
    </xf>
    <xf numFmtId="0" fontId="6" fillId="2" borderId="8" xfId="6" applyFont="1" applyFill="1" applyBorder="1" applyAlignment="1" applyProtection="1">
      <alignment horizontal="left"/>
    </xf>
    <xf numFmtId="0" fontId="1" fillId="0" borderId="28" xfId="6" applyFont="1" applyBorder="1" applyAlignment="1" applyProtection="1">
      <alignment horizontal="left" wrapText="1"/>
    </xf>
    <xf numFmtId="0" fontId="1" fillId="0" borderId="18" xfId="6" applyFont="1" applyBorder="1" applyAlignment="1" applyProtection="1">
      <alignment horizontal="left" wrapText="1"/>
    </xf>
    <xf numFmtId="0" fontId="1" fillId="0" borderId="35" xfId="6" applyFont="1" applyBorder="1" applyAlignment="1" applyProtection="1">
      <alignment horizontal="left" wrapText="1"/>
    </xf>
    <xf numFmtId="0" fontId="1" fillId="0" borderId="28" xfId="6" applyFont="1" applyBorder="1" applyAlignment="1" applyProtection="1">
      <alignment horizontal="left" vertical="center"/>
    </xf>
    <xf numFmtId="0" fontId="1" fillId="0" borderId="18" xfId="6" applyFont="1" applyBorder="1" applyAlignment="1" applyProtection="1">
      <alignment horizontal="left" vertical="center"/>
    </xf>
    <xf numFmtId="0" fontId="1" fillId="0" borderId="35" xfId="6" applyFont="1" applyBorder="1" applyAlignment="1" applyProtection="1">
      <alignment horizontal="left" vertical="center"/>
    </xf>
    <xf numFmtId="0" fontId="1" fillId="2" borderId="28" xfId="6" applyFill="1" applyBorder="1" applyAlignment="1" applyProtection="1">
      <alignment horizontal="left" vertical="center" wrapText="1"/>
    </xf>
    <xf numFmtId="0" fontId="1" fillId="2" borderId="18" xfId="6" applyFill="1" applyBorder="1" applyAlignment="1" applyProtection="1">
      <alignment horizontal="left" vertical="center" wrapText="1"/>
    </xf>
    <xf numFmtId="0" fontId="1" fillId="2" borderId="35" xfId="6" applyFill="1" applyBorder="1" applyAlignment="1" applyProtection="1">
      <alignment horizontal="left" vertical="center" wrapText="1"/>
    </xf>
    <xf numFmtId="2" fontId="6" fillId="2" borderId="8" xfId="1" applyFont="1" applyFill="1" applyBorder="1" applyAlignment="1" applyProtection="1">
      <alignment horizontal="center" vertical="center"/>
    </xf>
    <xf numFmtId="0" fontId="6" fillId="2" borderId="8" xfId="6" applyFont="1" applyFill="1" applyBorder="1" applyAlignment="1" applyProtection="1">
      <alignment horizontal="center" vertical="center"/>
    </xf>
    <xf numFmtId="0" fontId="1" fillId="0" borderId="7" xfId="0" applyFont="1" applyFill="1" applyBorder="1" applyAlignment="1" applyProtection="1">
      <alignment horizontal="left" vertical="center" indent="2"/>
    </xf>
    <xf numFmtId="0" fontId="1" fillId="0" borderId="8" xfId="0" applyFont="1" applyFill="1" applyBorder="1" applyAlignment="1" applyProtection="1">
      <alignment horizontal="left" vertical="center" indent="2"/>
    </xf>
    <xf numFmtId="0" fontId="1" fillId="0" borderId="10" xfId="0" applyFont="1" applyFill="1" applyBorder="1" applyAlignment="1" applyProtection="1">
      <alignment horizontal="left" vertical="center" indent="2"/>
    </xf>
    <xf numFmtId="0" fontId="1" fillId="0" borderId="11" xfId="0" applyFont="1" applyFill="1" applyBorder="1" applyAlignment="1" applyProtection="1">
      <alignment horizontal="left" vertical="center" indent="2"/>
    </xf>
    <xf numFmtId="2" fontId="13" fillId="0" borderId="8" xfId="9" applyFont="1" applyBorder="1" applyAlignment="1" applyProtection="1">
      <alignment horizontal="center" vertical="center"/>
      <protection locked="0"/>
    </xf>
    <xf numFmtId="2" fontId="13" fillId="0" borderId="9" xfId="9" applyFont="1" applyBorder="1" applyAlignment="1" applyProtection="1">
      <alignment horizontal="center" vertical="center"/>
      <protection locked="0"/>
    </xf>
    <xf numFmtId="0" fontId="1" fillId="0" borderId="7" xfId="0" applyFont="1" applyBorder="1" applyAlignment="1" applyProtection="1">
      <alignment horizontal="left" vertical="center" wrapText="1"/>
    </xf>
    <xf numFmtId="0" fontId="1" fillId="0" borderId="8" xfId="0" applyFont="1" applyBorder="1" applyAlignment="1" applyProtection="1">
      <alignment horizontal="left" vertical="center" wrapText="1"/>
    </xf>
    <xf numFmtId="0" fontId="1" fillId="0" borderId="9" xfId="0" applyFont="1" applyBorder="1" applyAlignment="1" applyProtection="1">
      <alignment horizontal="left" vertical="center" wrapText="1"/>
    </xf>
    <xf numFmtId="2" fontId="13" fillId="0" borderId="28" xfId="9" applyFont="1" applyBorder="1" applyAlignment="1" applyProtection="1">
      <alignment horizontal="center" vertical="center"/>
      <protection locked="0"/>
    </xf>
    <xf numFmtId="2" fontId="13" fillId="0" borderId="18" xfId="9" applyFont="1" applyBorder="1" applyAlignment="1" applyProtection="1">
      <alignment horizontal="center" vertical="center"/>
      <protection locked="0"/>
    </xf>
    <xf numFmtId="2" fontId="13" fillId="0" borderId="19" xfId="9" applyFont="1" applyBorder="1" applyAlignment="1" applyProtection="1">
      <alignment horizontal="center" vertical="center"/>
      <protection locked="0"/>
    </xf>
    <xf numFmtId="2" fontId="13" fillId="0" borderId="81" xfId="9" applyFont="1" applyBorder="1" applyAlignment="1" applyProtection="1">
      <alignment horizontal="center" vertical="center"/>
      <protection locked="0"/>
    </xf>
    <xf numFmtId="2" fontId="13" fillId="0" borderId="80" xfId="9" applyFont="1" applyBorder="1" applyAlignment="1" applyProtection="1">
      <alignment horizontal="center" vertical="center"/>
      <protection locked="0"/>
    </xf>
    <xf numFmtId="2" fontId="13" fillId="0" borderId="22" xfId="9" applyFont="1" applyBorder="1" applyAlignment="1" applyProtection="1">
      <alignment horizontal="center" vertical="center"/>
      <protection locked="0"/>
    </xf>
    <xf numFmtId="0" fontId="1" fillId="2" borderId="23" xfId="0" applyFont="1" applyFill="1" applyBorder="1" applyAlignment="1" applyProtection="1">
      <alignment horizontal="left" vertical="center" wrapText="1"/>
    </xf>
    <xf numFmtId="0" fontId="0" fillId="2" borderId="13" xfId="0" applyFill="1" applyBorder="1" applyAlignment="1" applyProtection="1">
      <alignment horizontal="left" vertical="center" wrapText="1"/>
    </xf>
    <xf numFmtId="0" fontId="0" fillId="2" borderId="24" xfId="0" applyFill="1" applyBorder="1" applyAlignment="1" applyProtection="1">
      <alignment horizontal="left" vertical="center" wrapText="1"/>
    </xf>
    <xf numFmtId="4" fontId="13" fillId="0" borderId="8" xfId="0" applyNumberFormat="1" applyFont="1" applyBorder="1" applyAlignment="1" applyProtection="1">
      <alignment horizontal="center" vertical="center"/>
      <protection locked="0"/>
    </xf>
    <xf numFmtId="4" fontId="13" fillId="0" borderId="9" xfId="0" applyNumberFormat="1" applyFont="1" applyBorder="1" applyAlignment="1" applyProtection="1">
      <alignment horizontal="center" vertical="center"/>
      <protection locked="0"/>
    </xf>
    <xf numFmtId="0" fontId="6" fillId="2" borderId="1" xfId="0" applyFont="1" applyFill="1" applyBorder="1" applyAlignment="1" applyProtection="1">
      <alignment horizontal="left"/>
    </xf>
    <xf numFmtId="0" fontId="6" fillId="2" borderId="2" xfId="0" applyFont="1" applyFill="1" applyBorder="1" applyAlignment="1" applyProtection="1">
      <alignment horizontal="left"/>
    </xf>
    <xf numFmtId="0" fontId="6" fillId="2" borderId="3" xfId="0" applyFont="1" applyFill="1" applyBorder="1" applyAlignment="1" applyProtection="1">
      <alignment horizontal="left"/>
    </xf>
    <xf numFmtId="2" fontId="13" fillId="0" borderId="8" xfId="1" applyFont="1" applyFill="1" applyBorder="1" applyAlignment="1" applyProtection="1">
      <alignment horizontal="center" vertical="center"/>
      <protection locked="0"/>
    </xf>
    <xf numFmtId="2" fontId="13" fillId="0" borderId="9" xfId="1" applyFont="1" applyFill="1" applyBorder="1" applyAlignment="1" applyProtection="1">
      <alignment horizontal="center" vertical="center"/>
      <protection locked="0"/>
    </xf>
    <xf numFmtId="0" fontId="1" fillId="0" borderId="15" xfId="0" applyFont="1" applyFill="1" applyBorder="1" applyAlignment="1" applyProtection="1">
      <alignment horizontal="left" vertical="center"/>
    </xf>
    <xf numFmtId="0" fontId="1" fillId="0" borderId="18" xfId="0" applyFont="1" applyFill="1" applyBorder="1" applyAlignment="1" applyProtection="1">
      <alignment horizontal="left" vertical="center"/>
    </xf>
    <xf numFmtId="0" fontId="1" fillId="0" borderId="35" xfId="0" applyFont="1" applyFill="1" applyBorder="1" applyAlignment="1" applyProtection="1">
      <alignment horizontal="left" vertical="center"/>
    </xf>
    <xf numFmtId="0" fontId="1" fillId="0" borderId="21" xfId="0" applyFont="1" applyFill="1" applyBorder="1" applyAlignment="1" applyProtection="1">
      <alignment horizontal="left" vertical="center"/>
    </xf>
    <xf numFmtId="0" fontId="1" fillId="0" borderId="80" xfId="0" applyFont="1" applyFill="1" applyBorder="1" applyAlignment="1" applyProtection="1">
      <alignment horizontal="left" vertical="center"/>
    </xf>
    <xf numFmtId="0" fontId="1" fillId="0" borderId="82" xfId="0" applyFont="1" applyFill="1" applyBorder="1" applyAlignment="1" applyProtection="1">
      <alignment horizontal="left" vertical="center"/>
    </xf>
    <xf numFmtId="2" fontId="1" fillId="2" borderId="56" xfId="1" applyFill="1" applyBorder="1" applyAlignment="1" applyProtection="1">
      <alignment horizontal="left" vertical="center" wrapText="1"/>
    </xf>
    <xf numFmtId="2" fontId="1" fillId="2" borderId="78" xfId="1" applyFill="1" applyBorder="1" applyAlignment="1" applyProtection="1">
      <alignment horizontal="left" vertical="center" wrapText="1"/>
    </xf>
    <xf numFmtId="2" fontId="1" fillId="2" borderId="69" xfId="1" applyFill="1" applyBorder="1" applyAlignment="1" applyProtection="1">
      <alignment horizontal="left" vertical="center" wrapText="1"/>
    </xf>
    <xf numFmtId="2" fontId="13" fillId="0" borderId="28" xfId="1" applyFont="1" applyFill="1" applyBorder="1" applyAlignment="1" applyProtection="1">
      <alignment horizontal="center" vertical="center"/>
      <protection locked="0"/>
    </xf>
    <xf numFmtId="2" fontId="13" fillId="0" borderId="18" xfId="1" applyFont="1" applyFill="1" applyBorder="1" applyAlignment="1" applyProtection="1">
      <alignment horizontal="center" vertical="center"/>
      <protection locked="0"/>
    </xf>
    <xf numFmtId="2" fontId="13" fillId="0" borderId="19" xfId="1" applyFont="1" applyFill="1" applyBorder="1" applyAlignment="1" applyProtection="1">
      <alignment horizontal="center" vertical="center"/>
      <protection locked="0"/>
    </xf>
    <xf numFmtId="2" fontId="13" fillId="0" borderId="81" xfId="1" applyFont="1" applyFill="1" applyBorder="1" applyAlignment="1" applyProtection="1">
      <alignment horizontal="center" vertical="center"/>
      <protection locked="0"/>
    </xf>
    <xf numFmtId="2" fontId="13" fillId="0" borderId="80" xfId="1" applyFont="1" applyFill="1" applyBorder="1" applyAlignment="1" applyProtection="1">
      <alignment horizontal="center" vertical="center"/>
      <protection locked="0"/>
    </xf>
    <xf numFmtId="2" fontId="13" fillId="0" borderId="22" xfId="1" applyFont="1" applyFill="1" applyBorder="1" applyAlignment="1" applyProtection="1">
      <alignment horizontal="center" vertical="center"/>
      <protection locked="0"/>
    </xf>
    <xf numFmtId="0" fontId="6" fillId="3" borderId="1" xfId="0" applyFont="1" applyFill="1" applyBorder="1" applyAlignment="1" applyProtection="1">
      <alignment horizontal="center"/>
    </xf>
    <xf numFmtId="0" fontId="6" fillId="3" borderId="2" xfId="0" applyFont="1" applyFill="1" applyBorder="1" applyAlignment="1" applyProtection="1">
      <alignment horizontal="center"/>
    </xf>
    <xf numFmtId="0" fontId="6" fillId="3" borderId="3" xfId="0" applyFont="1" applyFill="1" applyBorder="1" applyAlignment="1" applyProtection="1">
      <alignment horizontal="center"/>
    </xf>
    <xf numFmtId="2" fontId="6" fillId="0" borderId="0" xfId="9" applyFont="1" applyAlignment="1" applyProtection="1">
      <alignment horizontal="center" vertical="center" wrapText="1"/>
    </xf>
    <xf numFmtId="2" fontId="6" fillId="0" borderId="0" xfId="9" applyFont="1" applyAlignment="1" applyProtection="1">
      <alignment horizontal="center" wrapText="1"/>
    </xf>
    <xf numFmtId="2" fontId="6" fillId="0" borderId="45" xfId="9" applyFont="1" applyBorder="1" applyAlignment="1" applyProtection="1">
      <alignment horizontal="center"/>
    </xf>
    <xf numFmtId="2" fontId="6" fillId="0" borderId="46" xfId="9" applyFont="1" applyBorder="1" applyAlignment="1" applyProtection="1">
      <alignment horizontal="center"/>
    </xf>
    <xf numFmtId="2" fontId="1" fillId="0" borderId="48" xfId="9" applyFont="1" applyBorder="1" applyAlignment="1" applyProtection="1">
      <alignment horizontal="center"/>
    </xf>
    <xf numFmtId="2" fontId="1" fillId="0" borderId="49" xfId="9" applyFont="1" applyBorder="1" applyAlignment="1" applyProtection="1">
      <alignment horizontal="center"/>
    </xf>
    <xf numFmtId="2" fontId="32" fillId="0" borderId="48" xfId="9" applyBorder="1" applyAlignment="1" applyProtection="1">
      <alignment horizontal="center"/>
    </xf>
    <xf numFmtId="2" fontId="32" fillId="0" borderId="49" xfId="9" applyBorder="1" applyAlignment="1" applyProtection="1">
      <alignment horizontal="center"/>
    </xf>
    <xf numFmtId="2" fontId="6" fillId="0" borderId="15" xfId="9" applyFont="1" applyBorder="1" applyAlignment="1" applyProtection="1">
      <alignment horizontal="center" vertical="center"/>
    </xf>
    <xf numFmtId="2" fontId="6" fillId="0" borderId="18" xfId="9" applyFont="1" applyBorder="1" applyAlignment="1" applyProtection="1">
      <alignment horizontal="center" vertical="center"/>
    </xf>
    <xf numFmtId="2" fontId="6" fillId="0" borderId="19" xfId="9" applyFont="1" applyBorder="1" applyAlignment="1" applyProtection="1">
      <alignment horizontal="center" vertical="center"/>
    </xf>
    <xf numFmtId="2" fontId="25" fillId="9" borderId="1" xfId="1" applyFont="1" applyFill="1" applyBorder="1" applyAlignment="1" applyProtection="1">
      <alignment horizontal="center" vertical="center"/>
    </xf>
    <xf numFmtId="2" fontId="25" fillId="9" borderId="2" xfId="1" applyFont="1" applyFill="1" applyBorder="1" applyAlignment="1" applyProtection="1">
      <alignment horizontal="center" vertical="center"/>
    </xf>
    <xf numFmtId="2" fontId="25" fillId="9" borderId="3" xfId="1" applyFont="1" applyFill="1" applyBorder="1" applyAlignment="1" applyProtection="1">
      <alignment horizontal="center" vertical="center"/>
    </xf>
    <xf numFmtId="2" fontId="25" fillId="0" borderId="30" xfId="1" applyFont="1" applyBorder="1" applyAlignment="1" applyProtection="1">
      <alignment horizontal="justify" vertical="top" wrapText="1"/>
    </xf>
    <xf numFmtId="2" fontId="25" fillId="0" borderId="31" xfId="1" applyFont="1" applyBorder="1" applyAlignment="1" applyProtection="1">
      <alignment horizontal="justify" vertical="top" wrapText="1"/>
    </xf>
    <xf numFmtId="2" fontId="25" fillId="0" borderId="32" xfId="1" applyFont="1" applyBorder="1" applyAlignment="1" applyProtection="1">
      <alignment horizontal="justify" vertical="top" wrapText="1"/>
    </xf>
    <xf numFmtId="2" fontId="26" fillId="8" borderId="1" xfId="1" applyFont="1" applyFill="1" applyBorder="1" applyAlignment="1" applyProtection="1">
      <alignment horizontal="center" vertical="top" wrapText="1"/>
    </xf>
    <xf numFmtId="2" fontId="26" fillId="8" borderId="2" xfId="1" applyFont="1" applyFill="1" applyBorder="1" applyAlignment="1" applyProtection="1">
      <alignment horizontal="center" vertical="top" wrapText="1"/>
    </xf>
    <xf numFmtId="2" fontId="26" fillId="8" borderId="3" xfId="1" applyFont="1" applyFill="1" applyBorder="1" applyAlignment="1" applyProtection="1">
      <alignment horizontal="center" vertical="top" wrapText="1"/>
    </xf>
    <xf numFmtId="2" fontId="15" fillId="5" borderId="30" xfId="9" applyFont="1" applyFill="1" applyBorder="1" applyAlignment="1" applyProtection="1">
      <alignment horizontal="center" vertical="center"/>
    </xf>
    <xf numFmtId="2" fontId="15" fillId="5" borderId="31" xfId="9" applyFont="1" applyFill="1" applyBorder="1" applyAlignment="1" applyProtection="1">
      <alignment horizontal="center" vertical="center"/>
    </xf>
    <xf numFmtId="2" fontId="15" fillId="5" borderId="32" xfId="9" applyFont="1" applyFill="1" applyBorder="1" applyAlignment="1" applyProtection="1">
      <alignment horizontal="center" vertical="center"/>
    </xf>
    <xf numFmtId="2" fontId="6" fillId="0" borderId="73" xfId="9" applyFont="1" applyBorder="1" applyAlignment="1" applyProtection="1">
      <alignment horizontal="center" vertical="center"/>
    </xf>
    <xf numFmtId="2" fontId="6" fillId="0" borderId="74" xfId="9" applyFont="1" applyBorder="1" applyAlignment="1" applyProtection="1">
      <alignment horizontal="center" vertical="center"/>
    </xf>
    <xf numFmtId="2" fontId="6" fillId="0" borderId="75" xfId="9" applyFont="1" applyBorder="1" applyAlignment="1" applyProtection="1">
      <alignment horizontal="center" vertical="center"/>
    </xf>
    <xf numFmtId="2" fontId="6" fillId="0" borderId="45" xfId="9" applyFont="1" applyBorder="1" applyAlignment="1" applyProtection="1">
      <alignment horizontal="center" wrapText="1"/>
    </xf>
    <xf numFmtId="2" fontId="6" fillId="0" borderId="46" xfId="9" applyFont="1" applyBorder="1" applyAlignment="1" applyProtection="1">
      <alignment horizontal="center" wrapText="1"/>
    </xf>
    <xf numFmtId="2" fontId="2" fillId="0" borderId="0" xfId="1" applyFont="1" applyAlignment="1">
      <alignment horizontal="left"/>
    </xf>
    <xf numFmtId="2" fontId="3" fillId="0" borderId="0" xfId="1" applyFont="1" applyAlignment="1">
      <alignment horizontal="left" vertical="top"/>
    </xf>
    <xf numFmtId="1" fontId="1" fillId="0" borderId="0" xfId="1" applyNumberFormat="1" applyBorder="1" applyAlignment="1">
      <alignment horizontal="left" vertical="center"/>
    </xf>
    <xf numFmtId="1" fontId="1" fillId="0" borderId="0" xfId="1" applyNumberFormat="1" applyAlignment="1">
      <alignment horizontal="left" vertical="center" wrapText="1"/>
    </xf>
    <xf numFmtId="0" fontId="35" fillId="2" borderId="8" xfId="0" applyFont="1" applyFill="1" applyBorder="1" applyAlignment="1">
      <alignment horizontal="center"/>
    </xf>
    <xf numFmtId="2" fontId="6" fillId="10" borderId="56" xfId="10" applyFont="1" applyFill="1" applyBorder="1" applyAlignment="1">
      <alignment horizontal="left"/>
    </xf>
    <xf numFmtId="2" fontId="6" fillId="10" borderId="78" xfId="10" applyFont="1" applyFill="1" applyBorder="1" applyAlignment="1">
      <alignment horizontal="left"/>
    </xf>
    <xf numFmtId="2" fontId="6" fillId="10" borderId="69" xfId="10" applyFont="1" applyFill="1" applyBorder="1" applyAlignment="1">
      <alignment horizontal="left"/>
    </xf>
    <xf numFmtId="0" fontId="20" fillId="2" borderId="8" xfId="8" applyFont="1" applyFill="1" applyBorder="1" applyAlignment="1">
      <alignment horizontal="center"/>
    </xf>
  </cellXfs>
  <cellStyles count="11">
    <cellStyle name="Hyperlink" xfId="7" builtinId="8"/>
    <cellStyle name="Hyperlink 2" xfId="2"/>
    <cellStyle name="Normal" xfId="0" builtinId="0"/>
    <cellStyle name="Normal 2" xfId="1"/>
    <cellStyle name="Normal 2 2" xfId="3"/>
    <cellStyle name="Normal 2 3" xfId="6"/>
    <cellStyle name="Normal 3" xfId="8"/>
    <cellStyle name="Normal 4" xfId="4"/>
    <cellStyle name="Normal 5" xfId="9"/>
    <cellStyle name="Normal 6" xfId="10"/>
    <cellStyle name="Percent 2" xfId="5"/>
  </cellStyles>
  <dxfs count="19">
    <dxf>
      <font>
        <color theme="0" tint="-0.24994659260841701"/>
      </font>
      <fill>
        <patternFill>
          <bgColor theme="0" tint="-0.24994659260841701"/>
        </patternFill>
      </fill>
    </dxf>
    <dxf>
      <font>
        <color rgb="FFFF0000"/>
      </font>
    </dxf>
    <dxf>
      <font>
        <color rgb="FFFF0000"/>
      </font>
    </dxf>
    <dxf>
      <font>
        <color rgb="FFFF0000"/>
      </font>
    </dxf>
    <dxf>
      <font>
        <color rgb="FFFF0000"/>
      </font>
    </dxf>
    <dxf>
      <font>
        <color rgb="FFFF0000"/>
      </font>
    </dxf>
    <dxf>
      <font>
        <color rgb="FFFF0000"/>
      </font>
    </dxf>
    <dxf>
      <fill>
        <patternFill>
          <bgColor rgb="FFFFFF99"/>
        </patternFill>
      </fill>
    </dxf>
    <dxf>
      <font>
        <color auto="1"/>
      </font>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s>
  <tableStyles count="0" defaultTableStyle="TableStyleMedium2" defaultPivotStyle="PivotStyleLight16"/>
  <colors>
    <mruColors>
      <color rgb="FF0000FF"/>
      <color rgb="FFFFFF99"/>
      <color rgb="FFCC6600"/>
      <color rgb="FFCC3300"/>
      <color rgb="FF663300"/>
      <color rgb="FF996633"/>
      <color rgb="FFFFFFCC"/>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pa.gov/air/tribal/pdfs/existing_source_registration_rev.pdf" TargetMode="External"/><Relationship Id="rId1" Type="http://schemas.openxmlformats.org/officeDocument/2006/relationships/hyperlink" Target="http://www.epa.gov/air/tribal/tribalnsr.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3" Type="http://schemas.openxmlformats.org/officeDocument/2006/relationships/hyperlink" Target="mailto:gupta.kaushal@epa.gov" TargetMode="External"/><Relationship Id="rId18" Type="http://schemas.openxmlformats.org/officeDocument/2006/relationships/hyperlink" Target="mailto:smith.claudia@epa.gov" TargetMode="External"/><Relationship Id="rId26" Type="http://schemas.openxmlformats.org/officeDocument/2006/relationships/hyperlink" Target="mailto:paser.kathleen@epa.gov" TargetMode="External"/><Relationship Id="rId39" Type="http://schemas.openxmlformats.org/officeDocument/2006/relationships/hyperlink" Target="mailto:shepherd.lorinda@epa.gov" TargetMode="External"/><Relationship Id="rId21" Type="http://schemas.openxmlformats.org/officeDocument/2006/relationships/hyperlink" Target="mailto:smith.claudia@epa.gov" TargetMode="External"/><Relationship Id="rId34" Type="http://schemas.openxmlformats.org/officeDocument/2006/relationships/hyperlink" Target="mailto:oquendo.ana@epa.gov" TargetMode="External"/><Relationship Id="rId42" Type="http://schemas.openxmlformats.org/officeDocument/2006/relationships/hyperlink" Target="mailto:shepherd.lorinda@epa.gov" TargetMode="External"/><Relationship Id="rId47" Type="http://schemas.openxmlformats.org/officeDocument/2006/relationships/hyperlink" Target="mailto:Gutierrez.roberto@epa.gov" TargetMode="External"/><Relationship Id="rId50" Type="http://schemas.openxmlformats.org/officeDocument/2006/relationships/hyperlink" Target="mailto:glass.geoffrey@epa.gov" TargetMode="External"/><Relationship Id="rId55" Type="http://schemas.openxmlformats.org/officeDocument/2006/relationships/hyperlink" Target="mailto:todd.bill@epa.gov" TargetMode="External"/><Relationship Id="rId63" Type="http://schemas.openxmlformats.org/officeDocument/2006/relationships/hyperlink" Target="mailto:webber.robert@epa.gov" TargetMode="External"/><Relationship Id="rId7" Type="http://schemas.openxmlformats.org/officeDocument/2006/relationships/hyperlink" Target="mailto:lau.gavin@epa.gov" TargetMode="External"/><Relationship Id="rId2" Type="http://schemas.openxmlformats.org/officeDocument/2006/relationships/hyperlink" Target="mailto:McCahill.brendan@epa.gov" TargetMode="External"/><Relationship Id="rId16" Type="http://schemas.openxmlformats.org/officeDocument/2006/relationships/hyperlink" Target="mailto:paser.kathleen@epa.gov" TargetMode="External"/><Relationship Id="rId20" Type="http://schemas.openxmlformats.org/officeDocument/2006/relationships/hyperlink" Target="mailto:smith.claudia@epa.gov" TargetMode="External"/><Relationship Id="rId29" Type="http://schemas.openxmlformats.org/officeDocument/2006/relationships/hyperlink" Target="mailto:gupta.kaushal@epa.gov" TargetMode="External"/><Relationship Id="rId41" Type="http://schemas.openxmlformats.org/officeDocument/2006/relationships/hyperlink" Target="mailto:shepherd.lorinda@epa.gov" TargetMode="External"/><Relationship Id="rId54" Type="http://schemas.openxmlformats.org/officeDocument/2006/relationships/hyperlink" Target="mailto:todd.bill@epa.gov" TargetMode="External"/><Relationship Id="rId62" Type="http://schemas.openxmlformats.org/officeDocument/2006/relationships/hyperlink" Target="mailto:braganza.bonnie@epa.gov" TargetMode="External"/><Relationship Id="rId1" Type="http://schemas.openxmlformats.org/officeDocument/2006/relationships/hyperlink" Target="mailto:McCahill.brendan@epa.gov" TargetMode="External"/><Relationship Id="rId6" Type="http://schemas.openxmlformats.org/officeDocument/2006/relationships/hyperlink" Target="mailto:McCahill.brendan@epa.gov" TargetMode="External"/><Relationship Id="rId11" Type="http://schemas.openxmlformats.org/officeDocument/2006/relationships/hyperlink" Target="mailto:oquendo.ana@epa.gov" TargetMode="External"/><Relationship Id="rId24" Type="http://schemas.openxmlformats.org/officeDocument/2006/relationships/hyperlink" Target="mailto:paser.kathleen@epa.gov" TargetMode="External"/><Relationship Id="rId32" Type="http://schemas.openxmlformats.org/officeDocument/2006/relationships/hyperlink" Target="mailto:oquendo.ana@epa.gov" TargetMode="External"/><Relationship Id="rId37" Type="http://schemas.openxmlformats.org/officeDocument/2006/relationships/hyperlink" Target="mailto:oquendo.ana@epa.gov" TargetMode="External"/><Relationship Id="rId40" Type="http://schemas.openxmlformats.org/officeDocument/2006/relationships/hyperlink" Target="mailto:shepherd.lorinda@epa.gov" TargetMode="External"/><Relationship Id="rId45" Type="http://schemas.openxmlformats.org/officeDocument/2006/relationships/hyperlink" Target="mailto:shepherd.lorinda@epa.gov" TargetMode="External"/><Relationship Id="rId53" Type="http://schemas.openxmlformats.org/officeDocument/2006/relationships/hyperlink" Target="mailto:Gutierrez.roberto@epa.gov" TargetMode="External"/><Relationship Id="rId58" Type="http://schemas.openxmlformats.org/officeDocument/2006/relationships/hyperlink" Target="mailto:braganza.bonnie@epa.gov" TargetMode="External"/><Relationship Id="rId66" Type="http://schemas.openxmlformats.org/officeDocument/2006/relationships/printerSettings" Target="../printerSettings/printerSettings13.bin"/><Relationship Id="rId5" Type="http://schemas.openxmlformats.org/officeDocument/2006/relationships/hyperlink" Target="mailto:McCahill.brendan@epa.gov" TargetMode="External"/><Relationship Id="rId15" Type="http://schemas.openxmlformats.org/officeDocument/2006/relationships/hyperlink" Target="mailto:smith.claudia@epa.gov" TargetMode="External"/><Relationship Id="rId23" Type="http://schemas.openxmlformats.org/officeDocument/2006/relationships/hyperlink" Target="mailto:paser.kathleen@epa.gov" TargetMode="External"/><Relationship Id="rId28" Type="http://schemas.openxmlformats.org/officeDocument/2006/relationships/hyperlink" Target="mailto:gupta.kaushal@epa.gov" TargetMode="External"/><Relationship Id="rId36" Type="http://schemas.openxmlformats.org/officeDocument/2006/relationships/hyperlink" Target="mailto:oquendo.ana@epa.gov" TargetMode="External"/><Relationship Id="rId49" Type="http://schemas.openxmlformats.org/officeDocument/2006/relationships/hyperlink" Target="mailto:glass.geoffrey@epa.gov" TargetMode="External"/><Relationship Id="rId57" Type="http://schemas.openxmlformats.org/officeDocument/2006/relationships/hyperlink" Target="mailto:todd.bill@epa.gov" TargetMode="External"/><Relationship Id="rId61" Type="http://schemas.openxmlformats.org/officeDocument/2006/relationships/hyperlink" Target="mailto:braganza.bonnie@epa.gov" TargetMode="External"/><Relationship Id="rId10" Type="http://schemas.openxmlformats.org/officeDocument/2006/relationships/hyperlink" Target="mailto:Dholakia.umesh@epa.gov" TargetMode="External"/><Relationship Id="rId19" Type="http://schemas.openxmlformats.org/officeDocument/2006/relationships/hyperlink" Target="mailto:smith.claudia@epa.gov" TargetMode="External"/><Relationship Id="rId31" Type="http://schemas.openxmlformats.org/officeDocument/2006/relationships/hyperlink" Target="mailto:gupta.kaushal@epa.gov" TargetMode="External"/><Relationship Id="rId44" Type="http://schemas.openxmlformats.org/officeDocument/2006/relationships/hyperlink" Target="mailto:shepherd.lorinda@epa.gov" TargetMode="External"/><Relationship Id="rId52" Type="http://schemas.openxmlformats.org/officeDocument/2006/relationships/hyperlink" Target="mailto:Gutierrez.roberto@epa.gov" TargetMode="External"/><Relationship Id="rId60" Type="http://schemas.openxmlformats.org/officeDocument/2006/relationships/hyperlink" Target="mailto:braganza.bonnie@epa.gov" TargetMode="External"/><Relationship Id="rId65" Type="http://schemas.openxmlformats.org/officeDocument/2006/relationships/hyperlink" Target="mailto:webber.robert@epa.gov" TargetMode="External"/><Relationship Id="rId4" Type="http://schemas.openxmlformats.org/officeDocument/2006/relationships/hyperlink" Target="mailto:McCahill.brendan@epa.gov" TargetMode="External"/><Relationship Id="rId9" Type="http://schemas.openxmlformats.org/officeDocument/2006/relationships/hyperlink" Target="mailto:lau.gavin@epa.gov" TargetMode="External"/><Relationship Id="rId14" Type="http://schemas.openxmlformats.org/officeDocument/2006/relationships/hyperlink" Target="mailto:webber.robert@epa.gov" TargetMode="External"/><Relationship Id="rId22" Type="http://schemas.openxmlformats.org/officeDocument/2006/relationships/hyperlink" Target="mailto:paser.kathleen@epa.gov" TargetMode="External"/><Relationship Id="rId27" Type="http://schemas.openxmlformats.org/officeDocument/2006/relationships/hyperlink" Target="mailto:gupta.kaushal@epa.gov" TargetMode="External"/><Relationship Id="rId30" Type="http://schemas.openxmlformats.org/officeDocument/2006/relationships/hyperlink" Target="mailto:gupta.kaushal@epa.gov" TargetMode="External"/><Relationship Id="rId35" Type="http://schemas.openxmlformats.org/officeDocument/2006/relationships/hyperlink" Target="mailto:oquendo.ana@epa.gov" TargetMode="External"/><Relationship Id="rId43" Type="http://schemas.openxmlformats.org/officeDocument/2006/relationships/hyperlink" Target="mailto:shepherd.lorinda@epa.gov" TargetMode="External"/><Relationship Id="rId48" Type="http://schemas.openxmlformats.org/officeDocument/2006/relationships/hyperlink" Target="mailto:glass.geoffrey@epa.gov" TargetMode="External"/><Relationship Id="rId56" Type="http://schemas.openxmlformats.org/officeDocument/2006/relationships/hyperlink" Target="mailto:todd.bill@epa.gov" TargetMode="External"/><Relationship Id="rId64" Type="http://schemas.openxmlformats.org/officeDocument/2006/relationships/hyperlink" Target="mailto:webber.robert@epa.gov" TargetMode="External"/><Relationship Id="rId8" Type="http://schemas.openxmlformats.org/officeDocument/2006/relationships/hyperlink" Target="mailto:Dholakia.umesh@epa.gov" TargetMode="External"/><Relationship Id="rId51" Type="http://schemas.openxmlformats.org/officeDocument/2006/relationships/hyperlink" Target="mailto:Gutierrez.roberto@epa.gov" TargetMode="External"/><Relationship Id="rId3" Type="http://schemas.openxmlformats.org/officeDocument/2006/relationships/hyperlink" Target="mailto:McCahill.brendan@epa.gov" TargetMode="External"/><Relationship Id="rId12" Type="http://schemas.openxmlformats.org/officeDocument/2006/relationships/hyperlink" Target="mailto:shepherd.lorinda@epa.gov" TargetMode="External"/><Relationship Id="rId17" Type="http://schemas.openxmlformats.org/officeDocument/2006/relationships/hyperlink" Target="mailto:smith.claudia@epa.gov" TargetMode="External"/><Relationship Id="rId25" Type="http://schemas.openxmlformats.org/officeDocument/2006/relationships/hyperlink" Target="mailto:paser.kathleen@epa.gov" TargetMode="External"/><Relationship Id="rId33" Type="http://schemas.openxmlformats.org/officeDocument/2006/relationships/hyperlink" Target="mailto:oquendo.ana@epa.gov" TargetMode="External"/><Relationship Id="rId38" Type="http://schemas.openxmlformats.org/officeDocument/2006/relationships/hyperlink" Target="mailto:oquendo.ana@epa.gov" TargetMode="External"/><Relationship Id="rId46" Type="http://schemas.openxmlformats.org/officeDocument/2006/relationships/hyperlink" Target="mailto:glass.geoffrey@epa.gov" TargetMode="External"/><Relationship Id="rId59" Type="http://schemas.openxmlformats.org/officeDocument/2006/relationships/hyperlink" Target="mailto:braganza.bonnie@epa.gov"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epa.gov/oar/oaqps/greenbk/ancl.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mailto:jonathan_dorn@abtassoc.com" TargetMode="External"/><Relationship Id="rId2" Type="http://schemas.openxmlformats.org/officeDocument/2006/relationships/hyperlink" Target="mailto:jonathan_dorn@abtassoc.com" TargetMode="External"/><Relationship Id="rId1" Type="http://schemas.openxmlformats.org/officeDocument/2006/relationships/hyperlink" Target="mailto:jonathan_dorn@abtassoc.com" TargetMode="External"/><Relationship Id="rId5" Type="http://schemas.openxmlformats.org/officeDocument/2006/relationships/printerSettings" Target="../printerSettings/printerSettings9.bin"/><Relationship Id="rId4" Type="http://schemas.openxmlformats.org/officeDocument/2006/relationships/hyperlink" Target="mailto:jonathan_dorn@abtassoc.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7"/>
  <sheetViews>
    <sheetView showGridLines="0" tabSelected="1" zoomScaleNormal="100" workbookViewId="0">
      <selection sqref="A1:XFD1"/>
    </sheetView>
  </sheetViews>
  <sheetFormatPr defaultColWidth="9.109375" defaultRowHeight="13.2" x14ac:dyDescent="0.25"/>
  <cols>
    <col min="1" max="1" width="2.109375" style="264" customWidth="1"/>
    <col min="2" max="2" width="5.88671875" style="271" customWidth="1"/>
    <col min="3" max="3" width="120.88671875" style="272" customWidth="1"/>
    <col min="4" max="16384" width="9.109375" style="264"/>
  </cols>
  <sheetData>
    <row r="1" spans="2:6" ht="17.399999999999999" x14ac:dyDescent="0.25">
      <c r="B1" s="362" t="s">
        <v>377</v>
      </c>
      <c r="C1" s="362"/>
    </row>
    <row r="2" spans="2:6" ht="15.6" x14ac:dyDescent="0.25">
      <c r="B2" s="363" t="s">
        <v>378</v>
      </c>
      <c r="C2" s="363"/>
    </row>
    <row r="3" spans="2:6" x14ac:dyDescent="0.25">
      <c r="B3" s="265"/>
      <c r="C3" s="264"/>
    </row>
    <row r="4" spans="2:6" x14ac:dyDescent="0.25">
      <c r="B4" s="358" t="s">
        <v>379</v>
      </c>
      <c r="C4" s="358"/>
    </row>
    <row r="5" spans="2:6" ht="75" customHeight="1" x14ac:dyDescent="0.25">
      <c r="B5" s="359" t="s">
        <v>414</v>
      </c>
      <c r="C5" s="359"/>
      <c r="F5" s="266"/>
    </row>
    <row r="6" spans="2:6" ht="18" customHeight="1" x14ac:dyDescent="0.25">
      <c r="B6" s="361" t="s">
        <v>415</v>
      </c>
      <c r="C6" s="361"/>
      <c r="F6" s="266"/>
    </row>
    <row r="7" spans="2:6" ht="15" customHeight="1" x14ac:dyDescent="0.25">
      <c r="B7" s="267"/>
      <c r="C7" s="264"/>
    </row>
    <row r="8" spans="2:6" x14ac:dyDescent="0.25">
      <c r="B8" s="358" t="s">
        <v>380</v>
      </c>
      <c r="C8" s="358"/>
    </row>
    <row r="9" spans="2:6" ht="97.5" customHeight="1" x14ac:dyDescent="0.25">
      <c r="B9" s="359" t="s">
        <v>416</v>
      </c>
      <c r="C9" s="359"/>
    </row>
    <row r="10" spans="2:6" ht="15" customHeight="1" x14ac:dyDescent="0.25">
      <c r="B10" s="267"/>
      <c r="C10" s="264"/>
    </row>
    <row r="11" spans="2:6" x14ac:dyDescent="0.25">
      <c r="B11" s="358" t="s">
        <v>381</v>
      </c>
      <c r="C11" s="358"/>
    </row>
    <row r="12" spans="2:6" ht="84" customHeight="1" x14ac:dyDescent="0.25">
      <c r="B12" s="359" t="s">
        <v>417</v>
      </c>
      <c r="C12" s="359"/>
    </row>
    <row r="13" spans="2:6" ht="15" customHeight="1" x14ac:dyDescent="0.25">
      <c r="B13" s="267"/>
      <c r="C13" s="264"/>
    </row>
    <row r="14" spans="2:6" x14ac:dyDescent="0.25">
      <c r="B14" s="358" t="s">
        <v>382</v>
      </c>
      <c r="C14" s="358"/>
    </row>
    <row r="15" spans="2:6" ht="18.75" customHeight="1" x14ac:dyDescent="0.25">
      <c r="B15" s="359" t="s">
        <v>418</v>
      </c>
      <c r="C15" s="359"/>
    </row>
    <row r="16" spans="2:6" ht="15.75" customHeight="1" x14ac:dyDescent="0.25">
      <c r="B16" s="268" t="s">
        <v>383</v>
      </c>
      <c r="C16" s="269" t="s">
        <v>419</v>
      </c>
    </row>
    <row r="17" spans="2:3" ht="27.75" customHeight="1" x14ac:dyDescent="0.25">
      <c r="B17" s="268" t="s">
        <v>384</v>
      </c>
      <c r="C17" s="269" t="s">
        <v>574</v>
      </c>
    </row>
    <row r="18" spans="2:3" ht="9" customHeight="1" x14ac:dyDescent="0.25">
      <c r="B18" s="344"/>
      <c r="C18" s="264"/>
    </row>
    <row r="19" spans="2:3" x14ac:dyDescent="0.25">
      <c r="B19" s="358" t="s">
        <v>385</v>
      </c>
      <c r="C19" s="358"/>
    </row>
    <row r="20" spans="2:3" ht="18" customHeight="1" x14ac:dyDescent="0.25">
      <c r="B20" s="359" t="s">
        <v>386</v>
      </c>
      <c r="C20" s="359"/>
    </row>
    <row r="21" spans="2:3" x14ac:dyDescent="0.25">
      <c r="B21" s="268" t="s">
        <v>383</v>
      </c>
      <c r="C21" s="270" t="s">
        <v>420</v>
      </c>
    </row>
    <row r="22" spans="2:3" x14ac:dyDescent="0.25">
      <c r="B22" s="268" t="s">
        <v>384</v>
      </c>
      <c r="C22" s="270" t="s">
        <v>421</v>
      </c>
    </row>
    <row r="23" spans="2:3" x14ac:dyDescent="0.25">
      <c r="B23" s="268" t="s">
        <v>387</v>
      </c>
      <c r="C23" s="270" t="s">
        <v>422</v>
      </c>
    </row>
    <row r="24" spans="2:3" x14ac:dyDescent="0.25">
      <c r="B24" s="264"/>
      <c r="C24" s="344"/>
    </row>
    <row r="25" spans="2:3" x14ac:dyDescent="0.25">
      <c r="B25" s="358" t="s">
        <v>388</v>
      </c>
      <c r="C25" s="358"/>
    </row>
    <row r="26" spans="2:3" ht="51" customHeight="1" x14ac:dyDescent="0.25">
      <c r="B26" s="360" t="s">
        <v>423</v>
      </c>
      <c r="C26" s="360"/>
    </row>
    <row r="27" spans="2:3" ht="24" customHeight="1" x14ac:dyDescent="0.25">
      <c r="B27" s="361" t="s">
        <v>424</v>
      </c>
      <c r="C27" s="359"/>
    </row>
    <row r="28" spans="2:3" x14ac:dyDescent="0.25">
      <c r="B28" s="191"/>
      <c r="C28" s="264"/>
    </row>
    <row r="29" spans="2:3" x14ac:dyDescent="0.25">
      <c r="B29" s="358" t="s">
        <v>389</v>
      </c>
      <c r="C29" s="358"/>
    </row>
    <row r="30" spans="2:3" ht="53.25" customHeight="1" x14ac:dyDescent="0.25">
      <c r="B30" s="359" t="s">
        <v>425</v>
      </c>
      <c r="C30" s="359"/>
    </row>
    <row r="31" spans="2:3" x14ac:dyDescent="0.25">
      <c r="B31" s="267"/>
      <c r="C31" s="264"/>
    </row>
    <row r="32" spans="2:3" x14ac:dyDescent="0.25">
      <c r="B32" s="358" t="s">
        <v>390</v>
      </c>
      <c r="C32" s="358"/>
    </row>
    <row r="33" spans="2:3" x14ac:dyDescent="0.25">
      <c r="B33" s="268" t="s">
        <v>383</v>
      </c>
      <c r="C33" s="269" t="s">
        <v>426</v>
      </c>
    </row>
    <row r="34" spans="2:3" x14ac:dyDescent="0.25">
      <c r="B34" s="268" t="s">
        <v>384</v>
      </c>
      <c r="C34" s="269" t="s">
        <v>391</v>
      </c>
    </row>
    <row r="35" spans="2:3" ht="26.4" x14ac:dyDescent="0.25">
      <c r="B35" s="268" t="s">
        <v>387</v>
      </c>
      <c r="C35" s="269" t="s">
        <v>575</v>
      </c>
    </row>
    <row r="36" spans="2:3" ht="26.4" x14ac:dyDescent="0.25">
      <c r="B36" s="268" t="s">
        <v>392</v>
      </c>
      <c r="C36" s="269" t="s">
        <v>573</v>
      </c>
    </row>
    <row r="37" spans="2:3" x14ac:dyDescent="0.25">
      <c r="B37" s="268" t="s">
        <v>393</v>
      </c>
      <c r="C37" s="269" t="s">
        <v>394</v>
      </c>
    </row>
  </sheetData>
  <sheetProtection password="C969" sheet="1" objects="1" scenarios="1"/>
  <mergeCells count="19">
    <mergeCell ref="B19:C19"/>
    <mergeCell ref="B1:C1"/>
    <mergeCell ref="B2:C2"/>
    <mergeCell ref="B4:C4"/>
    <mergeCell ref="B5:C5"/>
    <mergeCell ref="B6:C6"/>
    <mergeCell ref="B8:C8"/>
    <mergeCell ref="B9:C9"/>
    <mergeCell ref="B11:C11"/>
    <mergeCell ref="B12:C12"/>
    <mergeCell ref="B14:C14"/>
    <mergeCell ref="B15:C15"/>
    <mergeCell ref="B32:C32"/>
    <mergeCell ref="B20:C20"/>
    <mergeCell ref="B25:C25"/>
    <mergeCell ref="B26:C26"/>
    <mergeCell ref="B27:C27"/>
    <mergeCell ref="B29:C29"/>
    <mergeCell ref="B30:C30"/>
  </mergeCells>
  <hyperlinks>
    <hyperlink ref="B6:C6" r:id="rId1" display="Please visit http://www.epa.gov/air/tribal/tribalnsr.html for more information about the Tribal NSR Rule."/>
    <hyperlink ref="B27" r:id="rId2"/>
  </hyperlinks>
  <pageMargins left="0.7" right="0.7" top="0.75" bottom="0.75" header="0.3" footer="0.3"/>
  <pageSetup scale="71" orientation="portrait" r:id="rId3"/>
  <headerFooter>
    <oddFooter>&amp;LPage &amp;P of &amp;N&amp;C&amp;F&amp;RPrinted &amp;D</oddFooter>
  </headerFooter>
  <ignoredErrors>
    <ignoredError sqref="B16:B17 B21:B23 B33:B36"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pageSetUpPr fitToPage="1"/>
  </sheetPr>
  <dimension ref="A1:I75"/>
  <sheetViews>
    <sheetView showGridLines="0" zoomScaleNormal="100" workbookViewId="0"/>
  </sheetViews>
  <sheetFormatPr defaultColWidth="9.109375" defaultRowHeight="13.2" x14ac:dyDescent="0.25"/>
  <cols>
    <col min="1" max="1" width="48.44140625" style="143" customWidth="1"/>
    <col min="2" max="2" width="17" style="2" customWidth="1"/>
    <col min="3" max="3" width="34.33203125" style="2" customWidth="1"/>
    <col min="4" max="4" width="19.5546875" style="137" customWidth="1"/>
    <col min="5" max="5" width="19" style="137" customWidth="1"/>
    <col min="6" max="6" width="21.88671875" style="137" customWidth="1"/>
    <col min="7" max="7" width="17" style="2" customWidth="1"/>
    <col min="8" max="8" width="19.6640625" style="2" customWidth="1"/>
    <col min="9" max="9" width="40.6640625" style="2" customWidth="1"/>
    <col min="10" max="16384" width="9.109375" style="2"/>
  </cols>
  <sheetData>
    <row r="1" spans="1:9" ht="17.399999999999999" x14ac:dyDescent="0.3">
      <c r="A1" s="1" t="s">
        <v>105</v>
      </c>
      <c r="B1" s="3"/>
    </row>
    <row r="2" spans="1:9" ht="13.5" customHeight="1" x14ac:dyDescent="0.25">
      <c r="A2" s="542"/>
      <c r="B2" s="542"/>
      <c r="C2" s="542"/>
      <c r="D2" s="542"/>
      <c r="E2" s="542"/>
      <c r="F2" s="542"/>
      <c r="G2" s="542"/>
      <c r="H2" s="542"/>
      <c r="I2" s="542"/>
    </row>
    <row r="3" spans="1:9" ht="30.75" customHeight="1" x14ac:dyDescent="0.25">
      <c r="A3" s="327" t="s">
        <v>339</v>
      </c>
      <c r="B3" s="327" t="s">
        <v>36</v>
      </c>
      <c r="C3" s="327" t="s">
        <v>321</v>
      </c>
      <c r="D3" s="328" t="s">
        <v>504</v>
      </c>
      <c r="E3" s="328" t="s">
        <v>503</v>
      </c>
      <c r="F3" s="328" t="s">
        <v>502</v>
      </c>
      <c r="G3" s="327" t="s">
        <v>322</v>
      </c>
      <c r="H3" s="327" t="s">
        <v>323</v>
      </c>
      <c r="I3" s="329" t="s">
        <v>100</v>
      </c>
    </row>
    <row r="4" spans="1:9" s="141" customFormat="1" x14ac:dyDescent="0.25">
      <c r="A4" s="322" t="s">
        <v>324</v>
      </c>
      <c r="B4" s="323" t="s">
        <v>325</v>
      </c>
      <c r="C4" s="324" t="str">
        <f>A4&amp;B4</f>
        <v>Primary CrushingTotal PM</v>
      </c>
      <c r="D4" s="325">
        <f>0.25*D10</f>
        <v>1.3500000000000001E-3</v>
      </c>
      <c r="E4" s="325">
        <f>D4</f>
        <v>1.3500000000000001E-3</v>
      </c>
      <c r="F4" s="325">
        <f>0.25*F10</f>
        <v>2.9999999999999997E-4</v>
      </c>
      <c r="G4" s="326" t="s">
        <v>330</v>
      </c>
      <c r="H4" s="326" t="s">
        <v>331</v>
      </c>
      <c r="I4" s="323" t="s">
        <v>351</v>
      </c>
    </row>
    <row r="5" spans="1:9" s="141" customFormat="1" x14ac:dyDescent="0.25">
      <c r="A5" s="138" t="s">
        <v>324</v>
      </c>
      <c r="B5" s="139" t="s">
        <v>326</v>
      </c>
      <c r="C5" s="140" t="str">
        <f t="shared" ref="C5:C30" si="0">A5&amp;B5</f>
        <v>Primary CrushingPM10</v>
      </c>
      <c r="D5" s="150">
        <f>0.25*D11</f>
        <v>5.9999999999999995E-4</v>
      </c>
      <c r="E5" s="150">
        <f>D5</f>
        <v>5.9999999999999995E-4</v>
      </c>
      <c r="F5" s="150">
        <f>0.25*F11</f>
        <v>1.35E-4</v>
      </c>
      <c r="G5" s="62" t="s">
        <v>330</v>
      </c>
      <c r="H5" s="62" t="s">
        <v>331</v>
      </c>
      <c r="I5" s="139" t="s">
        <v>351</v>
      </c>
    </row>
    <row r="6" spans="1:9" s="141" customFormat="1" x14ac:dyDescent="0.25">
      <c r="A6" s="138" t="s">
        <v>324</v>
      </c>
      <c r="B6" s="139" t="s">
        <v>327</v>
      </c>
      <c r="C6" s="140" t="str">
        <f t="shared" si="0"/>
        <v>Primary CrushingPM2.5</v>
      </c>
      <c r="D6" s="150">
        <f>0.25*D12</f>
        <v>2.9999999999999997E-4</v>
      </c>
      <c r="E6" s="150">
        <f>0.25*E12</f>
        <v>2.9999999999999997E-4</v>
      </c>
      <c r="F6" s="150">
        <f>0.25*F12</f>
        <v>2.5000000000000001E-5</v>
      </c>
      <c r="G6" s="62" t="s">
        <v>330</v>
      </c>
      <c r="H6" s="62" t="s">
        <v>331</v>
      </c>
      <c r="I6" s="139" t="s">
        <v>351</v>
      </c>
    </row>
    <row r="7" spans="1:9" s="141" customFormat="1" x14ac:dyDescent="0.25">
      <c r="A7" s="138" t="s">
        <v>328</v>
      </c>
      <c r="B7" s="139" t="s">
        <v>325</v>
      </c>
      <c r="C7" s="140" t="str">
        <f t="shared" si="0"/>
        <v>Secondary CrushingTotal PM</v>
      </c>
      <c r="D7" s="150">
        <f>0.5*D10</f>
        <v>2.7000000000000001E-3</v>
      </c>
      <c r="E7" s="150">
        <f>D7</f>
        <v>2.7000000000000001E-3</v>
      </c>
      <c r="F7" s="150">
        <f>0.5*F10</f>
        <v>5.9999999999999995E-4</v>
      </c>
      <c r="G7" s="62" t="s">
        <v>330</v>
      </c>
      <c r="H7" s="62" t="s">
        <v>331</v>
      </c>
      <c r="I7" s="139" t="s">
        <v>352</v>
      </c>
    </row>
    <row r="8" spans="1:9" s="141" customFormat="1" x14ac:dyDescent="0.25">
      <c r="A8" s="138" t="s">
        <v>328</v>
      </c>
      <c r="B8" s="139" t="s">
        <v>326</v>
      </c>
      <c r="C8" s="140" t="str">
        <f t="shared" si="0"/>
        <v>Secondary CrushingPM10</v>
      </c>
      <c r="D8" s="150">
        <f>0.5*D11</f>
        <v>1.1999999999999999E-3</v>
      </c>
      <c r="E8" s="150">
        <f>0.5*E11</f>
        <v>1.1999999999999999E-3</v>
      </c>
      <c r="F8" s="150">
        <f>0.5*F11</f>
        <v>2.7E-4</v>
      </c>
      <c r="G8" s="62" t="s">
        <v>330</v>
      </c>
      <c r="H8" s="62" t="s">
        <v>331</v>
      </c>
      <c r="I8" s="139" t="s">
        <v>352</v>
      </c>
    </row>
    <row r="9" spans="1:9" s="141" customFormat="1" x14ac:dyDescent="0.25">
      <c r="A9" s="138" t="s">
        <v>328</v>
      </c>
      <c r="B9" s="139" t="s">
        <v>327</v>
      </c>
      <c r="C9" s="140" t="str">
        <f t="shared" si="0"/>
        <v>Secondary CrushingPM2.5</v>
      </c>
      <c r="D9" s="150">
        <f>0.5*D12</f>
        <v>5.9999999999999995E-4</v>
      </c>
      <c r="E9" s="150">
        <f>0.5*E12</f>
        <v>5.9999999999999995E-4</v>
      </c>
      <c r="F9" s="150">
        <f>0.5*F12</f>
        <v>5.0000000000000002E-5</v>
      </c>
      <c r="G9" s="62" t="s">
        <v>330</v>
      </c>
      <c r="H9" s="62" t="s">
        <v>331</v>
      </c>
      <c r="I9" s="139" t="s">
        <v>352</v>
      </c>
    </row>
    <row r="10" spans="1:9" s="141" customFormat="1" x14ac:dyDescent="0.25">
      <c r="A10" s="138" t="s">
        <v>329</v>
      </c>
      <c r="B10" s="139" t="s">
        <v>325</v>
      </c>
      <c r="C10" s="140" t="str">
        <f t="shared" si="0"/>
        <v>Tertiary CrushingTotal PM</v>
      </c>
      <c r="D10" s="142">
        <v>5.4000000000000003E-3</v>
      </c>
      <c r="E10" s="142">
        <f>D10</f>
        <v>5.4000000000000003E-3</v>
      </c>
      <c r="F10" s="142">
        <v>1.1999999999999999E-3</v>
      </c>
      <c r="G10" s="62" t="s">
        <v>330</v>
      </c>
      <c r="H10" s="62" t="s">
        <v>331</v>
      </c>
      <c r="I10" s="139" t="s">
        <v>332</v>
      </c>
    </row>
    <row r="11" spans="1:9" s="141" customFormat="1" x14ac:dyDescent="0.25">
      <c r="A11" s="138" t="s">
        <v>329</v>
      </c>
      <c r="B11" s="139" t="s">
        <v>326</v>
      </c>
      <c r="C11" s="140" t="str">
        <f t="shared" si="0"/>
        <v>Tertiary CrushingPM10</v>
      </c>
      <c r="D11" s="142">
        <v>2.3999999999999998E-3</v>
      </c>
      <c r="E11" s="142">
        <f t="shared" ref="E11:E29" si="1">D11</f>
        <v>2.3999999999999998E-3</v>
      </c>
      <c r="F11" s="142">
        <v>5.4000000000000001E-4</v>
      </c>
      <c r="G11" s="62" t="s">
        <v>330</v>
      </c>
      <c r="H11" s="62" t="s">
        <v>331</v>
      </c>
      <c r="I11" s="139" t="s">
        <v>332</v>
      </c>
    </row>
    <row r="12" spans="1:9" s="141" customFormat="1" ht="15.6" x14ac:dyDescent="0.35">
      <c r="A12" s="138" t="s">
        <v>329</v>
      </c>
      <c r="B12" s="139" t="s">
        <v>327</v>
      </c>
      <c r="C12" s="140" t="str">
        <f t="shared" si="0"/>
        <v>Tertiary CrushingPM2.5</v>
      </c>
      <c r="D12" s="335">
        <f>D11*0.5</f>
        <v>1.1999999999999999E-3</v>
      </c>
      <c r="E12" s="335">
        <f>E11*0.5</f>
        <v>1.1999999999999999E-3</v>
      </c>
      <c r="F12" s="335">
        <v>1E-4</v>
      </c>
      <c r="G12" s="62" t="s">
        <v>330</v>
      </c>
      <c r="H12" s="62" t="s">
        <v>331</v>
      </c>
      <c r="I12" s="139" t="s">
        <v>516</v>
      </c>
    </row>
    <row r="13" spans="1:9" s="141" customFormat="1" x14ac:dyDescent="0.25">
      <c r="A13" s="138" t="s">
        <v>333</v>
      </c>
      <c r="B13" s="139" t="s">
        <v>325</v>
      </c>
      <c r="C13" s="140" t="str">
        <f t="shared" si="0"/>
        <v>Fines CrushingTotal PM</v>
      </c>
      <c r="D13" s="150">
        <v>3.9E-2</v>
      </c>
      <c r="E13" s="150">
        <f>D13</f>
        <v>3.9E-2</v>
      </c>
      <c r="F13" s="150">
        <v>3.0000000000000001E-3</v>
      </c>
      <c r="G13" s="62" t="s">
        <v>330</v>
      </c>
      <c r="H13" s="62" t="s">
        <v>331</v>
      </c>
      <c r="I13" s="139" t="s">
        <v>332</v>
      </c>
    </row>
    <row r="14" spans="1:9" s="141" customFormat="1" x14ac:dyDescent="0.25">
      <c r="A14" s="138" t="s">
        <v>333</v>
      </c>
      <c r="B14" s="139" t="s">
        <v>326</v>
      </c>
      <c r="C14" s="140" t="str">
        <f t="shared" si="0"/>
        <v>Fines CrushingPM10</v>
      </c>
      <c r="D14" s="150">
        <v>1.4999999999999999E-2</v>
      </c>
      <c r="E14" s="150">
        <f>D14</f>
        <v>1.4999999999999999E-2</v>
      </c>
      <c r="F14" s="150">
        <v>1.1999999999999999E-3</v>
      </c>
      <c r="G14" s="62" t="s">
        <v>330</v>
      </c>
      <c r="H14" s="62" t="s">
        <v>331</v>
      </c>
      <c r="I14" s="139" t="s">
        <v>332</v>
      </c>
    </row>
    <row r="15" spans="1:9" s="141" customFormat="1" ht="15.6" x14ac:dyDescent="0.35">
      <c r="A15" s="138" t="s">
        <v>333</v>
      </c>
      <c r="B15" s="139" t="s">
        <v>327</v>
      </c>
      <c r="C15" s="140" t="str">
        <f t="shared" si="0"/>
        <v>Fines CrushingPM2.5</v>
      </c>
      <c r="D15" s="150">
        <f>D14*0.5</f>
        <v>7.4999999999999997E-3</v>
      </c>
      <c r="E15" s="150">
        <f>E14*0.5</f>
        <v>7.4999999999999997E-3</v>
      </c>
      <c r="F15" s="150">
        <v>6.9999999999999994E-5</v>
      </c>
      <c r="G15" s="62" t="s">
        <v>330</v>
      </c>
      <c r="H15" s="62" t="s">
        <v>331</v>
      </c>
      <c r="I15" s="139" t="s">
        <v>516</v>
      </c>
    </row>
    <row r="16" spans="1:9" s="141" customFormat="1" x14ac:dyDescent="0.25">
      <c r="A16" s="138" t="s">
        <v>343</v>
      </c>
      <c r="B16" s="139" t="s">
        <v>325</v>
      </c>
      <c r="C16" s="140" t="str">
        <f t="shared" ref="C16:C18" si="2">A16&amp;B16</f>
        <v>Primary ScreeningTotal PM</v>
      </c>
      <c r="D16" s="150">
        <f>D22*0.25</f>
        <v>6.2500000000000003E-3</v>
      </c>
      <c r="E16" s="150">
        <f>D16</f>
        <v>6.2500000000000003E-3</v>
      </c>
      <c r="F16" s="325">
        <f>0.25*F22</f>
        <v>5.5000000000000003E-4</v>
      </c>
      <c r="G16" s="62" t="s">
        <v>330</v>
      </c>
      <c r="H16" s="62" t="s">
        <v>331</v>
      </c>
      <c r="I16" s="139" t="s">
        <v>353</v>
      </c>
    </row>
    <row r="17" spans="1:9" s="141" customFormat="1" x14ac:dyDescent="0.25">
      <c r="A17" s="138" t="s">
        <v>343</v>
      </c>
      <c r="B17" s="139" t="s">
        <v>326</v>
      </c>
      <c r="C17" s="140" t="str">
        <f t="shared" si="2"/>
        <v>Primary ScreeningPM10</v>
      </c>
      <c r="D17" s="150">
        <f>D23*0.25</f>
        <v>2.1749999999999999E-3</v>
      </c>
      <c r="E17" s="150">
        <f t="shared" si="1"/>
        <v>2.1749999999999999E-3</v>
      </c>
      <c r="F17" s="150">
        <f>0.25*F23</f>
        <v>1.85E-4</v>
      </c>
      <c r="G17" s="62" t="s">
        <v>330</v>
      </c>
      <c r="H17" s="62" t="s">
        <v>331</v>
      </c>
      <c r="I17" s="139" t="s">
        <v>353</v>
      </c>
    </row>
    <row r="18" spans="1:9" s="141" customFormat="1" ht="15.6" x14ac:dyDescent="0.35">
      <c r="A18" s="138" t="s">
        <v>343</v>
      </c>
      <c r="B18" s="139" t="s">
        <v>327</v>
      </c>
      <c r="C18" s="140" t="str">
        <f t="shared" si="2"/>
        <v>Primary ScreeningPM2.5</v>
      </c>
      <c r="D18" s="150">
        <f>D17*0.5</f>
        <v>1.0874999999999999E-3</v>
      </c>
      <c r="E18" s="150">
        <f>E17*0.5</f>
        <v>1.0874999999999999E-3</v>
      </c>
      <c r="F18" s="150">
        <f>0.25*F24</f>
        <v>1.2500000000000001E-5</v>
      </c>
      <c r="G18" s="62" t="s">
        <v>330</v>
      </c>
      <c r="H18" s="62" t="s">
        <v>331</v>
      </c>
      <c r="I18" s="139" t="s">
        <v>516</v>
      </c>
    </row>
    <row r="19" spans="1:9" s="141" customFormat="1" x14ac:dyDescent="0.25">
      <c r="A19" s="138" t="s">
        <v>344</v>
      </c>
      <c r="B19" s="139" t="s">
        <v>325</v>
      </c>
      <c r="C19" s="140" t="str">
        <f t="shared" si="0"/>
        <v>Secondary ScreeningTotal PM</v>
      </c>
      <c r="D19" s="150">
        <f>D22*0.5</f>
        <v>1.2500000000000001E-2</v>
      </c>
      <c r="E19" s="150">
        <f>D19</f>
        <v>1.2500000000000001E-2</v>
      </c>
      <c r="F19" s="150">
        <f>0.5*F22</f>
        <v>1.1000000000000001E-3</v>
      </c>
      <c r="G19" s="62" t="s">
        <v>330</v>
      </c>
      <c r="H19" s="62" t="s">
        <v>331</v>
      </c>
      <c r="I19" s="139" t="s">
        <v>354</v>
      </c>
    </row>
    <row r="20" spans="1:9" s="141" customFormat="1" x14ac:dyDescent="0.25">
      <c r="A20" s="138" t="s">
        <v>344</v>
      </c>
      <c r="B20" s="139" t="s">
        <v>326</v>
      </c>
      <c r="C20" s="140" t="str">
        <f t="shared" si="0"/>
        <v>Secondary ScreeningPM10</v>
      </c>
      <c r="D20" s="150">
        <f>D23*0.5</f>
        <v>4.3499999999999997E-3</v>
      </c>
      <c r="E20" s="150">
        <f>D20</f>
        <v>4.3499999999999997E-3</v>
      </c>
      <c r="F20" s="150">
        <f>0.5*F23</f>
        <v>3.6999999999999999E-4</v>
      </c>
      <c r="G20" s="62" t="s">
        <v>330</v>
      </c>
      <c r="H20" s="62" t="s">
        <v>331</v>
      </c>
      <c r="I20" s="139" t="s">
        <v>354</v>
      </c>
    </row>
    <row r="21" spans="1:9" s="141" customFormat="1" ht="15.6" x14ac:dyDescent="0.35">
      <c r="A21" s="138" t="s">
        <v>344</v>
      </c>
      <c r="B21" s="139" t="s">
        <v>327</v>
      </c>
      <c r="C21" s="140" t="str">
        <f t="shared" si="0"/>
        <v>Secondary ScreeningPM2.5</v>
      </c>
      <c r="D21" s="150">
        <f>D20*0.5</f>
        <v>2.1749999999999999E-3</v>
      </c>
      <c r="E21" s="150">
        <f>E20*0.5</f>
        <v>2.1749999999999999E-3</v>
      </c>
      <c r="F21" s="150">
        <f>0.5*F24</f>
        <v>2.5000000000000001E-5</v>
      </c>
      <c r="G21" s="62" t="s">
        <v>330</v>
      </c>
      <c r="H21" s="62" t="s">
        <v>331</v>
      </c>
      <c r="I21" s="139" t="s">
        <v>516</v>
      </c>
    </row>
    <row r="22" spans="1:9" s="141" customFormat="1" x14ac:dyDescent="0.25">
      <c r="A22" s="138" t="s">
        <v>345</v>
      </c>
      <c r="B22" s="139" t="s">
        <v>325</v>
      </c>
      <c r="C22" s="140" t="str">
        <f t="shared" ref="C22:C24" si="3">A22&amp;B22</f>
        <v>Tertiary ScreeningTotal PM</v>
      </c>
      <c r="D22" s="150">
        <v>2.5000000000000001E-2</v>
      </c>
      <c r="E22" s="150">
        <f t="shared" si="1"/>
        <v>2.5000000000000001E-2</v>
      </c>
      <c r="F22" s="150">
        <v>2.2000000000000001E-3</v>
      </c>
      <c r="G22" s="62" t="s">
        <v>330</v>
      </c>
      <c r="H22" s="62" t="s">
        <v>331</v>
      </c>
      <c r="I22" s="139" t="s">
        <v>332</v>
      </c>
    </row>
    <row r="23" spans="1:9" s="141" customFormat="1" x14ac:dyDescent="0.25">
      <c r="A23" s="138" t="s">
        <v>345</v>
      </c>
      <c r="B23" s="139" t="s">
        <v>326</v>
      </c>
      <c r="C23" s="140" t="str">
        <f t="shared" si="3"/>
        <v>Tertiary ScreeningPM10</v>
      </c>
      <c r="D23" s="150">
        <v>8.6999999999999994E-3</v>
      </c>
      <c r="E23" s="150">
        <f t="shared" si="1"/>
        <v>8.6999999999999994E-3</v>
      </c>
      <c r="F23" s="150">
        <v>7.3999999999999999E-4</v>
      </c>
      <c r="G23" s="62" t="s">
        <v>330</v>
      </c>
      <c r="H23" s="62" t="s">
        <v>331</v>
      </c>
      <c r="I23" s="139" t="s">
        <v>332</v>
      </c>
    </row>
    <row r="24" spans="1:9" s="141" customFormat="1" ht="15.6" x14ac:dyDescent="0.35">
      <c r="A24" s="138" t="s">
        <v>345</v>
      </c>
      <c r="B24" s="139" t="s">
        <v>327</v>
      </c>
      <c r="C24" s="140" t="str">
        <f t="shared" si="3"/>
        <v>Tertiary ScreeningPM2.5</v>
      </c>
      <c r="D24" s="150">
        <f>D23*0.5</f>
        <v>4.3499999999999997E-3</v>
      </c>
      <c r="E24" s="150">
        <f>E23*0.5</f>
        <v>4.3499999999999997E-3</v>
      </c>
      <c r="F24" s="150">
        <v>5.0000000000000002E-5</v>
      </c>
      <c r="G24" s="62" t="s">
        <v>330</v>
      </c>
      <c r="H24" s="62" t="s">
        <v>331</v>
      </c>
      <c r="I24" s="139" t="s">
        <v>516</v>
      </c>
    </row>
    <row r="25" spans="1:9" s="141" customFormat="1" x14ac:dyDescent="0.25">
      <c r="A25" s="138" t="s">
        <v>334</v>
      </c>
      <c r="B25" s="139" t="s">
        <v>325</v>
      </c>
      <c r="C25" s="140" t="str">
        <f t="shared" si="0"/>
        <v>Fines ScreeningTotal PM</v>
      </c>
      <c r="D25" s="150">
        <v>0.3</v>
      </c>
      <c r="E25" s="150">
        <f t="shared" si="1"/>
        <v>0.3</v>
      </c>
      <c r="F25" s="150">
        <v>3.5999999999999999E-3</v>
      </c>
      <c r="G25" s="62" t="s">
        <v>330</v>
      </c>
      <c r="H25" s="62" t="s">
        <v>331</v>
      </c>
      <c r="I25" s="139" t="s">
        <v>332</v>
      </c>
    </row>
    <row r="26" spans="1:9" s="141" customFormat="1" x14ac:dyDescent="0.25">
      <c r="A26" s="138" t="s">
        <v>334</v>
      </c>
      <c r="B26" s="139" t="s">
        <v>326</v>
      </c>
      <c r="C26" s="140" t="str">
        <f t="shared" si="0"/>
        <v>Fines ScreeningPM10</v>
      </c>
      <c r="D26" s="150">
        <v>7.1999999999999995E-2</v>
      </c>
      <c r="E26" s="150">
        <f t="shared" si="1"/>
        <v>7.1999999999999995E-2</v>
      </c>
      <c r="F26" s="150">
        <v>2.2000000000000001E-3</v>
      </c>
      <c r="G26" s="62" t="s">
        <v>330</v>
      </c>
      <c r="H26" s="62" t="s">
        <v>331</v>
      </c>
      <c r="I26" s="139" t="s">
        <v>332</v>
      </c>
    </row>
    <row r="27" spans="1:9" s="141" customFormat="1" ht="15.6" x14ac:dyDescent="0.35">
      <c r="A27" s="138" t="s">
        <v>334</v>
      </c>
      <c r="B27" s="139" t="s">
        <v>327</v>
      </c>
      <c r="C27" s="140" t="str">
        <f t="shared" si="0"/>
        <v>Fines ScreeningPM2.5</v>
      </c>
      <c r="D27" s="150">
        <f>D26*0.5</f>
        <v>3.5999999999999997E-2</v>
      </c>
      <c r="E27" s="150">
        <f>E26*0.5</f>
        <v>3.5999999999999997E-2</v>
      </c>
      <c r="F27" s="150">
        <f>F26*0.5</f>
        <v>1.1000000000000001E-3</v>
      </c>
      <c r="G27" s="62" t="s">
        <v>330</v>
      </c>
      <c r="H27" s="62" t="s">
        <v>331</v>
      </c>
      <c r="I27" s="139" t="s">
        <v>516</v>
      </c>
    </row>
    <row r="28" spans="1:9" s="141" customFormat="1" x14ac:dyDescent="0.25">
      <c r="A28" s="138" t="s">
        <v>335</v>
      </c>
      <c r="B28" s="139" t="s">
        <v>325</v>
      </c>
      <c r="C28" s="140" t="str">
        <f t="shared" si="0"/>
        <v>Conveyor Transfer PointTotal PM</v>
      </c>
      <c r="D28" s="150">
        <v>3.0000000000000001E-3</v>
      </c>
      <c r="E28" s="150">
        <f t="shared" si="1"/>
        <v>3.0000000000000001E-3</v>
      </c>
      <c r="F28" s="150">
        <v>1.3999999999999999E-4</v>
      </c>
      <c r="G28" s="62" t="s">
        <v>330</v>
      </c>
      <c r="H28" s="62" t="s">
        <v>331</v>
      </c>
      <c r="I28" s="139" t="s">
        <v>332</v>
      </c>
    </row>
    <row r="29" spans="1:9" s="141" customFormat="1" x14ac:dyDescent="0.25">
      <c r="A29" s="138" t="s">
        <v>335</v>
      </c>
      <c r="B29" s="139" t="s">
        <v>326</v>
      </c>
      <c r="C29" s="140" t="str">
        <f t="shared" si="0"/>
        <v>Conveyor Transfer PointPM10</v>
      </c>
      <c r="D29" s="142">
        <v>1.1000000000000001E-3</v>
      </c>
      <c r="E29" s="142">
        <f t="shared" si="1"/>
        <v>1.1000000000000001E-3</v>
      </c>
      <c r="F29" s="142">
        <v>4.6E-5</v>
      </c>
      <c r="G29" s="62" t="s">
        <v>330</v>
      </c>
      <c r="H29" s="62" t="s">
        <v>331</v>
      </c>
      <c r="I29" s="139" t="s">
        <v>332</v>
      </c>
    </row>
    <row r="30" spans="1:9" s="141" customFormat="1" ht="15.6" x14ac:dyDescent="0.35">
      <c r="A30" s="138" t="s">
        <v>335</v>
      </c>
      <c r="B30" s="139" t="s">
        <v>327</v>
      </c>
      <c r="C30" s="140" t="str">
        <f t="shared" si="0"/>
        <v>Conveyor Transfer PointPM2.5</v>
      </c>
      <c r="D30" s="150">
        <f>D29*0.15</f>
        <v>1.65E-4</v>
      </c>
      <c r="E30" s="150">
        <f>E29*0.15</f>
        <v>1.65E-4</v>
      </c>
      <c r="F30" s="150">
        <v>1.2999999999999999E-5</v>
      </c>
      <c r="G30" s="62" t="s">
        <v>330</v>
      </c>
      <c r="H30" s="62" t="s">
        <v>331</v>
      </c>
      <c r="I30" s="139" t="s">
        <v>514</v>
      </c>
    </row>
    <row r="31" spans="1:9" s="141" customFormat="1" x14ac:dyDescent="0.25">
      <c r="A31" s="143"/>
      <c r="B31" s="2"/>
      <c r="C31" s="2"/>
      <c r="D31" s="137"/>
      <c r="E31" s="137"/>
      <c r="F31" s="137"/>
      <c r="G31" s="2"/>
      <c r="H31" s="45"/>
      <c r="I31" s="2"/>
    </row>
    <row r="32" spans="1:9" s="141" customFormat="1" ht="36" customHeight="1" x14ac:dyDescent="0.25">
      <c r="A32" s="543" t="s">
        <v>515</v>
      </c>
      <c r="B32" s="543"/>
      <c r="C32" s="543"/>
      <c r="D32" s="543"/>
      <c r="E32" s="543"/>
      <c r="F32" s="543"/>
      <c r="G32" s="543"/>
      <c r="H32" s="543"/>
      <c r="I32" s="543"/>
    </row>
    <row r="33" spans="1:9" s="141" customFormat="1" x14ac:dyDescent="0.25">
      <c r="A33" s="143"/>
      <c r="B33" s="2"/>
      <c r="C33" s="2"/>
      <c r="D33" s="137"/>
      <c r="E33" s="137"/>
      <c r="F33" s="137"/>
      <c r="G33" s="2"/>
      <c r="H33" s="2"/>
      <c r="I33" s="2"/>
    </row>
    <row r="34" spans="1:9" s="141" customFormat="1" x14ac:dyDescent="0.25">
      <c r="A34" s="544" t="s">
        <v>517</v>
      </c>
      <c r="B34" s="544"/>
      <c r="C34" s="544"/>
      <c r="D34" s="544"/>
      <c r="E34" s="544"/>
      <c r="F34" s="544"/>
      <c r="G34" s="2"/>
      <c r="H34" s="2"/>
      <c r="I34" s="2"/>
    </row>
    <row r="35" spans="1:9" s="141" customFormat="1" x14ac:dyDescent="0.25">
      <c r="A35" s="332" t="s">
        <v>505</v>
      </c>
      <c r="B35" s="178"/>
      <c r="C35" s="178"/>
      <c r="D35" s="178"/>
      <c r="E35" s="178"/>
      <c r="F35" s="333"/>
      <c r="G35" s="2"/>
      <c r="H35" s="2"/>
      <c r="I35" s="2"/>
    </row>
    <row r="36" spans="1:9" s="141" customFormat="1" x14ac:dyDescent="0.25">
      <c r="A36" s="332" t="s">
        <v>506</v>
      </c>
      <c r="B36" s="178"/>
      <c r="C36" s="178"/>
      <c r="D36" s="178"/>
      <c r="E36" s="178"/>
      <c r="F36" s="333"/>
      <c r="G36" s="2"/>
      <c r="H36" s="2"/>
      <c r="I36" s="2"/>
    </row>
    <row r="37" spans="1:9" s="141" customFormat="1" x14ac:dyDescent="0.25">
      <c r="A37" s="332" t="s">
        <v>507</v>
      </c>
      <c r="B37" s="178"/>
      <c r="C37" s="178"/>
      <c r="D37" s="178"/>
      <c r="E37" s="178"/>
      <c r="F37" s="333"/>
      <c r="G37" s="2"/>
      <c r="H37" s="2"/>
      <c r="I37" s="2"/>
    </row>
    <row r="38" spans="1:9" s="141" customFormat="1" x14ac:dyDescent="0.25">
      <c r="A38" s="334"/>
      <c r="B38" s="178"/>
      <c r="C38" s="178"/>
      <c r="D38" s="178"/>
      <c r="E38" s="178"/>
      <c r="F38" s="333"/>
      <c r="G38" s="2"/>
      <c r="H38" s="2"/>
      <c r="I38" s="2"/>
    </row>
    <row r="39" spans="1:9" s="141" customFormat="1" ht="26.4" x14ac:dyDescent="0.25">
      <c r="A39" s="330" t="s">
        <v>508</v>
      </c>
      <c r="B39" s="330" t="s">
        <v>509</v>
      </c>
      <c r="C39" s="330" t="s">
        <v>510</v>
      </c>
      <c r="D39" s="330" t="s">
        <v>511</v>
      </c>
      <c r="E39" s="330" t="s">
        <v>512</v>
      </c>
      <c r="F39" s="330" t="s">
        <v>513</v>
      </c>
      <c r="G39" s="2"/>
      <c r="H39" s="2"/>
      <c r="I39" s="2"/>
    </row>
    <row r="40" spans="1:9" s="141" customFormat="1" x14ac:dyDescent="0.25">
      <c r="A40" s="331">
        <f>3/16</f>
        <v>0.1875</v>
      </c>
      <c r="B40" s="331">
        <f t="shared" ref="B40:B45" si="4">A40^3</f>
        <v>6.591796875E-3</v>
      </c>
      <c r="C40" s="331">
        <f t="shared" ref="C40:C45" si="5">A40*6</f>
        <v>1.125</v>
      </c>
      <c r="D40" s="336">
        <f t="shared" ref="D40:D45" si="6">(12*12*12)/B40</f>
        <v>262144</v>
      </c>
      <c r="E40" s="336">
        <f t="shared" ref="E40:E45" si="7">C40*D40</f>
        <v>294912</v>
      </c>
      <c r="F40" s="336">
        <f t="shared" ref="F40:F45" si="8">E40/288</f>
        <v>1024</v>
      </c>
      <c r="G40" s="2"/>
      <c r="H40" s="2"/>
      <c r="I40" s="2"/>
    </row>
    <row r="41" spans="1:9" s="141" customFormat="1" x14ac:dyDescent="0.25">
      <c r="A41" s="331">
        <f>1/2</f>
        <v>0.5</v>
      </c>
      <c r="B41" s="331">
        <f t="shared" si="4"/>
        <v>0.125</v>
      </c>
      <c r="C41" s="331">
        <f t="shared" si="5"/>
        <v>3</v>
      </c>
      <c r="D41" s="336">
        <f t="shared" si="6"/>
        <v>13824</v>
      </c>
      <c r="E41" s="336">
        <f t="shared" si="7"/>
        <v>41472</v>
      </c>
      <c r="F41" s="336">
        <f t="shared" si="8"/>
        <v>144</v>
      </c>
      <c r="G41" s="2"/>
      <c r="H41" s="2"/>
      <c r="I41" s="2"/>
    </row>
    <row r="42" spans="1:9" s="141" customFormat="1" x14ac:dyDescent="0.25">
      <c r="A42" s="331">
        <v>1</v>
      </c>
      <c r="B42" s="331">
        <f t="shared" si="4"/>
        <v>1</v>
      </c>
      <c r="C42" s="331">
        <f t="shared" si="5"/>
        <v>6</v>
      </c>
      <c r="D42" s="336">
        <f t="shared" si="6"/>
        <v>1728</v>
      </c>
      <c r="E42" s="336">
        <f t="shared" si="7"/>
        <v>10368</v>
      </c>
      <c r="F42" s="336">
        <f t="shared" si="8"/>
        <v>36</v>
      </c>
      <c r="G42" s="2"/>
      <c r="H42" s="2"/>
      <c r="I42" s="2"/>
    </row>
    <row r="43" spans="1:9" s="141" customFormat="1" x14ac:dyDescent="0.25">
      <c r="A43" s="331">
        <v>2</v>
      </c>
      <c r="B43" s="331">
        <f t="shared" si="4"/>
        <v>8</v>
      </c>
      <c r="C43" s="331">
        <f t="shared" si="5"/>
        <v>12</v>
      </c>
      <c r="D43" s="336">
        <f t="shared" si="6"/>
        <v>216</v>
      </c>
      <c r="E43" s="336">
        <f t="shared" si="7"/>
        <v>2592</v>
      </c>
      <c r="F43" s="336">
        <f t="shared" si="8"/>
        <v>9</v>
      </c>
      <c r="G43" s="2"/>
      <c r="H43" s="2"/>
      <c r="I43" s="2"/>
    </row>
    <row r="44" spans="1:9" s="141" customFormat="1" x14ac:dyDescent="0.25">
      <c r="A44" s="331">
        <v>3</v>
      </c>
      <c r="B44" s="331">
        <f t="shared" si="4"/>
        <v>27</v>
      </c>
      <c r="C44" s="331">
        <f t="shared" si="5"/>
        <v>18</v>
      </c>
      <c r="D44" s="336">
        <f t="shared" si="6"/>
        <v>64</v>
      </c>
      <c r="E44" s="336">
        <f t="shared" si="7"/>
        <v>1152</v>
      </c>
      <c r="F44" s="336">
        <f t="shared" si="8"/>
        <v>4</v>
      </c>
      <c r="G44" s="2"/>
      <c r="H44" s="2"/>
      <c r="I44" s="2"/>
    </row>
    <row r="45" spans="1:9" s="141" customFormat="1" x14ac:dyDescent="0.25">
      <c r="A45" s="331">
        <v>6</v>
      </c>
      <c r="B45" s="331">
        <f t="shared" si="4"/>
        <v>216</v>
      </c>
      <c r="C45" s="331">
        <f t="shared" si="5"/>
        <v>36</v>
      </c>
      <c r="D45" s="331">
        <f t="shared" si="6"/>
        <v>8</v>
      </c>
      <c r="E45" s="331">
        <f t="shared" si="7"/>
        <v>288</v>
      </c>
      <c r="F45" s="331">
        <f t="shared" si="8"/>
        <v>1</v>
      </c>
      <c r="G45" s="2"/>
      <c r="H45" s="2"/>
      <c r="I45" s="2"/>
    </row>
    <row r="46" spans="1:9" s="141" customFormat="1" x14ac:dyDescent="0.25">
      <c r="A46" s="143"/>
      <c r="B46" s="2"/>
      <c r="C46" s="2"/>
      <c r="D46" s="137"/>
      <c r="E46" s="137"/>
      <c r="F46" s="137"/>
      <c r="G46" s="2"/>
      <c r="H46" s="2"/>
      <c r="I46" s="2"/>
    </row>
    <row r="47" spans="1:9" s="141" customFormat="1" x14ac:dyDescent="0.25">
      <c r="A47" s="143"/>
      <c r="B47" s="2"/>
      <c r="C47" s="2"/>
      <c r="D47" s="137"/>
      <c r="E47" s="137"/>
      <c r="F47" s="137"/>
      <c r="G47" s="2"/>
      <c r="H47" s="2"/>
      <c r="I47" s="2"/>
    </row>
    <row r="48" spans="1:9" s="141" customFormat="1" x14ac:dyDescent="0.25">
      <c r="A48" s="143"/>
      <c r="B48" s="2"/>
      <c r="C48" s="2"/>
      <c r="D48" s="137"/>
      <c r="E48" s="137"/>
      <c r="F48" s="137"/>
      <c r="G48" s="2"/>
      <c r="H48" s="2"/>
      <c r="I48" s="2"/>
    </row>
    <row r="49" spans="1:9" s="141" customFormat="1" x14ac:dyDescent="0.25">
      <c r="A49" s="143"/>
      <c r="B49" s="2"/>
      <c r="C49" s="2"/>
      <c r="D49" s="137"/>
      <c r="E49" s="137"/>
      <c r="F49" s="137"/>
      <c r="G49" s="2"/>
      <c r="H49" s="2"/>
      <c r="I49" s="2"/>
    </row>
    <row r="50" spans="1:9" s="141" customFormat="1" x14ac:dyDescent="0.25">
      <c r="A50" s="143"/>
      <c r="B50" s="2"/>
      <c r="C50" s="2"/>
      <c r="D50" s="137"/>
      <c r="E50" s="137"/>
      <c r="F50" s="137"/>
      <c r="G50" s="2"/>
      <c r="H50" s="2"/>
      <c r="I50" s="2"/>
    </row>
    <row r="51" spans="1:9" s="144" customFormat="1" x14ac:dyDescent="0.25">
      <c r="A51" s="143"/>
      <c r="B51" s="2"/>
      <c r="C51" s="2"/>
      <c r="D51" s="137"/>
      <c r="E51" s="137"/>
      <c r="F51" s="137"/>
      <c r="G51" s="2"/>
      <c r="H51" s="2"/>
      <c r="I51" s="2"/>
    </row>
    <row r="52" spans="1:9" s="141" customFormat="1" x14ac:dyDescent="0.25">
      <c r="A52" s="143"/>
      <c r="B52" s="2"/>
      <c r="C52" s="2"/>
      <c r="D52" s="137"/>
      <c r="E52" s="137"/>
      <c r="F52" s="137"/>
      <c r="G52" s="2"/>
      <c r="H52" s="2"/>
      <c r="I52" s="2"/>
    </row>
    <row r="53" spans="1:9" s="141" customFormat="1" x14ac:dyDescent="0.25">
      <c r="A53" s="143"/>
      <c r="B53" s="2"/>
      <c r="C53" s="2"/>
      <c r="D53" s="137"/>
      <c r="E53" s="137"/>
      <c r="F53" s="137"/>
      <c r="G53" s="2"/>
      <c r="H53" s="2"/>
      <c r="I53" s="2"/>
    </row>
    <row r="54" spans="1:9" s="141" customFormat="1" x14ac:dyDescent="0.25">
      <c r="A54" s="143"/>
      <c r="B54" s="2"/>
      <c r="C54" s="2"/>
      <c r="D54" s="137"/>
      <c r="E54" s="137"/>
      <c r="F54" s="137"/>
      <c r="G54" s="2"/>
      <c r="H54" s="2"/>
      <c r="I54" s="2"/>
    </row>
    <row r="55" spans="1:9" s="141" customFormat="1" x14ac:dyDescent="0.25">
      <c r="A55" s="143"/>
      <c r="B55" s="2"/>
      <c r="C55" s="2"/>
      <c r="D55" s="137"/>
      <c r="E55" s="137"/>
      <c r="F55" s="137"/>
      <c r="G55" s="2"/>
      <c r="H55" s="2"/>
      <c r="I55" s="2"/>
    </row>
    <row r="56" spans="1:9" s="141" customFormat="1" x14ac:dyDescent="0.25">
      <c r="A56" s="143"/>
      <c r="B56" s="2"/>
      <c r="C56" s="2"/>
      <c r="D56" s="137"/>
      <c r="E56" s="137"/>
      <c r="F56" s="137"/>
      <c r="G56" s="2"/>
      <c r="H56" s="2"/>
      <c r="I56" s="2"/>
    </row>
    <row r="57" spans="1:9" s="141" customFormat="1" x14ac:dyDescent="0.25">
      <c r="A57" s="143"/>
      <c r="B57" s="2"/>
      <c r="C57" s="2"/>
      <c r="D57" s="137"/>
      <c r="E57" s="137"/>
      <c r="F57" s="137"/>
      <c r="G57" s="2"/>
      <c r="H57" s="2"/>
      <c r="I57" s="2"/>
    </row>
    <row r="58" spans="1:9" s="141" customFormat="1" x14ac:dyDescent="0.25">
      <c r="A58" s="143"/>
      <c r="B58" s="2"/>
      <c r="C58" s="2"/>
      <c r="D58" s="137"/>
      <c r="E58" s="137"/>
      <c r="F58" s="137"/>
      <c r="G58" s="2"/>
      <c r="H58" s="2"/>
      <c r="I58" s="2"/>
    </row>
    <row r="60" spans="1:9" s="141" customFormat="1" x14ac:dyDescent="0.25">
      <c r="A60" s="143"/>
      <c r="B60" s="2"/>
      <c r="C60" s="2"/>
      <c r="D60" s="137"/>
      <c r="E60" s="137"/>
      <c r="F60" s="137"/>
      <c r="G60" s="2"/>
      <c r="H60" s="2"/>
      <c r="I60" s="2"/>
    </row>
    <row r="61" spans="1:9" s="141" customFormat="1" x14ac:dyDescent="0.25">
      <c r="A61" s="143"/>
      <c r="B61" s="2"/>
      <c r="C61" s="2"/>
      <c r="D61" s="137"/>
      <c r="E61" s="137"/>
      <c r="F61" s="137"/>
      <c r="G61" s="2"/>
      <c r="H61" s="2"/>
      <c r="I61" s="2"/>
    </row>
    <row r="62" spans="1:9" s="141" customFormat="1" x14ac:dyDescent="0.25">
      <c r="A62" s="143"/>
      <c r="B62" s="2"/>
      <c r="C62" s="2"/>
      <c r="D62" s="137"/>
      <c r="E62" s="137"/>
      <c r="F62" s="137"/>
      <c r="G62" s="2"/>
      <c r="H62" s="2"/>
      <c r="I62" s="2"/>
    </row>
    <row r="63" spans="1:9" s="141" customFormat="1" x14ac:dyDescent="0.25">
      <c r="A63" s="143"/>
      <c r="B63" s="2"/>
      <c r="C63" s="2"/>
      <c r="D63" s="137"/>
      <c r="E63" s="137"/>
      <c r="F63" s="137"/>
      <c r="G63" s="2"/>
      <c r="H63" s="2"/>
      <c r="I63" s="2"/>
    </row>
    <row r="64" spans="1:9" s="141" customFormat="1" x14ac:dyDescent="0.25">
      <c r="A64" s="143"/>
      <c r="B64" s="2"/>
      <c r="C64" s="2"/>
      <c r="D64" s="137"/>
      <c r="E64" s="137"/>
      <c r="F64" s="137"/>
      <c r="G64" s="2"/>
      <c r="H64" s="2"/>
      <c r="I64" s="2"/>
    </row>
    <row r="65" spans="1:9" s="141" customFormat="1" x14ac:dyDescent="0.25">
      <c r="A65" s="143"/>
      <c r="B65" s="2"/>
      <c r="C65" s="2"/>
      <c r="D65" s="137"/>
      <c r="E65" s="137"/>
      <c r="F65" s="137"/>
      <c r="G65" s="2"/>
      <c r="H65" s="2"/>
      <c r="I65" s="2"/>
    </row>
    <row r="66" spans="1:9" s="141" customFormat="1" x14ac:dyDescent="0.25">
      <c r="A66" s="143"/>
      <c r="B66" s="2"/>
      <c r="C66" s="2"/>
      <c r="D66" s="137"/>
      <c r="E66" s="137"/>
      <c r="F66" s="137"/>
      <c r="G66" s="2"/>
      <c r="H66" s="2"/>
      <c r="I66" s="2"/>
    </row>
    <row r="67" spans="1:9" s="141" customFormat="1" x14ac:dyDescent="0.25">
      <c r="A67" s="143"/>
      <c r="B67" s="2"/>
      <c r="C67" s="2"/>
      <c r="D67" s="137"/>
      <c r="E67" s="137"/>
      <c r="F67" s="137"/>
      <c r="G67" s="2"/>
      <c r="H67" s="2"/>
      <c r="I67" s="2"/>
    </row>
    <row r="68" spans="1:9" s="141" customFormat="1" x14ac:dyDescent="0.25">
      <c r="A68" s="143"/>
      <c r="B68" s="2"/>
      <c r="C68" s="2"/>
      <c r="D68" s="137"/>
      <c r="E68" s="137"/>
      <c r="F68" s="137"/>
      <c r="G68" s="2"/>
      <c r="H68" s="2"/>
      <c r="I68" s="2"/>
    </row>
    <row r="69" spans="1:9" s="141" customFormat="1" x14ac:dyDescent="0.25">
      <c r="A69" s="143"/>
      <c r="B69" s="2"/>
      <c r="C69" s="2"/>
      <c r="D69" s="137"/>
      <c r="E69" s="137"/>
      <c r="F69" s="137"/>
      <c r="G69" s="2"/>
      <c r="H69" s="2"/>
      <c r="I69" s="2"/>
    </row>
    <row r="70" spans="1:9" s="141" customFormat="1" x14ac:dyDescent="0.25">
      <c r="A70" s="143"/>
      <c r="B70" s="2"/>
      <c r="C70" s="2"/>
      <c r="D70" s="137"/>
      <c r="E70" s="137"/>
      <c r="F70" s="137"/>
      <c r="G70" s="2"/>
      <c r="H70" s="2"/>
      <c r="I70" s="2"/>
    </row>
    <row r="71" spans="1:9" s="141" customFormat="1" x14ac:dyDescent="0.25">
      <c r="A71" s="143"/>
      <c r="B71" s="2"/>
      <c r="C71" s="2"/>
      <c r="D71" s="137"/>
      <c r="E71" s="137"/>
      <c r="F71" s="137"/>
      <c r="G71" s="2"/>
      <c r="H71" s="2"/>
      <c r="I71" s="2"/>
    </row>
    <row r="72" spans="1:9" s="141" customFormat="1" x14ac:dyDescent="0.25">
      <c r="A72" s="143"/>
      <c r="B72" s="2"/>
      <c r="C72" s="2"/>
      <c r="D72" s="137"/>
      <c r="E72" s="137"/>
      <c r="F72" s="137"/>
      <c r="G72" s="2"/>
      <c r="H72" s="2"/>
      <c r="I72" s="2"/>
    </row>
    <row r="73" spans="1:9" s="145" customFormat="1" x14ac:dyDescent="0.25">
      <c r="A73" s="143"/>
      <c r="B73" s="2"/>
      <c r="C73" s="2"/>
      <c r="D73" s="137"/>
      <c r="E73" s="137"/>
      <c r="F73" s="137"/>
      <c r="G73" s="2"/>
      <c r="H73" s="2"/>
      <c r="I73" s="2"/>
    </row>
    <row r="74" spans="1:9" s="145" customFormat="1" x14ac:dyDescent="0.25">
      <c r="A74" s="143"/>
      <c r="B74" s="2"/>
      <c r="C74" s="2"/>
      <c r="D74" s="137"/>
      <c r="E74" s="137"/>
      <c r="F74" s="137"/>
      <c r="G74" s="2"/>
      <c r="H74" s="2"/>
      <c r="I74" s="2"/>
    </row>
    <row r="75" spans="1:9" s="145" customFormat="1" x14ac:dyDescent="0.25">
      <c r="A75" s="143"/>
      <c r="B75" s="2"/>
      <c r="C75" s="2"/>
      <c r="D75" s="137"/>
      <c r="E75" s="137"/>
      <c r="F75" s="137"/>
      <c r="G75" s="2"/>
      <c r="H75" s="2"/>
      <c r="I75" s="2"/>
    </row>
  </sheetData>
  <mergeCells count="3">
    <mergeCell ref="A2:I2"/>
    <mergeCell ref="A32:I32"/>
    <mergeCell ref="A34:F34"/>
  </mergeCells>
  <pageMargins left="0.75" right="0.75" top="1" bottom="1" header="0.5" footer="0.5"/>
  <pageSetup scale="46"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30"/>
  <sheetViews>
    <sheetView showGridLines="0" zoomScaleNormal="100" workbookViewId="0"/>
  </sheetViews>
  <sheetFormatPr defaultRowHeight="13.2" x14ac:dyDescent="0.25"/>
  <cols>
    <col min="1" max="1" width="17.44140625" style="45" customWidth="1"/>
    <col min="2" max="3" width="20.88671875" style="45" customWidth="1"/>
    <col min="4" max="4" width="26" style="45" bestFit="1" customWidth="1"/>
    <col min="5" max="5" width="21.33203125" style="45" bestFit="1" customWidth="1"/>
    <col min="6" max="6" width="20.109375" style="45" bestFit="1" customWidth="1"/>
    <col min="7" max="7" width="22.44140625" style="45" bestFit="1" customWidth="1"/>
    <col min="8" max="8" width="25.44140625" style="45" customWidth="1"/>
    <col min="9" max="9" width="14.5546875" style="45" customWidth="1"/>
    <col min="10" max="10" width="11.6640625" style="45" customWidth="1"/>
    <col min="11" max="11" width="12.5546875" style="45" customWidth="1"/>
    <col min="12" max="12" width="13" style="45" customWidth="1"/>
    <col min="13" max="256" width="9.109375" style="45"/>
    <col min="257" max="257" width="17.44140625" style="45" customWidth="1"/>
    <col min="258" max="259" width="20.88671875" style="45" customWidth="1"/>
    <col min="260" max="260" width="26" style="45" bestFit="1" customWidth="1"/>
    <col min="261" max="261" width="21.33203125" style="45" bestFit="1" customWidth="1"/>
    <col min="262" max="262" width="20.109375" style="45" bestFit="1" customWidth="1"/>
    <col min="263" max="263" width="22.44140625" style="45" bestFit="1" customWidth="1"/>
    <col min="264" max="264" width="25.44140625" style="45" customWidth="1"/>
    <col min="265" max="265" width="14.5546875" style="45" customWidth="1"/>
    <col min="266" max="266" width="11.6640625" style="45" customWidth="1"/>
    <col min="267" max="267" width="12.5546875" style="45" customWidth="1"/>
    <col min="268" max="268" width="13" style="45" customWidth="1"/>
    <col min="269" max="512" width="9.109375" style="45"/>
    <col min="513" max="513" width="17.44140625" style="45" customWidth="1"/>
    <col min="514" max="515" width="20.88671875" style="45" customWidth="1"/>
    <col min="516" max="516" width="26" style="45" bestFit="1" customWidth="1"/>
    <col min="517" max="517" width="21.33203125" style="45" bestFit="1" customWidth="1"/>
    <col min="518" max="518" width="20.109375" style="45" bestFit="1" customWidth="1"/>
    <col min="519" max="519" width="22.44140625" style="45" bestFit="1" customWidth="1"/>
    <col min="520" max="520" width="25.44140625" style="45" customWidth="1"/>
    <col min="521" max="521" width="14.5546875" style="45" customWidth="1"/>
    <col min="522" max="522" width="11.6640625" style="45" customWidth="1"/>
    <col min="523" max="523" width="12.5546875" style="45" customWidth="1"/>
    <col min="524" max="524" width="13" style="45" customWidth="1"/>
    <col min="525" max="768" width="9.109375" style="45"/>
    <col min="769" max="769" width="17.44140625" style="45" customWidth="1"/>
    <col min="770" max="771" width="20.88671875" style="45" customWidth="1"/>
    <col min="772" max="772" width="26" style="45" bestFit="1" customWidth="1"/>
    <col min="773" max="773" width="21.33203125" style="45" bestFit="1" customWidth="1"/>
    <col min="774" max="774" width="20.109375" style="45" bestFit="1" customWidth="1"/>
    <col min="775" max="775" width="22.44140625" style="45" bestFit="1" customWidth="1"/>
    <col min="776" max="776" width="25.44140625" style="45" customWidth="1"/>
    <col min="777" max="777" width="14.5546875" style="45" customWidth="1"/>
    <col min="778" max="778" width="11.6640625" style="45" customWidth="1"/>
    <col min="779" max="779" width="12.5546875" style="45" customWidth="1"/>
    <col min="780" max="780" width="13" style="45" customWidth="1"/>
    <col min="781" max="1024" width="9.109375" style="45"/>
    <col min="1025" max="1025" width="17.44140625" style="45" customWidth="1"/>
    <col min="1026" max="1027" width="20.88671875" style="45" customWidth="1"/>
    <col min="1028" max="1028" width="26" style="45" bestFit="1" customWidth="1"/>
    <col min="1029" max="1029" width="21.33203125" style="45" bestFit="1" customWidth="1"/>
    <col min="1030" max="1030" width="20.109375" style="45" bestFit="1" customWidth="1"/>
    <col min="1031" max="1031" width="22.44140625" style="45" bestFit="1" customWidth="1"/>
    <col min="1032" max="1032" width="25.44140625" style="45" customWidth="1"/>
    <col min="1033" max="1033" width="14.5546875" style="45" customWidth="1"/>
    <col min="1034" max="1034" width="11.6640625" style="45" customWidth="1"/>
    <col min="1035" max="1035" width="12.5546875" style="45" customWidth="1"/>
    <col min="1036" max="1036" width="13" style="45" customWidth="1"/>
    <col min="1037" max="1280" width="9.109375" style="45"/>
    <col min="1281" max="1281" width="17.44140625" style="45" customWidth="1"/>
    <col min="1282" max="1283" width="20.88671875" style="45" customWidth="1"/>
    <col min="1284" max="1284" width="26" style="45" bestFit="1" customWidth="1"/>
    <col min="1285" max="1285" width="21.33203125" style="45" bestFit="1" customWidth="1"/>
    <col min="1286" max="1286" width="20.109375" style="45" bestFit="1" customWidth="1"/>
    <col min="1287" max="1287" width="22.44140625" style="45" bestFit="1" customWidth="1"/>
    <col min="1288" max="1288" width="25.44140625" style="45" customWidth="1"/>
    <col min="1289" max="1289" width="14.5546875" style="45" customWidth="1"/>
    <col min="1290" max="1290" width="11.6640625" style="45" customWidth="1"/>
    <col min="1291" max="1291" width="12.5546875" style="45" customWidth="1"/>
    <col min="1292" max="1292" width="13" style="45" customWidth="1"/>
    <col min="1293" max="1536" width="9.109375" style="45"/>
    <col min="1537" max="1537" width="17.44140625" style="45" customWidth="1"/>
    <col min="1538" max="1539" width="20.88671875" style="45" customWidth="1"/>
    <col min="1540" max="1540" width="26" style="45" bestFit="1" customWidth="1"/>
    <col min="1541" max="1541" width="21.33203125" style="45" bestFit="1" customWidth="1"/>
    <col min="1542" max="1542" width="20.109375" style="45" bestFit="1" customWidth="1"/>
    <col min="1543" max="1543" width="22.44140625" style="45" bestFit="1" customWidth="1"/>
    <col min="1544" max="1544" width="25.44140625" style="45" customWidth="1"/>
    <col min="1545" max="1545" width="14.5546875" style="45" customWidth="1"/>
    <col min="1546" max="1546" width="11.6640625" style="45" customWidth="1"/>
    <col min="1547" max="1547" width="12.5546875" style="45" customWidth="1"/>
    <col min="1548" max="1548" width="13" style="45" customWidth="1"/>
    <col min="1549" max="1792" width="9.109375" style="45"/>
    <col min="1793" max="1793" width="17.44140625" style="45" customWidth="1"/>
    <col min="1794" max="1795" width="20.88671875" style="45" customWidth="1"/>
    <col min="1796" max="1796" width="26" style="45" bestFit="1" customWidth="1"/>
    <col min="1797" max="1797" width="21.33203125" style="45" bestFit="1" customWidth="1"/>
    <col min="1798" max="1798" width="20.109375" style="45" bestFit="1" customWidth="1"/>
    <col min="1799" max="1799" width="22.44140625" style="45" bestFit="1" customWidth="1"/>
    <col min="1800" max="1800" width="25.44140625" style="45" customWidth="1"/>
    <col min="1801" max="1801" width="14.5546875" style="45" customWidth="1"/>
    <col min="1802" max="1802" width="11.6640625" style="45" customWidth="1"/>
    <col min="1803" max="1803" width="12.5546875" style="45" customWidth="1"/>
    <col min="1804" max="1804" width="13" style="45" customWidth="1"/>
    <col min="1805" max="2048" width="9.109375" style="45"/>
    <col min="2049" max="2049" width="17.44140625" style="45" customWidth="1"/>
    <col min="2050" max="2051" width="20.88671875" style="45" customWidth="1"/>
    <col min="2052" max="2052" width="26" style="45" bestFit="1" customWidth="1"/>
    <col min="2053" max="2053" width="21.33203125" style="45" bestFit="1" customWidth="1"/>
    <col min="2054" max="2054" width="20.109375" style="45" bestFit="1" customWidth="1"/>
    <col min="2055" max="2055" width="22.44140625" style="45" bestFit="1" customWidth="1"/>
    <col min="2056" max="2056" width="25.44140625" style="45" customWidth="1"/>
    <col min="2057" max="2057" width="14.5546875" style="45" customWidth="1"/>
    <col min="2058" max="2058" width="11.6640625" style="45" customWidth="1"/>
    <col min="2059" max="2059" width="12.5546875" style="45" customWidth="1"/>
    <col min="2060" max="2060" width="13" style="45" customWidth="1"/>
    <col min="2061" max="2304" width="9.109375" style="45"/>
    <col min="2305" max="2305" width="17.44140625" style="45" customWidth="1"/>
    <col min="2306" max="2307" width="20.88671875" style="45" customWidth="1"/>
    <col min="2308" max="2308" width="26" style="45" bestFit="1" customWidth="1"/>
    <col min="2309" max="2309" width="21.33203125" style="45" bestFit="1" customWidth="1"/>
    <col min="2310" max="2310" width="20.109375" style="45" bestFit="1" customWidth="1"/>
    <col min="2311" max="2311" width="22.44140625" style="45" bestFit="1" customWidth="1"/>
    <col min="2312" max="2312" width="25.44140625" style="45" customWidth="1"/>
    <col min="2313" max="2313" width="14.5546875" style="45" customWidth="1"/>
    <col min="2314" max="2314" width="11.6640625" style="45" customWidth="1"/>
    <col min="2315" max="2315" width="12.5546875" style="45" customWidth="1"/>
    <col min="2316" max="2316" width="13" style="45" customWidth="1"/>
    <col min="2317" max="2560" width="9.109375" style="45"/>
    <col min="2561" max="2561" width="17.44140625" style="45" customWidth="1"/>
    <col min="2562" max="2563" width="20.88671875" style="45" customWidth="1"/>
    <col min="2564" max="2564" width="26" style="45" bestFit="1" customWidth="1"/>
    <col min="2565" max="2565" width="21.33203125" style="45" bestFit="1" customWidth="1"/>
    <col min="2566" max="2566" width="20.109375" style="45" bestFit="1" customWidth="1"/>
    <col min="2567" max="2567" width="22.44140625" style="45" bestFit="1" customWidth="1"/>
    <col min="2568" max="2568" width="25.44140625" style="45" customWidth="1"/>
    <col min="2569" max="2569" width="14.5546875" style="45" customWidth="1"/>
    <col min="2570" max="2570" width="11.6640625" style="45" customWidth="1"/>
    <col min="2571" max="2571" width="12.5546875" style="45" customWidth="1"/>
    <col min="2572" max="2572" width="13" style="45" customWidth="1"/>
    <col min="2573" max="2816" width="9.109375" style="45"/>
    <col min="2817" max="2817" width="17.44140625" style="45" customWidth="1"/>
    <col min="2818" max="2819" width="20.88671875" style="45" customWidth="1"/>
    <col min="2820" max="2820" width="26" style="45" bestFit="1" customWidth="1"/>
    <col min="2821" max="2821" width="21.33203125" style="45" bestFit="1" customWidth="1"/>
    <col min="2822" max="2822" width="20.109375" style="45" bestFit="1" customWidth="1"/>
    <col min="2823" max="2823" width="22.44140625" style="45" bestFit="1" customWidth="1"/>
    <col min="2824" max="2824" width="25.44140625" style="45" customWidth="1"/>
    <col min="2825" max="2825" width="14.5546875" style="45" customWidth="1"/>
    <col min="2826" max="2826" width="11.6640625" style="45" customWidth="1"/>
    <col min="2827" max="2827" width="12.5546875" style="45" customWidth="1"/>
    <col min="2828" max="2828" width="13" style="45" customWidth="1"/>
    <col min="2829" max="3072" width="9.109375" style="45"/>
    <col min="3073" max="3073" width="17.44140625" style="45" customWidth="1"/>
    <col min="3074" max="3075" width="20.88671875" style="45" customWidth="1"/>
    <col min="3076" max="3076" width="26" style="45" bestFit="1" customWidth="1"/>
    <col min="3077" max="3077" width="21.33203125" style="45" bestFit="1" customWidth="1"/>
    <col min="3078" max="3078" width="20.109375" style="45" bestFit="1" customWidth="1"/>
    <col min="3079" max="3079" width="22.44140625" style="45" bestFit="1" customWidth="1"/>
    <col min="3080" max="3080" width="25.44140625" style="45" customWidth="1"/>
    <col min="3081" max="3081" width="14.5546875" style="45" customWidth="1"/>
    <col min="3082" max="3082" width="11.6640625" style="45" customWidth="1"/>
    <col min="3083" max="3083" width="12.5546875" style="45" customWidth="1"/>
    <col min="3084" max="3084" width="13" style="45" customWidth="1"/>
    <col min="3085" max="3328" width="9.109375" style="45"/>
    <col min="3329" max="3329" width="17.44140625" style="45" customWidth="1"/>
    <col min="3330" max="3331" width="20.88671875" style="45" customWidth="1"/>
    <col min="3332" max="3332" width="26" style="45" bestFit="1" customWidth="1"/>
    <col min="3333" max="3333" width="21.33203125" style="45" bestFit="1" customWidth="1"/>
    <col min="3334" max="3334" width="20.109375" style="45" bestFit="1" customWidth="1"/>
    <col min="3335" max="3335" width="22.44140625" style="45" bestFit="1" customWidth="1"/>
    <col min="3336" max="3336" width="25.44140625" style="45" customWidth="1"/>
    <col min="3337" max="3337" width="14.5546875" style="45" customWidth="1"/>
    <col min="3338" max="3338" width="11.6640625" style="45" customWidth="1"/>
    <col min="3339" max="3339" width="12.5546875" style="45" customWidth="1"/>
    <col min="3340" max="3340" width="13" style="45" customWidth="1"/>
    <col min="3341" max="3584" width="9.109375" style="45"/>
    <col min="3585" max="3585" width="17.44140625" style="45" customWidth="1"/>
    <col min="3586" max="3587" width="20.88671875" style="45" customWidth="1"/>
    <col min="3588" max="3588" width="26" style="45" bestFit="1" customWidth="1"/>
    <col min="3589" max="3589" width="21.33203125" style="45" bestFit="1" customWidth="1"/>
    <col min="3590" max="3590" width="20.109375" style="45" bestFit="1" customWidth="1"/>
    <col min="3591" max="3591" width="22.44140625" style="45" bestFit="1" customWidth="1"/>
    <col min="3592" max="3592" width="25.44140625" style="45" customWidth="1"/>
    <col min="3593" max="3593" width="14.5546875" style="45" customWidth="1"/>
    <col min="3594" max="3594" width="11.6640625" style="45" customWidth="1"/>
    <col min="3595" max="3595" width="12.5546875" style="45" customWidth="1"/>
    <col min="3596" max="3596" width="13" style="45" customWidth="1"/>
    <col min="3597" max="3840" width="9.109375" style="45"/>
    <col min="3841" max="3841" width="17.44140625" style="45" customWidth="1"/>
    <col min="3842" max="3843" width="20.88671875" style="45" customWidth="1"/>
    <col min="3844" max="3844" width="26" style="45" bestFit="1" customWidth="1"/>
    <col min="3845" max="3845" width="21.33203125" style="45" bestFit="1" customWidth="1"/>
    <col min="3846" max="3846" width="20.109375" style="45" bestFit="1" customWidth="1"/>
    <col min="3847" max="3847" width="22.44140625" style="45" bestFit="1" customWidth="1"/>
    <col min="3848" max="3848" width="25.44140625" style="45" customWidth="1"/>
    <col min="3849" max="3849" width="14.5546875" style="45" customWidth="1"/>
    <col min="3850" max="3850" width="11.6640625" style="45" customWidth="1"/>
    <col min="3851" max="3851" width="12.5546875" style="45" customWidth="1"/>
    <col min="3852" max="3852" width="13" style="45" customWidth="1"/>
    <col min="3853" max="4096" width="9.109375" style="45"/>
    <col min="4097" max="4097" width="17.44140625" style="45" customWidth="1"/>
    <col min="4098" max="4099" width="20.88671875" style="45" customWidth="1"/>
    <col min="4100" max="4100" width="26" style="45" bestFit="1" customWidth="1"/>
    <col min="4101" max="4101" width="21.33203125" style="45" bestFit="1" customWidth="1"/>
    <col min="4102" max="4102" width="20.109375" style="45" bestFit="1" customWidth="1"/>
    <col min="4103" max="4103" width="22.44140625" style="45" bestFit="1" customWidth="1"/>
    <col min="4104" max="4104" width="25.44140625" style="45" customWidth="1"/>
    <col min="4105" max="4105" width="14.5546875" style="45" customWidth="1"/>
    <col min="4106" max="4106" width="11.6640625" style="45" customWidth="1"/>
    <col min="4107" max="4107" width="12.5546875" style="45" customWidth="1"/>
    <col min="4108" max="4108" width="13" style="45" customWidth="1"/>
    <col min="4109" max="4352" width="9.109375" style="45"/>
    <col min="4353" max="4353" width="17.44140625" style="45" customWidth="1"/>
    <col min="4354" max="4355" width="20.88671875" style="45" customWidth="1"/>
    <col min="4356" max="4356" width="26" style="45" bestFit="1" customWidth="1"/>
    <col min="4357" max="4357" width="21.33203125" style="45" bestFit="1" customWidth="1"/>
    <col min="4358" max="4358" width="20.109375" style="45" bestFit="1" customWidth="1"/>
    <col min="4359" max="4359" width="22.44140625" style="45" bestFit="1" customWidth="1"/>
    <col min="4360" max="4360" width="25.44140625" style="45" customWidth="1"/>
    <col min="4361" max="4361" width="14.5546875" style="45" customWidth="1"/>
    <col min="4362" max="4362" width="11.6640625" style="45" customWidth="1"/>
    <col min="4363" max="4363" width="12.5546875" style="45" customWidth="1"/>
    <col min="4364" max="4364" width="13" style="45" customWidth="1"/>
    <col min="4365" max="4608" width="9.109375" style="45"/>
    <col min="4609" max="4609" width="17.44140625" style="45" customWidth="1"/>
    <col min="4610" max="4611" width="20.88671875" style="45" customWidth="1"/>
    <col min="4612" max="4612" width="26" style="45" bestFit="1" customWidth="1"/>
    <col min="4613" max="4613" width="21.33203125" style="45" bestFit="1" customWidth="1"/>
    <col min="4614" max="4614" width="20.109375" style="45" bestFit="1" customWidth="1"/>
    <col min="4615" max="4615" width="22.44140625" style="45" bestFit="1" customWidth="1"/>
    <col min="4616" max="4616" width="25.44140625" style="45" customWidth="1"/>
    <col min="4617" max="4617" width="14.5546875" style="45" customWidth="1"/>
    <col min="4618" max="4618" width="11.6640625" style="45" customWidth="1"/>
    <col min="4619" max="4619" width="12.5546875" style="45" customWidth="1"/>
    <col min="4620" max="4620" width="13" style="45" customWidth="1"/>
    <col min="4621" max="4864" width="9.109375" style="45"/>
    <col min="4865" max="4865" width="17.44140625" style="45" customWidth="1"/>
    <col min="4866" max="4867" width="20.88671875" style="45" customWidth="1"/>
    <col min="4868" max="4868" width="26" style="45" bestFit="1" customWidth="1"/>
    <col min="4869" max="4869" width="21.33203125" style="45" bestFit="1" customWidth="1"/>
    <col min="4870" max="4870" width="20.109375" style="45" bestFit="1" customWidth="1"/>
    <col min="4871" max="4871" width="22.44140625" style="45" bestFit="1" customWidth="1"/>
    <col min="4872" max="4872" width="25.44140625" style="45" customWidth="1"/>
    <col min="4873" max="4873" width="14.5546875" style="45" customWidth="1"/>
    <col min="4874" max="4874" width="11.6640625" style="45" customWidth="1"/>
    <col min="4875" max="4875" width="12.5546875" style="45" customWidth="1"/>
    <col min="4876" max="4876" width="13" style="45" customWidth="1"/>
    <col min="4877" max="5120" width="9.109375" style="45"/>
    <col min="5121" max="5121" width="17.44140625" style="45" customWidth="1"/>
    <col min="5122" max="5123" width="20.88671875" style="45" customWidth="1"/>
    <col min="5124" max="5124" width="26" style="45" bestFit="1" customWidth="1"/>
    <col min="5125" max="5125" width="21.33203125" style="45" bestFit="1" customWidth="1"/>
    <col min="5126" max="5126" width="20.109375" style="45" bestFit="1" customWidth="1"/>
    <col min="5127" max="5127" width="22.44140625" style="45" bestFit="1" customWidth="1"/>
    <col min="5128" max="5128" width="25.44140625" style="45" customWidth="1"/>
    <col min="5129" max="5129" width="14.5546875" style="45" customWidth="1"/>
    <col min="5130" max="5130" width="11.6640625" style="45" customWidth="1"/>
    <col min="5131" max="5131" width="12.5546875" style="45" customWidth="1"/>
    <col min="5132" max="5132" width="13" style="45" customWidth="1"/>
    <col min="5133" max="5376" width="9.109375" style="45"/>
    <col min="5377" max="5377" width="17.44140625" style="45" customWidth="1"/>
    <col min="5378" max="5379" width="20.88671875" style="45" customWidth="1"/>
    <col min="5380" max="5380" width="26" style="45" bestFit="1" customWidth="1"/>
    <col min="5381" max="5381" width="21.33203125" style="45" bestFit="1" customWidth="1"/>
    <col min="5382" max="5382" width="20.109375" style="45" bestFit="1" customWidth="1"/>
    <col min="5383" max="5383" width="22.44140625" style="45" bestFit="1" customWidth="1"/>
    <col min="5384" max="5384" width="25.44140625" style="45" customWidth="1"/>
    <col min="5385" max="5385" width="14.5546875" style="45" customWidth="1"/>
    <col min="5386" max="5386" width="11.6640625" style="45" customWidth="1"/>
    <col min="5387" max="5387" width="12.5546875" style="45" customWidth="1"/>
    <col min="5388" max="5388" width="13" style="45" customWidth="1"/>
    <col min="5389" max="5632" width="9.109375" style="45"/>
    <col min="5633" max="5633" width="17.44140625" style="45" customWidth="1"/>
    <col min="5634" max="5635" width="20.88671875" style="45" customWidth="1"/>
    <col min="5636" max="5636" width="26" style="45" bestFit="1" customWidth="1"/>
    <col min="5637" max="5637" width="21.33203125" style="45" bestFit="1" customWidth="1"/>
    <col min="5638" max="5638" width="20.109375" style="45" bestFit="1" customWidth="1"/>
    <col min="5639" max="5639" width="22.44140625" style="45" bestFit="1" customWidth="1"/>
    <col min="5640" max="5640" width="25.44140625" style="45" customWidth="1"/>
    <col min="5641" max="5641" width="14.5546875" style="45" customWidth="1"/>
    <col min="5642" max="5642" width="11.6640625" style="45" customWidth="1"/>
    <col min="5643" max="5643" width="12.5546875" style="45" customWidth="1"/>
    <col min="5644" max="5644" width="13" style="45" customWidth="1"/>
    <col min="5645" max="5888" width="9.109375" style="45"/>
    <col min="5889" max="5889" width="17.44140625" style="45" customWidth="1"/>
    <col min="5890" max="5891" width="20.88671875" style="45" customWidth="1"/>
    <col min="5892" max="5892" width="26" style="45" bestFit="1" customWidth="1"/>
    <col min="5893" max="5893" width="21.33203125" style="45" bestFit="1" customWidth="1"/>
    <col min="5894" max="5894" width="20.109375" style="45" bestFit="1" customWidth="1"/>
    <col min="5895" max="5895" width="22.44140625" style="45" bestFit="1" customWidth="1"/>
    <col min="5896" max="5896" width="25.44140625" style="45" customWidth="1"/>
    <col min="5897" max="5897" width="14.5546875" style="45" customWidth="1"/>
    <col min="5898" max="5898" width="11.6640625" style="45" customWidth="1"/>
    <col min="5899" max="5899" width="12.5546875" style="45" customWidth="1"/>
    <col min="5900" max="5900" width="13" style="45" customWidth="1"/>
    <col min="5901" max="6144" width="9.109375" style="45"/>
    <col min="6145" max="6145" width="17.44140625" style="45" customWidth="1"/>
    <col min="6146" max="6147" width="20.88671875" style="45" customWidth="1"/>
    <col min="6148" max="6148" width="26" style="45" bestFit="1" customWidth="1"/>
    <col min="6149" max="6149" width="21.33203125" style="45" bestFit="1" customWidth="1"/>
    <col min="6150" max="6150" width="20.109375" style="45" bestFit="1" customWidth="1"/>
    <col min="6151" max="6151" width="22.44140625" style="45" bestFit="1" customWidth="1"/>
    <col min="6152" max="6152" width="25.44140625" style="45" customWidth="1"/>
    <col min="6153" max="6153" width="14.5546875" style="45" customWidth="1"/>
    <col min="6154" max="6154" width="11.6640625" style="45" customWidth="1"/>
    <col min="6155" max="6155" width="12.5546875" style="45" customWidth="1"/>
    <col min="6156" max="6156" width="13" style="45" customWidth="1"/>
    <col min="6157" max="6400" width="9.109375" style="45"/>
    <col min="6401" max="6401" width="17.44140625" style="45" customWidth="1"/>
    <col min="6402" max="6403" width="20.88671875" style="45" customWidth="1"/>
    <col min="6404" max="6404" width="26" style="45" bestFit="1" customWidth="1"/>
    <col min="6405" max="6405" width="21.33203125" style="45" bestFit="1" customWidth="1"/>
    <col min="6406" max="6406" width="20.109375" style="45" bestFit="1" customWidth="1"/>
    <col min="6407" max="6407" width="22.44140625" style="45" bestFit="1" customWidth="1"/>
    <col min="6408" max="6408" width="25.44140625" style="45" customWidth="1"/>
    <col min="6409" max="6409" width="14.5546875" style="45" customWidth="1"/>
    <col min="6410" max="6410" width="11.6640625" style="45" customWidth="1"/>
    <col min="6411" max="6411" width="12.5546875" style="45" customWidth="1"/>
    <col min="6412" max="6412" width="13" style="45" customWidth="1"/>
    <col min="6413" max="6656" width="9.109375" style="45"/>
    <col min="6657" max="6657" width="17.44140625" style="45" customWidth="1"/>
    <col min="6658" max="6659" width="20.88671875" style="45" customWidth="1"/>
    <col min="6660" max="6660" width="26" style="45" bestFit="1" customWidth="1"/>
    <col min="6661" max="6661" width="21.33203125" style="45" bestFit="1" customWidth="1"/>
    <col min="6662" max="6662" width="20.109375" style="45" bestFit="1" customWidth="1"/>
    <col min="6663" max="6663" width="22.44140625" style="45" bestFit="1" customWidth="1"/>
    <col min="6664" max="6664" width="25.44140625" style="45" customWidth="1"/>
    <col min="6665" max="6665" width="14.5546875" style="45" customWidth="1"/>
    <col min="6666" max="6666" width="11.6640625" style="45" customWidth="1"/>
    <col min="6667" max="6667" width="12.5546875" style="45" customWidth="1"/>
    <col min="6668" max="6668" width="13" style="45" customWidth="1"/>
    <col min="6669" max="6912" width="9.109375" style="45"/>
    <col min="6913" max="6913" width="17.44140625" style="45" customWidth="1"/>
    <col min="6914" max="6915" width="20.88671875" style="45" customWidth="1"/>
    <col min="6916" max="6916" width="26" style="45" bestFit="1" customWidth="1"/>
    <col min="6917" max="6917" width="21.33203125" style="45" bestFit="1" customWidth="1"/>
    <col min="6918" max="6918" width="20.109375" style="45" bestFit="1" customWidth="1"/>
    <col min="6919" max="6919" width="22.44140625" style="45" bestFit="1" customWidth="1"/>
    <col min="6920" max="6920" width="25.44140625" style="45" customWidth="1"/>
    <col min="6921" max="6921" width="14.5546875" style="45" customWidth="1"/>
    <col min="6922" max="6922" width="11.6640625" style="45" customWidth="1"/>
    <col min="6923" max="6923" width="12.5546875" style="45" customWidth="1"/>
    <col min="6924" max="6924" width="13" style="45" customWidth="1"/>
    <col min="6925" max="7168" width="9.109375" style="45"/>
    <col min="7169" max="7169" width="17.44140625" style="45" customWidth="1"/>
    <col min="7170" max="7171" width="20.88671875" style="45" customWidth="1"/>
    <col min="7172" max="7172" width="26" style="45" bestFit="1" customWidth="1"/>
    <col min="7173" max="7173" width="21.33203125" style="45" bestFit="1" customWidth="1"/>
    <col min="7174" max="7174" width="20.109375" style="45" bestFit="1" customWidth="1"/>
    <col min="7175" max="7175" width="22.44140625" style="45" bestFit="1" customWidth="1"/>
    <col min="7176" max="7176" width="25.44140625" style="45" customWidth="1"/>
    <col min="7177" max="7177" width="14.5546875" style="45" customWidth="1"/>
    <col min="7178" max="7178" width="11.6640625" style="45" customWidth="1"/>
    <col min="7179" max="7179" width="12.5546875" style="45" customWidth="1"/>
    <col min="7180" max="7180" width="13" style="45" customWidth="1"/>
    <col min="7181" max="7424" width="9.109375" style="45"/>
    <col min="7425" max="7425" width="17.44140625" style="45" customWidth="1"/>
    <col min="7426" max="7427" width="20.88671875" style="45" customWidth="1"/>
    <col min="7428" max="7428" width="26" style="45" bestFit="1" customWidth="1"/>
    <col min="7429" max="7429" width="21.33203125" style="45" bestFit="1" customWidth="1"/>
    <col min="7430" max="7430" width="20.109375" style="45" bestFit="1" customWidth="1"/>
    <col min="7431" max="7431" width="22.44140625" style="45" bestFit="1" customWidth="1"/>
    <col min="7432" max="7432" width="25.44140625" style="45" customWidth="1"/>
    <col min="7433" max="7433" width="14.5546875" style="45" customWidth="1"/>
    <col min="7434" max="7434" width="11.6640625" style="45" customWidth="1"/>
    <col min="7435" max="7435" width="12.5546875" style="45" customWidth="1"/>
    <col min="7436" max="7436" width="13" style="45" customWidth="1"/>
    <col min="7437" max="7680" width="9.109375" style="45"/>
    <col min="7681" max="7681" width="17.44140625" style="45" customWidth="1"/>
    <col min="7682" max="7683" width="20.88671875" style="45" customWidth="1"/>
    <col min="7684" max="7684" width="26" style="45" bestFit="1" customWidth="1"/>
    <col min="7685" max="7685" width="21.33203125" style="45" bestFit="1" customWidth="1"/>
    <col min="7686" max="7686" width="20.109375" style="45" bestFit="1" customWidth="1"/>
    <col min="7687" max="7687" width="22.44140625" style="45" bestFit="1" customWidth="1"/>
    <col min="7688" max="7688" width="25.44140625" style="45" customWidth="1"/>
    <col min="7689" max="7689" width="14.5546875" style="45" customWidth="1"/>
    <col min="7690" max="7690" width="11.6640625" style="45" customWidth="1"/>
    <col min="7691" max="7691" width="12.5546875" style="45" customWidth="1"/>
    <col min="7692" max="7692" width="13" style="45" customWidth="1"/>
    <col min="7693" max="7936" width="9.109375" style="45"/>
    <col min="7937" max="7937" width="17.44140625" style="45" customWidth="1"/>
    <col min="7938" max="7939" width="20.88671875" style="45" customWidth="1"/>
    <col min="7940" max="7940" width="26" style="45" bestFit="1" customWidth="1"/>
    <col min="7941" max="7941" width="21.33203125" style="45" bestFit="1" customWidth="1"/>
    <col min="7942" max="7942" width="20.109375" style="45" bestFit="1" customWidth="1"/>
    <col min="7943" max="7943" width="22.44140625" style="45" bestFit="1" customWidth="1"/>
    <col min="7944" max="7944" width="25.44140625" style="45" customWidth="1"/>
    <col min="7945" max="7945" width="14.5546875" style="45" customWidth="1"/>
    <col min="7946" max="7946" width="11.6640625" style="45" customWidth="1"/>
    <col min="7947" max="7947" width="12.5546875" style="45" customWidth="1"/>
    <col min="7948" max="7948" width="13" style="45" customWidth="1"/>
    <col min="7949" max="8192" width="9.109375" style="45"/>
    <col min="8193" max="8193" width="17.44140625" style="45" customWidth="1"/>
    <col min="8194" max="8195" width="20.88671875" style="45" customWidth="1"/>
    <col min="8196" max="8196" width="26" style="45" bestFit="1" customWidth="1"/>
    <col min="8197" max="8197" width="21.33203125" style="45" bestFit="1" customWidth="1"/>
    <col min="8198" max="8198" width="20.109375" style="45" bestFit="1" customWidth="1"/>
    <col min="8199" max="8199" width="22.44140625" style="45" bestFit="1" customWidth="1"/>
    <col min="8200" max="8200" width="25.44140625" style="45" customWidth="1"/>
    <col min="8201" max="8201" width="14.5546875" style="45" customWidth="1"/>
    <col min="8202" max="8202" width="11.6640625" style="45" customWidth="1"/>
    <col min="8203" max="8203" width="12.5546875" style="45" customWidth="1"/>
    <col min="8204" max="8204" width="13" style="45" customWidth="1"/>
    <col min="8205" max="8448" width="9.109375" style="45"/>
    <col min="8449" max="8449" width="17.44140625" style="45" customWidth="1"/>
    <col min="8450" max="8451" width="20.88671875" style="45" customWidth="1"/>
    <col min="8452" max="8452" width="26" style="45" bestFit="1" customWidth="1"/>
    <col min="8453" max="8453" width="21.33203125" style="45" bestFit="1" customWidth="1"/>
    <col min="8454" max="8454" width="20.109375" style="45" bestFit="1" customWidth="1"/>
    <col min="8455" max="8455" width="22.44140625" style="45" bestFit="1" customWidth="1"/>
    <col min="8456" max="8456" width="25.44140625" style="45" customWidth="1"/>
    <col min="8457" max="8457" width="14.5546875" style="45" customWidth="1"/>
    <col min="8458" max="8458" width="11.6640625" style="45" customWidth="1"/>
    <col min="8459" max="8459" width="12.5546875" style="45" customWidth="1"/>
    <col min="8460" max="8460" width="13" style="45" customWidth="1"/>
    <col min="8461" max="8704" width="9.109375" style="45"/>
    <col min="8705" max="8705" width="17.44140625" style="45" customWidth="1"/>
    <col min="8706" max="8707" width="20.88671875" style="45" customWidth="1"/>
    <col min="8708" max="8708" width="26" style="45" bestFit="1" customWidth="1"/>
    <col min="8709" max="8709" width="21.33203125" style="45" bestFit="1" customWidth="1"/>
    <col min="8710" max="8710" width="20.109375" style="45" bestFit="1" customWidth="1"/>
    <col min="8711" max="8711" width="22.44140625" style="45" bestFit="1" customWidth="1"/>
    <col min="8712" max="8712" width="25.44140625" style="45" customWidth="1"/>
    <col min="8713" max="8713" width="14.5546875" style="45" customWidth="1"/>
    <col min="8714" max="8714" width="11.6640625" style="45" customWidth="1"/>
    <col min="8715" max="8715" width="12.5546875" style="45" customWidth="1"/>
    <col min="8716" max="8716" width="13" style="45" customWidth="1"/>
    <col min="8717" max="8960" width="9.109375" style="45"/>
    <col min="8961" max="8961" width="17.44140625" style="45" customWidth="1"/>
    <col min="8962" max="8963" width="20.88671875" style="45" customWidth="1"/>
    <col min="8964" max="8964" width="26" style="45" bestFit="1" customWidth="1"/>
    <col min="8965" max="8965" width="21.33203125" style="45" bestFit="1" customWidth="1"/>
    <col min="8966" max="8966" width="20.109375" style="45" bestFit="1" customWidth="1"/>
    <col min="8967" max="8967" width="22.44140625" style="45" bestFit="1" customWidth="1"/>
    <col min="8968" max="8968" width="25.44140625" style="45" customWidth="1"/>
    <col min="8969" max="8969" width="14.5546875" style="45" customWidth="1"/>
    <col min="8970" max="8970" width="11.6640625" style="45" customWidth="1"/>
    <col min="8971" max="8971" width="12.5546875" style="45" customWidth="1"/>
    <col min="8972" max="8972" width="13" style="45" customWidth="1"/>
    <col min="8973" max="9216" width="9.109375" style="45"/>
    <col min="9217" max="9217" width="17.44140625" style="45" customWidth="1"/>
    <col min="9218" max="9219" width="20.88671875" style="45" customWidth="1"/>
    <col min="9220" max="9220" width="26" style="45" bestFit="1" customWidth="1"/>
    <col min="9221" max="9221" width="21.33203125" style="45" bestFit="1" customWidth="1"/>
    <col min="9222" max="9222" width="20.109375" style="45" bestFit="1" customWidth="1"/>
    <col min="9223" max="9223" width="22.44140625" style="45" bestFit="1" customWidth="1"/>
    <col min="9224" max="9224" width="25.44140625" style="45" customWidth="1"/>
    <col min="9225" max="9225" width="14.5546875" style="45" customWidth="1"/>
    <col min="9226" max="9226" width="11.6640625" style="45" customWidth="1"/>
    <col min="9227" max="9227" width="12.5546875" style="45" customWidth="1"/>
    <col min="9228" max="9228" width="13" style="45" customWidth="1"/>
    <col min="9229" max="9472" width="9.109375" style="45"/>
    <col min="9473" max="9473" width="17.44140625" style="45" customWidth="1"/>
    <col min="9474" max="9475" width="20.88671875" style="45" customWidth="1"/>
    <col min="9476" max="9476" width="26" style="45" bestFit="1" customWidth="1"/>
    <col min="9477" max="9477" width="21.33203125" style="45" bestFit="1" customWidth="1"/>
    <col min="9478" max="9478" width="20.109375" style="45" bestFit="1" customWidth="1"/>
    <col min="9479" max="9479" width="22.44140625" style="45" bestFit="1" customWidth="1"/>
    <col min="9480" max="9480" width="25.44140625" style="45" customWidth="1"/>
    <col min="9481" max="9481" width="14.5546875" style="45" customWidth="1"/>
    <col min="9482" max="9482" width="11.6640625" style="45" customWidth="1"/>
    <col min="9483" max="9483" width="12.5546875" style="45" customWidth="1"/>
    <col min="9484" max="9484" width="13" style="45" customWidth="1"/>
    <col min="9485" max="9728" width="9.109375" style="45"/>
    <col min="9729" max="9729" width="17.44140625" style="45" customWidth="1"/>
    <col min="9730" max="9731" width="20.88671875" style="45" customWidth="1"/>
    <col min="9732" max="9732" width="26" style="45" bestFit="1" customWidth="1"/>
    <col min="9733" max="9733" width="21.33203125" style="45" bestFit="1" customWidth="1"/>
    <col min="9734" max="9734" width="20.109375" style="45" bestFit="1" customWidth="1"/>
    <col min="9735" max="9735" width="22.44140625" style="45" bestFit="1" customWidth="1"/>
    <col min="9736" max="9736" width="25.44140625" style="45" customWidth="1"/>
    <col min="9737" max="9737" width="14.5546875" style="45" customWidth="1"/>
    <col min="9738" max="9738" width="11.6640625" style="45" customWidth="1"/>
    <col min="9739" max="9739" width="12.5546875" style="45" customWidth="1"/>
    <col min="9740" max="9740" width="13" style="45" customWidth="1"/>
    <col min="9741" max="9984" width="9.109375" style="45"/>
    <col min="9985" max="9985" width="17.44140625" style="45" customWidth="1"/>
    <col min="9986" max="9987" width="20.88671875" style="45" customWidth="1"/>
    <col min="9988" max="9988" width="26" style="45" bestFit="1" customWidth="1"/>
    <col min="9989" max="9989" width="21.33203125" style="45" bestFit="1" customWidth="1"/>
    <col min="9990" max="9990" width="20.109375" style="45" bestFit="1" customWidth="1"/>
    <col min="9991" max="9991" width="22.44140625" style="45" bestFit="1" customWidth="1"/>
    <col min="9992" max="9992" width="25.44140625" style="45" customWidth="1"/>
    <col min="9993" max="9993" width="14.5546875" style="45" customWidth="1"/>
    <col min="9994" max="9994" width="11.6640625" style="45" customWidth="1"/>
    <col min="9995" max="9995" width="12.5546875" style="45" customWidth="1"/>
    <col min="9996" max="9996" width="13" style="45" customWidth="1"/>
    <col min="9997" max="10240" width="9.109375" style="45"/>
    <col min="10241" max="10241" width="17.44140625" style="45" customWidth="1"/>
    <col min="10242" max="10243" width="20.88671875" style="45" customWidth="1"/>
    <col min="10244" max="10244" width="26" style="45" bestFit="1" customWidth="1"/>
    <col min="10245" max="10245" width="21.33203125" style="45" bestFit="1" customWidth="1"/>
    <col min="10246" max="10246" width="20.109375" style="45" bestFit="1" customWidth="1"/>
    <col min="10247" max="10247" width="22.44140625" style="45" bestFit="1" customWidth="1"/>
    <col min="10248" max="10248" width="25.44140625" style="45" customWidth="1"/>
    <col min="10249" max="10249" width="14.5546875" style="45" customWidth="1"/>
    <col min="10250" max="10250" width="11.6640625" style="45" customWidth="1"/>
    <col min="10251" max="10251" width="12.5546875" style="45" customWidth="1"/>
    <col min="10252" max="10252" width="13" style="45" customWidth="1"/>
    <col min="10253" max="10496" width="9.109375" style="45"/>
    <col min="10497" max="10497" width="17.44140625" style="45" customWidth="1"/>
    <col min="10498" max="10499" width="20.88671875" style="45" customWidth="1"/>
    <col min="10500" max="10500" width="26" style="45" bestFit="1" customWidth="1"/>
    <col min="10501" max="10501" width="21.33203125" style="45" bestFit="1" customWidth="1"/>
    <col min="10502" max="10502" width="20.109375" style="45" bestFit="1" customWidth="1"/>
    <col min="10503" max="10503" width="22.44140625" style="45" bestFit="1" customWidth="1"/>
    <col min="10504" max="10504" width="25.44140625" style="45" customWidth="1"/>
    <col min="10505" max="10505" width="14.5546875" style="45" customWidth="1"/>
    <col min="10506" max="10506" width="11.6640625" style="45" customWidth="1"/>
    <col min="10507" max="10507" width="12.5546875" style="45" customWidth="1"/>
    <col min="10508" max="10508" width="13" style="45" customWidth="1"/>
    <col min="10509" max="10752" width="9.109375" style="45"/>
    <col min="10753" max="10753" width="17.44140625" style="45" customWidth="1"/>
    <col min="10754" max="10755" width="20.88671875" style="45" customWidth="1"/>
    <col min="10756" max="10756" width="26" style="45" bestFit="1" customWidth="1"/>
    <col min="10757" max="10757" width="21.33203125" style="45" bestFit="1" customWidth="1"/>
    <col min="10758" max="10758" width="20.109375" style="45" bestFit="1" customWidth="1"/>
    <col min="10759" max="10759" width="22.44140625" style="45" bestFit="1" customWidth="1"/>
    <col min="10760" max="10760" width="25.44140625" style="45" customWidth="1"/>
    <col min="10761" max="10761" width="14.5546875" style="45" customWidth="1"/>
    <col min="10762" max="10762" width="11.6640625" style="45" customWidth="1"/>
    <col min="10763" max="10763" width="12.5546875" style="45" customWidth="1"/>
    <col min="10764" max="10764" width="13" style="45" customWidth="1"/>
    <col min="10765" max="11008" width="9.109375" style="45"/>
    <col min="11009" max="11009" width="17.44140625" style="45" customWidth="1"/>
    <col min="11010" max="11011" width="20.88671875" style="45" customWidth="1"/>
    <col min="11012" max="11012" width="26" style="45" bestFit="1" customWidth="1"/>
    <col min="11013" max="11013" width="21.33203125" style="45" bestFit="1" customWidth="1"/>
    <col min="11014" max="11014" width="20.109375" style="45" bestFit="1" customWidth="1"/>
    <col min="11015" max="11015" width="22.44140625" style="45" bestFit="1" customWidth="1"/>
    <col min="11016" max="11016" width="25.44140625" style="45" customWidth="1"/>
    <col min="11017" max="11017" width="14.5546875" style="45" customWidth="1"/>
    <col min="11018" max="11018" width="11.6640625" style="45" customWidth="1"/>
    <col min="11019" max="11019" width="12.5546875" style="45" customWidth="1"/>
    <col min="11020" max="11020" width="13" style="45" customWidth="1"/>
    <col min="11021" max="11264" width="9.109375" style="45"/>
    <col min="11265" max="11265" width="17.44140625" style="45" customWidth="1"/>
    <col min="11266" max="11267" width="20.88671875" style="45" customWidth="1"/>
    <col min="11268" max="11268" width="26" style="45" bestFit="1" customWidth="1"/>
    <col min="11269" max="11269" width="21.33203125" style="45" bestFit="1" customWidth="1"/>
    <col min="11270" max="11270" width="20.109375" style="45" bestFit="1" customWidth="1"/>
    <col min="11271" max="11271" width="22.44140625" style="45" bestFit="1" customWidth="1"/>
    <col min="11272" max="11272" width="25.44140625" style="45" customWidth="1"/>
    <col min="11273" max="11273" width="14.5546875" style="45" customWidth="1"/>
    <col min="11274" max="11274" width="11.6640625" style="45" customWidth="1"/>
    <col min="11275" max="11275" width="12.5546875" style="45" customWidth="1"/>
    <col min="11276" max="11276" width="13" style="45" customWidth="1"/>
    <col min="11277" max="11520" width="9.109375" style="45"/>
    <col min="11521" max="11521" width="17.44140625" style="45" customWidth="1"/>
    <col min="11522" max="11523" width="20.88671875" style="45" customWidth="1"/>
    <col min="11524" max="11524" width="26" style="45" bestFit="1" customWidth="1"/>
    <col min="11525" max="11525" width="21.33203125" style="45" bestFit="1" customWidth="1"/>
    <col min="11526" max="11526" width="20.109375" style="45" bestFit="1" customWidth="1"/>
    <col min="11527" max="11527" width="22.44140625" style="45" bestFit="1" customWidth="1"/>
    <col min="11528" max="11528" width="25.44140625" style="45" customWidth="1"/>
    <col min="11529" max="11529" width="14.5546875" style="45" customWidth="1"/>
    <col min="11530" max="11530" width="11.6640625" style="45" customWidth="1"/>
    <col min="11531" max="11531" width="12.5546875" style="45" customWidth="1"/>
    <col min="11532" max="11532" width="13" style="45" customWidth="1"/>
    <col min="11533" max="11776" width="9.109375" style="45"/>
    <col min="11777" max="11777" width="17.44140625" style="45" customWidth="1"/>
    <col min="11778" max="11779" width="20.88671875" style="45" customWidth="1"/>
    <col min="11780" max="11780" width="26" style="45" bestFit="1" customWidth="1"/>
    <col min="11781" max="11781" width="21.33203125" style="45" bestFit="1" customWidth="1"/>
    <col min="11782" max="11782" width="20.109375" style="45" bestFit="1" customWidth="1"/>
    <col min="11783" max="11783" width="22.44140625" style="45" bestFit="1" customWidth="1"/>
    <col min="11784" max="11784" width="25.44140625" style="45" customWidth="1"/>
    <col min="11785" max="11785" width="14.5546875" style="45" customWidth="1"/>
    <col min="11786" max="11786" width="11.6640625" style="45" customWidth="1"/>
    <col min="11787" max="11787" width="12.5546875" style="45" customWidth="1"/>
    <col min="11788" max="11788" width="13" style="45" customWidth="1"/>
    <col min="11789" max="12032" width="9.109375" style="45"/>
    <col min="12033" max="12033" width="17.44140625" style="45" customWidth="1"/>
    <col min="12034" max="12035" width="20.88671875" style="45" customWidth="1"/>
    <col min="12036" max="12036" width="26" style="45" bestFit="1" customWidth="1"/>
    <col min="12037" max="12037" width="21.33203125" style="45" bestFit="1" customWidth="1"/>
    <col min="12038" max="12038" width="20.109375" style="45" bestFit="1" customWidth="1"/>
    <col min="12039" max="12039" width="22.44140625" style="45" bestFit="1" customWidth="1"/>
    <col min="12040" max="12040" width="25.44140625" style="45" customWidth="1"/>
    <col min="12041" max="12041" width="14.5546875" style="45" customWidth="1"/>
    <col min="12042" max="12042" width="11.6640625" style="45" customWidth="1"/>
    <col min="12043" max="12043" width="12.5546875" style="45" customWidth="1"/>
    <col min="12044" max="12044" width="13" style="45" customWidth="1"/>
    <col min="12045" max="12288" width="9.109375" style="45"/>
    <col min="12289" max="12289" width="17.44140625" style="45" customWidth="1"/>
    <col min="12290" max="12291" width="20.88671875" style="45" customWidth="1"/>
    <col min="12292" max="12292" width="26" style="45" bestFit="1" customWidth="1"/>
    <col min="12293" max="12293" width="21.33203125" style="45" bestFit="1" customWidth="1"/>
    <col min="12294" max="12294" width="20.109375" style="45" bestFit="1" customWidth="1"/>
    <col min="12295" max="12295" width="22.44140625" style="45" bestFit="1" customWidth="1"/>
    <col min="12296" max="12296" width="25.44140625" style="45" customWidth="1"/>
    <col min="12297" max="12297" width="14.5546875" style="45" customWidth="1"/>
    <col min="12298" max="12298" width="11.6640625" style="45" customWidth="1"/>
    <col min="12299" max="12299" width="12.5546875" style="45" customWidth="1"/>
    <col min="12300" max="12300" width="13" style="45" customWidth="1"/>
    <col min="12301" max="12544" width="9.109375" style="45"/>
    <col min="12545" max="12545" width="17.44140625" style="45" customWidth="1"/>
    <col min="12546" max="12547" width="20.88671875" style="45" customWidth="1"/>
    <col min="12548" max="12548" width="26" style="45" bestFit="1" customWidth="1"/>
    <col min="12549" max="12549" width="21.33203125" style="45" bestFit="1" customWidth="1"/>
    <col min="12550" max="12550" width="20.109375" style="45" bestFit="1" customWidth="1"/>
    <col min="12551" max="12551" width="22.44140625" style="45" bestFit="1" customWidth="1"/>
    <col min="12552" max="12552" width="25.44140625" style="45" customWidth="1"/>
    <col min="12553" max="12553" width="14.5546875" style="45" customWidth="1"/>
    <col min="12554" max="12554" width="11.6640625" style="45" customWidth="1"/>
    <col min="12555" max="12555" width="12.5546875" style="45" customWidth="1"/>
    <col min="12556" max="12556" width="13" style="45" customWidth="1"/>
    <col min="12557" max="12800" width="9.109375" style="45"/>
    <col min="12801" max="12801" width="17.44140625" style="45" customWidth="1"/>
    <col min="12802" max="12803" width="20.88671875" style="45" customWidth="1"/>
    <col min="12804" max="12804" width="26" style="45" bestFit="1" customWidth="1"/>
    <col min="12805" max="12805" width="21.33203125" style="45" bestFit="1" customWidth="1"/>
    <col min="12806" max="12806" width="20.109375" style="45" bestFit="1" customWidth="1"/>
    <col min="12807" max="12807" width="22.44140625" style="45" bestFit="1" customWidth="1"/>
    <col min="12808" max="12808" width="25.44140625" style="45" customWidth="1"/>
    <col min="12809" max="12809" width="14.5546875" style="45" customWidth="1"/>
    <col min="12810" max="12810" width="11.6640625" style="45" customWidth="1"/>
    <col min="12811" max="12811" width="12.5546875" style="45" customWidth="1"/>
    <col min="12812" max="12812" width="13" style="45" customWidth="1"/>
    <col min="12813" max="13056" width="9.109375" style="45"/>
    <col min="13057" max="13057" width="17.44140625" style="45" customWidth="1"/>
    <col min="13058" max="13059" width="20.88671875" style="45" customWidth="1"/>
    <col min="13060" max="13060" width="26" style="45" bestFit="1" customWidth="1"/>
    <col min="13061" max="13061" width="21.33203125" style="45" bestFit="1" customWidth="1"/>
    <col min="13062" max="13062" width="20.109375" style="45" bestFit="1" customWidth="1"/>
    <col min="13063" max="13063" width="22.44140625" style="45" bestFit="1" customWidth="1"/>
    <col min="13064" max="13064" width="25.44140625" style="45" customWidth="1"/>
    <col min="13065" max="13065" width="14.5546875" style="45" customWidth="1"/>
    <col min="13066" max="13066" width="11.6640625" style="45" customWidth="1"/>
    <col min="13067" max="13067" width="12.5546875" style="45" customWidth="1"/>
    <col min="13068" max="13068" width="13" style="45" customWidth="1"/>
    <col min="13069" max="13312" width="9.109375" style="45"/>
    <col min="13313" max="13313" width="17.44140625" style="45" customWidth="1"/>
    <col min="13314" max="13315" width="20.88671875" style="45" customWidth="1"/>
    <col min="13316" max="13316" width="26" style="45" bestFit="1" customWidth="1"/>
    <col min="13317" max="13317" width="21.33203125" style="45" bestFit="1" customWidth="1"/>
    <col min="13318" max="13318" width="20.109375" style="45" bestFit="1" customWidth="1"/>
    <col min="13319" max="13319" width="22.44140625" style="45" bestFit="1" customWidth="1"/>
    <col min="13320" max="13320" width="25.44140625" style="45" customWidth="1"/>
    <col min="13321" max="13321" width="14.5546875" style="45" customWidth="1"/>
    <col min="13322" max="13322" width="11.6640625" style="45" customWidth="1"/>
    <col min="13323" max="13323" width="12.5546875" style="45" customWidth="1"/>
    <col min="13324" max="13324" width="13" style="45" customWidth="1"/>
    <col min="13325" max="13568" width="9.109375" style="45"/>
    <col min="13569" max="13569" width="17.44140625" style="45" customWidth="1"/>
    <col min="13570" max="13571" width="20.88671875" style="45" customWidth="1"/>
    <col min="13572" max="13572" width="26" style="45" bestFit="1" customWidth="1"/>
    <col min="13573" max="13573" width="21.33203125" style="45" bestFit="1" customWidth="1"/>
    <col min="13574" max="13574" width="20.109375" style="45" bestFit="1" customWidth="1"/>
    <col min="13575" max="13575" width="22.44140625" style="45" bestFit="1" customWidth="1"/>
    <col min="13576" max="13576" width="25.44140625" style="45" customWidth="1"/>
    <col min="13577" max="13577" width="14.5546875" style="45" customWidth="1"/>
    <col min="13578" max="13578" width="11.6640625" style="45" customWidth="1"/>
    <col min="13579" max="13579" width="12.5546875" style="45" customWidth="1"/>
    <col min="13580" max="13580" width="13" style="45" customWidth="1"/>
    <col min="13581" max="13824" width="9.109375" style="45"/>
    <col min="13825" max="13825" width="17.44140625" style="45" customWidth="1"/>
    <col min="13826" max="13827" width="20.88671875" style="45" customWidth="1"/>
    <col min="13828" max="13828" width="26" style="45" bestFit="1" customWidth="1"/>
    <col min="13829" max="13829" width="21.33203125" style="45" bestFit="1" customWidth="1"/>
    <col min="13830" max="13830" width="20.109375" style="45" bestFit="1" customWidth="1"/>
    <col min="13831" max="13831" width="22.44140625" style="45" bestFit="1" customWidth="1"/>
    <col min="13832" max="13832" width="25.44140625" style="45" customWidth="1"/>
    <col min="13833" max="13833" width="14.5546875" style="45" customWidth="1"/>
    <col min="13834" max="13834" width="11.6640625" style="45" customWidth="1"/>
    <col min="13835" max="13835" width="12.5546875" style="45" customWidth="1"/>
    <col min="13836" max="13836" width="13" style="45" customWidth="1"/>
    <col min="13837" max="14080" width="9.109375" style="45"/>
    <col min="14081" max="14081" width="17.44140625" style="45" customWidth="1"/>
    <col min="14082" max="14083" width="20.88671875" style="45" customWidth="1"/>
    <col min="14084" max="14084" width="26" style="45" bestFit="1" customWidth="1"/>
    <col min="14085" max="14085" width="21.33203125" style="45" bestFit="1" customWidth="1"/>
    <col min="14086" max="14086" width="20.109375" style="45" bestFit="1" customWidth="1"/>
    <col min="14087" max="14087" width="22.44140625" style="45" bestFit="1" customWidth="1"/>
    <col min="14088" max="14088" width="25.44140625" style="45" customWidth="1"/>
    <col min="14089" max="14089" width="14.5546875" style="45" customWidth="1"/>
    <col min="14090" max="14090" width="11.6640625" style="45" customWidth="1"/>
    <col min="14091" max="14091" width="12.5546875" style="45" customWidth="1"/>
    <col min="14092" max="14092" width="13" style="45" customWidth="1"/>
    <col min="14093" max="14336" width="9.109375" style="45"/>
    <col min="14337" max="14337" width="17.44140625" style="45" customWidth="1"/>
    <col min="14338" max="14339" width="20.88671875" style="45" customWidth="1"/>
    <col min="14340" max="14340" width="26" style="45" bestFit="1" customWidth="1"/>
    <col min="14341" max="14341" width="21.33203125" style="45" bestFit="1" customWidth="1"/>
    <col min="14342" max="14342" width="20.109375" style="45" bestFit="1" customWidth="1"/>
    <col min="14343" max="14343" width="22.44140625" style="45" bestFit="1" customWidth="1"/>
    <col min="14344" max="14344" width="25.44140625" style="45" customWidth="1"/>
    <col min="14345" max="14345" width="14.5546875" style="45" customWidth="1"/>
    <col min="14346" max="14346" width="11.6640625" style="45" customWidth="1"/>
    <col min="14347" max="14347" width="12.5546875" style="45" customWidth="1"/>
    <col min="14348" max="14348" width="13" style="45" customWidth="1"/>
    <col min="14349" max="14592" width="9.109375" style="45"/>
    <col min="14593" max="14593" width="17.44140625" style="45" customWidth="1"/>
    <col min="14594" max="14595" width="20.88671875" style="45" customWidth="1"/>
    <col min="14596" max="14596" width="26" style="45" bestFit="1" customWidth="1"/>
    <col min="14597" max="14597" width="21.33203125" style="45" bestFit="1" customWidth="1"/>
    <col min="14598" max="14598" width="20.109375" style="45" bestFit="1" customWidth="1"/>
    <col min="14599" max="14599" width="22.44140625" style="45" bestFit="1" customWidth="1"/>
    <col min="14600" max="14600" width="25.44140625" style="45" customWidth="1"/>
    <col min="14601" max="14601" width="14.5546875" style="45" customWidth="1"/>
    <col min="14602" max="14602" width="11.6640625" style="45" customWidth="1"/>
    <col min="14603" max="14603" width="12.5546875" style="45" customWidth="1"/>
    <col min="14604" max="14604" width="13" style="45" customWidth="1"/>
    <col min="14605" max="14848" width="9.109375" style="45"/>
    <col min="14849" max="14849" width="17.44140625" style="45" customWidth="1"/>
    <col min="14850" max="14851" width="20.88671875" style="45" customWidth="1"/>
    <col min="14852" max="14852" width="26" style="45" bestFit="1" customWidth="1"/>
    <col min="14853" max="14853" width="21.33203125" style="45" bestFit="1" customWidth="1"/>
    <col min="14854" max="14854" width="20.109375" style="45" bestFit="1" customWidth="1"/>
    <col min="14855" max="14855" width="22.44140625" style="45" bestFit="1" customWidth="1"/>
    <col min="14856" max="14856" width="25.44140625" style="45" customWidth="1"/>
    <col min="14857" max="14857" width="14.5546875" style="45" customWidth="1"/>
    <col min="14858" max="14858" width="11.6640625" style="45" customWidth="1"/>
    <col min="14859" max="14859" width="12.5546875" style="45" customWidth="1"/>
    <col min="14860" max="14860" width="13" style="45" customWidth="1"/>
    <col min="14861" max="15104" width="9.109375" style="45"/>
    <col min="15105" max="15105" width="17.44140625" style="45" customWidth="1"/>
    <col min="15106" max="15107" width="20.88671875" style="45" customWidth="1"/>
    <col min="15108" max="15108" width="26" style="45" bestFit="1" customWidth="1"/>
    <col min="15109" max="15109" width="21.33203125" style="45" bestFit="1" customWidth="1"/>
    <col min="15110" max="15110" width="20.109375" style="45" bestFit="1" customWidth="1"/>
    <col min="15111" max="15111" width="22.44140625" style="45" bestFit="1" customWidth="1"/>
    <col min="15112" max="15112" width="25.44140625" style="45" customWidth="1"/>
    <col min="15113" max="15113" width="14.5546875" style="45" customWidth="1"/>
    <col min="15114" max="15114" width="11.6640625" style="45" customWidth="1"/>
    <col min="15115" max="15115" width="12.5546875" style="45" customWidth="1"/>
    <col min="15116" max="15116" width="13" style="45" customWidth="1"/>
    <col min="15117" max="15360" width="9.109375" style="45"/>
    <col min="15361" max="15361" width="17.44140625" style="45" customWidth="1"/>
    <col min="15362" max="15363" width="20.88671875" style="45" customWidth="1"/>
    <col min="15364" max="15364" width="26" style="45" bestFit="1" customWidth="1"/>
    <col min="15365" max="15365" width="21.33203125" style="45" bestFit="1" customWidth="1"/>
    <col min="15366" max="15366" width="20.109375" style="45" bestFit="1" customWidth="1"/>
    <col min="15367" max="15367" width="22.44140625" style="45" bestFit="1" customWidth="1"/>
    <col min="15368" max="15368" width="25.44140625" style="45" customWidth="1"/>
    <col min="15369" max="15369" width="14.5546875" style="45" customWidth="1"/>
    <col min="15370" max="15370" width="11.6640625" style="45" customWidth="1"/>
    <col min="15371" max="15371" width="12.5546875" style="45" customWidth="1"/>
    <col min="15372" max="15372" width="13" style="45" customWidth="1"/>
    <col min="15373" max="15616" width="9.109375" style="45"/>
    <col min="15617" max="15617" width="17.44140625" style="45" customWidth="1"/>
    <col min="15618" max="15619" width="20.88671875" style="45" customWidth="1"/>
    <col min="15620" max="15620" width="26" style="45" bestFit="1" customWidth="1"/>
    <col min="15621" max="15621" width="21.33203125" style="45" bestFit="1" customWidth="1"/>
    <col min="15622" max="15622" width="20.109375" style="45" bestFit="1" customWidth="1"/>
    <col min="15623" max="15623" width="22.44140625" style="45" bestFit="1" customWidth="1"/>
    <col min="15624" max="15624" width="25.44140625" style="45" customWidth="1"/>
    <col min="15625" max="15625" width="14.5546875" style="45" customWidth="1"/>
    <col min="15626" max="15626" width="11.6640625" style="45" customWidth="1"/>
    <col min="15627" max="15627" width="12.5546875" style="45" customWidth="1"/>
    <col min="15628" max="15628" width="13" style="45" customWidth="1"/>
    <col min="15629" max="15872" width="9.109375" style="45"/>
    <col min="15873" max="15873" width="17.44140625" style="45" customWidth="1"/>
    <col min="15874" max="15875" width="20.88671875" style="45" customWidth="1"/>
    <col min="15876" max="15876" width="26" style="45" bestFit="1" customWidth="1"/>
    <col min="15877" max="15877" width="21.33203125" style="45" bestFit="1" customWidth="1"/>
    <col min="15878" max="15878" width="20.109375" style="45" bestFit="1" customWidth="1"/>
    <col min="15879" max="15879" width="22.44140625" style="45" bestFit="1" customWidth="1"/>
    <col min="15880" max="15880" width="25.44140625" style="45" customWidth="1"/>
    <col min="15881" max="15881" width="14.5546875" style="45" customWidth="1"/>
    <col min="15882" max="15882" width="11.6640625" style="45" customWidth="1"/>
    <col min="15883" max="15883" width="12.5546875" style="45" customWidth="1"/>
    <col min="15884" max="15884" width="13" style="45" customWidth="1"/>
    <col min="15885" max="16128" width="9.109375" style="45"/>
    <col min="16129" max="16129" width="17.44140625" style="45" customWidth="1"/>
    <col min="16130" max="16131" width="20.88671875" style="45" customWidth="1"/>
    <col min="16132" max="16132" width="26" style="45" bestFit="1" customWidth="1"/>
    <col min="16133" max="16133" width="21.33203125" style="45" bestFit="1" customWidth="1"/>
    <col min="16134" max="16134" width="20.109375" style="45" bestFit="1" customWidth="1"/>
    <col min="16135" max="16135" width="22.44140625" style="45" bestFit="1" customWidth="1"/>
    <col min="16136" max="16136" width="25.44140625" style="45" customWidth="1"/>
    <col min="16137" max="16137" width="14.5546875" style="45" customWidth="1"/>
    <col min="16138" max="16138" width="11.6640625" style="45" customWidth="1"/>
    <col min="16139" max="16139" width="12.5546875" style="45" customWidth="1"/>
    <col min="16140" max="16140" width="13" style="45" customWidth="1"/>
    <col min="16141" max="16384" width="9.109375" style="45"/>
  </cols>
  <sheetData>
    <row r="1" spans="1:8" s="21" customFormat="1" ht="17.399999999999999" x14ac:dyDescent="0.3">
      <c r="A1" s="42" t="s">
        <v>358</v>
      </c>
    </row>
    <row r="2" spans="1:8" ht="60" customHeight="1" x14ac:dyDescent="0.25">
      <c r="A2" s="43"/>
      <c r="B2" s="44" t="s">
        <v>74</v>
      </c>
      <c r="C2" s="44" t="s">
        <v>75</v>
      </c>
      <c r="D2" s="44" t="s">
        <v>76</v>
      </c>
      <c r="E2" s="44" t="s">
        <v>77</v>
      </c>
      <c r="F2" s="44" t="s">
        <v>78</v>
      </c>
      <c r="G2" s="44" t="s">
        <v>79</v>
      </c>
      <c r="H2" s="44" t="s">
        <v>106</v>
      </c>
    </row>
    <row r="3" spans="1:8" x14ac:dyDescent="0.25">
      <c r="A3" s="58" t="s">
        <v>80</v>
      </c>
      <c r="B3" s="68" t="s">
        <v>85</v>
      </c>
      <c r="C3" s="68" t="s">
        <v>86</v>
      </c>
      <c r="D3" s="68" t="s">
        <v>87</v>
      </c>
      <c r="E3" s="68" t="s">
        <v>88</v>
      </c>
      <c r="F3" s="68" t="s">
        <v>89</v>
      </c>
      <c r="G3" s="68" t="s">
        <v>90</v>
      </c>
      <c r="H3" s="68" t="s">
        <v>107</v>
      </c>
    </row>
    <row r="4" spans="1:8" x14ac:dyDescent="0.25">
      <c r="A4" s="46" t="s">
        <v>42</v>
      </c>
      <c r="B4" s="47">
        <v>2.2000000000000001E-3</v>
      </c>
      <c r="C4" s="47">
        <v>6.9999999999999999E-4</v>
      </c>
      <c r="D4" s="47">
        <v>6.6E-3</v>
      </c>
      <c r="E4" s="47">
        <v>7.2099999999999996E-4</v>
      </c>
      <c r="F4" s="47">
        <v>1.941E-2</v>
      </c>
      <c r="G4" s="47">
        <v>9.9871000000000005E-3</v>
      </c>
      <c r="H4" s="48">
        <v>4.8309999999999999E-2</v>
      </c>
    </row>
    <row r="5" spans="1:8" ht="15.6" x14ac:dyDescent="0.35">
      <c r="A5" s="49" t="s">
        <v>50</v>
      </c>
      <c r="B5" s="50">
        <v>2.2000000000000001E-3</v>
      </c>
      <c r="C5" s="50">
        <v>6.9999999999999999E-4</v>
      </c>
      <c r="D5" s="50">
        <v>6.6E-3</v>
      </c>
      <c r="E5" s="50">
        <v>7.2099999999999996E-4</v>
      </c>
      <c r="F5" s="50">
        <v>1.941E-2</v>
      </c>
      <c r="G5" s="50">
        <v>9.9871000000000005E-3</v>
      </c>
      <c r="H5" s="51">
        <v>4.8309999999999999E-2</v>
      </c>
    </row>
    <row r="6" spans="1:8" ht="15.6" x14ac:dyDescent="0.35">
      <c r="A6" s="49" t="s">
        <v>51</v>
      </c>
      <c r="B6" s="50">
        <v>2.2000000000000001E-3</v>
      </c>
      <c r="C6" s="50">
        <v>6.9999999999999999E-4</v>
      </c>
      <c r="D6" s="50">
        <v>6.6E-3</v>
      </c>
      <c r="E6" s="50">
        <v>7.2099999999999996E-4</v>
      </c>
      <c r="F6" s="50">
        <v>1.941E-2</v>
      </c>
      <c r="G6" s="50">
        <v>9.9871000000000005E-3</v>
      </c>
      <c r="H6" s="51">
        <v>4.8309999999999999E-2</v>
      </c>
    </row>
    <row r="7" spans="1:8" ht="15.6" x14ac:dyDescent="0.35">
      <c r="A7" s="49" t="s">
        <v>52</v>
      </c>
      <c r="B7" s="50">
        <v>2.0500000000000002E-3</v>
      </c>
      <c r="C7" s="50">
        <v>8.09E-3</v>
      </c>
      <c r="D7" s="50">
        <v>0.94</v>
      </c>
      <c r="E7" s="50">
        <v>5.9100000000000005E-4</v>
      </c>
      <c r="F7" s="50">
        <v>5.8799999999999998E-4</v>
      </c>
      <c r="G7" s="50">
        <v>5.8799999999999998E-4</v>
      </c>
      <c r="H7" s="51">
        <v>5.8799999999999998E-4</v>
      </c>
    </row>
    <row r="8" spans="1:8" ht="15.6" x14ac:dyDescent="0.35">
      <c r="A8" s="49" t="s">
        <v>53</v>
      </c>
      <c r="B8" s="50">
        <v>3.1E-2</v>
      </c>
      <c r="C8" s="50">
        <v>2.4E-2</v>
      </c>
      <c r="D8" s="50">
        <v>0.32</v>
      </c>
      <c r="E8" s="50">
        <v>1.0999999999999999E-2</v>
      </c>
      <c r="F8" s="50">
        <v>2.21</v>
      </c>
      <c r="G8" s="50">
        <v>4.08</v>
      </c>
      <c r="H8" s="51">
        <v>3.17</v>
      </c>
    </row>
    <row r="9" spans="1:8" x14ac:dyDescent="0.25">
      <c r="A9" s="49" t="s">
        <v>47</v>
      </c>
      <c r="B9" s="50">
        <v>2.5140000000000002E-3</v>
      </c>
      <c r="C9" s="50">
        <v>7.0500000000000001E-4</v>
      </c>
      <c r="D9" s="50">
        <v>2.0999999999999999E-3</v>
      </c>
      <c r="E9" s="50">
        <v>2.1590999999999999E-2</v>
      </c>
      <c r="F9" s="50">
        <v>2.9600000000000001E-2</v>
      </c>
      <c r="G9" s="50">
        <v>0.11799999999999999</v>
      </c>
      <c r="H9" s="51">
        <v>0.12</v>
      </c>
    </row>
    <row r="10" spans="1:8" x14ac:dyDescent="0.25">
      <c r="A10" s="52" t="s">
        <v>48</v>
      </c>
      <c r="B10" s="53">
        <v>6.6800000000000002E-3</v>
      </c>
      <c r="C10" s="53">
        <v>5.4999999999999997E-3</v>
      </c>
      <c r="D10" s="53">
        <v>8.2000000000000003E-2</v>
      </c>
      <c r="E10" s="53">
        <v>6.96E-3</v>
      </c>
      <c r="F10" s="53">
        <v>3.72</v>
      </c>
      <c r="G10" s="53">
        <v>0.317</v>
      </c>
      <c r="H10" s="54">
        <v>0.38600000000000001</v>
      </c>
    </row>
    <row r="11" spans="1:8" ht="16.8" x14ac:dyDescent="0.35">
      <c r="A11" s="55">
        <v>1</v>
      </c>
      <c r="B11" s="45" t="s">
        <v>91</v>
      </c>
    </row>
    <row r="12" spans="1:8" s="21" customFormat="1" x14ac:dyDescent="0.25"/>
    <row r="13" spans="1:8" x14ac:dyDescent="0.25">
      <c r="A13" s="57" t="s">
        <v>84</v>
      </c>
    </row>
    <row r="14" spans="1:8" x14ac:dyDescent="0.25">
      <c r="A14" s="59" t="s">
        <v>85</v>
      </c>
      <c r="B14" s="45" t="s">
        <v>92</v>
      </c>
    </row>
    <row r="15" spans="1:8" x14ac:dyDescent="0.25">
      <c r="A15" s="59" t="s">
        <v>86</v>
      </c>
      <c r="B15" s="45" t="s">
        <v>93</v>
      </c>
    </row>
    <row r="16" spans="1:8" x14ac:dyDescent="0.25">
      <c r="A16" s="59" t="s">
        <v>87</v>
      </c>
      <c r="B16" s="45" t="s">
        <v>94</v>
      </c>
    </row>
    <row r="17" spans="1:15" x14ac:dyDescent="0.25">
      <c r="A17" s="59" t="s">
        <v>88</v>
      </c>
      <c r="B17" s="45" t="s">
        <v>92</v>
      </c>
    </row>
    <row r="18" spans="1:15" x14ac:dyDescent="0.25">
      <c r="A18" s="59" t="s">
        <v>89</v>
      </c>
      <c r="B18" s="45" t="s">
        <v>95</v>
      </c>
    </row>
    <row r="19" spans="1:15" x14ac:dyDescent="0.25">
      <c r="A19" s="59" t="s">
        <v>90</v>
      </c>
      <c r="B19" s="45" t="s">
        <v>95</v>
      </c>
    </row>
    <row r="20" spans="1:15" x14ac:dyDescent="0.25">
      <c r="A20" s="59" t="s">
        <v>107</v>
      </c>
      <c r="B20" s="45" t="s">
        <v>95</v>
      </c>
    </row>
    <row r="21" spans="1:15" x14ac:dyDescent="0.25">
      <c r="A21" s="21"/>
      <c r="B21" s="21"/>
      <c r="C21" s="21"/>
    </row>
    <row r="22" spans="1:15" x14ac:dyDescent="0.25">
      <c r="B22" s="21"/>
    </row>
    <row r="23" spans="1:15" x14ac:dyDescent="0.25">
      <c r="B23" s="21"/>
    </row>
    <row r="24" spans="1:15" x14ac:dyDescent="0.25">
      <c r="B24" s="21"/>
      <c r="E24" s="21"/>
      <c r="O24" s="21"/>
    </row>
    <row r="30" spans="1:15" x14ac:dyDescent="0.25">
      <c r="F30" s="56"/>
    </row>
  </sheetData>
  <pageMargins left="0.75" right="0.75" top="1" bottom="1" header="0.5" footer="0.5"/>
  <pageSetup scale="46"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3"/>
  <sheetViews>
    <sheetView workbookViewId="0"/>
  </sheetViews>
  <sheetFormatPr defaultColWidth="9.109375" defaultRowHeight="13.2" x14ac:dyDescent="0.25"/>
  <cols>
    <col min="1" max="1" width="19.88671875" style="297" bestFit="1" customWidth="1"/>
    <col min="2" max="2" width="15" style="297" bestFit="1" customWidth="1"/>
    <col min="3" max="3" width="25.5546875" style="298" bestFit="1" customWidth="1"/>
    <col min="4" max="4" width="27.6640625" style="298" bestFit="1" customWidth="1"/>
    <col min="5" max="5" width="228.109375" style="297" bestFit="1" customWidth="1"/>
    <col min="6" max="16384" width="9.109375" style="297"/>
  </cols>
  <sheetData>
    <row r="1" spans="1:5" ht="17.399999999999999" x14ac:dyDescent="0.3">
      <c r="A1" s="296" t="s">
        <v>466</v>
      </c>
    </row>
    <row r="2" spans="1:5" ht="13.8" thickBot="1" x14ac:dyDescent="0.3"/>
    <row r="3" spans="1:5" x14ac:dyDescent="0.25">
      <c r="A3" s="545" t="s">
        <v>467</v>
      </c>
      <c r="B3" s="546"/>
      <c r="C3" s="546"/>
      <c r="D3" s="546"/>
      <c r="E3" s="547"/>
    </row>
    <row r="4" spans="1:5" x14ac:dyDescent="0.25">
      <c r="A4" s="299" t="s">
        <v>468</v>
      </c>
      <c r="B4" s="300" t="s">
        <v>469</v>
      </c>
      <c r="C4" s="301" t="s">
        <v>470</v>
      </c>
      <c r="D4" s="301" t="s">
        <v>471</v>
      </c>
      <c r="E4" s="302" t="s">
        <v>100</v>
      </c>
    </row>
    <row r="5" spans="1:5" x14ac:dyDescent="0.25">
      <c r="A5" s="303" t="s">
        <v>472</v>
      </c>
      <c r="B5" s="304">
        <v>130000</v>
      </c>
      <c r="C5" s="305" t="s">
        <v>473</v>
      </c>
      <c r="D5" s="305" t="s">
        <v>474</v>
      </c>
      <c r="E5" s="306" t="s">
        <v>452</v>
      </c>
    </row>
    <row r="6" spans="1:5" ht="15.6" x14ac:dyDescent="0.25">
      <c r="A6" s="303" t="s">
        <v>475</v>
      </c>
      <c r="B6" s="304">
        <v>1023</v>
      </c>
      <c r="C6" s="305" t="s">
        <v>473</v>
      </c>
      <c r="D6" s="305" t="s">
        <v>476</v>
      </c>
      <c r="E6" s="306" t="s">
        <v>477</v>
      </c>
    </row>
    <row r="7" spans="1:5" x14ac:dyDescent="0.25">
      <c r="A7" s="303" t="s">
        <v>478</v>
      </c>
      <c r="B7" s="304">
        <v>5.8250000000000002</v>
      </c>
      <c r="C7" s="305" t="s">
        <v>119</v>
      </c>
      <c r="D7" s="305" t="s">
        <v>479</v>
      </c>
      <c r="E7" s="306" t="s">
        <v>480</v>
      </c>
    </row>
    <row r="8" spans="1:5" ht="13.8" thickBot="1" x14ac:dyDescent="0.3">
      <c r="A8" s="307"/>
    </row>
    <row r="9" spans="1:5" x14ac:dyDescent="0.25">
      <c r="A9" s="545" t="s">
        <v>481</v>
      </c>
      <c r="B9" s="546"/>
      <c r="C9" s="546"/>
      <c r="D9" s="547"/>
    </row>
    <row r="10" spans="1:5" x14ac:dyDescent="0.25">
      <c r="A10" s="299" t="s">
        <v>468</v>
      </c>
      <c r="B10" s="300" t="s">
        <v>469</v>
      </c>
      <c r="C10" s="301" t="s">
        <v>470</v>
      </c>
      <c r="D10" s="308" t="s">
        <v>471</v>
      </c>
      <c r="E10" s="309"/>
    </row>
    <row r="11" spans="1:5" x14ac:dyDescent="0.25">
      <c r="A11" s="303" t="s">
        <v>472</v>
      </c>
      <c r="B11" s="304">
        <f>B5*1000/1000000</f>
        <v>130</v>
      </c>
      <c r="C11" s="305" t="s">
        <v>119</v>
      </c>
      <c r="D11" s="310" t="s">
        <v>482</v>
      </c>
    </row>
    <row r="12" spans="1:5" x14ac:dyDescent="0.25">
      <c r="A12" s="303" t="s">
        <v>475</v>
      </c>
      <c r="B12" s="304">
        <f>B6</f>
        <v>1023</v>
      </c>
      <c r="C12" s="305" t="s">
        <v>119</v>
      </c>
      <c r="D12" s="310" t="s">
        <v>483</v>
      </c>
    </row>
    <row r="13" spans="1:5" x14ac:dyDescent="0.25">
      <c r="A13" s="303" t="s">
        <v>478</v>
      </c>
      <c r="B13" s="304">
        <f>B7*1000/42</f>
        <v>138.6904761904762</v>
      </c>
      <c r="C13" s="305" t="s">
        <v>119</v>
      </c>
      <c r="D13" s="310" t="s">
        <v>482</v>
      </c>
    </row>
  </sheetData>
  <mergeCells count="2">
    <mergeCell ref="A3:E3"/>
    <mergeCell ref="A9:D9"/>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16"/>
  <sheetViews>
    <sheetView showGridLines="0" zoomScaleNormal="100" workbookViewId="0"/>
  </sheetViews>
  <sheetFormatPr defaultColWidth="9.109375" defaultRowHeight="13.2" x14ac:dyDescent="0.25"/>
  <cols>
    <col min="1" max="1" width="40.5546875" style="2" bestFit="1" customWidth="1"/>
    <col min="2" max="3" width="20.6640625" style="41" customWidth="1"/>
    <col min="4" max="4" width="85.88671875" style="2" customWidth="1"/>
    <col min="5" max="16384" width="9.109375" style="2"/>
  </cols>
  <sheetData>
    <row r="1" spans="1:4" ht="17.399999999999999" x14ac:dyDescent="0.3">
      <c r="A1" s="1" t="s">
        <v>96</v>
      </c>
      <c r="B1" s="60"/>
      <c r="C1" s="60"/>
    </row>
    <row r="2" spans="1:4" ht="12" customHeight="1" x14ac:dyDescent="0.25">
      <c r="A2" s="3"/>
      <c r="B2" s="61"/>
      <c r="C2" s="61"/>
    </row>
    <row r="3" spans="1:4" ht="12" customHeight="1" x14ac:dyDescent="0.25">
      <c r="A3" s="133" t="s">
        <v>97</v>
      </c>
      <c r="B3" s="28" t="s">
        <v>98</v>
      </c>
      <c r="C3" s="28" t="s">
        <v>99</v>
      </c>
      <c r="D3" s="133" t="s">
        <v>100</v>
      </c>
    </row>
    <row r="4" spans="1:4" x14ac:dyDescent="0.25">
      <c r="A4" s="136" t="s">
        <v>430</v>
      </c>
      <c r="B4" s="62">
        <v>0.24</v>
      </c>
      <c r="C4" s="62" t="s">
        <v>101</v>
      </c>
      <c r="D4" s="65" t="s">
        <v>320</v>
      </c>
    </row>
    <row r="5" spans="1:4" x14ac:dyDescent="0.25">
      <c r="A5" s="64" t="s">
        <v>431</v>
      </c>
      <c r="B5" s="62">
        <v>0.5</v>
      </c>
      <c r="C5" s="62" t="s">
        <v>101</v>
      </c>
      <c r="D5" s="262" t="s">
        <v>411</v>
      </c>
    </row>
    <row r="6" spans="1:4" x14ac:dyDescent="0.25">
      <c r="A6" s="64" t="s">
        <v>432</v>
      </c>
      <c r="B6" s="62">
        <v>0.5</v>
      </c>
      <c r="C6" s="62" t="s">
        <v>101</v>
      </c>
      <c r="D6" s="65" t="s">
        <v>110</v>
      </c>
    </row>
    <row r="7" spans="1:4" x14ac:dyDescent="0.25">
      <c r="A7" s="66" t="s">
        <v>433</v>
      </c>
      <c r="B7" s="63">
        <f>24*365</f>
        <v>8760</v>
      </c>
      <c r="C7" s="62" t="s">
        <v>102</v>
      </c>
      <c r="D7" s="67" t="s">
        <v>103</v>
      </c>
    </row>
    <row r="8" spans="1:4" x14ac:dyDescent="0.25">
      <c r="A8" s="66" t="s">
        <v>434</v>
      </c>
      <c r="B8" s="63">
        <v>500</v>
      </c>
      <c r="C8" s="62" t="s">
        <v>102</v>
      </c>
      <c r="D8" s="67" t="s">
        <v>104</v>
      </c>
    </row>
    <row r="9" spans="1:4" x14ac:dyDescent="0.25">
      <c r="A9" s="290" t="s">
        <v>450</v>
      </c>
      <c r="B9" s="291">
        <f>1/453.592</f>
        <v>2.2046244201837776E-3</v>
      </c>
      <c r="C9" s="292" t="s">
        <v>451</v>
      </c>
      <c r="D9" s="293" t="s">
        <v>452</v>
      </c>
    </row>
    <row r="10" spans="1:4" x14ac:dyDescent="0.25">
      <c r="A10" s="140" t="s">
        <v>453</v>
      </c>
      <c r="B10" s="294">
        <v>1.3410220900000001</v>
      </c>
      <c r="C10" s="292" t="s">
        <v>454</v>
      </c>
      <c r="D10" s="293" t="s">
        <v>452</v>
      </c>
    </row>
    <row r="11" spans="1:4" x14ac:dyDescent="0.25">
      <c r="A11" s="140" t="s">
        <v>455</v>
      </c>
      <c r="B11" s="295">
        <v>3.9291E-4</v>
      </c>
      <c r="C11" s="292" t="s">
        <v>456</v>
      </c>
      <c r="D11" s="293" t="s">
        <v>452</v>
      </c>
    </row>
    <row r="12" spans="1:4" x14ac:dyDescent="0.25">
      <c r="A12" s="140" t="s">
        <v>457</v>
      </c>
      <c r="B12" s="292">
        <v>2545.1</v>
      </c>
      <c r="C12" s="292" t="s">
        <v>458</v>
      </c>
      <c r="D12" s="293" t="s">
        <v>452</v>
      </c>
    </row>
    <row r="13" spans="1:4" x14ac:dyDescent="0.25">
      <c r="A13" s="140" t="s">
        <v>459</v>
      </c>
      <c r="B13" s="292">
        <v>3413.04</v>
      </c>
      <c r="C13" s="292" t="s">
        <v>460</v>
      </c>
      <c r="D13" s="293" t="s">
        <v>452</v>
      </c>
    </row>
    <row r="14" spans="1:4" ht="15.6" x14ac:dyDescent="0.25">
      <c r="A14" s="140" t="s">
        <v>461</v>
      </c>
      <c r="B14" s="292">
        <v>35.314700000000002</v>
      </c>
      <c r="C14" s="292" t="s">
        <v>462</v>
      </c>
      <c r="D14" s="293" t="s">
        <v>452</v>
      </c>
    </row>
    <row r="15" spans="1:4" x14ac:dyDescent="0.25">
      <c r="A15" s="140" t="s">
        <v>463</v>
      </c>
      <c r="B15" s="292">
        <v>7000</v>
      </c>
      <c r="C15" s="292" t="s">
        <v>458</v>
      </c>
      <c r="D15" s="293" t="s">
        <v>92</v>
      </c>
    </row>
    <row r="16" spans="1:4" x14ac:dyDescent="0.25">
      <c r="A16" s="140" t="s">
        <v>464</v>
      </c>
      <c r="B16" s="292">
        <f>Hp_to_Btu_hr_Conversion_Factor/Brake_Specific_Fuel_Consumption</f>
        <v>0.36358571428571429</v>
      </c>
      <c r="C16" s="292"/>
      <c r="D16" s="140" t="s">
        <v>465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55"/>
  <sheetViews>
    <sheetView workbookViewId="0"/>
  </sheetViews>
  <sheetFormatPr defaultColWidth="9.109375" defaultRowHeight="14.4" x14ac:dyDescent="0.3"/>
  <cols>
    <col min="1" max="1" width="47.33203125" style="153" bestFit="1" customWidth="1"/>
    <col min="2" max="2" width="17.88671875" style="152" bestFit="1" customWidth="1"/>
    <col min="3" max="3" width="11" style="152" bestFit="1" customWidth="1"/>
    <col min="4" max="4" width="19.44140625" style="153" bestFit="1" customWidth="1"/>
    <col min="5" max="5" width="14.33203125" style="153" bestFit="1" customWidth="1"/>
    <col min="6" max="6" width="26" style="153" bestFit="1" customWidth="1"/>
    <col min="7" max="7" width="18.6640625" style="153" bestFit="1" customWidth="1"/>
    <col min="8" max="8" width="14.33203125" style="153" bestFit="1" customWidth="1"/>
    <col min="9" max="10" width="26" style="153" bestFit="1" customWidth="1"/>
    <col min="11" max="11" width="18.6640625" style="153" bestFit="1" customWidth="1"/>
    <col min="12" max="12" width="13.44140625" style="153" bestFit="1" customWidth="1"/>
    <col min="13" max="13" width="5.5546875" style="152" bestFit="1" customWidth="1"/>
    <col min="14" max="14" width="12.109375" style="152" bestFit="1" customWidth="1"/>
    <col min="15" max="16384" width="9.109375" style="153"/>
  </cols>
  <sheetData>
    <row r="1" spans="1:14" ht="17.399999999999999" x14ac:dyDescent="0.3">
      <c r="A1" s="118" t="s">
        <v>231</v>
      </c>
    </row>
    <row r="3" spans="1:14" x14ac:dyDescent="0.3">
      <c r="D3" s="548" t="s">
        <v>126</v>
      </c>
      <c r="E3" s="548"/>
      <c r="F3" s="548"/>
      <c r="G3" s="548"/>
      <c r="H3" s="548"/>
      <c r="I3" s="548"/>
      <c r="J3" s="548"/>
      <c r="K3" s="548"/>
      <c r="L3" s="548"/>
      <c r="M3" s="548"/>
      <c r="N3" s="548"/>
    </row>
    <row r="4" spans="1:14" x14ac:dyDescent="0.3">
      <c r="A4" s="154" t="s">
        <v>127</v>
      </c>
      <c r="B4" s="263" t="s">
        <v>128</v>
      </c>
      <c r="C4" s="263" t="s">
        <v>129</v>
      </c>
      <c r="D4" s="154" t="s">
        <v>14</v>
      </c>
      <c r="E4" s="154" t="s">
        <v>22</v>
      </c>
      <c r="F4" s="154" t="s">
        <v>25</v>
      </c>
      <c r="G4" s="154" t="s">
        <v>239</v>
      </c>
      <c r="H4" s="154" t="s">
        <v>240</v>
      </c>
      <c r="I4" s="154" t="s">
        <v>241</v>
      </c>
      <c r="J4" s="154" t="s">
        <v>233</v>
      </c>
      <c r="K4" s="154" t="s">
        <v>234</v>
      </c>
      <c r="L4" s="154" t="s">
        <v>130</v>
      </c>
      <c r="M4" s="263" t="s">
        <v>127</v>
      </c>
      <c r="N4" s="263" t="s">
        <v>131</v>
      </c>
    </row>
    <row r="5" spans="1:14" x14ac:dyDescent="0.3">
      <c r="A5" s="153" t="s">
        <v>160</v>
      </c>
      <c r="B5" s="152" t="s">
        <v>161</v>
      </c>
      <c r="C5" s="152">
        <v>4</v>
      </c>
      <c r="D5" s="155" t="s">
        <v>250</v>
      </c>
      <c r="E5" s="156" t="s">
        <v>251</v>
      </c>
      <c r="F5" s="120" t="s">
        <v>252</v>
      </c>
      <c r="G5" s="156" t="s">
        <v>253</v>
      </c>
      <c r="H5" s="156" t="s">
        <v>254</v>
      </c>
      <c r="I5" s="119" t="s">
        <v>255</v>
      </c>
      <c r="J5" s="156" t="s">
        <v>256</v>
      </c>
      <c r="K5" s="155" t="s">
        <v>298</v>
      </c>
      <c r="L5" s="156" t="s">
        <v>257</v>
      </c>
      <c r="M5" s="157" t="s">
        <v>164</v>
      </c>
      <c r="N5" s="157" t="s">
        <v>258</v>
      </c>
    </row>
    <row r="6" spans="1:14" x14ac:dyDescent="0.3">
      <c r="A6" s="153" t="s">
        <v>223</v>
      </c>
      <c r="B6" s="152" t="s">
        <v>224</v>
      </c>
      <c r="C6" s="152">
        <v>10</v>
      </c>
      <c r="D6" s="155" t="s">
        <v>288</v>
      </c>
      <c r="E6" s="155" t="s">
        <v>289</v>
      </c>
      <c r="F6" s="119" t="s">
        <v>290</v>
      </c>
      <c r="G6" s="155" t="s">
        <v>294</v>
      </c>
      <c r="H6" s="156"/>
      <c r="I6" s="156"/>
      <c r="J6" s="156" t="s">
        <v>291</v>
      </c>
      <c r="K6" s="156" t="s">
        <v>292</v>
      </c>
      <c r="L6" s="156" t="s">
        <v>293</v>
      </c>
      <c r="M6" s="157" t="s">
        <v>230</v>
      </c>
      <c r="N6" s="157">
        <v>98101</v>
      </c>
    </row>
    <row r="7" spans="1:14" x14ac:dyDescent="0.3">
      <c r="A7" s="153" t="s">
        <v>215</v>
      </c>
      <c r="B7" s="152" t="s">
        <v>216</v>
      </c>
      <c r="C7" s="152">
        <v>9</v>
      </c>
      <c r="D7" s="155" t="s">
        <v>279</v>
      </c>
      <c r="E7" s="156" t="s">
        <v>280</v>
      </c>
      <c r="F7" s="120" t="s">
        <v>281</v>
      </c>
      <c r="G7" s="155" t="s">
        <v>282</v>
      </c>
      <c r="H7" s="156" t="s">
        <v>283</v>
      </c>
      <c r="I7" s="120" t="s">
        <v>284</v>
      </c>
      <c r="J7" s="156" t="s">
        <v>285</v>
      </c>
      <c r="K7" s="156" t="s">
        <v>286</v>
      </c>
      <c r="L7" s="156" t="s">
        <v>287</v>
      </c>
      <c r="M7" s="157" t="s">
        <v>218</v>
      </c>
      <c r="N7" s="157">
        <v>94105</v>
      </c>
    </row>
    <row r="8" spans="1:14" x14ac:dyDescent="0.3">
      <c r="A8" s="153" t="s">
        <v>187</v>
      </c>
      <c r="B8" s="152" t="s">
        <v>188</v>
      </c>
      <c r="C8" s="152">
        <v>6</v>
      </c>
      <c r="D8" s="155" t="s">
        <v>359</v>
      </c>
      <c r="E8" s="156" t="s">
        <v>360</v>
      </c>
      <c r="F8" s="158" t="s">
        <v>361</v>
      </c>
      <c r="G8" s="156" t="s">
        <v>294</v>
      </c>
      <c r="H8" s="156"/>
      <c r="I8" s="156"/>
      <c r="J8" s="155" t="s">
        <v>362</v>
      </c>
      <c r="K8" s="155" t="s">
        <v>363</v>
      </c>
      <c r="L8" s="156" t="s">
        <v>364</v>
      </c>
      <c r="M8" s="157" t="s">
        <v>195</v>
      </c>
      <c r="N8" s="157" t="s">
        <v>365</v>
      </c>
    </row>
    <row r="9" spans="1:14" x14ac:dyDescent="0.3">
      <c r="A9" s="153" t="s">
        <v>217</v>
      </c>
      <c r="B9" s="152" t="s">
        <v>218</v>
      </c>
      <c r="C9" s="152">
        <v>9</v>
      </c>
      <c r="D9" s="155" t="s">
        <v>279</v>
      </c>
      <c r="E9" s="156" t="s">
        <v>280</v>
      </c>
      <c r="F9" s="120" t="s">
        <v>281</v>
      </c>
      <c r="G9" s="155" t="s">
        <v>282</v>
      </c>
      <c r="H9" s="156" t="s">
        <v>283</v>
      </c>
      <c r="I9" s="120" t="s">
        <v>284</v>
      </c>
      <c r="J9" s="156" t="s">
        <v>285</v>
      </c>
      <c r="K9" s="156" t="s">
        <v>286</v>
      </c>
      <c r="L9" s="156" t="s">
        <v>287</v>
      </c>
      <c r="M9" s="157" t="s">
        <v>218</v>
      </c>
      <c r="N9" s="157">
        <v>94105</v>
      </c>
    </row>
    <row r="10" spans="1:14" x14ac:dyDescent="0.3">
      <c r="A10" s="153" t="s">
        <v>204</v>
      </c>
      <c r="B10" s="152" t="s">
        <v>48</v>
      </c>
      <c r="C10" s="152">
        <v>8</v>
      </c>
      <c r="D10" s="155" t="s">
        <v>269</v>
      </c>
      <c r="E10" s="156" t="s">
        <v>270</v>
      </c>
      <c r="F10" s="120" t="s">
        <v>271</v>
      </c>
      <c r="G10" s="155" t="s">
        <v>272</v>
      </c>
      <c r="H10" s="156" t="s">
        <v>273</v>
      </c>
      <c r="I10" s="119" t="s">
        <v>274</v>
      </c>
      <c r="J10" s="155" t="s">
        <v>275</v>
      </c>
      <c r="K10" s="155" t="s">
        <v>276</v>
      </c>
      <c r="L10" s="156" t="s">
        <v>277</v>
      </c>
      <c r="M10" s="157" t="s">
        <v>48</v>
      </c>
      <c r="N10" s="157" t="s">
        <v>278</v>
      </c>
    </row>
    <row r="11" spans="1:14" x14ac:dyDescent="0.3">
      <c r="A11" s="153" t="s">
        <v>132</v>
      </c>
      <c r="B11" s="152" t="s">
        <v>133</v>
      </c>
      <c r="C11" s="152">
        <v>1</v>
      </c>
      <c r="D11" s="156" t="s">
        <v>232</v>
      </c>
      <c r="E11" s="156" t="s">
        <v>237</v>
      </c>
      <c r="F11" s="119" t="s">
        <v>238</v>
      </c>
      <c r="G11" s="156" t="s">
        <v>294</v>
      </c>
      <c r="H11" s="156"/>
      <c r="I11" s="156"/>
      <c r="J11" s="155" t="s">
        <v>295</v>
      </c>
      <c r="K11" s="155" t="s">
        <v>296</v>
      </c>
      <c r="L11" s="156" t="s">
        <v>235</v>
      </c>
      <c r="M11" s="157" t="s">
        <v>137</v>
      </c>
      <c r="N11" s="157" t="s">
        <v>236</v>
      </c>
    </row>
    <row r="12" spans="1:14" x14ac:dyDescent="0.3">
      <c r="A12" s="153" t="s">
        <v>162</v>
      </c>
      <c r="B12" s="152" t="s">
        <v>163</v>
      </c>
      <c r="C12" s="152">
        <v>4</v>
      </c>
      <c r="D12" s="155" t="s">
        <v>250</v>
      </c>
      <c r="E12" s="156" t="s">
        <v>251</v>
      </c>
      <c r="F12" s="120" t="s">
        <v>252</v>
      </c>
      <c r="G12" s="156" t="s">
        <v>253</v>
      </c>
      <c r="H12" s="156" t="s">
        <v>254</v>
      </c>
      <c r="I12" s="119" t="s">
        <v>255</v>
      </c>
      <c r="J12" s="156" t="s">
        <v>256</v>
      </c>
      <c r="K12" s="155" t="s">
        <v>298</v>
      </c>
      <c r="L12" s="156" t="s">
        <v>257</v>
      </c>
      <c r="M12" s="157" t="s">
        <v>164</v>
      </c>
      <c r="N12" s="157" t="s">
        <v>258</v>
      </c>
    </row>
    <row r="13" spans="1:14" x14ac:dyDescent="0.3">
      <c r="A13" s="156" t="s">
        <v>427</v>
      </c>
      <c r="B13" s="152" t="s">
        <v>164</v>
      </c>
      <c r="C13" s="152">
        <v>4</v>
      </c>
      <c r="D13" s="155" t="s">
        <v>250</v>
      </c>
      <c r="E13" s="156" t="s">
        <v>251</v>
      </c>
      <c r="F13" s="120" t="s">
        <v>252</v>
      </c>
      <c r="G13" s="156" t="s">
        <v>253</v>
      </c>
      <c r="H13" s="156" t="s">
        <v>254</v>
      </c>
      <c r="I13" s="119" t="s">
        <v>255</v>
      </c>
      <c r="J13" s="156" t="s">
        <v>256</v>
      </c>
      <c r="K13" s="155" t="s">
        <v>298</v>
      </c>
      <c r="L13" s="156" t="s">
        <v>257</v>
      </c>
      <c r="M13" s="157" t="s">
        <v>164</v>
      </c>
      <c r="N13" s="157" t="s">
        <v>258</v>
      </c>
    </row>
    <row r="14" spans="1:14" x14ac:dyDescent="0.3">
      <c r="A14" s="153" t="s">
        <v>219</v>
      </c>
      <c r="B14" s="152" t="s">
        <v>220</v>
      </c>
      <c r="C14" s="152">
        <v>9</v>
      </c>
      <c r="D14" s="155" t="s">
        <v>279</v>
      </c>
      <c r="E14" s="156" t="s">
        <v>280</v>
      </c>
      <c r="F14" s="120" t="s">
        <v>281</v>
      </c>
      <c r="G14" s="155" t="s">
        <v>282</v>
      </c>
      <c r="H14" s="156" t="s">
        <v>283</v>
      </c>
      <c r="I14" s="120" t="s">
        <v>284</v>
      </c>
      <c r="J14" s="156" t="s">
        <v>285</v>
      </c>
      <c r="K14" s="156" t="s">
        <v>286</v>
      </c>
      <c r="L14" s="156" t="s">
        <v>287</v>
      </c>
      <c r="M14" s="157" t="s">
        <v>218</v>
      </c>
      <c r="N14" s="157">
        <v>94105</v>
      </c>
    </row>
    <row r="15" spans="1:14" x14ac:dyDescent="0.3">
      <c r="A15" s="153" t="s">
        <v>225</v>
      </c>
      <c r="B15" s="152" t="s">
        <v>226</v>
      </c>
      <c r="C15" s="152">
        <v>10</v>
      </c>
      <c r="D15" s="155" t="s">
        <v>288</v>
      </c>
      <c r="E15" s="155" t="s">
        <v>289</v>
      </c>
      <c r="F15" s="119" t="s">
        <v>290</v>
      </c>
      <c r="G15" s="155" t="s">
        <v>294</v>
      </c>
      <c r="H15" s="156"/>
      <c r="I15" s="156"/>
      <c r="J15" s="156" t="s">
        <v>291</v>
      </c>
      <c r="K15" s="156" t="s">
        <v>292</v>
      </c>
      <c r="L15" s="156" t="s">
        <v>293</v>
      </c>
      <c r="M15" s="157" t="s">
        <v>230</v>
      </c>
      <c r="N15" s="157">
        <v>98101</v>
      </c>
    </row>
    <row r="16" spans="1:14" x14ac:dyDescent="0.3">
      <c r="A16" s="153" t="s">
        <v>175</v>
      </c>
      <c r="B16" s="152" t="s">
        <v>176</v>
      </c>
      <c r="C16" s="152">
        <v>5</v>
      </c>
      <c r="D16" s="155" t="s">
        <v>259</v>
      </c>
      <c r="E16" s="156" t="s">
        <v>260</v>
      </c>
      <c r="F16" s="120" t="s">
        <v>261</v>
      </c>
      <c r="G16" s="156" t="s">
        <v>294</v>
      </c>
      <c r="H16" s="156"/>
      <c r="I16" s="156"/>
      <c r="J16" s="155" t="s">
        <v>262</v>
      </c>
      <c r="K16" s="155" t="s">
        <v>299</v>
      </c>
      <c r="L16" s="156" t="s">
        <v>263</v>
      </c>
      <c r="M16" s="157" t="s">
        <v>176</v>
      </c>
      <c r="N16" s="157" t="s">
        <v>264</v>
      </c>
    </row>
    <row r="17" spans="1:14" x14ac:dyDescent="0.3">
      <c r="A17" s="153" t="s">
        <v>177</v>
      </c>
      <c r="B17" s="152" t="s">
        <v>178</v>
      </c>
      <c r="C17" s="152">
        <v>5</v>
      </c>
      <c r="D17" s="155" t="s">
        <v>259</v>
      </c>
      <c r="E17" s="156" t="s">
        <v>260</v>
      </c>
      <c r="F17" s="120" t="s">
        <v>261</v>
      </c>
      <c r="G17" s="156" t="s">
        <v>294</v>
      </c>
      <c r="H17" s="156"/>
      <c r="I17" s="156"/>
      <c r="J17" s="155" t="s">
        <v>262</v>
      </c>
      <c r="K17" s="155" t="s">
        <v>299</v>
      </c>
      <c r="L17" s="156" t="s">
        <v>263</v>
      </c>
      <c r="M17" s="157" t="s">
        <v>176</v>
      </c>
      <c r="N17" s="157" t="s">
        <v>264</v>
      </c>
    </row>
    <row r="18" spans="1:14" x14ac:dyDescent="0.3">
      <c r="A18" s="153" t="s">
        <v>196</v>
      </c>
      <c r="B18" s="152" t="s">
        <v>197</v>
      </c>
      <c r="C18" s="152">
        <v>7</v>
      </c>
      <c r="D18" s="155" t="s">
        <v>265</v>
      </c>
      <c r="E18" s="156" t="s">
        <v>266</v>
      </c>
      <c r="F18" s="120" t="s">
        <v>267</v>
      </c>
      <c r="G18" s="156" t="s">
        <v>294</v>
      </c>
      <c r="H18" s="156"/>
      <c r="I18" s="156"/>
      <c r="J18" s="155" t="s">
        <v>428</v>
      </c>
      <c r="K18" s="155" t="s">
        <v>412</v>
      </c>
      <c r="L18" s="156" t="s">
        <v>413</v>
      </c>
      <c r="M18" s="157" t="s">
        <v>268</v>
      </c>
      <c r="N18" s="157">
        <v>66219</v>
      </c>
    </row>
    <row r="19" spans="1:14" x14ac:dyDescent="0.3">
      <c r="A19" s="153" t="s">
        <v>198</v>
      </c>
      <c r="B19" s="152" t="s">
        <v>199</v>
      </c>
      <c r="C19" s="152">
        <v>7</v>
      </c>
      <c r="D19" s="155" t="s">
        <v>265</v>
      </c>
      <c r="E19" s="156" t="s">
        <v>266</v>
      </c>
      <c r="F19" s="120" t="s">
        <v>267</v>
      </c>
      <c r="G19" s="156" t="s">
        <v>294</v>
      </c>
      <c r="H19" s="156"/>
      <c r="I19" s="156"/>
      <c r="J19" s="155" t="s">
        <v>428</v>
      </c>
      <c r="K19" s="155" t="s">
        <v>412</v>
      </c>
      <c r="L19" s="156" t="s">
        <v>413</v>
      </c>
      <c r="M19" s="157" t="s">
        <v>268</v>
      </c>
      <c r="N19" s="157">
        <v>66219</v>
      </c>
    </row>
    <row r="20" spans="1:14" x14ac:dyDescent="0.3">
      <c r="A20" s="153" t="s">
        <v>165</v>
      </c>
      <c r="B20" s="152" t="s">
        <v>166</v>
      </c>
      <c r="C20" s="152">
        <v>4</v>
      </c>
      <c r="D20" s="155" t="s">
        <v>250</v>
      </c>
      <c r="E20" s="156" t="s">
        <v>251</v>
      </c>
      <c r="F20" s="120" t="s">
        <v>252</v>
      </c>
      <c r="G20" s="156" t="s">
        <v>253</v>
      </c>
      <c r="H20" s="156" t="s">
        <v>254</v>
      </c>
      <c r="I20" s="119" t="s">
        <v>255</v>
      </c>
      <c r="J20" s="156" t="s">
        <v>256</v>
      </c>
      <c r="K20" s="155" t="s">
        <v>298</v>
      </c>
      <c r="L20" s="156" t="s">
        <v>257</v>
      </c>
      <c r="M20" s="157" t="s">
        <v>164</v>
      </c>
      <c r="N20" s="157" t="s">
        <v>258</v>
      </c>
    </row>
    <row r="21" spans="1:14" x14ac:dyDescent="0.3">
      <c r="A21" s="156" t="s">
        <v>429</v>
      </c>
      <c r="B21" s="152" t="s">
        <v>189</v>
      </c>
      <c r="C21" s="152">
        <v>6</v>
      </c>
      <c r="D21" s="155" t="s">
        <v>359</v>
      </c>
      <c r="E21" s="357" t="s">
        <v>360</v>
      </c>
      <c r="F21" s="158" t="s">
        <v>361</v>
      </c>
      <c r="G21" s="156" t="s">
        <v>294</v>
      </c>
      <c r="H21" s="156"/>
      <c r="I21" s="156"/>
      <c r="J21" s="155" t="s">
        <v>362</v>
      </c>
      <c r="K21" s="155" t="s">
        <v>363</v>
      </c>
      <c r="L21" s="156" t="s">
        <v>364</v>
      </c>
      <c r="M21" s="157" t="s">
        <v>195</v>
      </c>
      <c r="N21" s="157" t="s">
        <v>365</v>
      </c>
    </row>
    <row r="22" spans="1:14" x14ac:dyDescent="0.3">
      <c r="A22" s="153" t="s">
        <v>134</v>
      </c>
      <c r="B22" s="152" t="s">
        <v>135</v>
      </c>
      <c r="C22" s="152">
        <v>1</v>
      </c>
      <c r="D22" s="156" t="s">
        <v>232</v>
      </c>
      <c r="E22" s="156" t="s">
        <v>237</v>
      </c>
      <c r="F22" s="119" t="s">
        <v>238</v>
      </c>
      <c r="G22" s="156" t="s">
        <v>294</v>
      </c>
      <c r="H22" s="156"/>
      <c r="I22" s="156"/>
      <c r="J22" s="155" t="s">
        <v>295</v>
      </c>
      <c r="K22" s="155" t="s">
        <v>296</v>
      </c>
      <c r="L22" s="156" t="s">
        <v>235</v>
      </c>
      <c r="M22" s="157" t="s">
        <v>137</v>
      </c>
      <c r="N22" s="157" t="s">
        <v>236</v>
      </c>
    </row>
    <row r="23" spans="1:14" x14ac:dyDescent="0.3">
      <c r="A23" s="153" t="s">
        <v>136</v>
      </c>
      <c r="B23" s="152" t="s">
        <v>137</v>
      </c>
      <c r="C23" s="152">
        <v>1</v>
      </c>
      <c r="D23" s="156" t="s">
        <v>232</v>
      </c>
      <c r="E23" s="156" t="s">
        <v>237</v>
      </c>
      <c r="F23" s="119" t="s">
        <v>238</v>
      </c>
      <c r="G23" s="156" t="s">
        <v>294</v>
      </c>
      <c r="H23" s="156"/>
      <c r="I23" s="156"/>
      <c r="J23" s="155" t="s">
        <v>295</v>
      </c>
      <c r="K23" s="155" t="s">
        <v>296</v>
      </c>
      <c r="L23" s="156" t="s">
        <v>235</v>
      </c>
      <c r="M23" s="157" t="s">
        <v>137</v>
      </c>
      <c r="N23" s="157" t="s">
        <v>236</v>
      </c>
    </row>
    <row r="24" spans="1:14" x14ac:dyDescent="0.3">
      <c r="A24" s="153" t="s">
        <v>179</v>
      </c>
      <c r="B24" s="152" t="s">
        <v>180</v>
      </c>
      <c r="C24" s="152">
        <v>5</v>
      </c>
      <c r="D24" s="155" t="s">
        <v>259</v>
      </c>
      <c r="E24" s="156" t="s">
        <v>260</v>
      </c>
      <c r="F24" s="120" t="s">
        <v>261</v>
      </c>
      <c r="G24" s="156" t="s">
        <v>294</v>
      </c>
      <c r="H24" s="156"/>
      <c r="I24" s="156"/>
      <c r="J24" s="155" t="s">
        <v>262</v>
      </c>
      <c r="K24" s="155" t="s">
        <v>299</v>
      </c>
      <c r="L24" s="156" t="s">
        <v>263</v>
      </c>
      <c r="M24" s="157" t="s">
        <v>176</v>
      </c>
      <c r="N24" s="157" t="s">
        <v>264</v>
      </c>
    </row>
    <row r="25" spans="1:14" x14ac:dyDescent="0.3">
      <c r="A25" s="153" t="s">
        <v>181</v>
      </c>
      <c r="B25" s="152" t="s">
        <v>182</v>
      </c>
      <c r="C25" s="152">
        <v>5</v>
      </c>
      <c r="D25" s="155" t="s">
        <v>259</v>
      </c>
      <c r="E25" s="156" t="s">
        <v>260</v>
      </c>
      <c r="F25" s="120" t="s">
        <v>261</v>
      </c>
      <c r="G25" s="156" t="s">
        <v>294</v>
      </c>
      <c r="H25" s="156"/>
      <c r="I25" s="156"/>
      <c r="J25" s="155" t="s">
        <v>262</v>
      </c>
      <c r="K25" s="155" t="s">
        <v>299</v>
      </c>
      <c r="L25" s="156" t="s">
        <v>263</v>
      </c>
      <c r="M25" s="157" t="s">
        <v>176</v>
      </c>
      <c r="N25" s="157" t="s">
        <v>264</v>
      </c>
    </row>
    <row r="26" spans="1:14" x14ac:dyDescent="0.3">
      <c r="A26" s="153" t="s">
        <v>167</v>
      </c>
      <c r="B26" s="152" t="s">
        <v>168</v>
      </c>
      <c r="C26" s="152">
        <v>4</v>
      </c>
      <c r="D26" s="155" t="s">
        <v>250</v>
      </c>
      <c r="E26" s="156" t="s">
        <v>251</v>
      </c>
      <c r="F26" s="120" t="s">
        <v>252</v>
      </c>
      <c r="G26" s="156" t="s">
        <v>253</v>
      </c>
      <c r="H26" s="156" t="s">
        <v>254</v>
      </c>
      <c r="I26" s="119" t="s">
        <v>255</v>
      </c>
      <c r="J26" s="156" t="s">
        <v>256</v>
      </c>
      <c r="K26" s="155" t="s">
        <v>298</v>
      </c>
      <c r="L26" s="156" t="s">
        <v>257</v>
      </c>
      <c r="M26" s="157" t="s">
        <v>164</v>
      </c>
      <c r="N26" s="157" t="s">
        <v>258</v>
      </c>
    </row>
    <row r="27" spans="1:14" x14ac:dyDescent="0.3">
      <c r="A27" s="153" t="s">
        <v>200</v>
      </c>
      <c r="B27" s="152" t="s">
        <v>201</v>
      </c>
      <c r="C27" s="152">
        <v>7</v>
      </c>
      <c r="D27" s="155" t="s">
        <v>265</v>
      </c>
      <c r="E27" s="156" t="s">
        <v>266</v>
      </c>
      <c r="F27" s="120" t="s">
        <v>267</v>
      </c>
      <c r="G27" s="156" t="s">
        <v>294</v>
      </c>
      <c r="H27" s="156"/>
      <c r="I27" s="156"/>
      <c r="J27" s="155" t="s">
        <v>428</v>
      </c>
      <c r="K27" s="155" t="s">
        <v>412</v>
      </c>
      <c r="L27" s="156" t="s">
        <v>413</v>
      </c>
      <c r="M27" s="157" t="s">
        <v>268</v>
      </c>
      <c r="N27" s="157">
        <v>66219</v>
      </c>
    </row>
    <row r="28" spans="1:14" x14ac:dyDescent="0.3">
      <c r="A28" s="153" t="s">
        <v>205</v>
      </c>
      <c r="B28" s="152" t="s">
        <v>206</v>
      </c>
      <c r="C28" s="152">
        <v>8</v>
      </c>
      <c r="D28" s="155" t="s">
        <v>269</v>
      </c>
      <c r="E28" s="156" t="s">
        <v>270</v>
      </c>
      <c r="F28" s="120" t="s">
        <v>271</v>
      </c>
      <c r="G28" s="155" t="s">
        <v>272</v>
      </c>
      <c r="H28" s="156" t="s">
        <v>273</v>
      </c>
      <c r="I28" s="119" t="s">
        <v>274</v>
      </c>
      <c r="J28" s="155" t="s">
        <v>275</v>
      </c>
      <c r="K28" s="155" t="s">
        <v>276</v>
      </c>
      <c r="L28" s="156" t="s">
        <v>277</v>
      </c>
      <c r="M28" s="157" t="s">
        <v>48</v>
      </c>
      <c r="N28" s="157" t="s">
        <v>278</v>
      </c>
    </row>
    <row r="29" spans="1:14" x14ac:dyDescent="0.3">
      <c r="A29" s="153" t="s">
        <v>202</v>
      </c>
      <c r="B29" s="152" t="s">
        <v>203</v>
      </c>
      <c r="C29" s="152">
        <v>7</v>
      </c>
      <c r="D29" s="155" t="s">
        <v>265</v>
      </c>
      <c r="E29" s="156" t="s">
        <v>266</v>
      </c>
      <c r="F29" s="120" t="s">
        <v>267</v>
      </c>
      <c r="G29" s="156" t="s">
        <v>294</v>
      </c>
      <c r="H29" s="156"/>
      <c r="I29" s="156"/>
      <c r="J29" s="155" t="s">
        <v>428</v>
      </c>
      <c r="K29" s="155" t="s">
        <v>412</v>
      </c>
      <c r="L29" s="156" t="s">
        <v>413</v>
      </c>
      <c r="M29" s="157" t="s">
        <v>268</v>
      </c>
      <c r="N29" s="157">
        <v>66219</v>
      </c>
    </row>
    <row r="30" spans="1:14" x14ac:dyDescent="0.3">
      <c r="A30" s="153" t="s">
        <v>221</v>
      </c>
      <c r="B30" s="152" t="s">
        <v>222</v>
      </c>
      <c r="C30" s="152">
        <v>9</v>
      </c>
      <c r="D30" s="155" t="s">
        <v>279</v>
      </c>
      <c r="E30" s="156" t="s">
        <v>280</v>
      </c>
      <c r="F30" s="120" t="s">
        <v>281</v>
      </c>
      <c r="G30" s="155" t="s">
        <v>282</v>
      </c>
      <c r="H30" s="156" t="s">
        <v>283</v>
      </c>
      <c r="I30" s="120" t="s">
        <v>284</v>
      </c>
      <c r="J30" s="156" t="s">
        <v>285</v>
      </c>
      <c r="K30" s="156" t="s">
        <v>286</v>
      </c>
      <c r="L30" s="156" t="s">
        <v>287</v>
      </c>
      <c r="M30" s="157" t="s">
        <v>218</v>
      </c>
      <c r="N30" s="157">
        <v>94105</v>
      </c>
    </row>
    <row r="31" spans="1:14" x14ac:dyDescent="0.3">
      <c r="A31" s="153" t="s">
        <v>138</v>
      </c>
      <c r="B31" s="152" t="s">
        <v>139</v>
      </c>
      <c r="C31" s="152">
        <v>1</v>
      </c>
      <c r="D31" s="156" t="s">
        <v>232</v>
      </c>
      <c r="E31" s="156" t="s">
        <v>237</v>
      </c>
      <c r="F31" s="119" t="s">
        <v>238</v>
      </c>
      <c r="G31" s="156" t="s">
        <v>294</v>
      </c>
      <c r="H31" s="156"/>
      <c r="I31" s="156"/>
      <c r="J31" s="155" t="s">
        <v>295</v>
      </c>
      <c r="K31" s="155" t="s">
        <v>296</v>
      </c>
      <c r="L31" s="156" t="s">
        <v>235</v>
      </c>
      <c r="M31" s="157" t="s">
        <v>137</v>
      </c>
      <c r="N31" s="157" t="s">
        <v>236</v>
      </c>
    </row>
    <row r="32" spans="1:14" x14ac:dyDescent="0.3">
      <c r="A32" s="153" t="s">
        <v>144</v>
      </c>
      <c r="B32" s="152" t="s">
        <v>145</v>
      </c>
      <c r="C32" s="152">
        <v>2</v>
      </c>
      <c r="D32" s="156" t="s">
        <v>242</v>
      </c>
      <c r="E32" s="156" t="s">
        <v>243</v>
      </c>
      <c r="F32" s="119" t="s">
        <v>244</v>
      </c>
      <c r="G32" s="155" t="s">
        <v>245</v>
      </c>
      <c r="H32" s="156" t="s">
        <v>246</v>
      </c>
      <c r="I32" s="119" t="s">
        <v>247</v>
      </c>
      <c r="J32" s="155" t="s">
        <v>248</v>
      </c>
      <c r="K32" s="155" t="s">
        <v>297</v>
      </c>
      <c r="L32" s="156" t="s">
        <v>146</v>
      </c>
      <c r="M32" s="157" t="s">
        <v>147</v>
      </c>
      <c r="N32" s="157" t="s">
        <v>249</v>
      </c>
    </row>
    <row r="33" spans="1:14" x14ac:dyDescent="0.3">
      <c r="A33" s="153" t="s">
        <v>190</v>
      </c>
      <c r="B33" s="152" t="s">
        <v>191</v>
      </c>
      <c r="C33" s="152">
        <v>6</v>
      </c>
      <c r="D33" s="155" t="s">
        <v>359</v>
      </c>
      <c r="E33" s="357" t="s">
        <v>360</v>
      </c>
      <c r="F33" s="158" t="s">
        <v>361</v>
      </c>
      <c r="G33" s="156" t="s">
        <v>294</v>
      </c>
      <c r="H33" s="156"/>
      <c r="I33" s="156"/>
      <c r="J33" s="155" t="s">
        <v>362</v>
      </c>
      <c r="K33" s="155" t="s">
        <v>363</v>
      </c>
      <c r="L33" s="156" t="s">
        <v>364</v>
      </c>
      <c r="M33" s="157" t="s">
        <v>195</v>
      </c>
      <c r="N33" s="157" t="s">
        <v>365</v>
      </c>
    </row>
    <row r="34" spans="1:14" x14ac:dyDescent="0.3">
      <c r="A34" s="153" t="s">
        <v>146</v>
      </c>
      <c r="B34" s="152" t="s">
        <v>147</v>
      </c>
      <c r="C34" s="152">
        <v>2</v>
      </c>
      <c r="D34" s="156" t="s">
        <v>242</v>
      </c>
      <c r="E34" s="156" t="s">
        <v>243</v>
      </c>
      <c r="F34" s="119" t="s">
        <v>244</v>
      </c>
      <c r="G34" s="155" t="s">
        <v>245</v>
      </c>
      <c r="H34" s="156" t="s">
        <v>246</v>
      </c>
      <c r="I34" s="119" t="s">
        <v>247</v>
      </c>
      <c r="J34" s="155" t="s">
        <v>248</v>
      </c>
      <c r="K34" s="155" t="s">
        <v>297</v>
      </c>
      <c r="L34" s="156" t="s">
        <v>146</v>
      </c>
      <c r="M34" s="157" t="s">
        <v>147</v>
      </c>
      <c r="N34" s="157" t="s">
        <v>249</v>
      </c>
    </row>
    <row r="35" spans="1:14" x14ac:dyDescent="0.3">
      <c r="A35" s="153" t="s">
        <v>169</v>
      </c>
      <c r="B35" s="152" t="s">
        <v>170</v>
      </c>
      <c r="C35" s="152">
        <v>4</v>
      </c>
      <c r="D35" s="155" t="s">
        <v>250</v>
      </c>
      <c r="E35" s="156" t="s">
        <v>251</v>
      </c>
      <c r="F35" s="120" t="s">
        <v>252</v>
      </c>
      <c r="G35" s="156" t="s">
        <v>253</v>
      </c>
      <c r="H35" s="156" t="s">
        <v>254</v>
      </c>
      <c r="I35" s="119" t="s">
        <v>255</v>
      </c>
      <c r="J35" s="156" t="s">
        <v>256</v>
      </c>
      <c r="K35" s="155" t="s">
        <v>298</v>
      </c>
      <c r="L35" s="156" t="s">
        <v>257</v>
      </c>
      <c r="M35" s="157" t="s">
        <v>164</v>
      </c>
      <c r="N35" s="157" t="s">
        <v>258</v>
      </c>
    </row>
    <row r="36" spans="1:14" x14ac:dyDescent="0.3">
      <c r="A36" s="153" t="s">
        <v>207</v>
      </c>
      <c r="B36" s="152" t="s">
        <v>208</v>
      </c>
      <c r="C36" s="152">
        <v>8</v>
      </c>
      <c r="D36" s="155" t="s">
        <v>269</v>
      </c>
      <c r="E36" s="156" t="s">
        <v>270</v>
      </c>
      <c r="F36" s="120" t="s">
        <v>271</v>
      </c>
      <c r="G36" s="155" t="s">
        <v>272</v>
      </c>
      <c r="H36" s="156" t="s">
        <v>273</v>
      </c>
      <c r="I36" s="119" t="s">
        <v>274</v>
      </c>
      <c r="J36" s="155" t="s">
        <v>275</v>
      </c>
      <c r="K36" s="155" t="s">
        <v>276</v>
      </c>
      <c r="L36" s="156" t="s">
        <v>277</v>
      </c>
      <c r="M36" s="157" t="s">
        <v>48</v>
      </c>
      <c r="N36" s="157" t="s">
        <v>278</v>
      </c>
    </row>
    <row r="37" spans="1:14" x14ac:dyDescent="0.3">
      <c r="A37" s="153" t="s">
        <v>183</v>
      </c>
      <c r="B37" s="152" t="s">
        <v>184</v>
      </c>
      <c r="C37" s="152">
        <v>5</v>
      </c>
      <c r="D37" s="155" t="s">
        <v>259</v>
      </c>
      <c r="E37" s="156" t="s">
        <v>260</v>
      </c>
      <c r="F37" s="120" t="s">
        <v>261</v>
      </c>
      <c r="G37" s="156" t="s">
        <v>294</v>
      </c>
      <c r="H37" s="156"/>
      <c r="I37" s="156"/>
      <c r="J37" s="155" t="s">
        <v>262</v>
      </c>
      <c r="K37" s="155" t="s">
        <v>299</v>
      </c>
      <c r="L37" s="156" t="s">
        <v>263</v>
      </c>
      <c r="M37" s="157" t="s">
        <v>176</v>
      </c>
      <c r="N37" s="157" t="s">
        <v>264</v>
      </c>
    </row>
    <row r="38" spans="1:14" x14ac:dyDescent="0.3">
      <c r="A38" s="153" t="s">
        <v>192</v>
      </c>
      <c r="B38" s="152" t="s">
        <v>193</v>
      </c>
      <c r="C38" s="152">
        <v>6</v>
      </c>
      <c r="D38" s="155" t="s">
        <v>359</v>
      </c>
      <c r="E38" s="357" t="s">
        <v>360</v>
      </c>
      <c r="F38" s="158" t="s">
        <v>361</v>
      </c>
      <c r="G38" s="156" t="s">
        <v>294</v>
      </c>
      <c r="H38" s="156"/>
      <c r="I38" s="156"/>
      <c r="J38" s="155" t="s">
        <v>362</v>
      </c>
      <c r="K38" s="155" t="s">
        <v>363</v>
      </c>
      <c r="L38" s="156" t="s">
        <v>364</v>
      </c>
      <c r="M38" s="157" t="s">
        <v>195</v>
      </c>
      <c r="N38" s="157" t="s">
        <v>365</v>
      </c>
    </row>
    <row r="39" spans="1:14" x14ac:dyDescent="0.3">
      <c r="A39" s="153" t="s">
        <v>227</v>
      </c>
      <c r="B39" s="152" t="s">
        <v>228</v>
      </c>
      <c r="C39" s="152">
        <v>10</v>
      </c>
      <c r="D39" s="155" t="s">
        <v>288</v>
      </c>
      <c r="E39" s="155" t="s">
        <v>289</v>
      </c>
      <c r="F39" s="119" t="s">
        <v>290</v>
      </c>
      <c r="G39" s="155" t="s">
        <v>294</v>
      </c>
      <c r="H39" s="156"/>
      <c r="I39" s="156"/>
      <c r="J39" s="156" t="s">
        <v>291</v>
      </c>
      <c r="K39" s="156" t="s">
        <v>292</v>
      </c>
      <c r="L39" s="156" t="s">
        <v>293</v>
      </c>
      <c r="M39" s="157" t="s">
        <v>230</v>
      </c>
      <c r="N39" s="157">
        <v>98101</v>
      </c>
    </row>
    <row r="40" spans="1:14" x14ac:dyDescent="0.3">
      <c r="A40" s="153" t="s">
        <v>140</v>
      </c>
      <c r="B40" s="152" t="s">
        <v>141</v>
      </c>
      <c r="C40" s="152">
        <v>1</v>
      </c>
      <c r="D40" s="156" t="s">
        <v>232</v>
      </c>
      <c r="E40" s="156" t="s">
        <v>237</v>
      </c>
      <c r="F40" s="119" t="s">
        <v>238</v>
      </c>
      <c r="G40" s="156" t="s">
        <v>294</v>
      </c>
      <c r="H40" s="156"/>
      <c r="I40" s="156"/>
      <c r="J40" s="155" t="s">
        <v>295</v>
      </c>
      <c r="K40" s="155" t="s">
        <v>296</v>
      </c>
      <c r="L40" s="156" t="s">
        <v>235</v>
      </c>
      <c r="M40" s="157" t="s">
        <v>137</v>
      </c>
      <c r="N40" s="157" t="s">
        <v>236</v>
      </c>
    </row>
    <row r="41" spans="1:14" x14ac:dyDescent="0.3">
      <c r="A41" s="153" t="s">
        <v>171</v>
      </c>
      <c r="B41" s="152" t="s">
        <v>172</v>
      </c>
      <c r="C41" s="152">
        <v>4</v>
      </c>
      <c r="D41" s="155" t="s">
        <v>250</v>
      </c>
      <c r="E41" s="156" t="s">
        <v>251</v>
      </c>
      <c r="F41" s="120" t="s">
        <v>252</v>
      </c>
      <c r="G41" s="156" t="s">
        <v>253</v>
      </c>
      <c r="H41" s="156" t="s">
        <v>254</v>
      </c>
      <c r="I41" s="119" t="s">
        <v>255</v>
      </c>
      <c r="J41" s="156" t="s">
        <v>256</v>
      </c>
      <c r="K41" s="155" t="s">
        <v>298</v>
      </c>
      <c r="L41" s="156" t="s">
        <v>257</v>
      </c>
      <c r="M41" s="157" t="s">
        <v>164</v>
      </c>
      <c r="N41" s="157" t="s">
        <v>258</v>
      </c>
    </row>
    <row r="42" spans="1:14" x14ac:dyDescent="0.3">
      <c r="A42" s="153" t="s">
        <v>209</v>
      </c>
      <c r="B42" s="152" t="s">
        <v>210</v>
      </c>
      <c r="C42" s="152">
        <v>8</v>
      </c>
      <c r="D42" s="155" t="s">
        <v>269</v>
      </c>
      <c r="E42" s="156" t="s">
        <v>270</v>
      </c>
      <c r="F42" s="120" t="s">
        <v>271</v>
      </c>
      <c r="G42" s="155" t="s">
        <v>272</v>
      </c>
      <c r="H42" s="156" t="s">
        <v>273</v>
      </c>
      <c r="I42" s="119" t="s">
        <v>274</v>
      </c>
      <c r="J42" s="155" t="s">
        <v>275</v>
      </c>
      <c r="K42" s="155" t="s">
        <v>276</v>
      </c>
      <c r="L42" s="156" t="s">
        <v>277</v>
      </c>
      <c r="M42" s="157" t="s">
        <v>48</v>
      </c>
      <c r="N42" s="157" t="s">
        <v>278</v>
      </c>
    </row>
    <row r="43" spans="1:14" x14ac:dyDescent="0.3">
      <c r="A43" s="153" t="s">
        <v>173</v>
      </c>
      <c r="B43" s="152" t="s">
        <v>174</v>
      </c>
      <c r="C43" s="152">
        <v>4</v>
      </c>
      <c r="D43" s="155" t="s">
        <v>250</v>
      </c>
      <c r="E43" s="156" t="s">
        <v>251</v>
      </c>
      <c r="F43" s="120" t="s">
        <v>252</v>
      </c>
      <c r="G43" s="156" t="s">
        <v>253</v>
      </c>
      <c r="H43" s="156" t="s">
        <v>254</v>
      </c>
      <c r="I43" s="119" t="s">
        <v>255</v>
      </c>
      <c r="J43" s="156" t="s">
        <v>256</v>
      </c>
      <c r="K43" s="155" t="s">
        <v>298</v>
      </c>
      <c r="L43" s="156" t="s">
        <v>257</v>
      </c>
      <c r="M43" s="157" t="s">
        <v>164</v>
      </c>
      <c r="N43" s="157" t="s">
        <v>258</v>
      </c>
    </row>
    <row r="44" spans="1:14" x14ac:dyDescent="0.3">
      <c r="A44" s="153" t="s">
        <v>194</v>
      </c>
      <c r="B44" s="152" t="s">
        <v>195</v>
      </c>
      <c r="C44" s="152">
        <v>6</v>
      </c>
      <c r="D44" s="155" t="s">
        <v>359</v>
      </c>
      <c r="E44" s="357" t="s">
        <v>360</v>
      </c>
      <c r="F44" s="158" t="s">
        <v>361</v>
      </c>
      <c r="G44" s="156" t="s">
        <v>294</v>
      </c>
      <c r="H44" s="156"/>
      <c r="I44" s="156"/>
      <c r="J44" s="155" t="s">
        <v>362</v>
      </c>
      <c r="K44" s="155" t="s">
        <v>363</v>
      </c>
      <c r="L44" s="156" t="s">
        <v>364</v>
      </c>
      <c r="M44" s="157" t="s">
        <v>195</v>
      </c>
      <c r="N44" s="157" t="s">
        <v>365</v>
      </c>
    </row>
    <row r="45" spans="1:14" x14ac:dyDescent="0.3">
      <c r="A45" s="153" t="s">
        <v>211</v>
      </c>
      <c r="B45" s="152" t="s">
        <v>212</v>
      </c>
      <c r="C45" s="152">
        <v>8</v>
      </c>
      <c r="D45" s="155" t="s">
        <v>269</v>
      </c>
      <c r="E45" s="156" t="s">
        <v>270</v>
      </c>
      <c r="F45" s="120" t="s">
        <v>271</v>
      </c>
      <c r="G45" s="155" t="s">
        <v>272</v>
      </c>
      <c r="H45" s="156" t="s">
        <v>273</v>
      </c>
      <c r="I45" s="119" t="s">
        <v>274</v>
      </c>
      <c r="J45" s="155" t="s">
        <v>275</v>
      </c>
      <c r="K45" s="155" t="s">
        <v>276</v>
      </c>
      <c r="L45" s="156" t="s">
        <v>277</v>
      </c>
      <c r="M45" s="157" t="s">
        <v>48</v>
      </c>
      <c r="N45" s="157" t="s">
        <v>278</v>
      </c>
    </row>
    <row r="46" spans="1:14" x14ac:dyDescent="0.3">
      <c r="A46" s="153" t="s">
        <v>142</v>
      </c>
      <c r="B46" s="152" t="s">
        <v>143</v>
      </c>
      <c r="C46" s="152">
        <v>1</v>
      </c>
      <c r="D46" s="156" t="s">
        <v>232</v>
      </c>
      <c r="E46" s="156" t="s">
        <v>237</v>
      </c>
      <c r="F46" s="119" t="s">
        <v>238</v>
      </c>
      <c r="G46" s="156" t="s">
        <v>294</v>
      </c>
      <c r="H46" s="156"/>
      <c r="I46" s="156"/>
      <c r="J46" s="155" t="s">
        <v>295</v>
      </c>
      <c r="K46" s="155" t="s">
        <v>296</v>
      </c>
      <c r="L46" s="156" t="s">
        <v>235</v>
      </c>
      <c r="M46" s="157" t="s">
        <v>137</v>
      </c>
      <c r="N46" s="157" t="s">
        <v>236</v>
      </c>
    </row>
    <row r="47" spans="1:14" x14ac:dyDescent="0.3">
      <c r="A47" s="153" t="s">
        <v>229</v>
      </c>
      <c r="B47" s="152" t="s">
        <v>230</v>
      </c>
      <c r="C47" s="152">
        <v>10</v>
      </c>
      <c r="D47" s="155" t="s">
        <v>288</v>
      </c>
      <c r="E47" s="155" t="s">
        <v>289</v>
      </c>
      <c r="F47" s="119" t="s">
        <v>290</v>
      </c>
      <c r="G47" s="155" t="s">
        <v>294</v>
      </c>
      <c r="H47" s="156"/>
      <c r="I47" s="156"/>
      <c r="J47" s="156" t="s">
        <v>291</v>
      </c>
      <c r="K47" s="156" t="s">
        <v>292</v>
      </c>
      <c r="L47" s="156" t="s">
        <v>293</v>
      </c>
      <c r="M47" s="157" t="s">
        <v>230</v>
      </c>
      <c r="N47" s="157">
        <v>98101</v>
      </c>
    </row>
    <row r="48" spans="1:14" x14ac:dyDescent="0.3">
      <c r="A48" s="153" t="s">
        <v>185</v>
      </c>
      <c r="B48" s="152" t="s">
        <v>186</v>
      </c>
      <c r="C48" s="152">
        <v>5</v>
      </c>
      <c r="D48" s="155" t="s">
        <v>259</v>
      </c>
      <c r="E48" s="156" t="s">
        <v>260</v>
      </c>
      <c r="F48" s="120" t="s">
        <v>261</v>
      </c>
      <c r="G48" s="156" t="s">
        <v>294</v>
      </c>
      <c r="H48" s="156"/>
      <c r="I48" s="156"/>
      <c r="J48" s="155" t="s">
        <v>262</v>
      </c>
      <c r="K48" s="155" t="s">
        <v>299</v>
      </c>
      <c r="L48" s="156" t="s">
        <v>263</v>
      </c>
      <c r="M48" s="157" t="s">
        <v>176</v>
      </c>
      <c r="N48" s="157" t="s">
        <v>264</v>
      </c>
    </row>
    <row r="49" spans="1:14" x14ac:dyDescent="0.3">
      <c r="A49" s="153" t="s">
        <v>213</v>
      </c>
      <c r="B49" s="152" t="s">
        <v>214</v>
      </c>
      <c r="C49" s="152">
        <v>8</v>
      </c>
      <c r="D49" s="155" t="s">
        <v>269</v>
      </c>
      <c r="E49" s="156" t="s">
        <v>270</v>
      </c>
      <c r="F49" s="120" t="s">
        <v>271</v>
      </c>
      <c r="G49" s="155" t="s">
        <v>272</v>
      </c>
      <c r="H49" s="156" t="s">
        <v>273</v>
      </c>
      <c r="I49" s="119" t="s">
        <v>274</v>
      </c>
      <c r="J49" s="155" t="s">
        <v>275</v>
      </c>
      <c r="K49" s="155" t="s">
        <v>276</v>
      </c>
      <c r="L49" s="156" t="s">
        <v>277</v>
      </c>
      <c r="M49" s="157" t="s">
        <v>48</v>
      </c>
      <c r="N49" s="157" t="s">
        <v>278</v>
      </c>
    </row>
    <row r="50" spans="1:14" x14ac:dyDescent="0.3">
      <c r="A50" s="153" t="s">
        <v>148</v>
      </c>
      <c r="B50" s="152" t="s">
        <v>149</v>
      </c>
      <c r="C50" s="152">
        <v>3</v>
      </c>
      <c r="D50" s="155" t="s">
        <v>294</v>
      </c>
      <c r="E50" s="156"/>
      <c r="F50" s="156"/>
      <c r="G50" s="156"/>
      <c r="H50" s="156"/>
      <c r="I50" s="156"/>
      <c r="J50" s="156"/>
      <c r="K50" s="156"/>
      <c r="L50" s="156"/>
      <c r="M50" s="157"/>
      <c r="N50" s="157"/>
    </row>
    <row r="51" spans="1:14" x14ac:dyDescent="0.3">
      <c r="A51" s="153" t="s">
        <v>150</v>
      </c>
      <c r="B51" s="152" t="s">
        <v>151</v>
      </c>
      <c r="C51" s="152">
        <v>3</v>
      </c>
      <c r="D51" s="155" t="s">
        <v>294</v>
      </c>
      <c r="E51" s="156"/>
      <c r="F51" s="156"/>
      <c r="G51" s="156"/>
      <c r="H51" s="156"/>
      <c r="I51" s="156"/>
      <c r="J51" s="156"/>
      <c r="K51" s="156"/>
      <c r="L51" s="156"/>
      <c r="M51" s="157"/>
      <c r="N51" s="157"/>
    </row>
    <row r="52" spans="1:14" x14ac:dyDescent="0.3">
      <c r="A52" s="153" t="s">
        <v>152</v>
      </c>
      <c r="B52" s="152" t="s">
        <v>153</v>
      </c>
      <c r="C52" s="152">
        <v>3</v>
      </c>
      <c r="D52" s="155" t="s">
        <v>294</v>
      </c>
      <c r="E52" s="156"/>
      <c r="F52" s="156"/>
      <c r="G52" s="156"/>
      <c r="H52" s="156"/>
      <c r="I52" s="156"/>
      <c r="J52" s="156"/>
      <c r="K52" s="156"/>
      <c r="L52" s="156"/>
      <c r="M52" s="157"/>
      <c r="N52" s="157"/>
    </row>
    <row r="53" spans="1:14" x14ac:dyDescent="0.3">
      <c r="A53" s="153" t="s">
        <v>154</v>
      </c>
      <c r="B53" s="152" t="s">
        <v>155</v>
      </c>
      <c r="C53" s="152">
        <v>3</v>
      </c>
      <c r="D53" s="155" t="s">
        <v>294</v>
      </c>
      <c r="E53" s="156"/>
      <c r="F53" s="156"/>
      <c r="G53" s="156"/>
      <c r="H53" s="156"/>
      <c r="I53" s="156"/>
      <c r="J53" s="156"/>
      <c r="K53" s="156"/>
      <c r="L53" s="156"/>
      <c r="M53" s="157"/>
      <c r="N53" s="157"/>
    </row>
    <row r="54" spans="1:14" x14ac:dyDescent="0.3">
      <c r="A54" s="153" t="s">
        <v>156</v>
      </c>
      <c r="B54" s="152" t="s">
        <v>157</v>
      </c>
      <c r="C54" s="152">
        <v>3</v>
      </c>
      <c r="D54" s="155" t="s">
        <v>294</v>
      </c>
      <c r="E54" s="156"/>
      <c r="F54" s="156"/>
      <c r="G54" s="156"/>
      <c r="H54" s="156"/>
      <c r="I54" s="156"/>
      <c r="J54" s="156"/>
      <c r="K54" s="156"/>
      <c r="L54" s="156"/>
      <c r="M54" s="157"/>
      <c r="N54" s="157"/>
    </row>
    <row r="55" spans="1:14" x14ac:dyDescent="0.3">
      <c r="A55" s="153" t="s">
        <v>158</v>
      </c>
      <c r="B55" s="152" t="s">
        <v>159</v>
      </c>
      <c r="C55" s="152">
        <v>3</v>
      </c>
      <c r="D55" s="155" t="s">
        <v>294</v>
      </c>
      <c r="E55" s="156"/>
      <c r="F55" s="156"/>
      <c r="G55" s="156"/>
      <c r="H55" s="156"/>
      <c r="I55" s="156"/>
      <c r="J55" s="156"/>
      <c r="K55" s="156"/>
      <c r="L55" s="156"/>
      <c r="M55" s="157"/>
      <c r="N55" s="157"/>
    </row>
  </sheetData>
  <sortState ref="A5:N49">
    <sortCondition ref="A5:A49"/>
  </sortState>
  <mergeCells count="1">
    <mergeCell ref="D3:N3"/>
  </mergeCells>
  <hyperlinks>
    <hyperlink ref="F11" r:id="rId1" display="mailto:McCahill.brendan@epa.gov"/>
    <hyperlink ref="F22" r:id="rId2" display="mailto:McCahill.brendan@epa.gov"/>
    <hyperlink ref="F23" r:id="rId3" display="mailto:McCahill.brendan@epa.gov"/>
    <hyperlink ref="F31" r:id="rId4" display="mailto:McCahill.brendan@epa.gov"/>
    <hyperlink ref="F40" r:id="rId5" display="mailto:McCahill.brendan@epa.gov"/>
    <hyperlink ref="F46" r:id="rId6" display="mailto:McCahill.brendan@epa.gov"/>
    <hyperlink ref="F32" r:id="rId7" display="mailto:lau.gavin@epa.gov"/>
    <hyperlink ref="I32" r:id="rId8" display="mailto:Dholakia.umesh@epa.gov"/>
    <hyperlink ref="F34" r:id="rId9" display="mailto:lau.gavin@epa.gov"/>
    <hyperlink ref="I34" r:id="rId10" display="mailto:Dholakia.umesh@epa.gov"/>
    <hyperlink ref="F5" r:id="rId11" display="mailto:oquendo.ana@epa.gov"/>
    <hyperlink ref="I5" r:id="rId12" display="mailto:shepherd.lorinda@epa.gov"/>
    <hyperlink ref="F16" r:id="rId13" display="mailto:gupta.kaushal@epa.gov"/>
    <hyperlink ref="F18" r:id="rId14" display="mailto:webber.robert@epa.gov"/>
    <hyperlink ref="F10" r:id="rId15" display="mailto:smith.claudia@epa.gov"/>
    <hyperlink ref="I10" r:id="rId16" display="mailto:paser.kathleen@epa.gov"/>
    <hyperlink ref="F28" r:id="rId17" display="mailto:smith.claudia@epa.gov"/>
    <hyperlink ref="F36" r:id="rId18" display="mailto:smith.claudia@epa.gov"/>
    <hyperlink ref="F42" r:id="rId19" display="mailto:smith.claudia@epa.gov"/>
    <hyperlink ref="F45" r:id="rId20" display="mailto:smith.claudia@epa.gov"/>
    <hyperlink ref="F49" r:id="rId21" display="mailto:smith.claudia@epa.gov"/>
    <hyperlink ref="I28" r:id="rId22" display="mailto:paser.kathleen@epa.gov"/>
    <hyperlink ref="I36" r:id="rId23" display="mailto:paser.kathleen@epa.gov"/>
    <hyperlink ref="I42" r:id="rId24" display="mailto:paser.kathleen@epa.gov"/>
    <hyperlink ref="I45" r:id="rId25" display="mailto:paser.kathleen@epa.gov"/>
    <hyperlink ref="I49" r:id="rId26" display="mailto:paser.kathleen@epa.gov"/>
    <hyperlink ref="F17" r:id="rId27" display="mailto:gupta.kaushal@epa.gov"/>
    <hyperlink ref="F24" r:id="rId28" display="mailto:gupta.kaushal@epa.gov"/>
    <hyperlink ref="F25" r:id="rId29" display="mailto:gupta.kaushal@epa.gov"/>
    <hyperlink ref="F37" r:id="rId30" display="mailto:gupta.kaushal@epa.gov"/>
    <hyperlink ref="F48" r:id="rId31" display="mailto:gupta.kaushal@epa.gov"/>
    <hyperlink ref="F12" r:id="rId32" display="mailto:oquendo.ana@epa.gov"/>
    <hyperlink ref="F13" r:id="rId33" display="mailto:oquendo.ana@epa.gov"/>
    <hyperlink ref="F20" r:id="rId34" display="mailto:oquendo.ana@epa.gov"/>
    <hyperlink ref="F26" r:id="rId35" display="mailto:oquendo.ana@epa.gov"/>
    <hyperlink ref="F35" r:id="rId36" display="mailto:oquendo.ana@epa.gov"/>
    <hyperlink ref="F41" r:id="rId37" display="mailto:oquendo.ana@epa.gov"/>
    <hyperlink ref="F43" r:id="rId38" display="mailto:oquendo.ana@epa.gov"/>
    <hyperlink ref="I12" r:id="rId39" display="mailto:shepherd.lorinda@epa.gov"/>
    <hyperlink ref="I13" r:id="rId40" display="mailto:shepherd.lorinda@epa.gov"/>
    <hyperlink ref="I20" r:id="rId41" display="mailto:shepherd.lorinda@epa.gov"/>
    <hyperlink ref="I26" r:id="rId42" display="mailto:shepherd.lorinda@epa.gov"/>
    <hyperlink ref="I35" r:id="rId43" display="mailto:shepherd.lorinda@epa.gov"/>
    <hyperlink ref="I41" r:id="rId44" display="mailto:shepherd.lorinda@epa.gov"/>
    <hyperlink ref="I43" r:id="rId45" display="mailto:shepherd.lorinda@epa.gov"/>
    <hyperlink ref="F7" r:id="rId46" display="mailto:glass.geoffrey@epa.gov"/>
    <hyperlink ref="I7" r:id="rId47" display="mailto:Gutierrez.roberto@epa.gov"/>
    <hyperlink ref="F9" r:id="rId48" display="mailto:glass.geoffrey@epa.gov"/>
    <hyperlink ref="F14" r:id="rId49" display="mailto:glass.geoffrey@epa.gov"/>
    <hyperlink ref="F30" r:id="rId50" display="mailto:glass.geoffrey@epa.gov"/>
    <hyperlink ref="I9" r:id="rId51" display="mailto:Gutierrez.roberto@epa.gov"/>
    <hyperlink ref="I14" r:id="rId52" display="mailto:Gutierrez.roberto@epa.gov"/>
    <hyperlink ref="I30" r:id="rId53" display="mailto:Gutierrez.roberto@epa.gov"/>
    <hyperlink ref="F6" r:id="rId54"/>
    <hyperlink ref="F15" r:id="rId55"/>
    <hyperlink ref="F39" r:id="rId56"/>
    <hyperlink ref="F47" r:id="rId57"/>
    <hyperlink ref="F8" r:id="rId58"/>
    <hyperlink ref="F21" r:id="rId59"/>
    <hyperlink ref="F33" r:id="rId60"/>
    <hyperlink ref="F38" r:id="rId61"/>
    <hyperlink ref="F44" r:id="rId62"/>
    <hyperlink ref="F19" r:id="rId63" display="mailto:webber.robert@epa.gov"/>
    <hyperlink ref="F27" r:id="rId64" display="mailto:webber.robert@epa.gov"/>
    <hyperlink ref="F29" r:id="rId65" display="mailto:webber.robert@epa.gov"/>
  </hyperlinks>
  <pageMargins left="0.7" right="0.7" top="0.75" bottom="0.75" header="0.3" footer="0.3"/>
  <pageSetup orientation="portrait" r:id="rId6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M53"/>
  <sheetViews>
    <sheetView showGridLines="0" showRuler="0" zoomScaleNormal="100" workbookViewId="0"/>
  </sheetViews>
  <sheetFormatPr defaultColWidth="3.33203125" defaultRowHeight="13.2" x14ac:dyDescent="0.25"/>
  <cols>
    <col min="1" max="1" width="2.109375" style="5" customWidth="1"/>
    <col min="2" max="2" width="12.5546875" style="5" customWidth="1"/>
    <col min="3" max="3" width="18.109375" style="5" customWidth="1"/>
    <col min="4" max="4" width="53.33203125" style="5" customWidth="1"/>
    <col min="5" max="5" width="68.5546875" style="5" customWidth="1"/>
    <col min="6" max="27" width="1.6640625" style="5" customWidth="1"/>
    <col min="28" max="16384" width="3.33203125" style="5"/>
  </cols>
  <sheetData>
    <row r="1" spans="2:5" ht="17.399999999999999" x14ac:dyDescent="0.3">
      <c r="B1" s="4" t="str">
        <f>'Change Log'!A1</f>
        <v>Rock Crushing and Stone Processing Registration Calculator</v>
      </c>
    </row>
    <row r="2" spans="2:5" ht="15.75" customHeight="1" x14ac:dyDescent="0.25">
      <c r="B2" s="364" t="str">
        <f>'Change Log'!A2</f>
        <v>v1.3 (last updated 2013.02.26)</v>
      </c>
      <c r="C2" s="364"/>
      <c r="D2" s="364"/>
    </row>
    <row r="3" spans="2:5" s="93" customFormat="1" ht="130.5" customHeight="1" x14ac:dyDescent="0.3">
      <c r="B3" s="374" t="s">
        <v>487</v>
      </c>
      <c r="C3" s="374"/>
      <c r="D3" s="374"/>
      <c r="E3" s="374"/>
    </row>
    <row r="4" spans="2:5" s="93" customFormat="1" ht="9" customHeight="1" x14ac:dyDescent="0.3">
      <c r="B4" s="345"/>
      <c r="C4" s="345"/>
      <c r="D4" s="345"/>
      <c r="E4" s="345"/>
    </row>
    <row r="5" spans="2:5" x14ac:dyDescent="0.25">
      <c r="B5" s="94" t="s">
        <v>0</v>
      </c>
    </row>
    <row r="6" spans="2:5" ht="39.75" customHeight="1" x14ac:dyDescent="0.25">
      <c r="B6" s="365" t="s">
        <v>565</v>
      </c>
      <c r="C6" s="365"/>
      <c r="D6" s="365"/>
      <c r="E6" s="365"/>
    </row>
    <row r="7" spans="2:5" ht="4.5" customHeight="1" x14ac:dyDescent="0.25">
      <c r="B7" s="25"/>
    </row>
    <row r="8" spans="2:5" ht="13.5" customHeight="1" x14ac:dyDescent="0.25">
      <c r="B8" s="94" t="s">
        <v>1</v>
      </c>
    </row>
    <row r="9" spans="2:5" ht="57.75" customHeight="1" x14ac:dyDescent="0.25">
      <c r="B9" s="366" t="s">
        <v>566</v>
      </c>
      <c r="C9" s="366"/>
      <c r="D9" s="366"/>
      <c r="E9" s="366"/>
    </row>
    <row r="10" spans="2:5" ht="4.5" customHeight="1" x14ac:dyDescent="0.25">
      <c r="B10" s="25"/>
    </row>
    <row r="11" spans="2:5" x14ac:dyDescent="0.25">
      <c r="B11" s="94" t="s">
        <v>2</v>
      </c>
    </row>
    <row r="12" spans="2:5" ht="74.25" customHeight="1" x14ac:dyDescent="0.25">
      <c r="B12" s="366" t="s">
        <v>375</v>
      </c>
      <c r="C12" s="366"/>
      <c r="D12" s="366"/>
      <c r="E12" s="366"/>
    </row>
    <row r="13" spans="2:5" ht="9" customHeight="1" thickBot="1" x14ac:dyDescent="0.3">
      <c r="B13" s="94"/>
    </row>
    <row r="14" spans="2:5" ht="13.8" thickBot="1" x14ac:dyDescent="0.3">
      <c r="B14" s="367" t="s">
        <v>113</v>
      </c>
      <c r="C14" s="368"/>
      <c r="D14" s="369"/>
    </row>
    <row r="15" spans="2:5" ht="14.4" x14ac:dyDescent="0.3">
      <c r="B15" s="383" t="s">
        <v>400</v>
      </c>
      <c r="C15" s="384"/>
      <c r="D15" s="385"/>
    </row>
    <row r="16" spans="2:5" x14ac:dyDescent="0.25">
      <c r="B16" s="386" t="s">
        <v>401</v>
      </c>
      <c r="C16" s="387"/>
      <c r="D16" s="388"/>
    </row>
    <row r="17" spans="2:5" ht="14.4" x14ac:dyDescent="0.3">
      <c r="B17" s="375" t="s">
        <v>488</v>
      </c>
      <c r="C17" s="376"/>
      <c r="D17" s="377"/>
    </row>
    <row r="18" spans="2:5" ht="13.8" thickBot="1" x14ac:dyDescent="0.3">
      <c r="B18" s="389" t="s">
        <v>114</v>
      </c>
      <c r="C18" s="390"/>
      <c r="D18" s="391"/>
    </row>
    <row r="19" spans="2:5" ht="10.5" customHeight="1" thickBot="1" x14ac:dyDescent="0.3">
      <c r="B19" s="95"/>
      <c r="C19" s="96"/>
      <c r="D19" s="95"/>
      <c r="E19" s="24"/>
    </row>
    <row r="20" spans="2:5" ht="13.8" thickBot="1" x14ac:dyDescent="0.3">
      <c r="B20" s="392" t="s">
        <v>117</v>
      </c>
      <c r="C20" s="393"/>
      <c r="D20" s="394"/>
    </row>
    <row r="21" spans="2:5" ht="55.5" customHeight="1" x14ac:dyDescent="0.25">
      <c r="B21" s="97" t="s">
        <v>402</v>
      </c>
      <c r="C21" s="378" t="s">
        <v>403</v>
      </c>
      <c r="D21" s="379"/>
    </row>
    <row r="22" spans="2:5" ht="18" customHeight="1" x14ac:dyDescent="0.25">
      <c r="B22" s="258" t="s">
        <v>404</v>
      </c>
      <c r="C22" s="259" t="s">
        <v>405</v>
      </c>
      <c r="D22" s="260"/>
    </row>
    <row r="23" spans="2:5" ht="15" customHeight="1" x14ac:dyDescent="0.25">
      <c r="B23" s="98" t="s">
        <v>48</v>
      </c>
      <c r="C23" s="99" t="s">
        <v>3</v>
      </c>
      <c r="D23" s="100"/>
    </row>
    <row r="24" spans="2:5" ht="15" customHeight="1" x14ac:dyDescent="0.25">
      <c r="B24" s="98" t="s">
        <v>536</v>
      </c>
      <c r="C24" s="99" t="s">
        <v>537</v>
      </c>
      <c r="D24" s="100"/>
    </row>
    <row r="25" spans="2:5" s="93" customFormat="1" ht="14.25" customHeight="1" x14ac:dyDescent="0.3">
      <c r="B25" s="174" t="s">
        <v>368</v>
      </c>
      <c r="C25" s="175" t="s">
        <v>369</v>
      </c>
      <c r="D25" s="176"/>
    </row>
    <row r="26" spans="2:5" x14ac:dyDescent="0.25">
      <c r="B26" s="104" t="s">
        <v>548</v>
      </c>
      <c r="C26" s="105" t="s">
        <v>549</v>
      </c>
      <c r="D26" s="106"/>
    </row>
    <row r="27" spans="2:5" ht="32.25" customHeight="1" x14ac:dyDescent="0.25">
      <c r="B27" s="317" t="s">
        <v>489</v>
      </c>
      <c r="C27" s="399" t="s">
        <v>490</v>
      </c>
      <c r="D27" s="419"/>
    </row>
    <row r="28" spans="2:5" ht="19.5" customHeight="1" x14ac:dyDescent="0.25">
      <c r="B28" s="104" t="s">
        <v>315</v>
      </c>
      <c r="C28" s="105" t="s">
        <v>316</v>
      </c>
      <c r="D28" s="106"/>
    </row>
    <row r="29" spans="2:5" ht="60.75" customHeight="1" x14ac:dyDescent="0.25">
      <c r="B29" s="261" t="s">
        <v>396</v>
      </c>
      <c r="C29" s="399" t="s">
        <v>406</v>
      </c>
      <c r="D29" s="400"/>
    </row>
    <row r="30" spans="2:5" x14ac:dyDescent="0.25">
      <c r="B30" s="101" t="s">
        <v>118</v>
      </c>
      <c r="C30" s="102" t="s">
        <v>81</v>
      </c>
      <c r="D30" s="103"/>
    </row>
    <row r="31" spans="2:5" ht="14.25" customHeight="1" x14ac:dyDescent="0.25">
      <c r="B31" s="104" t="s">
        <v>540</v>
      </c>
      <c r="C31" s="105" t="s">
        <v>541</v>
      </c>
      <c r="D31" s="106"/>
    </row>
    <row r="32" spans="2:5" ht="16.5" customHeight="1" x14ac:dyDescent="0.25">
      <c r="B32" s="104" t="s">
        <v>542</v>
      </c>
      <c r="C32" s="105" t="s">
        <v>543</v>
      </c>
      <c r="D32" s="106"/>
    </row>
    <row r="33" spans="2:5" x14ac:dyDescent="0.25">
      <c r="B33" s="104" t="s">
        <v>119</v>
      </c>
      <c r="C33" s="105" t="s">
        <v>82</v>
      </c>
      <c r="D33" s="106"/>
    </row>
    <row r="34" spans="2:5" ht="15.6" x14ac:dyDescent="0.25">
      <c r="B34" s="104" t="s">
        <v>544</v>
      </c>
      <c r="C34" s="107" t="s">
        <v>545</v>
      </c>
      <c r="D34" s="347"/>
    </row>
    <row r="35" spans="2:5" ht="18.75" customHeight="1" x14ac:dyDescent="0.25">
      <c r="B35" s="104" t="s">
        <v>546</v>
      </c>
      <c r="C35" s="107" t="s">
        <v>547</v>
      </c>
      <c r="D35" s="347"/>
    </row>
    <row r="36" spans="2:5" ht="15.6" x14ac:dyDescent="0.25">
      <c r="B36" s="104" t="s">
        <v>46</v>
      </c>
      <c r="C36" s="107" t="s">
        <v>4</v>
      </c>
      <c r="D36" s="347"/>
    </row>
    <row r="37" spans="2:5" ht="14.25" customHeight="1" x14ac:dyDescent="0.25">
      <c r="B37" s="104" t="s">
        <v>120</v>
      </c>
      <c r="C37" s="107" t="s">
        <v>5</v>
      </c>
      <c r="D37" s="347"/>
    </row>
    <row r="38" spans="2:5" ht="15.6" x14ac:dyDescent="0.25">
      <c r="B38" s="108" t="s">
        <v>121</v>
      </c>
      <c r="C38" s="395" t="s">
        <v>115</v>
      </c>
      <c r="D38" s="396"/>
    </row>
    <row r="39" spans="2:5" ht="15.6" x14ac:dyDescent="0.25">
      <c r="B39" s="104" t="s">
        <v>122</v>
      </c>
      <c r="C39" s="346" t="s">
        <v>116</v>
      </c>
      <c r="D39" s="347"/>
    </row>
    <row r="40" spans="2:5" ht="15.6" x14ac:dyDescent="0.25">
      <c r="B40" s="109" t="s">
        <v>123</v>
      </c>
      <c r="C40" s="110" t="s">
        <v>6</v>
      </c>
      <c r="D40" s="111"/>
    </row>
    <row r="41" spans="2:5" ht="13.8" thickBot="1" x14ac:dyDescent="0.3">
      <c r="B41" s="112" t="s">
        <v>124</v>
      </c>
      <c r="C41" s="397" t="s">
        <v>7</v>
      </c>
      <c r="D41" s="398"/>
      <c r="E41" s="24"/>
    </row>
    <row r="42" spans="2:5" ht="10.5" customHeight="1" thickBot="1" x14ac:dyDescent="0.3">
      <c r="B42" s="95"/>
      <c r="C42" s="95"/>
      <c r="D42" s="95"/>
      <c r="E42" s="24"/>
    </row>
    <row r="43" spans="2:5" ht="13.8" thickBot="1" x14ac:dyDescent="0.3">
      <c r="B43" s="380" t="s">
        <v>8</v>
      </c>
      <c r="C43" s="381"/>
      <c r="D43" s="381"/>
      <c r="E43" s="382"/>
    </row>
    <row r="44" spans="2:5" ht="13.8" thickBot="1" x14ac:dyDescent="0.3">
      <c r="B44" s="420" t="s">
        <v>556</v>
      </c>
      <c r="C44" s="421"/>
      <c r="D44" s="421"/>
      <c r="E44" s="422"/>
    </row>
    <row r="45" spans="2:5" ht="23.25" customHeight="1" x14ac:dyDescent="0.25">
      <c r="B45" s="423" t="s">
        <v>9</v>
      </c>
      <c r="C45" s="424"/>
      <c r="D45" s="425" t="s">
        <v>407</v>
      </c>
      <c r="E45" s="426"/>
    </row>
    <row r="46" spans="2:5" ht="17.25" customHeight="1" x14ac:dyDescent="0.25">
      <c r="B46" s="427" t="s">
        <v>10</v>
      </c>
      <c r="C46" s="428"/>
      <c r="D46" s="429" t="s">
        <v>11</v>
      </c>
      <c r="E46" s="430"/>
    </row>
    <row r="47" spans="2:5" ht="72" customHeight="1" x14ac:dyDescent="0.25">
      <c r="B47" s="413" t="s">
        <v>12</v>
      </c>
      <c r="C47" s="414"/>
      <c r="D47" s="409" t="s">
        <v>408</v>
      </c>
      <c r="E47" s="410"/>
    </row>
    <row r="48" spans="2:5" ht="21" customHeight="1" x14ac:dyDescent="0.25">
      <c r="B48" s="415"/>
      <c r="C48" s="416"/>
      <c r="D48" s="411" t="s">
        <v>314</v>
      </c>
      <c r="E48" s="412"/>
    </row>
    <row r="49" spans="2:13" ht="90" customHeight="1" x14ac:dyDescent="0.25">
      <c r="B49" s="405" t="s">
        <v>370</v>
      </c>
      <c r="C49" s="406"/>
      <c r="D49" s="417" t="s">
        <v>539</v>
      </c>
      <c r="E49" s="418"/>
    </row>
    <row r="50" spans="2:13" ht="135" customHeight="1" x14ac:dyDescent="0.25">
      <c r="B50" s="405" t="s">
        <v>371</v>
      </c>
      <c r="C50" s="406"/>
      <c r="D50" s="407" t="s">
        <v>557</v>
      </c>
      <c r="E50" s="408"/>
      <c r="F50" s="24"/>
    </row>
    <row r="51" spans="2:13" ht="123" customHeight="1" x14ac:dyDescent="0.25">
      <c r="B51" s="401" t="s">
        <v>558</v>
      </c>
      <c r="C51" s="402"/>
      <c r="D51" s="403" t="s">
        <v>559</v>
      </c>
      <c r="E51" s="404"/>
      <c r="F51" s="24"/>
    </row>
    <row r="52" spans="2:13" ht="51.75" customHeight="1" thickBot="1" x14ac:dyDescent="0.3">
      <c r="B52" s="370" t="s">
        <v>538</v>
      </c>
      <c r="C52" s="371"/>
      <c r="D52" s="372" t="s">
        <v>409</v>
      </c>
      <c r="E52" s="373"/>
      <c r="F52" s="24"/>
    </row>
    <row r="53" spans="2:13" ht="12.75" customHeight="1" x14ac:dyDescent="0.25">
      <c r="B53" s="113"/>
      <c r="C53" s="114"/>
      <c r="D53" s="114"/>
      <c r="E53" s="114"/>
      <c r="M53" s="24"/>
    </row>
  </sheetData>
  <sheetProtection password="C969" sheet="1" objects="1" scenarios="1"/>
  <mergeCells count="33">
    <mergeCell ref="C27:D27"/>
    <mergeCell ref="B44:E44"/>
    <mergeCell ref="B45:C45"/>
    <mergeCell ref="D45:E45"/>
    <mergeCell ref="B46:C46"/>
    <mergeCell ref="D46:E46"/>
    <mergeCell ref="D50:E50"/>
    <mergeCell ref="D47:E47"/>
    <mergeCell ref="D48:E48"/>
    <mergeCell ref="B47:C48"/>
    <mergeCell ref="B49:C49"/>
    <mergeCell ref="D49:E49"/>
    <mergeCell ref="B52:C52"/>
    <mergeCell ref="D52:E52"/>
    <mergeCell ref="B3:E3"/>
    <mergeCell ref="B17:D17"/>
    <mergeCell ref="C21:D21"/>
    <mergeCell ref="B43:E43"/>
    <mergeCell ref="B15:D15"/>
    <mergeCell ref="B16:D16"/>
    <mergeCell ref="B18:D18"/>
    <mergeCell ref="B20:D20"/>
    <mergeCell ref="C38:D38"/>
    <mergeCell ref="C41:D41"/>
    <mergeCell ref="C29:D29"/>
    <mergeCell ref="B51:C51"/>
    <mergeCell ref="D51:E51"/>
    <mergeCell ref="B50:C50"/>
    <mergeCell ref="B2:D2"/>
    <mergeCell ref="B6:E6"/>
    <mergeCell ref="B9:E9"/>
    <mergeCell ref="B12:E12"/>
    <mergeCell ref="B14:D14"/>
  </mergeCells>
  <hyperlinks>
    <hyperlink ref="D48" r:id="rId1"/>
  </hyperlinks>
  <pageMargins left="0.5" right="0.5" top="1" bottom="1" header="0.5" footer="0.5"/>
  <pageSetup scale="63" orientation="landscape" r:id="rId2"/>
  <headerFooter alignWithMargins="0">
    <oddFooter>&amp;LPage &amp;P of &amp;N&amp;C&amp;F&amp;RPrinted &amp;D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85"/>
  <sheetViews>
    <sheetView showGridLines="0" zoomScaleNormal="100" workbookViewId="0"/>
  </sheetViews>
  <sheetFormatPr defaultColWidth="9.109375" defaultRowHeight="13.2" x14ac:dyDescent="0.25"/>
  <cols>
    <col min="1" max="1" width="2.88671875" style="5" customWidth="1"/>
    <col min="2" max="2" width="60.44140625" style="5" customWidth="1"/>
    <col min="3" max="3" width="69.5546875" style="5" customWidth="1"/>
    <col min="4" max="4" width="15.44140625" style="5" customWidth="1"/>
    <col min="5" max="5" width="19.88671875" style="5" customWidth="1"/>
    <col min="6" max="6" width="106.6640625" style="5" hidden="1" customWidth="1"/>
    <col min="7" max="16384" width="9.109375" style="5"/>
  </cols>
  <sheetData>
    <row r="1" spans="2:6" ht="17.399999999999999" x14ac:dyDescent="0.3">
      <c r="B1" s="4" t="s">
        <v>111</v>
      </c>
    </row>
    <row r="2" spans="2:6" ht="16.2" thickBot="1" x14ac:dyDescent="0.4">
      <c r="F2" s="6" t="s">
        <v>312</v>
      </c>
    </row>
    <row r="3" spans="2:6" ht="13.8" thickBot="1" x14ac:dyDescent="0.3">
      <c r="B3" s="367" t="s">
        <v>13</v>
      </c>
      <c r="C3" s="369"/>
      <c r="F3" s="9" t="s">
        <v>29</v>
      </c>
    </row>
    <row r="4" spans="2:6" x14ac:dyDescent="0.25">
      <c r="B4" s="159" t="s">
        <v>14</v>
      </c>
      <c r="C4" s="249" t="s">
        <v>367</v>
      </c>
      <c r="F4" s="9" t="s">
        <v>310</v>
      </c>
    </row>
    <row r="5" spans="2:6" x14ac:dyDescent="0.25">
      <c r="B5" s="10" t="s">
        <v>15</v>
      </c>
      <c r="C5" s="11" t="s">
        <v>16</v>
      </c>
      <c r="F5" s="9" t="s">
        <v>17</v>
      </c>
    </row>
    <row r="6" spans="2:6" x14ac:dyDescent="0.25">
      <c r="B6" s="10" t="s">
        <v>130</v>
      </c>
      <c r="C6" s="11" t="s">
        <v>306</v>
      </c>
    </row>
    <row r="7" spans="2:6" x14ac:dyDescent="0.25">
      <c r="B7" s="12" t="s">
        <v>127</v>
      </c>
      <c r="C7" s="11" t="s">
        <v>190</v>
      </c>
    </row>
    <row r="8" spans="2:6" x14ac:dyDescent="0.25">
      <c r="B8" s="273" t="s">
        <v>307</v>
      </c>
      <c r="C8" s="274">
        <v>87101</v>
      </c>
      <c r="F8" s="6" t="s">
        <v>311</v>
      </c>
    </row>
    <row r="9" spans="2:6" ht="16.5" customHeight="1" thickBot="1" x14ac:dyDescent="0.3">
      <c r="B9" s="13" t="s">
        <v>436</v>
      </c>
      <c r="C9" s="250" t="s">
        <v>532</v>
      </c>
      <c r="F9" s="9" t="s">
        <v>29</v>
      </c>
    </row>
    <row r="10" spans="2:6" ht="35.25" customHeight="1" x14ac:dyDescent="0.25">
      <c r="B10" s="443" t="str">
        <f>IF(C9&lt;&gt;"other","You indicated that your facility is a "&amp;Inputs!$C$9&amp;".  Please consult with your EPA Regional contact listed below to determine applicable registration and permitting requirements.","")</f>
        <v/>
      </c>
      <c r="C10" s="443"/>
      <c r="F10" s="9" t="s">
        <v>309</v>
      </c>
    </row>
    <row r="11" spans="2:6" ht="13.8" thickBot="1" x14ac:dyDescent="0.3">
      <c r="F11" s="9" t="s">
        <v>310</v>
      </c>
    </row>
    <row r="12" spans="2:6" ht="13.8" thickBot="1" x14ac:dyDescent="0.3">
      <c r="B12" s="367" t="s">
        <v>20</v>
      </c>
      <c r="C12" s="369"/>
      <c r="F12" s="9" t="s">
        <v>17</v>
      </c>
    </row>
    <row r="13" spans="2:6" x14ac:dyDescent="0.25">
      <c r="B13" s="7" t="s">
        <v>14</v>
      </c>
      <c r="C13" s="8" t="s">
        <v>21</v>
      </c>
      <c r="F13" s="9" t="s">
        <v>18</v>
      </c>
    </row>
    <row r="14" spans="2:6" x14ac:dyDescent="0.25">
      <c r="B14" s="10" t="s">
        <v>22</v>
      </c>
      <c r="C14" s="11" t="s">
        <v>23</v>
      </c>
      <c r="F14" s="9" t="s">
        <v>19</v>
      </c>
    </row>
    <row r="15" spans="2:6" ht="13.8" thickBot="1" x14ac:dyDescent="0.3">
      <c r="B15" s="16" t="s">
        <v>25</v>
      </c>
      <c r="C15" s="14" t="s">
        <v>26</v>
      </c>
    </row>
    <row r="16" spans="2:6" ht="16.2" thickBot="1" x14ac:dyDescent="0.4">
      <c r="F16" s="6" t="s">
        <v>313</v>
      </c>
    </row>
    <row r="17" spans="2:6" ht="15" customHeight="1" thickBot="1" x14ac:dyDescent="0.3">
      <c r="B17" s="367" t="str">
        <f>"U.S. Environmental Protection Agency Region "&amp;VLOOKUP(C7,'EPA Regional Contact Info'!$A$5:$C$49,3,FALSE)&amp;" Contact"</f>
        <v>U.S. Environmental Protection Agency Region 6 Contact</v>
      </c>
      <c r="C17" s="369"/>
      <c r="F17" s="9" t="s">
        <v>29</v>
      </c>
    </row>
    <row r="18" spans="2:6" ht="16.5" customHeight="1" x14ac:dyDescent="0.25">
      <c r="B18" s="159" t="s">
        <v>302</v>
      </c>
      <c r="C18" s="168" t="str">
        <f>VLOOKUP($C$7,'EPA Regional Contact Info'!$A$5:$N$49,4,FALSE)</f>
        <v>Bonnie Braganza</v>
      </c>
      <c r="F18" s="9" t="s">
        <v>308</v>
      </c>
    </row>
    <row r="19" spans="2:6" ht="14.25" customHeight="1" x14ac:dyDescent="0.25">
      <c r="B19" s="10" t="s">
        <v>304</v>
      </c>
      <c r="C19" s="169" t="str">
        <f>VLOOKUP($C$7,'EPA Regional Contact Info'!$A$5:$N$49,5,FALSE)</f>
        <v>214-665-7340</v>
      </c>
    </row>
    <row r="20" spans="2:6" ht="16.5" customHeight="1" x14ac:dyDescent="0.25">
      <c r="B20" s="10" t="s">
        <v>300</v>
      </c>
      <c r="C20" s="169" t="str">
        <f>VLOOKUP($C$7,'EPA Regional Contact Info'!$A$5:$N$49,6,FALSE)</f>
        <v>braganza.bonnie@epa.gov</v>
      </c>
    </row>
    <row r="21" spans="2:6" x14ac:dyDescent="0.25">
      <c r="B21" s="10" t="s">
        <v>303</v>
      </c>
      <c r="C21" s="169" t="str">
        <f>VLOOKUP($C$7,'EPA Regional Contact Info'!$A$5:$N$49,7,FALSE)</f>
        <v>None</v>
      </c>
      <c r="F21" s="15" t="s">
        <v>24</v>
      </c>
    </row>
    <row r="22" spans="2:6" ht="14.25" customHeight="1" x14ac:dyDescent="0.25">
      <c r="B22" s="10" t="s">
        <v>305</v>
      </c>
      <c r="C22" s="169" t="str">
        <f>IF(VLOOKUP($C$7,'EPA Regional Contact Info'!$A$5:$N$49,8,FALSE)=0,"",VLOOKUP($C$7,'EPA Regional Contact Info'!$A$5:$N$49,8,FALSE))</f>
        <v/>
      </c>
      <c r="F22" s="167" t="s">
        <v>528</v>
      </c>
    </row>
    <row r="23" spans="2:6" ht="15" customHeight="1" x14ac:dyDescent="0.25">
      <c r="B23" s="252" t="s">
        <v>301</v>
      </c>
      <c r="C23" s="251" t="str">
        <f>IF(VLOOKUP($C$7,'EPA Regional Contact Info'!$A$5:$N$49,9,FALSE)=0,"",VLOOKUP($C$7,'EPA Regional Contact Info'!$A$5:$N$49,9,FALSE))</f>
        <v/>
      </c>
      <c r="F23" s="167" t="s">
        <v>529</v>
      </c>
    </row>
    <row r="24" spans="2:6" x14ac:dyDescent="0.25">
      <c r="B24" s="252" t="s">
        <v>15</v>
      </c>
      <c r="C24" s="253" t="str">
        <f>"U.S. Environmental Protection Agency Region "&amp;VLOOKUP($C$7,'EPA Regional Contact Info'!$A$5:$C$49,3,FALSE)</f>
        <v>U.S. Environmental Protection Agency Region 6</v>
      </c>
      <c r="F24" s="167" t="s">
        <v>530</v>
      </c>
    </row>
    <row r="25" spans="2:6" x14ac:dyDescent="0.25">
      <c r="B25" s="256"/>
      <c r="C25" s="254" t="str">
        <f>VLOOKUP($C$7,'EPA Regional Contact Info'!$A$5:$N$49,10,FALSE)</f>
        <v>1445 Ross Avenue, Suite 1200</v>
      </c>
      <c r="F25" s="167" t="s">
        <v>531</v>
      </c>
    </row>
    <row r="26" spans="2:6" x14ac:dyDescent="0.25">
      <c r="B26" s="256"/>
      <c r="C26" s="254" t="str">
        <f>VLOOKUP($C$7,'EPA Regional Contact Info'!$A$5:$N$49,11,FALSE)</f>
        <v>MC: 6PD</v>
      </c>
      <c r="F26" s="167" t="s">
        <v>532</v>
      </c>
    </row>
    <row r="27" spans="2:6" ht="19.5" customHeight="1" thickBot="1" x14ac:dyDescent="0.3">
      <c r="B27" s="257"/>
      <c r="C27" s="255" t="str">
        <f>VLOOKUP($C$7,'EPA Regional Contact Info'!$A$5:$N$49,12,FALSE)&amp;", "&amp;VLOOKUP($C$7,'EPA Regional Contact Info'!$A$5:$N$49,13,FALSE)&amp;" "&amp;VLOOKUP($C$7,'EPA Regional Contact Info'!$A$5:$N$49,14,FALSE)</f>
        <v>Dallas, TX 75202-2733</v>
      </c>
    </row>
    <row r="28" spans="2:6" ht="13.8" thickBot="1" x14ac:dyDescent="0.3">
      <c r="F28" s="15" t="s">
        <v>484</v>
      </c>
    </row>
    <row r="29" spans="2:6" ht="13.8" thickBot="1" x14ac:dyDescent="0.3">
      <c r="B29" s="439" t="s">
        <v>27</v>
      </c>
      <c r="C29" s="440"/>
      <c r="F29" s="167" t="s">
        <v>337</v>
      </c>
    </row>
    <row r="30" spans="2:6" x14ac:dyDescent="0.25">
      <c r="B30" s="160" t="s">
        <v>28</v>
      </c>
      <c r="C30" s="162" t="s">
        <v>29</v>
      </c>
      <c r="F30" s="167" t="s">
        <v>338</v>
      </c>
    </row>
    <row r="31" spans="2:6" x14ac:dyDescent="0.25">
      <c r="B31" s="161"/>
      <c r="C31" s="163"/>
    </row>
    <row r="32" spans="2:6" x14ac:dyDescent="0.25">
      <c r="B32" s="161" t="s">
        <v>372</v>
      </c>
      <c r="C32" s="164" t="s">
        <v>29</v>
      </c>
      <c r="F32" s="15" t="s">
        <v>552</v>
      </c>
    </row>
    <row r="33" spans="1:6" x14ac:dyDescent="0.25">
      <c r="B33" s="146"/>
      <c r="C33" s="165"/>
      <c r="F33" s="167" t="str">
        <f>'EPA Regional Contact Info'!A5</f>
        <v>Alabama</v>
      </c>
    </row>
    <row r="34" spans="1:6" ht="15.6" x14ac:dyDescent="0.35">
      <c r="B34" s="161" t="s">
        <v>30</v>
      </c>
      <c r="C34" s="164" t="s">
        <v>29</v>
      </c>
      <c r="F34" s="167" t="str">
        <f>'EPA Regional Contact Info'!A6</f>
        <v>Alaska</v>
      </c>
    </row>
    <row r="35" spans="1:6" x14ac:dyDescent="0.25">
      <c r="B35" s="146"/>
      <c r="C35" s="165"/>
      <c r="F35" s="167" t="str">
        <f>'EPA Regional Contact Info'!A7</f>
        <v>Arizona</v>
      </c>
    </row>
    <row r="36" spans="1:6" ht="15.6" x14ac:dyDescent="0.35">
      <c r="B36" s="161" t="s">
        <v>31</v>
      </c>
      <c r="C36" s="164" t="s">
        <v>29</v>
      </c>
      <c r="F36" s="167" t="str">
        <f>'EPA Regional Contact Info'!A8</f>
        <v>Arkansas</v>
      </c>
    </row>
    <row r="37" spans="1:6" x14ac:dyDescent="0.25">
      <c r="B37" s="146"/>
      <c r="C37" s="165"/>
      <c r="F37" s="167" t="str">
        <f>'EPA Regional Contact Info'!A9</f>
        <v>California</v>
      </c>
    </row>
    <row r="38" spans="1:6" ht="15.6" x14ac:dyDescent="0.35">
      <c r="B38" s="161" t="s">
        <v>395</v>
      </c>
      <c r="C38" s="164" t="s">
        <v>29</v>
      </c>
      <c r="F38" s="167" t="str">
        <f>'EPA Regional Contact Info'!A10</f>
        <v>Colorado</v>
      </c>
    </row>
    <row r="39" spans="1:6" ht="13.8" thickBot="1" x14ac:dyDescent="0.3">
      <c r="B39" s="147"/>
      <c r="C39" s="166"/>
      <c r="F39" s="167" t="str">
        <f>'EPA Regional Contact Info'!A11</f>
        <v>Connecticut</v>
      </c>
    </row>
    <row r="40" spans="1:6" ht="13.8" thickBot="1" x14ac:dyDescent="0.3">
      <c r="B40" s="24"/>
      <c r="C40" s="24"/>
      <c r="F40" s="167" t="str">
        <f>'EPA Regional Contact Info'!A12</f>
        <v>Florida</v>
      </c>
    </row>
    <row r="41" spans="1:6" x14ac:dyDescent="0.25">
      <c r="B41" s="431" t="s">
        <v>340</v>
      </c>
      <c r="C41" s="432"/>
      <c r="F41" s="167" t="str">
        <f>'EPA Regional Contact Info'!A13</f>
        <v>Georgia</v>
      </c>
    </row>
    <row r="42" spans="1:6" ht="27" thickBot="1" x14ac:dyDescent="0.3">
      <c r="B42" s="148" t="s">
        <v>500</v>
      </c>
      <c r="C42" s="188">
        <v>0</v>
      </c>
      <c r="F42" s="167" t="str">
        <f>'EPA Regional Contact Info'!A14</f>
        <v>Hawaii</v>
      </c>
    </row>
    <row r="43" spans="1:6" ht="13.8" thickBot="1" x14ac:dyDescent="0.3">
      <c r="F43" s="167" t="str">
        <f>'EPA Regional Contact Info'!A15</f>
        <v>Idaho</v>
      </c>
    </row>
    <row r="44" spans="1:6" x14ac:dyDescent="0.25">
      <c r="B44" s="441" t="s">
        <v>336</v>
      </c>
      <c r="C44" s="442"/>
      <c r="F44" s="167" t="str">
        <f>'EPA Regional Contact Info'!A16</f>
        <v>Illinois</v>
      </c>
    </row>
    <row r="45" spans="1:6" x14ac:dyDescent="0.25">
      <c r="B45" s="433" t="s">
        <v>491</v>
      </c>
      <c r="C45" s="434"/>
      <c r="F45" s="167" t="str">
        <f>'EPA Regional Contact Info'!A17</f>
        <v>Indiana</v>
      </c>
    </row>
    <row r="46" spans="1:6" x14ac:dyDescent="0.25">
      <c r="B46" s="146" t="s">
        <v>347</v>
      </c>
      <c r="C46" s="164">
        <v>0</v>
      </c>
      <c r="F46" s="167" t="str">
        <f>'EPA Regional Contact Info'!A18</f>
        <v>Iowa</v>
      </c>
    </row>
    <row r="47" spans="1:6" x14ac:dyDescent="0.25">
      <c r="B47" s="146" t="s">
        <v>348</v>
      </c>
      <c r="C47" s="164">
        <v>0</v>
      </c>
      <c r="F47" s="167" t="str">
        <f>'EPA Regional Contact Info'!A19</f>
        <v>Kansas</v>
      </c>
    </row>
    <row r="48" spans="1:6" x14ac:dyDescent="0.25">
      <c r="A48" s="5" t="s">
        <v>54</v>
      </c>
      <c r="B48" s="146" t="s">
        <v>349</v>
      </c>
      <c r="C48" s="164">
        <v>0</v>
      </c>
      <c r="F48" s="167" t="str">
        <f>'EPA Regional Contact Info'!A20</f>
        <v>Kentucky</v>
      </c>
    </row>
    <row r="49" spans="1:6" ht="13.8" thickBot="1" x14ac:dyDescent="0.3">
      <c r="B49" s="146" t="s">
        <v>350</v>
      </c>
      <c r="C49" s="164">
        <v>0</v>
      </c>
      <c r="F49" s="167" t="str">
        <f>'EPA Regional Contact Info'!A21</f>
        <v>Louisiana</v>
      </c>
    </row>
    <row r="50" spans="1:6" x14ac:dyDescent="0.25">
      <c r="B50" s="435" t="s">
        <v>492</v>
      </c>
      <c r="C50" s="436"/>
      <c r="F50" s="167" t="str">
        <f>'EPA Regional Contact Info'!A22</f>
        <v>Maine</v>
      </c>
    </row>
    <row r="51" spans="1:6" x14ac:dyDescent="0.25">
      <c r="B51" s="146" t="s">
        <v>347</v>
      </c>
      <c r="C51" s="164">
        <v>0</v>
      </c>
      <c r="F51" s="167" t="str">
        <f>'EPA Regional Contact Info'!A23</f>
        <v>Massachusetts</v>
      </c>
    </row>
    <row r="52" spans="1:6" x14ac:dyDescent="0.25">
      <c r="B52" s="146" t="s">
        <v>348</v>
      </c>
      <c r="C52" s="164">
        <v>0</v>
      </c>
      <c r="F52" s="167" t="str">
        <f>'EPA Regional Contact Info'!A24</f>
        <v>Michigan</v>
      </c>
    </row>
    <row r="53" spans="1:6" x14ac:dyDescent="0.25">
      <c r="B53" s="146" t="s">
        <v>349</v>
      </c>
      <c r="C53" s="164">
        <v>0</v>
      </c>
      <c r="F53" s="167" t="str">
        <f>'EPA Regional Contact Info'!A25</f>
        <v>Minnesota</v>
      </c>
    </row>
    <row r="54" spans="1:6" ht="13.8" thickBot="1" x14ac:dyDescent="0.3">
      <c r="B54" s="147" t="s">
        <v>350</v>
      </c>
      <c r="C54" s="189">
        <v>0</v>
      </c>
      <c r="F54" s="167" t="str">
        <f>'EPA Regional Contact Info'!A26</f>
        <v>Mississippi</v>
      </c>
    </row>
    <row r="55" spans="1:6" ht="13.8" thickBot="1" x14ac:dyDescent="0.3">
      <c r="B55" s="24"/>
      <c r="C55" s="149"/>
      <c r="F55" s="167" t="str">
        <f>'EPA Regional Contact Info'!A27</f>
        <v>Missouri</v>
      </c>
    </row>
    <row r="56" spans="1:6" ht="15" customHeight="1" x14ac:dyDescent="0.25">
      <c r="B56" s="431" t="s">
        <v>341</v>
      </c>
      <c r="C56" s="432"/>
      <c r="F56" s="167" t="str">
        <f>'EPA Regional Contact Info'!A28</f>
        <v>Montana</v>
      </c>
    </row>
    <row r="57" spans="1:6" x14ac:dyDescent="0.25">
      <c r="B57" s="437" t="s">
        <v>553</v>
      </c>
      <c r="C57" s="438"/>
      <c r="F57" s="167" t="str">
        <f>'EPA Regional Contact Info'!A29</f>
        <v>Nebraska</v>
      </c>
    </row>
    <row r="58" spans="1:6" x14ac:dyDescent="0.25">
      <c r="B58" s="146" t="s">
        <v>347</v>
      </c>
      <c r="C58" s="354">
        <v>0</v>
      </c>
      <c r="F58" s="167" t="str">
        <f>'EPA Regional Contact Info'!A30</f>
        <v>Nevada</v>
      </c>
    </row>
    <row r="59" spans="1:6" x14ac:dyDescent="0.25">
      <c r="A59" s="5" t="s">
        <v>346</v>
      </c>
      <c r="B59" s="146" t="s">
        <v>348</v>
      </c>
      <c r="C59" s="354">
        <v>0</v>
      </c>
      <c r="F59" s="167" t="str">
        <f>'EPA Regional Contact Info'!A31</f>
        <v>New Hampshire</v>
      </c>
    </row>
    <row r="60" spans="1:6" x14ac:dyDescent="0.25">
      <c r="B60" s="146" t="s">
        <v>349</v>
      </c>
      <c r="C60" s="354">
        <v>0</v>
      </c>
      <c r="F60" s="167" t="str">
        <f>'EPA Regional Contact Info'!A32</f>
        <v>New Jersey</v>
      </c>
    </row>
    <row r="61" spans="1:6" ht="13.8" thickBot="1" x14ac:dyDescent="0.3">
      <c r="B61" s="147" t="s">
        <v>350</v>
      </c>
      <c r="C61" s="355">
        <v>0</v>
      </c>
      <c r="F61" s="167" t="str">
        <f>'EPA Regional Contact Info'!A33</f>
        <v>New Mexico</v>
      </c>
    </row>
    <row r="62" spans="1:6" ht="13.8" thickBot="1" x14ac:dyDescent="0.3">
      <c r="F62" s="167" t="str">
        <f>'EPA Regional Contact Info'!A34</f>
        <v>New York</v>
      </c>
    </row>
    <row r="63" spans="1:6" ht="14.25" customHeight="1" x14ac:dyDescent="0.25">
      <c r="B63" s="431" t="s">
        <v>497</v>
      </c>
      <c r="C63" s="432"/>
      <c r="F63" s="167" t="str">
        <f>'EPA Regional Contact Info'!A35</f>
        <v>North Carolina</v>
      </c>
    </row>
    <row r="64" spans="1:6" ht="27" customHeight="1" x14ac:dyDescent="0.25">
      <c r="B64" s="319" t="s">
        <v>498</v>
      </c>
      <c r="C64" s="356" t="s">
        <v>338</v>
      </c>
      <c r="F64" s="167" t="str">
        <f>'EPA Regional Contact Info'!A36</f>
        <v>North Dakota</v>
      </c>
    </row>
    <row r="65" spans="2:6" ht="27" customHeight="1" thickBot="1" x14ac:dyDescent="0.3">
      <c r="B65" s="316" t="s">
        <v>499</v>
      </c>
      <c r="C65" s="188" t="s">
        <v>338</v>
      </c>
      <c r="F65" s="167" t="str">
        <f>'EPA Regional Contact Info'!A37</f>
        <v>Ohio</v>
      </c>
    </row>
    <row r="66" spans="2:6" ht="18" customHeight="1" x14ac:dyDescent="0.25">
      <c r="F66" s="167" t="str">
        <f>'EPA Regional Contact Info'!A38</f>
        <v>Oklahoma</v>
      </c>
    </row>
    <row r="67" spans="2:6" ht="15.75" customHeight="1" x14ac:dyDescent="0.25">
      <c r="F67" s="167" t="str">
        <f>'EPA Regional Contact Info'!A39</f>
        <v>Oregon</v>
      </c>
    </row>
    <row r="68" spans="2:6" ht="15" customHeight="1" x14ac:dyDescent="0.25">
      <c r="F68" s="167" t="str">
        <f>'EPA Regional Contact Info'!A40</f>
        <v>Rhode Island</v>
      </c>
    </row>
    <row r="69" spans="2:6" ht="15.75" customHeight="1" x14ac:dyDescent="0.25">
      <c r="F69" s="167" t="str">
        <f>'EPA Regional Contact Info'!A41</f>
        <v>South Carolina</v>
      </c>
    </row>
    <row r="70" spans="2:6" ht="17.25" customHeight="1" x14ac:dyDescent="0.25">
      <c r="F70" s="167" t="str">
        <f>'EPA Regional Contact Info'!A42</f>
        <v>South Dakota</v>
      </c>
    </row>
    <row r="71" spans="2:6" ht="19.5" customHeight="1" x14ac:dyDescent="0.25">
      <c r="F71" s="167" t="str">
        <f>'EPA Regional Contact Info'!A43</f>
        <v>Tennessee</v>
      </c>
    </row>
    <row r="72" spans="2:6" x14ac:dyDescent="0.25">
      <c r="F72" s="167" t="str">
        <f>'EPA Regional Contact Info'!A44</f>
        <v>Texas</v>
      </c>
    </row>
    <row r="73" spans="2:6" x14ac:dyDescent="0.25">
      <c r="F73" s="167" t="str">
        <f>'EPA Regional Contact Info'!A45</f>
        <v>Utah</v>
      </c>
    </row>
    <row r="74" spans="2:6" x14ac:dyDescent="0.25">
      <c r="F74" s="167" t="str">
        <f>'EPA Regional Contact Info'!A46</f>
        <v>Vermont</v>
      </c>
    </row>
    <row r="75" spans="2:6" x14ac:dyDescent="0.25">
      <c r="F75" s="167" t="str">
        <f>'EPA Regional Contact Info'!A47</f>
        <v>Washington</v>
      </c>
    </row>
    <row r="76" spans="2:6" x14ac:dyDescent="0.25">
      <c r="F76" s="167" t="str">
        <f>'EPA Regional Contact Info'!A48</f>
        <v>Wisconsin</v>
      </c>
    </row>
    <row r="77" spans="2:6" x14ac:dyDescent="0.25">
      <c r="F77" s="167" t="str">
        <f>'EPA Regional Contact Info'!A49</f>
        <v>Wyoming</v>
      </c>
    </row>
    <row r="84" spans="6:6" x14ac:dyDescent="0.25">
      <c r="F84" s="5">
        <f>'EPA Regional Contact Info'!A56</f>
        <v>0</v>
      </c>
    </row>
    <row r="85" spans="6:6" x14ac:dyDescent="0.25">
      <c r="F85" s="5">
        <f>'EPA Regional Contact Info'!A57</f>
        <v>0</v>
      </c>
    </row>
  </sheetData>
  <sheetProtection password="C969" sheet="1" objects="1" scenarios="1"/>
  <dataConsolidate/>
  <mergeCells count="12">
    <mergeCell ref="B3:C3"/>
    <mergeCell ref="B12:C12"/>
    <mergeCell ref="B29:C29"/>
    <mergeCell ref="B17:C17"/>
    <mergeCell ref="B44:C44"/>
    <mergeCell ref="B10:C10"/>
    <mergeCell ref="B63:C63"/>
    <mergeCell ref="B45:C45"/>
    <mergeCell ref="B50:C50"/>
    <mergeCell ref="B41:C41"/>
    <mergeCell ref="B57:C57"/>
    <mergeCell ref="B56:C56"/>
  </mergeCells>
  <conditionalFormatting sqref="B13:C15 B30:C39 B42:C42 B57:C61 B64:C65 B45:C54">
    <cfRule type="expression" dxfId="18" priority="1">
      <formula>$C$9&lt;&gt;"other"</formula>
    </cfRule>
  </conditionalFormatting>
  <dataValidations xWindow="977" yWindow="644" count="22">
    <dataValidation type="list" allowBlank="1" showInputMessage="1" showErrorMessage="1" promptTitle="SO2 Attainment Status" prompt="Select the SO2 attainment status of the air basin in which your facility is located." sqref="C34">
      <formula1>SO2_PM2.5_Attainment_List</formula1>
    </dataValidation>
    <dataValidation type="list" allowBlank="1" showInputMessage="1" showErrorMessage="1" promptTitle="CO Attainment Status" prompt="Select the CO attainment status of the air basin in which your facility is located." sqref="C30">
      <formula1>CO_PM10_Attainment_List</formula1>
    </dataValidation>
    <dataValidation type="list" allowBlank="1" showInputMessage="1" showErrorMessage="1" promptTitle="PM2.5 Attainment Status" prompt="Select the PM2.5 attainment status of the air basin in which your facility is located. If either the 1997 or 2006 PM2.5 standard is in nonattainment, select nonattainment. " sqref="C38">
      <formula1>SO2_PM2.5_Attainment_List</formula1>
    </dataValidation>
    <dataValidation type="list" allowBlank="1" showInputMessage="1" showErrorMessage="1" promptTitle="PM10 Attainment Status" prompt="Select the PM10 attainment status of the air basin in which your facility is located." sqref="C36">
      <formula1>CO_PM10_Attainment_List</formula1>
    </dataValidation>
    <dataValidation type="list" allowBlank="1" showInputMessage="1" showErrorMessage="1" promptTitle="Ozone Attainment Status" prompt="Select the 1997 8-hr ozone attainment status of the air basin in which your facility is located." sqref="C32">
      <formula1>Ozone_Attainment_List</formula1>
    </dataValidation>
    <dataValidation type="decimal" allowBlank="1" showInputMessage="1" showErrorMessage="1" errorTitle="Value Out of Range" error="The number of hours per week must be between 0 and 168." promptTitle="Hours of Operation" prompt="Enter the number of hours per week, on average, that your facility ran rock crushing operations in calendar year 2012." sqref="C42">
      <formula1>0</formula1>
      <formula2>168</formula2>
    </dataValidation>
    <dataValidation type="whole" operator="greaterThanOrEqual" allowBlank="1" showInputMessage="1" showErrorMessage="1" promptTitle="Fines Transfer Points" prompt="Enter the number of conveyor transfer points that were associated with fines crushing and screening at your facility in 2012." sqref="C61">
      <formula1>0</formula1>
    </dataValidation>
    <dataValidation type="whole" operator="greaterThanOrEqual" allowBlank="1" showInputMessage="1" showErrorMessage="1" promptTitle="Primary Transfer Points" prompt="Enter the number of conveyor transfer points that were associated with primary crushing and screening at your facility in 2012." sqref="C58">
      <formula1>0</formula1>
    </dataValidation>
    <dataValidation type="whole" operator="greaterThanOrEqual" allowBlank="1" showInputMessage="1" showErrorMessage="1" promptTitle="Secondary Transfer Points" prompt="Enter the number of conveyor transfer points that were associated with secondary crushing and screening at your facility in 2012." sqref="C59">
      <formula1>0</formula1>
    </dataValidation>
    <dataValidation type="whole" operator="greaterThanOrEqual" allowBlank="1" showInputMessage="1" showErrorMessage="1" promptTitle="Tertiary Transfer Points" prompt="Enter the number of conveyor transfer points that were associated with tertiary crushing and screening at your facility in 2012." sqref="C60">
      <formula1>0</formula1>
    </dataValidation>
    <dataValidation type="list" allowBlank="1" showInputMessage="1" showErrorMessage="1" promptTitle="Facility Type" prompt="Select your facility type from the drop-down list." sqref="C9">
      <formula1>Facility_Type_List</formula1>
    </dataValidation>
    <dataValidation type="list" allowBlank="1" showInputMessage="1" showErrorMessage="1" promptTitle="Internal Combustion Engine" prompt="Using the drop-down list, select whether your facility used an internal combustion engine, such as a power generator, in 2012." sqref="C65">
      <formula1>ICE_Yes_No_List</formula1>
    </dataValidation>
    <dataValidation type="custom" operator="greaterThanOrEqual" allowBlank="1" showInputMessage="1" showErrorMessage="1" errorTitle="Hours of Operation" error="Hours of operation must be greater than 0 before hourly throughput data can be entered." promptTitle="Primary Rock Crushing Rate" prompt="Enter the average tons of rock per hour that passed through the primary crusher at your facility in 2012. The rock exiting the primary  crusher is generally 3 to 12 inches in diameter. " sqref="C46">
      <formula1>Production_Hours&lt;&gt;0</formula1>
    </dataValidation>
    <dataValidation type="custom" operator="greaterThanOrEqual" allowBlank="1" showInputMessage="1" showErrorMessage="1" errorTitle="Hours of Operation" error="Hours of operation must be greater than 0 before hourly throughput data can be entered." promptTitle="Secondary Rock Crushing Rate" prompt="Enter the average tons of rock per hour that passed through the secondary crusher at your facility in 2012. The rock exiting the secondary  crusher is generally 1 to 3 inches in diameter. " sqref="C47">
      <formula1>Production_Hours&lt;&gt;0</formula1>
    </dataValidation>
    <dataValidation type="custom" operator="greaterThanOrEqual" allowBlank="1" showInputMessage="1" showErrorMessage="1" errorTitle="Hours of Operation" error="Hours of operation must be greater than 0 before hourly throughput data can be entered." promptTitle="Tertiary Rock Crushing Rate" prompt="Enter the average tons of rock per hour that passed through the tertiary crusher at your facility in 2012. The rock exiting the tertiary  crusher is generally 3/16 to 1 inches in diameter. " sqref="C48">
      <formula1>Production_Hours&lt;&gt;0</formula1>
    </dataValidation>
    <dataValidation type="custom" operator="greaterThanOrEqual" allowBlank="1" showInputMessage="1" showErrorMessage="1" errorTitle="Hours of Operation" error="Hours of operation must be greater than 0 before hourly throughput data can be entered." promptTitle="Fines Rock Crushing Rate" prompt="Enter the average tons of rock per hour that passed through the fines crusher at your facility in 2012. The rock exiting the fines crusher is generally less than 3/16 inches in diameter. " sqref="C49">
      <formula1>Production_Hours&lt;&gt;0</formula1>
    </dataValidation>
    <dataValidation type="decimal" operator="greaterThanOrEqual" allowBlank="1" showInputMessage="1" showErrorMessage="1" errorTitle="Hourly Crushing Rate" error="The maximum crushing rate must be greater than or equal to the actual crushing rate." promptTitle="Primary Rock Crushing Rate" prompt="Enter the maximum tons of rock per hour that could have passed through the primary crusher at your facility in 2012. The rock exiting the primary  crusher is generally 3 to 12 inches in diameter. " sqref="C51">
      <formula1>Primary_Crushing_Rate_Avg</formula1>
    </dataValidation>
    <dataValidation type="decimal" operator="greaterThanOrEqual" allowBlank="1" showInputMessage="1" showErrorMessage="1" errorTitle="Hourly Crushing Rate" error="The maximum crushing rate must be greater than or equal to the actual crushing rate." promptTitle="Secondary Rock Crushing Rate" prompt="Enter the maximum tons of rock per hour that could have passed through the secondary crusher at your facility in 2012. The rock exiting the secondary  crusher is generally 1 to 3 inches in diameter. " sqref="C52">
      <formula1>Secondary_Crushing_Rate_Avg</formula1>
    </dataValidation>
    <dataValidation type="decimal" operator="greaterThanOrEqual" allowBlank="1" showInputMessage="1" showErrorMessage="1" errorTitle="Hourly Crushing Rate" error="The maximum crushing rate must be greater than or equal to the actual crushing rate." promptTitle="Tertiary Rock Crushing Rate" prompt="Enter the maximum tons of rock per hour that could have passed through the tertiary crusher at your facility in 2012. The rock exiting the tertiary  crusher is generally 3/16 to 1 inches in diameter. " sqref="C53">
      <formula1>Tertiary_Crushing_Rate_Avg</formula1>
    </dataValidation>
    <dataValidation type="decimal" operator="greaterThanOrEqual" allowBlank="1" showInputMessage="1" showErrorMessage="1" errorTitle="Hourly Crushing Rate" error="The maximum crushing rate must be greater than or equal to the actual crushing rate." promptTitle="Fines Rock Crushing Rate" prompt="Enter the maximum tons of rock per hour that could have passed through the fines crusher at your facility in 2012. The rock exiting the fines crusher is generally less than 3/16 inches in diameter. " sqref="C54">
      <formula1>Fines_Crushing_Rate_Avg</formula1>
    </dataValidation>
    <dataValidation type="list" allowBlank="1" showInputMessage="1" showErrorMessage="1" promptTitle="Internal Combustion Engine" prompt="Using the drop-down list, select whether your facility used an internal combustion engine to power its crushing operations in 2012." sqref="C64">
      <formula1>ICE_Yes_No_List</formula1>
    </dataValidation>
    <dataValidation type="list" allowBlank="1" showInputMessage="1" showErrorMessage="1" promptTitle="State Selection" prompt="Use the drop-down list to select the state in which your facility resides. To access the drop-down list, click on the small box to the right of the cell." sqref="C7">
      <formula1>State_List</formula1>
    </dataValidation>
  </dataValidations>
  <pageMargins left="0.7" right="0.7" top="0.75" bottom="0.75" header="0.3" footer="0.3"/>
  <pageSetup scale="74" orientation="landscape" r:id="rId1"/>
  <headerFooter>
    <oddFooter>&amp;LPage &amp;P of &amp;N&amp;C&amp;F&amp;RPrinted &amp;D</oddFooter>
  </headerFooter>
  <rowBreaks count="1" manualBreakCount="1">
    <brk id="39" max="2" man="1"/>
  </rowBreaks>
  <colBreaks count="1" manualBreakCount="1">
    <brk id="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1"/>
  <sheetViews>
    <sheetView showGridLines="0" zoomScaleNormal="100" workbookViewId="0"/>
  </sheetViews>
  <sheetFormatPr defaultColWidth="9.109375" defaultRowHeight="13.2" x14ac:dyDescent="0.25"/>
  <cols>
    <col min="1" max="1" width="3" style="5" customWidth="1"/>
    <col min="2" max="2" width="11.33203125" style="5" customWidth="1"/>
    <col min="3" max="3" width="17.109375" style="5" customWidth="1"/>
    <col min="4" max="4" width="14.44140625" style="5" customWidth="1"/>
    <col min="5" max="5" width="21.5546875" style="5" customWidth="1"/>
    <col min="6" max="6" width="42.6640625" style="5" customWidth="1"/>
    <col min="7" max="7" width="24.5546875" style="5" hidden="1" customWidth="1"/>
    <col min="8" max="8" width="18.5546875" style="5" customWidth="1"/>
    <col min="9" max="9" width="19.5546875" style="5" bestFit="1" customWidth="1"/>
    <col min="10" max="10" width="15.44140625" style="5" customWidth="1"/>
    <col min="11" max="11" width="41.109375" style="5" hidden="1" customWidth="1"/>
    <col min="12" max="16384" width="9.109375" style="5"/>
  </cols>
  <sheetData>
    <row r="1" spans="2:11" ht="17.399999999999999" x14ac:dyDescent="0.3">
      <c r="B1" s="69" t="s">
        <v>496</v>
      </c>
      <c r="C1" s="70"/>
      <c r="D1" s="70"/>
      <c r="E1" s="70"/>
      <c r="F1" s="70"/>
      <c r="G1" s="70"/>
      <c r="H1" s="70"/>
      <c r="I1" s="70"/>
      <c r="J1" s="70"/>
    </row>
    <row r="2" spans="2:11" x14ac:dyDescent="0.25">
      <c r="B2" s="71" t="s">
        <v>437</v>
      </c>
      <c r="C2" s="70"/>
      <c r="D2" s="70"/>
      <c r="E2" s="70"/>
      <c r="F2" s="70"/>
      <c r="G2" s="70"/>
      <c r="H2" s="70"/>
      <c r="I2" s="70"/>
      <c r="J2" s="70"/>
    </row>
    <row r="3" spans="2:11" x14ac:dyDescent="0.25">
      <c r="B3" s="352" t="str">
        <f>IF(AND(Inputs!$C$65="No",Inputs!$C$9="Other",Inputs!$C$64="No"),"You do not need to complete this worksheet. Skip to the Controls and Restrictions worksheet.",IF(AND(Inputs!$C$65="No",Inputs!$C$64="Yes"),"You do not need to complete this worksheet. Skip to the Engine (Crusher) worksheet.",IF(Inputs!$C$9&lt;&gt;"Other","You do not need to complete this worksheet. Skip to the Output-Summary Printout worksheet.","")))</f>
        <v>You do not need to complete this worksheet. Skip to the Controls and Restrictions worksheet.</v>
      </c>
      <c r="C3" s="70"/>
      <c r="D3" s="70"/>
      <c r="E3" s="70"/>
      <c r="F3" s="70"/>
      <c r="G3" s="70"/>
      <c r="H3" s="70"/>
      <c r="I3" s="70"/>
      <c r="J3" s="70"/>
    </row>
    <row r="4" spans="2:11" x14ac:dyDescent="0.25">
      <c r="B4" s="457" t="s">
        <v>83</v>
      </c>
      <c r="C4" s="457"/>
      <c r="D4" s="457"/>
      <c r="E4" s="457"/>
      <c r="F4" s="457"/>
      <c r="G4" s="275"/>
      <c r="H4" s="70"/>
      <c r="I4" s="70"/>
      <c r="J4" s="70"/>
      <c r="K4" s="15" t="s">
        <v>550</v>
      </c>
    </row>
    <row r="5" spans="2:11" x14ac:dyDescent="0.25">
      <c r="B5" s="451" t="s">
        <v>560</v>
      </c>
      <c r="C5" s="452"/>
      <c r="D5" s="452"/>
      <c r="E5" s="453"/>
      <c r="F5" s="84" t="s">
        <v>32</v>
      </c>
      <c r="G5" s="276"/>
      <c r="H5" s="72"/>
      <c r="J5" s="73"/>
      <c r="K5" s="277" t="s">
        <v>32</v>
      </c>
    </row>
    <row r="6" spans="2:11" x14ac:dyDescent="0.25">
      <c r="B6" s="451" t="s">
        <v>561</v>
      </c>
      <c r="C6" s="452"/>
      <c r="D6" s="452"/>
      <c r="E6" s="453"/>
      <c r="F6" s="85" t="s">
        <v>438</v>
      </c>
      <c r="G6" s="278"/>
      <c r="H6" s="72"/>
      <c r="J6" s="73"/>
      <c r="K6" s="279" t="s">
        <v>33</v>
      </c>
    </row>
    <row r="7" spans="2:11" ht="20.25" customHeight="1" x14ac:dyDescent="0.25">
      <c r="B7" s="451" t="s">
        <v>439</v>
      </c>
      <c r="C7" s="452"/>
      <c r="D7" s="452"/>
      <c r="E7" s="452"/>
      <c r="F7" s="453"/>
      <c r="G7" s="280" t="str">
        <f>IF(OR($F$5="reciprocating - diesel",$F$5="reciprocating - gasoline"),"Mechanical Output (hp)","Heat Input (MMBtu/hr)")</f>
        <v>Mechanical Output (hp)</v>
      </c>
      <c r="J7" s="70"/>
      <c r="K7" s="277" t="s">
        <v>34</v>
      </c>
    </row>
    <row r="8" spans="2:11" x14ac:dyDescent="0.25">
      <c r="B8" s="454" t="s">
        <v>440</v>
      </c>
      <c r="C8" s="455"/>
      <c r="D8" s="455"/>
      <c r="E8" s="456"/>
      <c r="F8" s="281">
        <v>0</v>
      </c>
      <c r="G8" s="282">
        <f>IF(OR($F$5="reciprocating - diesel",$F$5="reciprocating - gasoline"),$F$8,($F$8*Hp_to_Btu_hr_Conversion_Factor/1000000)/(Fuel_Energy_to_Output_Efficiency))</f>
        <v>0</v>
      </c>
      <c r="H8" s="283"/>
      <c r="I8" s="276"/>
      <c r="J8" s="75"/>
      <c r="K8" s="279" t="s">
        <v>35</v>
      </c>
    </row>
    <row r="9" spans="2:11" ht="13.5" customHeight="1" x14ac:dyDescent="0.25">
      <c r="B9" s="454" t="s">
        <v>441</v>
      </c>
      <c r="C9" s="455"/>
      <c r="D9" s="455"/>
      <c r="E9" s="456"/>
      <c r="F9" s="281">
        <v>0</v>
      </c>
      <c r="G9" s="284">
        <f>IF(OR($F$5="reciprocating - diesel",$F$5="reciprocating - gasoline"),$F$9*kW_to_hp_Conversion_Factor,$F$9*kW_to_Btu_hr_Conversion_Factor/(1000000*Fuel_Energy_to_Output_Efficiency))</f>
        <v>0</v>
      </c>
      <c r="H9" s="72"/>
      <c r="I9" s="276"/>
      <c r="J9" s="70"/>
      <c r="K9" s="279" t="s">
        <v>109</v>
      </c>
    </row>
    <row r="10" spans="2:11" x14ac:dyDescent="0.25">
      <c r="B10" s="454" t="str">
        <f>IF(OR($F$5="reciprocating - diesel",$F$5="reciprocating - gasoline"),"Rated fuel consumption (gal/hr) at 100% load","Rated fuel consumption (Nm"&amp;CHAR(179)&amp;"/hr) at 100% load")</f>
        <v>Rated fuel consumption (gal/hr) at 100% load</v>
      </c>
      <c r="C10" s="455"/>
      <c r="D10" s="455"/>
      <c r="E10" s="456"/>
      <c r="F10" s="281">
        <v>0</v>
      </c>
      <c r="G10" s="282">
        <f>IF($F$5="reciprocating - diesel",($F$10/1000)*Oil_Distillate_Energy_Content*Btu_hr_to_hp_Conversion_Factor*1000000,IF($F$5="reciprocating - gasoline",($F$10/1000)*Gasoline_Energy_Content*Btu_hr_to_hp_Conversion_Factor*1000000,($F$10*Cubic_Meter_to_Cubic_Foot_Conversion_Factor/1000000)*Natural_Gas_Energy_Content))</f>
        <v>0</v>
      </c>
      <c r="H10" s="72"/>
      <c r="I10" s="276"/>
      <c r="J10" s="70"/>
      <c r="K10" s="279" t="s">
        <v>108</v>
      </c>
    </row>
    <row r="11" spans="2:11" ht="27.75" customHeight="1" x14ac:dyDescent="0.25">
      <c r="B11" s="458" t="str">
        <f>IF(AND(F5="reciprocating - diesel",K13&gt;=600),"Enter sulfur content of the diesel fuel (percent) for 2012. If the sulfur content is unknown, enter "&amp;'Additional References'!$B$4&amp;" percent.", IF(F5="turbine - natural gas","Enter the sulfur content of the natural gas (percent) for 2012. If the sulfur content is unknown, enter "&amp;'Additional References'!$B$6&amp;" percent.",""))</f>
        <v/>
      </c>
      <c r="C11" s="459"/>
      <c r="D11" s="459"/>
      <c r="E11" s="460"/>
      <c r="F11" s="86">
        <v>0.24</v>
      </c>
      <c r="G11" s="285"/>
      <c r="H11" s="74"/>
      <c r="J11" s="70"/>
    </row>
    <row r="12" spans="2:11" ht="20.25" customHeight="1" x14ac:dyDescent="0.25">
      <c r="B12" s="461" t="s">
        <v>442</v>
      </c>
      <c r="C12" s="462"/>
      <c r="D12" s="462"/>
      <c r="E12" s="463"/>
      <c r="F12" s="86">
        <v>0</v>
      </c>
      <c r="G12" s="276"/>
      <c r="H12" s="74"/>
      <c r="J12" s="70"/>
      <c r="K12" s="15" t="str">
        <f>IF(OR($F$5="reciprocating - diesel",$F$5="reciprocating - gasoline"),"Mechanical Output (hp)","Heat Input (MMBtu/hr)")</f>
        <v>Mechanical Output (hp)</v>
      </c>
    </row>
    <row r="13" spans="2:11" x14ac:dyDescent="0.25">
      <c r="B13" s="74"/>
      <c r="C13" s="74"/>
      <c r="D13" s="74"/>
      <c r="E13" s="74"/>
      <c r="F13" s="74"/>
      <c r="G13" s="76"/>
      <c r="H13" s="74"/>
      <c r="J13" s="70"/>
      <c r="K13" s="286">
        <f>MAX($G$8:$G$10)</f>
        <v>0</v>
      </c>
    </row>
    <row r="14" spans="2:11" x14ac:dyDescent="0.25">
      <c r="B14" s="457" t="s">
        <v>486</v>
      </c>
      <c r="C14" s="457"/>
      <c r="D14" s="457"/>
      <c r="E14" s="457"/>
      <c r="F14" s="457"/>
      <c r="G14" s="275"/>
      <c r="H14" s="74"/>
      <c r="I14" s="76"/>
      <c r="J14" s="70"/>
    </row>
    <row r="15" spans="2:11" ht="69" customHeight="1" x14ac:dyDescent="0.25">
      <c r="B15" s="464" t="s">
        <v>562</v>
      </c>
      <c r="C15" s="465"/>
      <c r="D15" s="465"/>
      <c r="E15" s="465"/>
      <c r="F15" s="466"/>
      <c r="G15" s="287"/>
      <c r="H15" s="74"/>
      <c r="I15" s="76"/>
      <c r="J15" s="70"/>
      <c r="K15" s="15" t="s">
        <v>551</v>
      </c>
    </row>
    <row r="16" spans="2:11" x14ac:dyDescent="0.25">
      <c r="B16" s="467" t="s">
        <v>36</v>
      </c>
      <c r="C16" s="467"/>
      <c r="D16" s="468" t="s">
        <v>38</v>
      </c>
      <c r="E16" s="468"/>
      <c r="F16" s="288" t="s">
        <v>444</v>
      </c>
      <c r="G16" s="280" t="str">
        <f>IF(OR($F$5="reciprocating - diesel",$F$5="reciprocating - gasoline"),"lb/hp-hr","lb/MMBtu")</f>
        <v>lb/hp-hr</v>
      </c>
      <c r="H16" s="74"/>
      <c r="I16" s="76"/>
      <c r="J16" s="70"/>
      <c r="K16" s="277" t="s">
        <v>438</v>
      </c>
    </row>
    <row r="17" spans="2:11" x14ac:dyDescent="0.25">
      <c r="B17" s="446" t="s">
        <v>42</v>
      </c>
      <c r="C17" s="446"/>
      <c r="D17" s="447">
        <v>0</v>
      </c>
      <c r="E17" s="447"/>
      <c r="F17" s="289" t="s">
        <v>445</v>
      </c>
      <c r="G17" s="282">
        <f>IF(OR($F$5="reciprocating - diesel",$F$5="reciprocating - gasoline"),D17*Grams_to_Pounds_Conversion_Factor,IF(F17="mg/Nm"&amp;CHAR(179),(D17/100)*Grams_to_Pounds_Conversion_Factor/Cubic_Meter_to_Cubic_Foot_Conversion_Factor*(1/Natural_Gas_Energy_Content)*1000000,D17*Grams_to_Pounds_Conversion_Factor*Btu_hr_to_hp_Conversion_Factor*1000000*Fuel_Energy_to_Output_Efficiency))</f>
        <v>0</v>
      </c>
      <c r="I17" s="76"/>
      <c r="J17" s="70"/>
      <c r="K17" s="279" t="s">
        <v>449</v>
      </c>
    </row>
    <row r="18" spans="2:11" ht="15.75" customHeight="1" x14ac:dyDescent="0.25">
      <c r="B18" s="446" t="s">
        <v>45</v>
      </c>
      <c r="C18" s="446"/>
      <c r="D18" s="447">
        <v>0</v>
      </c>
      <c r="E18" s="447"/>
      <c r="F18" s="289" t="s">
        <v>445</v>
      </c>
      <c r="G18" s="284">
        <f>IF(OR($F$5="reciprocating - diesel",$F$5="reciprocating - gasoline"),D18*Grams_to_Pounds_Conversion_Factor,IF(F18="mg/Nm"&amp;CHAR(179),(D18/100)*Grams_to_Pounds_Conversion_Factor/Cubic_Meter_to_Cubic_Foot_Conversion_Factor*(1/Natural_Gas_Energy_Content)*1000000,D18*Grams_to_Pounds_Conversion_Factor*Btu_hr_to_hp_Conversion_Factor*1000000*Fuel_Energy_to_Output_Efficiency))</f>
        <v>0</v>
      </c>
      <c r="H18" s="74"/>
      <c r="I18" s="76"/>
      <c r="J18" s="70"/>
    </row>
    <row r="19" spans="2:11" ht="15.6" x14ac:dyDescent="0.25">
      <c r="B19" s="444" t="s">
        <v>46</v>
      </c>
      <c r="C19" s="444"/>
      <c r="D19" s="447">
        <v>0</v>
      </c>
      <c r="E19" s="447"/>
      <c r="F19" s="289" t="s">
        <v>445</v>
      </c>
      <c r="G19" s="282">
        <f>IF(OR($F$5="reciprocating - diesel",$F$5="reciprocating - gasoline"),D19*Grams_to_Pounds_Conversion_Factor,IF(F19="mg/Nm"&amp;CHAR(179),(D19/100)*Grams_to_Pounds_Conversion_Factor/Cubic_Meter_to_Cubic_Foot_Conversion_Factor*(1/Natural_Gas_Energy_Content)*1000000,D19*Grams_to_Pounds_Conversion_Factor*Btu_hr_to_hp_Conversion_Factor*1000000*Fuel_Energy_to_Output_Efficiency))</f>
        <v>0</v>
      </c>
      <c r="H19" s="74"/>
      <c r="J19" s="70"/>
      <c r="K19" s="15" t="s">
        <v>99</v>
      </c>
    </row>
    <row r="20" spans="2:11" x14ac:dyDescent="0.25">
      <c r="B20" s="444" t="s">
        <v>47</v>
      </c>
      <c r="C20" s="444"/>
      <c r="D20" s="447">
        <v>0</v>
      </c>
      <c r="E20" s="447"/>
      <c r="F20" s="289" t="s">
        <v>445</v>
      </c>
      <c r="G20" s="284">
        <f>IF(OR($F$5="reciprocating - diesel",$F$5="reciprocating - gasoline"),D20*Grams_to_Pounds_Conversion_Factor,IF(F20="mg/Nm"&amp;CHAR(179),(D20/100)*Grams_to_Pounds_Conversion_Factor/Cubic_Meter_to_Cubic_Foot_Conversion_Factor*(1/Natural_Gas_Energy_Content)*1000000,D20*Grams_to_Pounds_Conversion_Factor*Btu_hr_to_hp_Conversion_Factor*1000000*Fuel_Energy_to_Output_Efficiency))</f>
        <v>0</v>
      </c>
      <c r="H20" s="74"/>
      <c r="K20" s="277" t="s">
        <v>445</v>
      </c>
    </row>
    <row r="21" spans="2:11" x14ac:dyDescent="0.25">
      <c r="B21" s="444" t="s">
        <v>48</v>
      </c>
      <c r="C21" s="444"/>
      <c r="D21" s="445">
        <v>0</v>
      </c>
      <c r="E21" s="445"/>
      <c r="F21" s="289" t="s">
        <v>445</v>
      </c>
      <c r="G21" s="284">
        <f>IF(OR($F$5="reciprocating - diesel",$F$5="reciprocating - gasoline"),D21*Grams_to_Pounds_Conversion_Factor,IF(F21="mg/Nm"&amp;CHAR(179),(D21/100)*Grams_to_Pounds_Conversion_Factor/Cubic_Meter_to_Cubic_Foot_Conversion_Factor*(1/Natural_Gas_Energy_Content)*1000000,D21*Grams_to_Pounds_Conversion_Factor*Btu_hr_to_hp_Conversion_Factor*1000000*Fuel_Energy_to_Output_Efficiency))</f>
        <v>0</v>
      </c>
      <c r="H21" s="74"/>
      <c r="K21" s="279" t="str">
        <f>"mg/Nm"&amp;CHAR(179)</f>
        <v>mg/Nm³</v>
      </c>
    </row>
    <row r="22" spans="2:11" x14ac:dyDescent="0.25">
      <c r="B22" s="74"/>
      <c r="C22" s="74"/>
      <c r="D22" s="74"/>
      <c r="E22" s="74"/>
      <c r="F22" s="74"/>
      <c r="G22" s="74"/>
      <c r="H22" s="74"/>
      <c r="I22" s="76"/>
    </row>
    <row r="23" spans="2:11" x14ac:dyDescent="0.25">
      <c r="B23" s="448" t="s">
        <v>485</v>
      </c>
      <c r="C23" s="449"/>
      <c r="D23" s="449"/>
      <c r="E23" s="449"/>
      <c r="F23" s="449"/>
      <c r="G23" s="449"/>
      <c r="H23" s="449"/>
      <c r="I23" s="450"/>
    </row>
    <row r="24" spans="2:11" ht="26.4" x14ac:dyDescent="0.25">
      <c r="B24" s="77" t="s">
        <v>36</v>
      </c>
      <c r="C24" s="77" t="s">
        <v>37</v>
      </c>
      <c r="D24" s="77" t="s">
        <v>38</v>
      </c>
      <c r="E24" s="77" t="s">
        <v>446</v>
      </c>
      <c r="F24" s="89" t="s">
        <v>399</v>
      </c>
      <c r="G24" s="89"/>
      <c r="H24" s="78" t="s">
        <v>447</v>
      </c>
      <c r="I24" s="91" t="s">
        <v>448</v>
      </c>
    </row>
    <row r="25" spans="2:11" x14ac:dyDescent="0.25">
      <c r="B25" s="79"/>
      <c r="C25" s="80" t="str">
        <f>IF(OR($F$5="reciprocating - diesel",$F$5="reciprocating - gasoline"),"(lb/hp*hr)","(lb/MMBtu fuel input)")</f>
        <v>(lb/hp*hr)</v>
      </c>
      <c r="D25" s="80" t="s">
        <v>39</v>
      </c>
      <c r="E25" s="80" t="s">
        <v>40</v>
      </c>
      <c r="F25" s="90" t="s">
        <v>60</v>
      </c>
      <c r="G25" s="90"/>
      <c r="H25" s="81" t="s">
        <v>41</v>
      </c>
      <c r="I25" s="92" t="s">
        <v>60</v>
      </c>
    </row>
    <row r="26" spans="2:11" ht="15.6" x14ac:dyDescent="0.35">
      <c r="B26" s="82" t="s">
        <v>43</v>
      </c>
      <c r="C26" s="124">
        <f>IF($D$17=0,IF($F$5="reciprocating - diesel",IF($K$13&gt;=600,'Engine Emission Factors'!$C5,'Engine Emission Factors'!$B5),IF($F$5="reciprocating - gasoline",'Engine Emission Factors'!E5,IF($F$5="turbine - natural gas",'Engine Emission Factors'!D5,IF($F$5="reciprocating - natural gas rich burn",'Engine Emission Factors'!F5,IF($F$5="reciprocating - natural gas 4-stroke lean burn",'Engine Emission Factors'!G5,'Engine Emission Factors'!H5))))),$G$17)</f>
        <v>2.2000000000000001E-3</v>
      </c>
      <c r="D26" s="125">
        <f>C26*K13</f>
        <v>0</v>
      </c>
      <c r="E26" s="126">
        <f t="shared" ref="E26:E31" si="0">IF(F$6="routine",Allowable_Hours_for_Routine_Operation,IF($F$12&gt;500,$F$12,Allowable_Hours_for_Emergency_Operation))</f>
        <v>8760</v>
      </c>
      <c r="F26" s="121">
        <f t="shared" ref="F26:F31" si="1">D26*E26/2000</f>
        <v>0</v>
      </c>
      <c r="G26" s="121"/>
      <c r="H26" s="122">
        <f t="shared" ref="H26:H31" si="2">F$12</f>
        <v>0</v>
      </c>
      <c r="I26" s="123">
        <f t="shared" ref="I26:I31" si="3">D26*H26/2000</f>
        <v>0</v>
      </c>
    </row>
    <row r="27" spans="2:11" ht="15.6" x14ac:dyDescent="0.35">
      <c r="B27" s="82" t="s">
        <v>44</v>
      </c>
      <c r="C27" s="124">
        <f>IF($D$17=0,IF($F$5="reciprocating - diesel",IF($K$13&gt;=600,'Engine Emission Factors'!$C6,'Engine Emission Factors'!$B6),IF($F$5="reciprocating - gasoline",'Engine Emission Factors'!E6,IF($F$5="turbine - natural gas",'Engine Emission Factors'!D6,IF($F$5="reciprocating - natural gas rich burn",'Engine Emission Factors'!F6,IF($F$5="reciprocating - natural gas 4-stroke lean burn",'Engine Emission Factors'!G6,'Engine Emission Factors'!H6))))),$G$17)</f>
        <v>2.2000000000000001E-3</v>
      </c>
      <c r="D27" s="125">
        <f>C27*K13</f>
        <v>0</v>
      </c>
      <c r="E27" s="126">
        <f t="shared" si="0"/>
        <v>8760</v>
      </c>
      <c r="F27" s="121">
        <f t="shared" si="1"/>
        <v>0</v>
      </c>
      <c r="G27" s="121"/>
      <c r="H27" s="122">
        <f t="shared" si="2"/>
        <v>0</v>
      </c>
      <c r="I27" s="123">
        <f t="shared" si="3"/>
        <v>0</v>
      </c>
    </row>
    <row r="28" spans="2:11" ht="15.6" x14ac:dyDescent="0.35">
      <c r="B28" s="82" t="s">
        <v>45</v>
      </c>
      <c r="C28" s="124">
        <f>IF($D$18=0,IF($F$5="reciprocating - diesel",IF($K$13&gt;=600,'Engine Emission Factors'!$C7*$F$11,'Engine Emission Factors'!$B7),IF($F$5="reciprocating - gasoline",'Engine Emission Factors'!E7,IF($F$5="turbine - natural gas",'Engine Emission Factors'!D7*$F$11,IF($F$5="reciprocating - natural gas rich burn",'Engine Emission Factors'!F7,IF($F$5="reciprocating - natural gas 4-stroke lean burn",'Engine Emission Factors'!G7,'Engine Emission Factors'!H7))))),$G$18)</f>
        <v>2.0500000000000002E-3</v>
      </c>
      <c r="D28" s="125">
        <f>C28*K13</f>
        <v>0</v>
      </c>
      <c r="E28" s="126">
        <f t="shared" si="0"/>
        <v>8760</v>
      </c>
      <c r="F28" s="121">
        <f>IF($F$5="reciprocating - diesel",IF($K$13&gt;=600,'Engine Emission Factors'!$C7*MAX('Additional References'!$B$5,$F$11)*$K$13*$E$28/2000,D28*E28/2000),IF($F$5="turbine - natural gas",'Engine Emission Factors'!D7*MAX('Additional References'!$B$6,$F$11)*$K$13*$E$28/2000,D28*E28/2000))</f>
        <v>0</v>
      </c>
      <c r="G28" s="121"/>
      <c r="H28" s="122">
        <f t="shared" si="2"/>
        <v>0</v>
      </c>
      <c r="I28" s="123">
        <f t="shared" si="3"/>
        <v>0</v>
      </c>
    </row>
    <row r="29" spans="2:11" ht="15.6" x14ac:dyDescent="0.35">
      <c r="B29" s="82" t="s">
        <v>46</v>
      </c>
      <c r="C29" s="124">
        <f>IF($D$19=0,IF($F$5="reciprocating - diesel",IF($K$13&gt;=600,'Engine Emission Factors'!$C8,'Engine Emission Factors'!$B8),IF($F$5="reciprocating - gasoline",'Engine Emission Factors'!E8,IF($F$5="turbine - natural gas",'Engine Emission Factors'!D8,IF($F$5="reciprocating - natural gas rich burn",'Engine Emission Factors'!F8,IF($F$5="reciprocating - natural gas 4-stroke lean burn",'Engine Emission Factors'!G8,'Engine Emission Factors'!H8))))),$G$19)</f>
        <v>3.1E-2</v>
      </c>
      <c r="D29" s="125">
        <f>C29*K13</f>
        <v>0</v>
      </c>
      <c r="E29" s="126">
        <f t="shared" si="0"/>
        <v>8760</v>
      </c>
      <c r="F29" s="121">
        <f t="shared" si="1"/>
        <v>0</v>
      </c>
      <c r="G29" s="121"/>
      <c r="H29" s="122">
        <f t="shared" si="2"/>
        <v>0</v>
      </c>
      <c r="I29" s="123">
        <f t="shared" si="3"/>
        <v>0</v>
      </c>
    </row>
    <row r="30" spans="2:11" x14ac:dyDescent="0.25">
      <c r="B30" s="82" t="s">
        <v>47</v>
      </c>
      <c r="C30" s="124">
        <f>IF($D$20=0,IF($F$5="reciprocating - diesel",IF($K$13&gt;=600,'Engine Emission Factors'!$C9,'Engine Emission Factors'!$B9),IF($F$5="reciprocating - gasoline",'Engine Emission Factors'!E9,IF($F$5="turbine - natural gas",'Engine Emission Factors'!D9,IF($F$5="reciprocating - natural gas rich burn",'Engine Emission Factors'!F9,IF($F$5="reciprocating - natural gas 4-stroke lean burn",'Engine Emission Factors'!G9,'Engine Emission Factors'!H9))))),$G$20)</f>
        <v>2.5140000000000002E-3</v>
      </c>
      <c r="D30" s="125">
        <f>C30*K13</f>
        <v>0</v>
      </c>
      <c r="E30" s="126">
        <f t="shared" si="0"/>
        <v>8760</v>
      </c>
      <c r="F30" s="121">
        <f t="shared" si="1"/>
        <v>0</v>
      </c>
      <c r="G30" s="121"/>
      <c r="H30" s="122">
        <f t="shared" si="2"/>
        <v>0</v>
      </c>
      <c r="I30" s="123">
        <f t="shared" si="3"/>
        <v>0</v>
      </c>
    </row>
    <row r="31" spans="2:11" x14ac:dyDescent="0.25">
      <c r="B31" s="83" t="s">
        <v>48</v>
      </c>
      <c r="C31" s="127">
        <f>IF($D$21=0,IF($F$5="reciprocating - diesel",IF($K$13&gt;=600,'Engine Emission Factors'!$C10,'Engine Emission Factors'!$B10),IF($F$5="reciprocating - gasoline",'Engine Emission Factors'!E10,IF($F$5="turbine - natural gas",'Engine Emission Factors'!D10,IF($F$5="reciprocating - natural gas rich burn",'Engine Emission Factors'!F10,IF($F$5="reciprocating - natural gas 4-stroke lean burn",'Engine Emission Factors'!G10,'Engine Emission Factors'!H10))))),$G$21)</f>
        <v>6.6800000000000002E-3</v>
      </c>
      <c r="D31" s="128">
        <f>C31*K13</f>
        <v>0</v>
      </c>
      <c r="E31" s="129">
        <f t="shared" si="0"/>
        <v>8760</v>
      </c>
      <c r="F31" s="130">
        <f t="shared" si="1"/>
        <v>0</v>
      </c>
      <c r="G31" s="130"/>
      <c r="H31" s="131">
        <f t="shared" si="2"/>
        <v>0</v>
      </c>
      <c r="I31" s="132">
        <f t="shared" si="3"/>
        <v>0</v>
      </c>
    </row>
  </sheetData>
  <sheetProtection password="C969" sheet="1" objects="1" scenarios="1"/>
  <mergeCells count="24">
    <mergeCell ref="B23:I23"/>
    <mergeCell ref="B5:E5"/>
    <mergeCell ref="B6:E6"/>
    <mergeCell ref="B8:E8"/>
    <mergeCell ref="B4:F4"/>
    <mergeCell ref="B7:F7"/>
    <mergeCell ref="B9:E9"/>
    <mergeCell ref="B10:E10"/>
    <mergeCell ref="B11:E11"/>
    <mergeCell ref="B12:E12"/>
    <mergeCell ref="B14:F14"/>
    <mergeCell ref="B15:F15"/>
    <mergeCell ref="B16:C16"/>
    <mergeCell ref="D16:E16"/>
    <mergeCell ref="B17:C17"/>
    <mergeCell ref="D17:E17"/>
    <mergeCell ref="B21:C21"/>
    <mergeCell ref="D21:E21"/>
    <mergeCell ref="B18:C18"/>
    <mergeCell ref="D18:E18"/>
    <mergeCell ref="B19:C19"/>
    <mergeCell ref="D19:E19"/>
    <mergeCell ref="B20:C20"/>
    <mergeCell ref="D20:E20"/>
  </mergeCells>
  <conditionalFormatting sqref="B11:F11">
    <cfRule type="expression" dxfId="17" priority="3">
      <formula>$B$11=""</formula>
    </cfRule>
  </conditionalFormatting>
  <conditionalFormatting sqref="B5:F12 B15:F21 B26:I31">
    <cfRule type="expression" dxfId="16" priority="18">
      <formula>Power_Generator_Yes_No="No"</formula>
    </cfRule>
  </conditionalFormatting>
  <conditionalFormatting sqref="B5:F12 B15:F21 B27:E28 B26:I31 B27:E28">
    <cfRule type="expression" dxfId="15" priority="1">
      <formula>Facility_Type&lt;&gt;"Other"</formula>
    </cfRule>
  </conditionalFormatting>
  <dataValidations count="11">
    <dataValidation type="decimal" allowBlank="1" showInputMessage="1" showErrorMessage="1" errorTitle="Value - Out of Range" error="Value entered must be between 0 and 100." sqref="F11:G11">
      <formula1>0</formula1>
      <formula2>100</formula2>
    </dataValidation>
    <dataValidation type="decimal" allowBlank="1" showInputMessage="1" showErrorMessage="1" errorTitle="Value - Out of Range" error="Value must be between 0 and 8760." sqref="G12">
      <formula1>0</formula1>
      <formula2>8760</formula2>
    </dataValidation>
    <dataValidation type="list" allowBlank="1" showInputMessage="1" showErrorMessage="1" promptTitle="Engine - Fuel Type" prompt="Select your engine and fuel type used in 2012 from the drop-down list." sqref="F5">
      <formula1>EngineFuelType1</formula1>
    </dataValidation>
    <dataValidation type="decimal" allowBlank="1" showInputMessage="1" showErrorMessage="1" errorTitle="Value - Out of Range" error="Value must be between 0 and 8760." promptTitle="Hours Operated in 2012" prompt="Enter the number of hours that your engine ran in calendar year 2012." sqref="F12">
      <formula1>0</formula1>
      <formula2>8760</formula2>
    </dataValidation>
    <dataValidation type="list" allowBlank="1" showInputMessage="1" showErrorMessage="1" promptTitle="Emission Rate Unit" prompt="Select the emission rate unit that corresponds to the data entered in the emission rate field. For diesel and gasoline combustion, the emission rate unit must be g/hp-hr. For natural gas combustion, the emission rate can be entered in g/hp-hr or mg/Nm3." sqref="F17:F21">
      <formula1>IF(OR(Engine_Fuel_Type_Generator="reciprocating - diesel",Engine_Fuel_Type_Generator="reciprocating - gasoline"),g_hp_hr_Generator,Emission_Rate_Unit_Generator)</formula1>
    </dataValidation>
    <dataValidation allowBlank="1" showInputMessage="1" showErrorMessage="1" promptTitle="Emission Rate" prompt="Where applicable, enter the pollutant emission rate standards from 40 CFR part 60, subparts JJJJ and IIII, or the actual emission rates of your engine specified on the manufacturer's spec sheet for your engine." sqref="D21:E21"/>
    <dataValidation type="custom" allowBlank="1" showInputMessage="1" showErrorMessage="1" promptTitle="Engine Specs" prompt="Enter the rated fuel consumption of your engine at 100% load (gal/hr for diesel and gasoline or MMBtu/hr for natural gas). If a value is entered here, then the values for the rated mechanical output and the rated power output should be left as 0." sqref="F10">
      <formula1>Mechanical_Output_Generator+Power_Output_Generator+Fuel_Consumption_Generator=Fuel_Consumption_Generator</formula1>
    </dataValidation>
    <dataValidation type="custom" allowBlank="1" showInputMessage="1" showErrorMessage="1" promptTitle="Engine Specs" prompt="Enter the rated power output (ekW) of your engine. Please note that if a value is entered for the rated power output, then the values for the rated mechanical output and the rated fuel consumption should be left as 0." sqref="F9">
      <formula1>Mechanical_Output_Generator+Power_Output_Generator+Fuel_Consumption_Generator=Power_Output_Generator</formula1>
    </dataValidation>
    <dataValidation type="custom" allowBlank="1" showInputMessage="1" showErrorMessage="1" promptTitle="Engine Specs" prompt="Enter the rated mechanical output (hp) of your engine. Please note that if a value is entered for the rated mechanical output, then the values for the rated power output and the rated fuel consumption  should be left as 0." sqref="F8">
      <formula1>Mechanical_Output_Generator+Power_Output_Generator+Fuel_Consumption_Generator=Mechanical_Output_Generator</formula1>
    </dataValidation>
    <dataValidation type="list" allowBlank="1" showInputMessage="1" showErrorMessage="1" promptTitle="Engine Use" prompt="Select whether your engine was used for routine or emergency power generation in 2012. Select emergency only if the engine’s sole function was to provide back-up power when electricity from the local utility was interrupted." sqref="F6">
      <formula1>EngineUse1</formula1>
    </dataValidation>
    <dataValidation allowBlank="1" showInputMessage="1" showErrorMessage="1" promptTitle="Emission Rate" prompt="Where applicable, enter the pollutant emission rate standards from 40 CFR part 60, subparts JJJJ and IIII, or the actual emission rates of your engine specified on the manufacturer's spec sheet for your engine." sqref="D17:E17 D18:E18 D19:E19 D20:E20"/>
  </dataValidations>
  <pageMargins left="0.7" right="0.7" top="0.75" bottom="0.75" header="0.3" footer="0.3"/>
  <pageSetup scale="82" orientation="landscape" r:id="rId1"/>
  <headerFooter>
    <oddFooter>&amp;LPage &amp;P of &amp;N&amp;C&amp;F&amp;RPrinted &amp;D</oddFooter>
  </headerFooter>
  <ignoredErrors>
    <ignoredError sqref="F28"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1"/>
  <sheetViews>
    <sheetView showGridLines="0" zoomScaleNormal="100" workbookViewId="0"/>
  </sheetViews>
  <sheetFormatPr defaultColWidth="9.109375" defaultRowHeight="13.2" x14ac:dyDescent="0.25"/>
  <cols>
    <col min="1" max="1" width="3" style="5" customWidth="1"/>
    <col min="2" max="2" width="11.33203125" style="5" customWidth="1"/>
    <col min="3" max="3" width="17.109375" style="5" customWidth="1"/>
    <col min="4" max="4" width="14.44140625" style="5" customWidth="1"/>
    <col min="5" max="5" width="21.5546875" style="5" customWidth="1"/>
    <col min="6" max="6" width="42.6640625" style="5" customWidth="1"/>
    <col min="7" max="7" width="24.5546875" style="5" hidden="1" customWidth="1"/>
    <col min="8" max="8" width="18.5546875" style="5" customWidth="1"/>
    <col min="9" max="9" width="19.5546875" style="5" bestFit="1" customWidth="1"/>
    <col min="10" max="10" width="15.44140625" style="5" customWidth="1"/>
    <col min="11" max="11" width="41.109375" style="5" hidden="1" customWidth="1"/>
    <col min="12" max="16384" width="9.109375" style="5"/>
  </cols>
  <sheetData>
    <row r="1" spans="2:11" ht="17.399999999999999" x14ac:dyDescent="0.3">
      <c r="B1" s="69" t="s">
        <v>495</v>
      </c>
      <c r="C1" s="70"/>
      <c r="D1" s="70"/>
      <c r="E1" s="70"/>
      <c r="F1" s="70"/>
      <c r="G1" s="70"/>
      <c r="H1" s="70"/>
      <c r="I1" s="70"/>
      <c r="J1" s="70"/>
    </row>
    <row r="2" spans="2:11" x14ac:dyDescent="0.25">
      <c r="B2" s="71" t="s">
        <v>437</v>
      </c>
      <c r="C2" s="70"/>
      <c r="D2" s="70"/>
      <c r="E2" s="70"/>
      <c r="F2" s="70"/>
      <c r="G2" s="70"/>
      <c r="H2" s="70"/>
      <c r="I2" s="70"/>
      <c r="J2" s="70"/>
    </row>
    <row r="3" spans="2:11" x14ac:dyDescent="0.25">
      <c r="B3" s="352" t="str">
        <f>IF(AND(Inputs!$C$64="No",Inputs!$C$9="Other"),"You do not need to complete this worksheet. Skip to the Controls and Restrictions worksheet.",IF(Inputs!$C$9&lt;&gt;"Other","You do not need to complete this worksheet. Skip to the Output-Summary Printout worksheet.",""))</f>
        <v>You do not need to complete this worksheet. Skip to the Controls and Restrictions worksheet.</v>
      </c>
      <c r="C3" s="70"/>
      <c r="D3" s="70"/>
      <c r="E3" s="70"/>
      <c r="F3" s="70"/>
      <c r="G3" s="70"/>
      <c r="H3" s="70"/>
      <c r="I3" s="70"/>
      <c r="J3" s="70"/>
    </row>
    <row r="4" spans="2:11" x14ac:dyDescent="0.25">
      <c r="B4" s="457" t="s">
        <v>83</v>
      </c>
      <c r="C4" s="457"/>
      <c r="D4" s="457"/>
      <c r="E4" s="457"/>
      <c r="F4" s="457"/>
      <c r="G4" s="275"/>
      <c r="H4" s="70"/>
      <c r="I4" s="70"/>
      <c r="J4" s="70"/>
      <c r="K4" s="15" t="s">
        <v>550</v>
      </c>
    </row>
    <row r="5" spans="2:11" x14ac:dyDescent="0.25">
      <c r="B5" s="451" t="s">
        <v>560</v>
      </c>
      <c r="C5" s="452"/>
      <c r="D5" s="452"/>
      <c r="E5" s="453"/>
      <c r="F5" s="84" t="s">
        <v>32</v>
      </c>
      <c r="G5" s="276"/>
      <c r="H5" s="72"/>
      <c r="J5" s="73"/>
      <c r="K5" s="277" t="s">
        <v>32</v>
      </c>
    </row>
    <row r="6" spans="2:11" x14ac:dyDescent="0.25">
      <c r="B6" s="451" t="s">
        <v>561</v>
      </c>
      <c r="C6" s="452"/>
      <c r="D6" s="452"/>
      <c r="E6" s="453"/>
      <c r="F6" s="85" t="s">
        <v>438</v>
      </c>
      <c r="G6" s="278"/>
      <c r="H6" s="72"/>
      <c r="J6" s="73"/>
      <c r="K6" s="279" t="s">
        <v>33</v>
      </c>
    </row>
    <row r="7" spans="2:11" ht="20.25" customHeight="1" x14ac:dyDescent="0.25">
      <c r="B7" s="451" t="s">
        <v>439</v>
      </c>
      <c r="C7" s="452"/>
      <c r="D7" s="452"/>
      <c r="E7" s="452"/>
      <c r="F7" s="453"/>
      <c r="G7" s="280" t="str">
        <f>IF(OR($F$5="reciprocating - diesel",$F$5="reciprocating - gasoline"),"Mechanical Output (hp)","Heat Input (MMBtu/hr)")</f>
        <v>Mechanical Output (hp)</v>
      </c>
      <c r="J7" s="70"/>
      <c r="K7" s="277" t="s">
        <v>34</v>
      </c>
    </row>
    <row r="8" spans="2:11" x14ac:dyDescent="0.25">
      <c r="B8" s="454" t="s">
        <v>440</v>
      </c>
      <c r="C8" s="455"/>
      <c r="D8" s="455"/>
      <c r="E8" s="456"/>
      <c r="F8" s="281">
        <v>0</v>
      </c>
      <c r="G8" s="282">
        <f>IF(OR($F$5="reciprocating - diesel",$F$5="reciprocating - gasoline"),$F$8,($F$8*Hp_to_Btu_hr_Conversion_Factor/1000000)/(Fuel_Energy_to_Output_Efficiency))</f>
        <v>0</v>
      </c>
      <c r="H8" s="283"/>
      <c r="I8" s="276"/>
      <c r="J8" s="75"/>
      <c r="K8" s="279" t="s">
        <v>35</v>
      </c>
    </row>
    <row r="9" spans="2:11" ht="13.5" customHeight="1" x14ac:dyDescent="0.25">
      <c r="B9" s="454" t="s">
        <v>441</v>
      </c>
      <c r="C9" s="455"/>
      <c r="D9" s="455"/>
      <c r="E9" s="456"/>
      <c r="F9" s="281">
        <v>0</v>
      </c>
      <c r="G9" s="284">
        <f>IF(OR($F$5="reciprocating - diesel",$F$5="reciprocating - gasoline"),$F$9*kW_to_hp_Conversion_Factor,$F$9*kW_to_Btu_hr_Conversion_Factor/(1000000*Fuel_Energy_to_Output_Efficiency))</f>
        <v>0</v>
      </c>
      <c r="H9" s="72"/>
      <c r="I9" s="276"/>
      <c r="J9" s="70"/>
      <c r="K9" s="279" t="s">
        <v>109</v>
      </c>
    </row>
    <row r="10" spans="2:11" x14ac:dyDescent="0.25">
      <c r="B10" s="454" t="str">
        <f>IF(OR($F$5="reciprocating - diesel",$F$5="reciprocating - gasoline"),"Rated fuel consumption (gal/hr) at 100% load","Rated fuel consumption (Nm"&amp;CHAR(179)&amp;"/hr) at 100% load")</f>
        <v>Rated fuel consumption (gal/hr) at 100% load</v>
      </c>
      <c r="C10" s="455"/>
      <c r="D10" s="455"/>
      <c r="E10" s="456"/>
      <c r="F10" s="281">
        <v>0</v>
      </c>
      <c r="G10" s="282">
        <f>IF($F$5="reciprocating - diesel",($F$10/1000)*Oil_Distillate_Energy_Content*Btu_hr_to_hp_Conversion_Factor*1000000,IF($F$5="reciprocating - gasoline",($F$10/1000)*Gasoline_Energy_Content*Btu_hr_to_hp_Conversion_Factor*1000000,($F$10*Cubic_Meter_to_Cubic_Foot_Conversion_Factor/1000000)*Natural_Gas_Energy_Content))</f>
        <v>0</v>
      </c>
      <c r="H10" s="72"/>
      <c r="I10" s="276"/>
      <c r="J10" s="70"/>
      <c r="K10" s="279" t="s">
        <v>108</v>
      </c>
    </row>
    <row r="11" spans="2:11" ht="27.75" customHeight="1" x14ac:dyDescent="0.25">
      <c r="B11" s="458" t="str">
        <f>IF(AND(F5="reciprocating - diesel",K13&gt;=600),"Enter sulfur content of the diesel fuel (percent) for 2012. If the sulfur content is unknown, enter "&amp;'Additional References'!$B$4&amp;" percent.", IF(F5="turbine - natural gas","Enter the sulfur content of the natural gas (percent) for 2012. If the sulfur content is unknown, enter "&amp;'Additional References'!$B$6&amp;" percent.",""))</f>
        <v/>
      </c>
      <c r="C11" s="459"/>
      <c r="D11" s="459"/>
      <c r="E11" s="460"/>
      <c r="F11" s="86">
        <v>0.24</v>
      </c>
      <c r="G11" s="285"/>
      <c r="H11" s="74"/>
      <c r="J11" s="70"/>
    </row>
    <row r="12" spans="2:11" ht="20.25" customHeight="1" x14ac:dyDescent="0.25">
      <c r="B12" s="461" t="s">
        <v>442</v>
      </c>
      <c r="C12" s="462"/>
      <c r="D12" s="462"/>
      <c r="E12" s="463"/>
      <c r="F12" s="86">
        <v>0</v>
      </c>
      <c r="G12" s="276"/>
      <c r="H12" s="74"/>
      <c r="J12" s="70"/>
      <c r="K12" s="15" t="str">
        <f>IF(OR($F$5="reciprocating - diesel",$F$5="reciprocating - gasoline"),"Mechanical Output (hp)","Heat Input (MMBtu/hr)")</f>
        <v>Mechanical Output (hp)</v>
      </c>
    </row>
    <row r="13" spans="2:11" x14ac:dyDescent="0.25">
      <c r="B13" s="74"/>
      <c r="C13" s="74"/>
      <c r="D13" s="74"/>
      <c r="E13" s="74"/>
      <c r="F13" s="74"/>
      <c r="G13" s="76"/>
      <c r="H13" s="74"/>
      <c r="J13" s="70"/>
      <c r="K13" s="286">
        <f>MAX($G$8:$G$10)</f>
        <v>0</v>
      </c>
    </row>
    <row r="14" spans="2:11" x14ac:dyDescent="0.25">
      <c r="B14" s="457" t="s">
        <v>486</v>
      </c>
      <c r="C14" s="457"/>
      <c r="D14" s="457"/>
      <c r="E14" s="457"/>
      <c r="F14" s="457"/>
      <c r="G14" s="275"/>
      <c r="H14" s="74"/>
      <c r="I14" s="76"/>
      <c r="J14" s="70"/>
    </row>
    <row r="15" spans="2:11" ht="69" customHeight="1" x14ac:dyDescent="0.25">
      <c r="B15" s="464" t="s">
        <v>562</v>
      </c>
      <c r="C15" s="465"/>
      <c r="D15" s="465"/>
      <c r="E15" s="465"/>
      <c r="F15" s="466"/>
      <c r="G15" s="287"/>
      <c r="H15" s="74"/>
      <c r="I15" s="76"/>
      <c r="J15" s="70"/>
      <c r="K15" s="15" t="s">
        <v>551</v>
      </c>
    </row>
    <row r="16" spans="2:11" x14ac:dyDescent="0.25">
      <c r="B16" s="467" t="s">
        <v>36</v>
      </c>
      <c r="C16" s="467"/>
      <c r="D16" s="468" t="s">
        <v>38</v>
      </c>
      <c r="E16" s="468"/>
      <c r="F16" s="288" t="s">
        <v>444</v>
      </c>
      <c r="G16" s="280" t="str">
        <f>IF(OR($F$5="reciprocating - diesel",$F$5="reciprocating - gasoline"),"lb/hp-hr","lb/MMBtu")</f>
        <v>lb/hp-hr</v>
      </c>
      <c r="H16" s="74"/>
      <c r="I16" s="76"/>
      <c r="J16" s="70"/>
      <c r="K16" s="277" t="s">
        <v>438</v>
      </c>
    </row>
    <row r="17" spans="2:11" x14ac:dyDescent="0.25">
      <c r="B17" s="446" t="s">
        <v>42</v>
      </c>
      <c r="C17" s="446"/>
      <c r="D17" s="447">
        <v>0</v>
      </c>
      <c r="E17" s="447"/>
      <c r="F17" s="289" t="s">
        <v>445</v>
      </c>
      <c r="G17" s="282">
        <f>IF(OR($F$5="reciprocating - diesel",$F$5="reciprocating - gasoline"),D17*Grams_to_Pounds_Conversion_Factor,IF(F17="mg/Nm"&amp;CHAR(179),(D17/100)*Grams_to_Pounds_Conversion_Factor/Cubic_Meter_to_Cubic_Foot_Conversion_Factor*(1/Natural_Gas_Energy_Content)*1000000,D17*Grams_to_Pounds_Conversion_Factor*Btu_hr_to_hp_Conversion_Factor*1000000*Fuel_Energy_to_Output_Efficiency))</f>
        <v>0</v>
      </c>
      <c r="I17" s="76"/>
      <c r="J17" s="70"/>
      <c r="K17" s="279" t="s">
        <v>449</v>
      </c>
    </row>
    <row r="18" spans="2:11" ht="15.75" customHeight="1" x14ac:dyDescent="0.25">
      <c r="B18" s="446" t="s">
        <v>45</v>
      </c>
      <c r="C18" s="446"/>
      <c r="D18" s="447">
        <v>0</v>
      </c>
      <c r="E18" s="447"/>
      <c r="F18" s="289" t="s">
        <v>445</v>
      </c>
      <c r="G18" s="284">
        <f>IF(OR($F$5="reciprocating - diesel",$F$5="reciprocating - gasoline"),D18*Grams_to_Pounds_Conversion_Factor,IF(F18="mg/Nm"&amp;CHAR(179),(D18/100)*Grams_to_Pounds_Conversion_Factor/Cubic_Meter_to_Cubic_Foot_Conversion_Factor*(1/Natural_Gas_Energy_Content)*1000000,D18*Grams_to_Pounds_Conversion_Factor*Btu_hr_to_hp_Conversion_Factor*1000000*Fuel_Energy_to_Output_Efficiency))</f>
        <v>0</v>
      </c>
      <c r="H18" s="74"/>
      <c r="I18" s="76"/>
      <c r="J18" s="70"/>
    </row>
    <row r="19" spans="2:11" ht="15.6" x14ac:dyDescent="0.25">
      <c r="B19" s="444" t="s">
        <v>46</v>
      </c>
      <c r="C19" s="444"/>
      <c r="D19" s="447">
        <v>0</v>
      </c>
      <c r="E19" s="447"/>
      <c r="F19" s="289" t="s">
        <v>445</v>
      </c>
      <c r="G19" s="282">
        <f>IF(OR($F$5="reciprocating - diesel",$F$5="reciprocating - gasoline"),D19*Grams_to_Pounds_Conversion_Factor,IF(F19="mg/Nm"&amp;CHAR(179),(D19/100)*Grams_to_Pounds_Conversion_Factor/Cubic_Meter_to_Cubic_Foot_Conversion_Factor*(1/Natural_Gas_Energy_Content)*1000000,D19*Grams_to_Pounds_Conversion_Factor*Btu_hr_to_hp_Conversion_Factor*1000000*Fuel_Energy_to_Output_Efficiency))</f>
        <v>0</v>
      </c>
      <c r="H19" s="74"/>
      <c r="J19" s="70"/>
      <c r="K19" s="15" t="s">
        <v>99</v>
      </c>
    </row>
    <row r="20" spans="2:11" x14ac:dyDescent="0.25">
      <c r="B20" s="444" t="s">
        <v>47</v>
      </c>
      <c r="C20" s="444"/>
      <c r="D20" s="447">
        <v>0</v>
      </c>
      <c r="E20" s="447"/>
      <c r="F20" s="289" t="s">
        <v>445</v>
      </c>
      <c r="G20" s="284">
        <f>IF(OR($F$5="reciprocating - diesel",$F$5="reciprocating - gasoline"),D20*Grams_to_Pounds_Conversion_Factor,IF(F20="mg/Nm"&amp;CHAR(179),(D20/100)*Grams_to_Pounds_Conversion_Factor/Cubic_Meter_to_Cubic_Foot_Conversion_Factor*(1/Natural_Gas_Energy_Content)*1000000,D20*Grams_to_Pounds_Conversion_Factor*Btu_hr_to_hp_Conversion_Factor*1000000*Fuel_Energy_to_Output_Efficiency))</f>
        <v>0</v>
      </c>
      <c r="H20" s="74"/>
      <c r="K20" s="277" t="s">
        <v>445</v>
      </c>
    </row>
    <row r="21" spans="2:11" x14ac:dyDescent="0.25">
      <c r="B21" s="444" t="s">
        <v>48</v>
      </c>
      <c r="C21" s="444"/>
      <c r="D21" s="445">
        <v>0</v>
      </c>
      <c r="E21" s="445"/>
      <c r="F21" s="289" t="s">
        <v>445</v>
      </c>
      <c r="G21" s="284">
        <f>IF(OR($F$5="reciprocating - diesel",$F$5="reciprocating - gasoline"),D21*Grams_to_Pounds_Conversion_Factor,IF(F21="mg/Nm"&amp;CHAR(179),(D21/100)*Grams_to_Pounds_Conversion_Factor/Cubic_Meter_to_Cubic_Foot_Conversion_Factor*(1/Natural_Gas_Energy_Content)*1000000,D21*Grams_to_Pounds_Conversion_Factor*Btu_hr_to_hp_Conversion_Factor*1000000*Fuel_Energy_to_Output_Efficiency))</f>
        <v>0</v>
      </c>
      <c r="H21" s="74"/>
      <c r="K21" s="279" t="str">
        <f>"mg/Nm"&amp;CHAR(179)</f>
        <v>mg/Nm³</v>
      </c>
    </row>
    <row r="22" spans="2:11" x14ac:dyDescent="0.25">
      <c r="B22" s="74"/>
      <c r="C22" s="74"/>
      <c r="D22" s="74"/>
      <c r="E22" s="74"/>
      <c r="F22" s="74"/>
      <c r="G22" s="74"/>
      <c r="H22" s="74"/>
      <c r="I22" s="76"/>
    </row>
    <row r="23" spans="2:11" x14ac:dyDescent="0.25">
      <c r="B23" s="448" t="s">
        <v>485</v>
      </c>
      <c r="C23" s="449"/>
      <c r="D23" s="449"/>
      <c r="E23" s="449"/>
      <c r="F23" s="449"/>
      <c r="G23" s="449"/>
      <c r="H23" s="449"/>
      <c r="I23" s="450"/>
    </row>
    <row r="24" spans="2:11" ht="26.4" x14ac:dyDescent="0.25">
      <c r="B24" s="77" t="s">
        <v>36</v>
      </c>
      <c r="C24" s="77" t="s">
        <v>37</v>
      </c>
      <c r="D24" s="77" t="s">
        <v>38</v>
      </c>
      <c r="E24" s="77" t="s">
        <v>446</v>
      </c>
      <c r="F24" s="89" t="s">
        <v>399</v>
      </c>
      <c r="G24" s="89"/>
      <c r="H24" s="78" t="s">
        <v>447</v>
      </c>
      <c r="I24" s="91" t="s">
        <v>448</v>
      </c>
    </row>
    <row r="25" spans="2:11" x14ac:dyDescent="0.25">
      <c r="B25" s="79"/>
      <c r="C25" s="80" t="str">
        <f>IF(OR($F$5="reciprocating - diesel",$F$5="reciprocating - gasoline"),"(lb/hp*hr)","(lb/MMBtu fuel input)")</f>
        <v>(lb/hp*hr)</v>
      </c>
      <c r="D25" s="80" t="s">
        <v>39</v>
      </c>
      <c r="E25" s="80" t="s">
        <v>40</v>
      </c>
      <c r="F25" s="90" t="s">
        <v>60</v>
      </c>
      <c r="G25" s="90"/>
      <c r="H25" s="81" t="s">
        <v>41</v>
      </c>
      <c r="I25" s="92" t="s">
        <v>60</v>
      </c>
    </row>
    <row r="26" spans="2:11" ht="15.6" x14ac:dyDescent="0.35">
      <c r="B26" s="82" t="s">
        <v>43</v>
      </c>
      <c r="C26" s="124">
        <f>IF($D$17=0,IF($F$5="reciprocating - diesel",IF($K$13&gt;=600,'Engine Emission Factors'!$C5,'Engine Emission Factors'!$B5),IF($F$5="reciprocating - gasoline",'Engine Emission Factors'!E5,IF($F$5="turbine - natural gas",'Engine Emission Factors'!D5,IF($F$5="reciprocating - natural gas rich burn",'Engine Emission Factors'!F5,IF($F$5="reciprocating - natural gas 4-stroke lean burn",'Engine Emission Factors'!G5,'Engine Emission Factors'!H5))))),$G$17)</f>
        <v>2.2000000000000001E-3</v>
      </c>
      <c r="D26" s="125">
        <f>C26*K13</f>
        <v>0</v>
      </c>
      <c r="E26" s="126">
        <f t="shared" ref="E26:E31" si="0">IF(F$6="routine",Allowable_Hours_for_Routine_Operation,IF($F$12&gt;500,$F$12,Allowable_Hours_for_Emergency_Operation))</f>
        <v>8760</v>
      </c>
      <c r="F26" s="121">
        <f t="shared" ref="F26:F31" si="1">D26*E26/2000</f>
        <v>0</v>
      </c>
      <c r="G26" s="121"/>
      <c r="H26" s="122">
        <f t="shared" ref="H26:H31" si="2">F$12</f>
        <v>0</v>
      </c>
      <c r="I26" s="123">
        <f t="shared" ref="I26:I31" si="3">D26*H26/2000</f>
        <v>0</v>
      </c>
    </row>
    <row r="27" spans="2:11" ht="15.6" x14ac:dyDescent="0.35">
      <c r="B27" s="82" t="s">
        <v>44</v>
      </c>
      <c r="C27" s="124">
        <f>IF($D$17=0,IF($F$5="reciprocating - diesel",IF($K$13&gt;=600,'Engine Emission Factors'!$C6,'Engine Emission Factors'!$B6),IF($F$5="reciprocating - gasoline",'Engine Emission Factors'!E6,IF($F$5="turbine - natural gas",'Engine Emission Factors'!D6,IF($F$5="reciprocating - natural gas rich burn",'Engine Emission Factors'!F6,IF($F$5="reciprocating - natural gas 4-stroke lean burn",'Engine Emission Factors'!G6,'Engine Emission Factors'!H6))))),$G$17)</f>
        <v>2.2000000000000001E-3</v>
      </c>
      <c r="D27" s="125">
        <f>C27*K13</f>
        <v>0</v>
      </c>
      <c r="E27" s="126">
        <f t="shared" si="0"/>
        <v>8760</v>
      </c>
      <c r="F27" s="121">
        <f t="shared" si="1"/>
        <v>0</v>
      </c>
      <c r="G27" s="121"/>
      <c r="H27" s="122">
        <f t="shared" si="2"/>
        <v>0</v>
      </c>
      <c r="I27" s="123">
        <f t="shared" si="3"/>
        <v>0</v>
      </c>
    </row>
    <row r="28" spans="2:11" ht="15.6" x14ac:dyDescent="0.35">
      <c r="B28" s="82" t="s">
        <v>45</v>
      </c>
      <c r="C28" s="124">
        <f>IF($D$18=0,IF($F$5="reciprocating - diesel",IF($K$13&gt;=600,'Engine Emission Factors'!$C7*$F$11,'Engine Emission Factors'!$B7),IF($F$5="reciprocating - gasoline",'Engine Emission Factors'!E7,IF($F$5="turbine - natural gas",'Engine Emission Factors'!D7*$F$11,IF($F$5="reciprocating - natural gas rich burn",'Engine Emission Factors'!F7,IF($F$5="reciprocating - natural gas 4-stroke lean burn",'Engine Emission Factors'!G7,'Engine Emission Factors'!H7))))),$G$18)</f>
        <v>2.0500000000000002E-3</v>
      </c>
      <c r="D28" s="125">
        <f>C28*K13</f>
        <v>0</v>
      </c>
      <c r="E28" s="126">
        <f t="shared" si="0"/>
        <v>8760</v>
      </c>
      <c r="F28" s="121">
        <f>IF($F$5="reciprocating - diesel",IF($K$13&gt;=600,'Engine Emission Factors'!$C7*MAX('Additional References'!$B$5,$F$11)*$K$13*$E$28/2000,D28*E28/2000),IF($F$5="turbine - natural gas",'Engine Emission Factors'!D7*MAX('Additional References'!$B$6,$F$11)*$K$13*$E$28/2000,D28*E28/2000))</f>
        <v>0</v>
      </c>
      <c r="G28" s="121"/>
      <c r="H28" s="122">
        <f t="shared" si="2"/>
        <v>0</v>
      </c>
      <c r="I28" s="123">
        <f t="shared" si="3"/>
        <v>0</v>
      </c>
    </row>
    <row r="29" spans="2:11" ht="15.6" x14ac:dyDescent="0.35">
      <c r="B29" s="82" t="s">
        <v>46</v>
      </c>
      <c r="C29" s="124">
        <f>IF($D$19=0,IF($F$5="reciprocating - diesel",IF($K$13&gt;=600,'Engine Emission Factors'!$C8,'Engine Emission Factors'!$B8),IF($F$5="reciprocating - gasoline",'Engine Emission Factors'!E8,IF($F$5="turbine - natural gas",'Engine Emission Factors'!D8,IF($F$5="reciprocating - natural gas rich burn",'Engine Emission Factors'!F8,IF($F$5="reciprocating - natural gas 4-stroke lean burn",'Engine Emission Factors'!G8,'Engine Emission Factors'!H8))))),$G$19)</f>
        <v>3.1E-2</v>
      </c>
      <c r="D29" s="125">
        <f>C29*K13</f>
        <v>0</v>
      </c>
      <c r="E29" s="126">
        <f t="shared" si="0"/>
        <v>8760</v>
      </c>
      <c r="F29" s="121">
        <f t="shared" si="1"/>
        <v>0</v>
      </c>
      <c r="G29" s="121"/>
      <c r="H29" s="122">
        <f t="shared" si="2"/>
        <v>0</v>
      </c>
      <c r="I29" s="123">
        <f t="shared" si="3"/>
        <v>0</v>
      </c>
    </row>
    <row r="30" spans="2:11" x14ac:dyDescent="0.25">
      <c r="B30" s="82" t="s">
        <v>47</v>
      </c>
      <c r="C30" s="124">
        <f>IF($D$20=0,IF($F$5="reciprocating - diesel",IF($K$13&gt;=600,'Engine Emission Factors'!$C9,'Engine Emission Factors'!$B9),IF($F$5="reciprocating - gasoline",'Engine Emission Factors'!E9,IF($F$5="turbine - natural gas",'Engine Emission Factors'!D9,IF($F$5="reciprocating - natural gas rich burn",'Engine Emission Factors'!F9,IF($F$5="reciprocating - natural gas 4-stroke lean burn",'Engine Emission Factors'!G9,'Engine Emission Factors'!H9))))),$G$20)</f>
        <v>2.5140000000000002E-3</v>
      </c>
      <c r="D30" s="125">
        <f>C30*K13</f>
        <v>0</v>
      </c>
      <c r="E30" s="126">
        <f t="shared" si="0"/>
        <v>8760</v>
      </c>
      <c r="F30" s="121">
        <f t="shared" si="1"/>
        <v>0</v>
      </c>
      <c r="G30" s="121"/>
      <c r="H30" s="122">
        <f t="shared" si="2"/>
        <v>0</v>
      </c>
      <c r="I30" s="123">
        <f t="shared" si="3"/>
        <v>0</v>
      </c>
    </row>
    <row r="31" spans="2:11" x14ac:dyDescent="0.25">
      <c r="B31" s="83" t="s">
        <v>48</v>
      </c>
      <c r="C31" s="127">
        <f>IF($D$21=0,IF($F$5="reciprocating - diesel",IF($K$13&gt;=600,'Engine Emission Factors'!$C10,'Engine Emission Factors'!$B10),IF($F$5="reciprocating - gasoline",'Engine Emission Factors'!E10,IF($F$5="turbine - natural gas",'Engine Emission Factors'!D10,IF($F$5="reciprocating - natural gas rich burn",'Engine Emission Factors'!F10,IF($F$5="reciprocating - natural gas 4-stroke lean burn",'Engine Emission Factors'!G10,'Engine Emission Factors'!H10))))),$G$21)</f>
        <v>6.6800000000000002E-3</v>
      </c>
      <c r="D31" s="128">
        <f>C31*K13</f>
        <v>0</v>
      </c>
      <c r="E31" s="129">
        <f t="shared" si="0"/>
        <v>8760</v>
      </c>
      <c r="F31" s="130">
        <f t="shared" si="1"/>
        <v>0</v>
      </c>
      <c r="G31" s="130"/>
      <c r="H31" s="131">
        <f t="shared" si="2"/>
        <v>0</v>
      </c>
      <c r="I31" s="132">
        <f t="shared" si="3"/>
        <v>0</v>
      </c>
    </row>
  </sheetData>
  <sheetProtection password="C969" sheet="1" objects="1" scenarios="1"/>
  <mergeCells count="24">
    <mergeCell ref="B20:C20"/>
    <mergeCell ref="D20:E20"/>
    <mergeCell ref="B21:C21"/>
    <mergeCell ref="D21:E21"/>
    <mergeCell ref="B23:I23"/>
    <mergeCell ref="B17:C17"/>
    <mergeCell ref="D17:E17"/>
    <mergeCell ref="B18:C18"/>
    <mergeCell ref="D18:E18"/>
    <mergeCell ref="B19:C19"/>
    <mergeCell ref="D19:E19"/>
    <mergeCell ref="B16:C16"/>
    <mergeCell ref="D16:E16"/>
    <mergeCell ref="B4:F4"/>
    <mergeCell ref="B5:E5"/>
    <mergeCell ref="B6:E6"/>
    <mergeCell ref="B7:F7"/>
    <mergeCell ref="B8:E8"/>
    <mergeCell ref="B9:E9"/>
    <mergeCell ref="B10:E10"/>
    <mergeCell ref="B11:E11"/>
    <mergeCell ref="B12:E12"/>
    <mergeCell ref="B14:F14"/>
    <mergeCell ref="B15:F15"/>
  </mergeCells>
  <conditionalFormatting sqref="B11:F11">
    <cfRule type="expression" dxfId="14" priority="3">
      <formula>$B$11=""</formula>
    </cfRule>
  </conditionalFormatting>
  <conditionalFormatting sqref="B5:F12 B15:F21 B26:I31">
    <cfRule type="expression" dxfId="13" priority="1">
      <formula>Facility_Type&lt;&gt;"Other"</formula>
    </cfRule>
    <cfRule type="expression" dxfId="12" priority="19">
      <formula>Power_Generator_Yes_No="No"</formula>
    </cfRule>
  </conditionalFormatting>
  <dataValidations count="11">
    <dataValidation type="list" allowBlank="1" showInputMessage="1" showErrorMessage="1" promptTitle="Engine Use" prompt="Select whether your engine was used for routine or emergency power generation in 2012. Select emergency only if the engine’s sole function was to provide back-up power when electricity from the local utility was interrupted." sqref="F6">
      <formula1>EngineUse1</formula1>
    </dataValidation>
    <dataValidation type="custom" allowBlank="1" showInputMessage="1" showErrorMessage="1" promptTitle="Engine Specs" prompt="Enter the rated mechanical output (hp) of your engine. Please note that if a value is entered for the rated mechanical output, then the values for the rated power output and the rated fuel consumption  should be left as 0." sqref="F8">
      <formula1>Mechanical_Output_Crusher+Power_Output_Crusher+Fuel_Consumption_Crusher=Mechanical_Output_Crusher</formula1>
    </dataValidation>
    <dataValidation type="custom" allowBlank="1" showInputMessage="1" showErrorMessage="1" promptTitle="Engine Specs" prompt="Enter the rated power output (ekW) of your engine. Please note that if a value is entered for the rated power output, then the values for the rated mechanical output and the rated fuel consumption should be left as 0." sqref="F9">
      <formula1>Mechanical_Output_Crusher+Power_Output_Crusher+Fuel_Consumption_Crusher=Power_Output_Crusher</formula1>
    </dataValidation>
    <dataValidation type="custom" allowBlank="1" showInputMessage="1" showErrorMessage="1" promptTitle="Engine Specs" prompt="Enter the rated fuel consumption of your engine at 100% load (gal/hr for diesel and gasoline or MMBtu/hr for natural gas). If a value is entered here, then the values for the rated mechanical output and the rated power output should be left as 0." sqref="F10">
      <formula1>Mechanical_Output_Crusher+Power_Output_Crusher+Fuel_Consumption_Crusher=Fuel_Consumption_Crusher</formula1>
    </dataValidation>
    <dataValidation allowBlank="1" showInputMessage="1" showErrorMessage="1" promptTitle="Emission Rate" prompt="Where applicable, enter the pollutant emission rate standards from 40 CFR part 60, subparts JJJJ and IIII, or the actual emission rates of your engine specified on the manufacturer's spec sheet for your engine." sqref="D21:E21"/>
    <dataValidation type="list" allowBlank="1" showInputMessage="1" showErrorMessage="1" promptTitle="Emission Rate Unit" prompt="Select the emission rate unit that corresponds to the data entered in the emission rate field. For diesel and gasoline combustion, the emission rate unit must be g/hp-hr. For natural gas combustion, the emission rate can be entered in g/hp-hr or mg/Nm3." sqref="F17:F21">
      <formula1>IF(OR(Engine_Fuel_Type_Crusher="reciprocating - diesel",Engine_Fuel_Type_Crusher="reciprocating - gasoline"),g_hp_hr_crusher,Emission_Rate_Unit_Crusher)</formula1>
    </dataValidation>
    <dataValidation type="decimal" allowBlank="1" showInputMessage="1" showErrorMessage="1" errorTitle="Value - Out of Range" error="Value must be between 0 and 8760." promptTitle="Hours Operated in 2012" prompt="Enter the number of hours that your engine ran in calendar year 2012." sqref="F12">
      <formula1>0</formula1>
      <formula2>8760</formula2>
    </dataValidation>
    <dataValidation type="list" allowBlank="1" showInputMessage="1" showErrorMessage="1" promptTitle="Engine - Fuel Type" prompt="Select your engine and fuel type used in 2012 from the drop-down list." sqref="F5">
      <formula1>EngineFuelType1</formula1>
    </dataValidation>
    <dataValidation type="decimal" allowBlank="1" showInputMessage="1" showErrorMessage="1" errorTitle="Value - Out of Range" error="Value must be between 0 and 8760." sqref="G12">
      <formula1>0</formula1>
      <formula2>8760</formula2>
    </dataValidation>
    <dataValidation type="decimal" allowBlank="1" showInputMessage="1" showErrorMessage="1" errorTitle="Value - Out of Range" error="Value entered must be between 0 and 100." sqref="F11:G11">
      <formula1>0</formula1>
      <formula2>100</formula2>
    </dataValidation>
    <dataValidation allowBlank="1" showInputMessage="1" showErrorMessage="1" promptTitle="Emission Rate" prompt="Where applicable, enter the pollutant emission rate standards from 40 CFR part 60, subparts JJJJ and IIII, or the actual emission rates of your engine specified on the manufacturer's spec sheet for your engine." sqref="D17:E17 D18:E18 D19:E19 D20:E20"/>
  </dataValidations>
  <pageMargins left="0.7" right="0.7" top="0.75" bottom="0.75" header="0.3" footer="0.3"/>
  <pageSetup scale="60" orientation="landscape" r:id="rId1"/>
  <headerFooter>
    <oddFooter>&amp;LPage &amp;P of &amp;N&amp;C&amp;F&amp;RPrinted &amp;D</oddFooter>
  </headerFooter>
  <ignoredErrors>
    <ignoredError sqref="F28"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topLeftCell="A10" zoomScaleNormal="100" workbookViewId="0"/>
  </sheetViews>
  <sheetFormatPr defaultColWidth="9.109375" defaultRowHeight="13.2" x14ac:dyDescent="0.25"/>
  <cols>
    <col min="1" max="1" width="2.5546875" style="190" customWidth="1"/>
    <col min="2" max="2" width="48" style="190" customWidth="1"/>
    <col min="3" max="12" width="9.109375" style="190"/>
    <col min="13" max="13" width="25.5546875" style="190" hidden="1" customWidth="1"/>
    <col min="14" max="16384" width="9.109375" style="190"/>
  </cols>
  <sheetData>
    <row r="1" spans="1:15" ht="17.399999999999999" x14ac:dyDescent="0.3">
      <c r="A1" s="93"/>
      <c r="B1" s="177" t="s">
        <v>443</v>
      </c>
      <c r="C1" s="93"/>
      <c r="D1" s="93"/>
      <c r="E1" s="93"/>
      <c r="F1" s="93"/>
      <c r="G1" s="93"/>
      <c r="H1" s="93"/>
      <c r="I1" s="93"/>
    </row>
    <row r="2" spans="1:15" ht="15" thickBot="1" x14ac:dyDescent="0.35">
      <c r="A2" s="93"/>
      <c r="B2" s="353" t="str">
        <f>IF(Inputs!C9&lt;&gt;"Other","You do not need to complete this worksheet. Skip to the Output-Summary worksheet.","")</f>
        <v/>
      </c>
      <c r="C2" s="93"/>
      <c r="D2" s="93"/>
      <c r="E2" s="93"/>
      <c r="F2" s="93"/>
      <c r="G2" s="93"/>
      <c r="H2" s="93"/>
      <c r="I2" s="93"/>
    </row>
    <row r="3" spans="1:15" ht="13.8" thickBot="1" x14ac:dyDescent="0.3">
      <c r="A3" s="5"/>
      <c r="B3" s="489" t="s">
        <v>493</v>
      </c>
      <c r="C3" s="490"/>
      <c r="D3" s="490"/>
      <c r="E3" s="490"/>
      <c r="F3" s="490"/>
      <c r="G3" s="490"/>
      <c r="H3" s="490"/>
      <c r="I3" s="491"/>
    </row>
    <row r="4" spans="1:15" ht="44.25" customHeight="1" x14ac:dyDescent="0.25">
      <c r="A4" s="5"/>
      <c r="B4" s="500" t="s">
        <v>564</v>
      </c>
      <c r="C4" s="501"/>
      <c r="D4" s="501"/>
      <c r="E4" s="501"/>
      <c r="F4" s="501"/>
      <c r="G4" s="501"/>
      <c r="H4" s="501"/>
      <c r="I4" s="502"/>
      <c r="M4" s="339" t="s">
        <v>523</v>
      </c>
    </row>
    <row r="5" spans="1:15" ht="21.9" customHeight="1" x14ac:dyDescent="0.25">
      <c r="A5" s="5"/>
      <c r="B5" s="494" t="s">
        <v>519</v>
      </c>
      <c r="C5" s="495"/>
      <c r="D5" s="495"/>
      <c r="E5" s="496"/>
      <c r="F5" s="492" t="s">
        <v>338</v>
      </c>
      <c r="G5" s="492"/>
      <c r="H5" s="492"/>
      <c r="I5" s="493"/>
      <c r="K5" s="337"/>
      <c r="M5" s="340" t="s">
        <v>337</v>
      </c>
    </row>
    <row r="6" spans="1:15" ht="21.9" customHeight="1" x14ac:dyDescent="0.25">
      <c r="A6" s="5"/>
      <c r="B6" s="494" t="s">
        <v>520</v>
      </c>
      <c r="C6" s="495"/>
      <c r="D6" s="495"/>
      <c r="E6" s="496"/>
      <c r="F6" s="503" t="s">
        <v>338</v>
      </c>
      <c r="G6" s="504"/>
      <c r="H6" s="504"/>
      <c r="I6" s="505"/>
      <c r="M6" s="341" t="s">
        <v>338</v>
      </c>
    </row>
    <row r="7" spans="1:15" ht="21.9" customHeight="1" x14ac:dyDescent="0.25">
      <c r="A7" s="5"/>
      <c r="B7" s="494" t="s">
        <v>521</v>
      </c>
      <c r="C7" s="495"/>
      <c r="D7" s="495"/>
      <c r="E7" s="496"/>
      <c r="F7" s="503" t="s">
        <v>338</v>
      </c>
      <c r="G7" s="504"/>
      <c r="H7" s="504"/>
      <c r="I7" s="505"/>
      <c r="K7" s="337"/>
      <c r="L7" s="338"/>
      <c r="M7" s="338"/>
      <c r="N7" s="338"/>
      <c r="O7" s="338"/>
    </row>
    <row r="8" spans="1:15" ht="21.9" customHeight="1" thickBot="1" x14ac:dyDescent="0.3">
      <c r="A8" s="5"/>
      <c r="B8" s="497" t="s">
        <v>522</v>
      </c>
      <c r="C8" s="498"/>
      <c r="D8" s="498"/>
      <c r="E8" s="499"/>
      <c r="F8" s="506" t="s">
        <v>338</v>
      </c>
      <c r="G8" s="507"/>
      <c r="H8" s="507"/>
      <c r="I8" s="508"/>
    </row>
    <row r="9" spans="1:15" x14ac:dyDescent="0.25">
      <c r="A9" s="5"/>
      <c r="B9" s="5"/>
      <c r="C9" s="5"/>
      <c r="D9" s="5"/>
      <c r="E9" s="5"/>
      <c r="F9" s="5"/>
      <c r="G9" s="5"/>
      <c r="H9" s="5"/>
      <c r="I9" s="5"/>
    </row>
    <row r="10" spans="1:15" ht="13.8" thickBot="1" x14ac:dyDescent="0.3">
      <c r="A10" s="5"/>
      <c r="B10" s="5"/>
      <c r="C10" s="5"/>
      <c r="D10" s="5"/>
      <c r="E10" s="5"/>
      <c r="F10" s="5"/>
      <c r="G10" s="5"/>
      <c r="H10" s="5"/>
      <c r="I10" s="5"/>
    </row>
    <row r="11" spans="1:15" ht="13.8" thickBot="1" x14ac:dyDescent="0.3">
      <c r="A11" s="5"/>
      <c r="B11" s="318" t="s">
        <v>494</v>
      </c>
      <c r="C11" s="348"/>
      <c r="D11" s="349"/>
      <c r="E11" s="349"/>
      <c r="F11" s="349"/>
      <c r="G11" s="349"/>
      <c r="H11" s="349"/>
      <c r="I11" s="350"/>
    </row>
    <row r="12" spans="1:15" ht="45.75" customHeight="1" x14ac:dyDescent="0.25">
      <c r="A12" s="5"/>
      <c r="B12" s="484" t="s">
        <v>534</v>
      </c>
      <c r="C12" s="485"/>
      <c r="D12" s="485"/>
      <c r="E12" s="485"/>
      <c r="F12" s="485"/>
      <c r="G12" s="485"/>
      <c r="H12" s="485"/>
      <c r="I12" s="486"/>
    </row>
    <row r="13" spans="1:15" ht="29.25" customHeight="1" x14ac:dyDescent="0.3">
      <c r="A13" s="93"/>
      <c r="B13" s="475" t="s">
        <v>533</v>
      </c>
      <c r="C13" s="476"/>
      <c r="D13" s="476"/>
      <c r="E13" s="476"/>
      <c r="F13" s="473" t="s">
        <v>338</v>
      </c>
      <c r="G13" s="473"/>
      <c r="H13" s="473"/>
      <c r="I13" s="474"/>
    </row>
    <row r="14" spans="1:15" ht="40.5" customHeight="1" x14ac:dyDescent="0.3">
      <c r="A14" s="93"/>
      <c r="B14" s="475" t="s">
        <v>563</v>
      </c>
      <c r="C14" s="476"/>
      <c r="D14" s="476"/>
      <c r="E14" s="476"/>
      <c r="F14" s="476"/>
      <c r="G14" s="476"/>
      <c r="H14" s="476"/>
      <c r="I14" s="477"/>
      <c r="M14" s="339" t="s">
        <v>535</v>
      </c>
    </row>
    <row r="15" spans="1:15" ht="21.9" customHeight="1" x14ac:dyDescent="0.25">
      <c r="B15" s="469" t="s">
        <v>519</v>
      </c>
      <c r="C15" s="470"/>
      <c r="D15" s="470"/>
      <c r="E15" s="470"/>
      <c r="F15" s="487">
        <v>0</v>
      </c>
      <c r="G15" s="487"/>
      <c r="H15" s="487"/>
      <c r="I15" s="488"/>
      <c r="M15" s="340">
        <f>IF($F$13="No",0.05*F15*8760*0.00000110231,0.032*F15*8760*0.00000110231)</f>
        <v>0</v>
      </c>
    </row>
    <row r="16" spans="1:15" ht="21.9" customHeight="1" x14ac:dyDescent="0.25">
      <c r="B16" s="469" t="s">
        <v>520</v>
      </c>
      <c r="C16" s="470"/>
      <c r="D16" s="470"/>
      <c r="E16" s="470"/>
      <c r="F16" s="478">
        <v>0</v>
      </c>
      <c r="G16" s="479"/>
      <c r="H16" s="479"/>
      <c r="I16" s="480"/>
      <c r="M16" s="340">
        <f>IF($F$13="No",0.05*F16*8760*0.00000110231,0.032*F16*8760*0.00000110231)</f>
        <v>0</v>
      </c>
    </row>
    <row r="17" spans="2:13" ht="21.9" customHeight="1" x14ac:dyDescent="0.25">
      <c r="B17" s="469" t="s">
        <v>521</v>
      </c>
      <c r="C17" s="470"/>
      <c r="D17" s="470"/>
      <c r="E17" s="470"/>
      <c r="F17" s="478">
        <v>0</v>
      </c>
      <c r="G17" s="479"/>
      <c r="H17" s="479"/>
      <c r="I17" s="480"/>
      <c r="M17" s="340">
        <f>IF($F$13="No",0.05*F17*8760*0.00000110231,0.032*F17*8760*0.00000110231)</f>
        <v>0</v>
      </c>
    </row>
    <row r="18" spans="2:13" ht="21.9" customHeight="1" thickBot="1" x14ac:dyDescent="0.3">
      <c r="B18" s="471" t="s">
        <v>522</v>
      </c>
      <c r="C18" s="472"/>
      <c r="D18" s="472"/>
      <c r="E18" s="472"/>
      <c r="F18" s="481">
        <v>0</v>
      </c>
      <c r="G18" s="482"/>
      <c r="H18" s="482"/>
      <c r="I18" s="483"/>
      <c r="M18" s="340">
        <f>IF($F$13="No",0.05*F18*8760*0.00000110231,0.032*F18*8760*0.00000110231)</f>
        <v>0</v>
      </c>
    </row>
  </sheetData>
  <sheetProtection password="C969" sheet="1" objects="1" scenarios="1"/>
  <mergeCells count="22">
    <mergeCell ref="B12:I12"/>
    <mergeCell ref="B13:E13"/>
    <mergeCell ref="F15:I15"/>
    <mergeCell ref="B3:I3"/>
    <mergeCell ref="F5:I5"/>
    <mergeCell ref="B5:E5"/>
    <mergeCell ref="B6:E6"/>
    <mergeCell ref="B7:E7"/>
    <mergeCell ref="B8:E8"/>
    <mergeCell ref="B4:I4"/>
    <mergeCell ref="F6:I6"/>
    <mergeCell ref="F7:I7"/>
    <mergeCell ref="F8:I8"/>
    <mergeCell ref="B15:E15"/>
    <mergeCell ref="B16:E16"/>
    <mergeCell ref="B17:E17"/>
    <mergeCell ref="B18:E18"/>
    <mergeCell ref="F13:I13"/>
    <mergeCell ref="B14:I14"/>
    <mergeCell ref="F16:I16"/>
    <mergeCell ref="F17:I17"/>
    <mergeCell ref="F18:I18"/>
  </mergeCells>
  <conditionalFormatting sqref="B4:I8 B12:I18">
    <cfRule type="expression" dxfId="11" priority="1">
      <formula>Facility_Type&lt;&gt;"other"</formula>
    </cfRule>
  </conditionalFormatting>
  <dataValidations count="10">
    <dataValidation allowBlank="1" showInputMessage="1" showErrorMessage="1" promptTitle="Gas Flow Rate Primary Processes" prompt="Enter the average flow rate of exhaust gas per hour in dry standard cubic meters from your primary crushing/screening/conveying processes in calendar year 2012. Enter 0 if unknown or not applicable." sqref="F15:I15"/>
    <dataValidation allowBlank="1" showInputMessage="1" showErrorMessage="1" prompt="This sheet is intended to summarize the components of your facility's emissions. A summary of total emissions and your registration status is located on the Output-Summary Printout sheet." sqref="B5:B8 B15:B18"/>
    <dataValidation type="list" allowBlank="1" showInputMessage="1" showErrorMessage="1" promptTitle="Facility Construction Date" prompt="Select whether your facility commenced construction, modification, or reconstruction on or after April 22, 2008." sqref="F13:I13">
      <formula1>PM_Emission_Controls_Yes_No_List</formula1>
    </dataValidation>
    <dataValidation type="list" allowBlank="1" showInputMessage="1" showErrorMessage="1" promptTitle="PM Control on Primary Crusher" prompt="Select whether your facility used a PM control device on its primary crushing/screening/conveying processes in calendar year 2012. If the process is not applicable to your facility, select 'No'" sqref="F5:I5">
      <formula1>PM_Emission_Controls_Yes_No_List</formula1>
    </dataValidation>
    <dataValidation type="list" allowBlank="1" showInputMessage="1" showErrorMessage="1" promptTitle="PM Control on Secondary Crusher" prompt="Select whether your facility used a PM control device on its secondary crushing/screening/conveying processes in calendar year 2012. If the process is not applicable to your facility, select 'No'" sqref="F6:I6">
      <formula1>PM_Emission_Controls_Yes_No_List</formula1>
    </dataValidation>
    <dataValidation type="list" allowBlank="1" showInputMessage="1" showErrorMessage="1" promptTitle="PM Control on Tertiary Crusher" prompt="Select whether your facility used a PM control device on its tertiary crushing/screening/conveying processes in calendar year 2012. If the process is not applicable to your facility, select 'No'" sqref="F7:I7">
      <formula1>PM_Emission_Controls_Yes_No_List</formula1>
    </dataValidation>
    <dataValidation type="list" allowBlank="1" showInputMessage="1" showErrorMessage="1" promptTitle="PM Control on Fines Processes" prompt="Select whether your facility used a PM control device on its fines crushing/screening/conveying processes in calendar year 2012. If the process is not applicable to your facility, select 'No'" sqref="F8:I8">
      <formula1>PM_Emission_Controls_Yes_No_List</formula1>
    </dataValidation>
    <dataValidation allowBlank="1" showInputMessage="1" showErrorMessage="1" promptTitle="Gas Flow Rate Secondary Process" prompt="Enter the average flow rate of exhaust gas per hour in dry standard cubic meters from your secondary crushing/screening/conveying processes in calendar year 2012. Enter 0 if unknown or not applicable." sqref="F16:I16"/>
    <dataValidation allowBlank="1" showInputMessage="1" showErrorMessage="1" promptTitle="Gas Flow Rate Tertiary Processes" prompt="Enter the average flow rate of exhaust gas per hour in dry standard cubic meters from your tertiary crushing/screening/conveying processes in calendar year 2012. Enter 0 if unknown or not applicable." sqref="F17:I17"/>
    <dataValidation allowBlank="1" showInputMessage="1" showErrorMessage="1" promptTitle="Gas Flow Rate Fines Processes" prompt="Enter the average flow rate of exhaust gas per hour in dry standard cubic meters from your fines crushing/screening/conveying processes in calendar year 2012. Enter 0 if unknown or not applicable." sqref="F18:I18"/>
  </dataValidations>
  <pageMargins left="0.7" right="0.7" top="0.75" bottom="0.75" header="0.3" footer="0.3"/>
  <pageSetup scale="85" orientation="landscape" r:id="rId1"/>
  <headerFooter>
    <oddFooter>&amp;LPage &amp;P of &amp;N&amp;C&amp;F&amp;RPrinted &amp;D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8"/>
  <sheetViews>
    <sheetView topLeftCell="E1" zoomScaleNormal="100" workbookViewId="0"/>
  </sheetViews>
  <sheetFormatPr defaultColWidth="9.109375" defaultRowHeight="14.4" x14ac:dyDescent="0.3"/>
  <cols>
    <col min="1" max="1" width="2.44140625" style="93" customWidth="1"/>
    <col min="2" max="2" width="37.33203125" style="93" bestFit="1" customWidth="1"/>
    <col min="3" max="3" width="16.33203125" style="93" customWidth="1"/>
    <col min="4" max="4" width="15.33203125" style="93" customWidth="1"/>
    <col min="5" max="5" width="15.6640625" style="93" customWidth="1"/>
    <col min="6" max="6" width="15.5546875" style="93" customWidth="1"/>
    <col min="7" max="7" width="15.44140625" style="93" customWidth="1"/>
    <col min="8" max="8" width="16.88671875" style="93" customWidth="1"/>
    <col min="9" max="16384" width="9.109375" style="93"/>
  </cols>
  <sheetData>
    <row r="1" spans="2:15" ht="17.399999999999999" x14ac:dyDescent="0.3">
      <c r="B1" s="177" t="s">
        <v>49</v>
      </c>
    </row>
    <row r="2" spans="2:15" ht="15" thickBot="1" x14ac:dyDescent="0.35">
      <c r="B2" s="353" t="str">
        <f>IF(Inputs!$C$9&lt;&gt;"Other","Skip to the Output-Summary Printout worksheet.","")</f>
        <v/>
      </c>
    </row>
    <row r="3" spans="2:15" ht="15" thickBot="1" x14ac:dyDescent="0.35">
      <c r="B3" s="509" t="s">
        <v>554</v>
      </c>
      <c r="C3" s="510"/>
      <c r="D3" s="510"/>
      <c r="E3" s="510"/>
      <c r="F3" s="510"/>
      <c r="G3" s="510"/>
      <c r="H3" s="511"/>
    </row>
    <row r="4" spans="2:15" ht="16.2" thickBot="1" x14ac:dyDescent="0.4">
      <c r="B4" s="179" t="s">
        <v>373</v>
      </c>
      <c r="C4" s="180" t="s">
        <v>48</v>
      </c>
      <c r="D4" s="180" t="s">
        <v>53</v>
      </c>
      <c r="E4" s="180" t="s">
        <v>52</v>
      </c>
      <c r="F4" s="180" t="s">
        <v>47</v>
      </c>
      <c r="G4" s="180" t="s">
        <v>50</v>
      </c>
      <c r="H4" s="181" t="s">
        <v>51</v>
      </c>
    </row>
    <row r="5" spans="2:15" x14ac:dyDescent="0.3">
      <c r="B5" s="182" t="s">
        <v>324</v>
      </c>
      <c r="C5" s="183">
        <v>0</v>
      </c>
      <c r="D5" s="183">
        <v>0</v>
      </c>
      <c r="E5" s="183">
        <v>0</v>
      </c>
      <c r="F5" s="183">
        <v>0</v>
      </c>
      <c r="G5" s="311">
        <f>IF(G24&lt;IF('Controls and Restrictions'!$F$5= "No",Production_Hours*52*Primary_Crushing_Rate_Avg*VLOOKUP("Primary Crushing" &amp; "PM10",'Emission Factors'!$C$4:$F$30,2,0)*(1/2000),Production_Hours*52*Primary_Crushing_Rate_Avg*VLOOKUP("Primary Crushing" &amp; "PM10",'Emission Factors'!$C$4:$F$30,4,0)*(1/2000)),G24,IF('Controls and Restrictions'!$F$5= "No",Production_Hours*52*Primary_Crushing_Rate_Avg*VLOOKUP("Primary Crushing" &amp; "PM10",'Emission Factors'!$C$4:$F$30,2,0)*(1/2000),Production_Hours*52*Primary_Crushing_Rate_Avg*VLOOKUP("Primary Crushing" &amp; "PM10",'Emission Factors'!$C$4:$F$30,4,0)*(1/2000)))</f>
        <v>0</v>
      </c>
      <c r="H5" s="312">
        <f>IF(H24&lt;IF('Controls and Restrictions'!$F$5="No",Production_Hours*52*Primary_Crushing_Rate_Avg*VLOOKUP("Primary Crushing" &amp; "PM2.5",'Emission Factors'!$C$4:$F$30,2,0)*(1/2000),Production_Hours*52*Primary_Crushing_Rate_Avg*VLOOKUP("Primary Crushing" &amp; "PM2.5",'Emission Factors'!$C$4:$F$30,4,0)*(1/2000)),H24,IF('Controls and Restrictions'!$F$5="No",Production_Hours*52*Primary_Crushing_Rate_Avg*VLOOKUP("Primary Crushing" &amp; "PM2.5",'Emission Factors'!$C$4:$F$30,2,0)*(1/2000),Production_Hours*52*Primary_Crushing_Rate_Avg*VLOOKUP("Primary Crushing" &amp; "PM2.5",'Emission Factors'!$C$4:$F$30,4,0)*(1/2000)))</f>
        <v>0</v>
      </c>
      <c r="J5" s="343"/>
      <c r="K5" s="343"/>
      <c r="L5" s="343"/>
      <c r="M5" s="343"/>
      <c r="N5" s="343"/>
      <c r="O5" s="343"/>
    </row>
    <row r="6" spans="2:15" x14ac:dyDescent="0.3">
      <c r="B6" s="182" t="s">
        <v>328</v>
      </c>
      <c r="C6" s="183">
        <v>0</v>
      </c>
      <c r="D6" s="183">
        <v>0</v>
      </c>
      <c r="E6" s="183">
        <v>0</v>
      </c>
      <c r="F6" s="183">
        <v>0</v>
      </c>
      <c r="G6" s="311">
        <f>IF(G25&lt;IF('Controls and Restrictions'!$F$6="No",Production_Hours*52*Secondary_Crushing_Rate_Avg*VLOOKUP("Secondary Crushing" &amp; "PM10",'Emission Factors'!$C$4:$F$30,2,0)*(1/2000),Production_Hours*52*Secondary_Crushing_Rate_Avg*VLOOKUP("Secondary Crushing" &amp; "PM10",'Emission Factors'!$C$4:$F$30,4,0)*(1/2000)),G25,IF('Controls and Restrictions'!$F$6="No",Production_Hours*52*Secondary_Crushing_Rate_Avg*VLOOKUP("Secondary Crushing" &amp; "PM10",'Emission Factors'!$C$4:$F$30,2,0)*(1/2000),Production_Hours*52*Secondary_Crushing_Rate_Avg*VLOOKUP("Secondary Crushing" &amp; "PM10",'Emission Factors'!$C$4:$F$30,4,0)*(1/2000)))</f>
        <v>0</v>
      </c>
      <c r="H6" s="312">
        <f>IF(H25&lt;IF('Controls and Restrictions'!$F$6="No",Production_Hours*52*Secondary_Crushing_Rate_Avg*VLOOKUP("Secondary Crushing" &amp; "PM2.5",'Emission Factors'!$C$4:$F$30,2,0)*(1/2000),Production_Hours*52*Secondary_Crushing_Rate_Avg*VLOOKUP("Secondary Crushing" &amp; "PM2.5",'Emission Factors'!$C$4:$F$30,4,0)*(1/2000)),H25,IF('Controls and Restrictions'!$F$6="No",Production_Hours*52*Secondary_Crushing_Rate_Avg*VLOOKUP("Secondary Crushing" &amp; "PM2.5",'Emission Factors'!$C$4:$F$30,2,0)*(1/2000),Production_Hours*52*Secondary_Crushing_Rate_Avg*VLOOKUP("Secondary Crushing" &amp; "PM2.5",'Emission Factors'!$C$4:$F$30,4,0)*(1/2000)))</f>
        <v>0</v>
      </c>
    </row>
    <row r="7" spans="2:15" x14ac:dyDescent="0.3">
      <c r="B7" s="182" t="s">
        <v>329</v>
      </c>
      <c r="C7" s="183">
        <v>0</v>
      </c>
      <c r="D7" s="183">
        <v>0</v>
      </c>
      <c r="E7" s="183">
        <v>0</v>
      </c>
      <c r="F7" s="183">
        <v>0</v>
      </c>
      <c r="G7" s="311">
        <f>IF(G26&lt;IF('Controls and Restrictions'!$F$7="No",Production_Hours*52*Tertiary_Crushing_Rate_Avg*VLOOKUP("Tertiary Crushing" &amp; "PM10",'Emission Factors'!$C$4:$F$30,2,0)*(1/2000),Production_Hours*52*Tertiary_Crushing_Rate_Avg*VLOOKUP("Tertiary Crushing" &amp; "PM10",'Emission Factors'!$C$4:$F$30,4,0)*(1/2000)),G26,IF('Controls and Restrictions'!$F$7="No",Production_Hours*52*Tertiary_Crushing_Rate_Avg*VLOOKUP("Tertiary Crushing" &amp; "PM10",'Emission Factors'!$C$4:$F$30,2,0)*(1/2000),Production_Hours*52*Tertiary_Crushing_Rate_Avg*VLOOKUP("Tertiary Crushing" &amp; "PM10",'Emission Factors'!$C$4:$F$30,4,0)*(1/2000)))</f>
        <v>0</v>
      </c>
      <c r="H7" s="312">
        <f>IF(H26&lt;IF('Controls and Restrictions'!$F$7="No",Production_Hours*52*Tertiary_Crushing_Rate_Avg*VLOOKUP("Tertiary Crushing" &amp; "PM2.5",'Emission Factors'!$C$4:$F$30,2,0)*(1/2000),Production_Hours*52*Tertiary_Crushing_Rate_Avg*VLOOKUP("Tertiary Crushing" &amp; "PM2.5",'Emission Factors'!$C$4:$F$30,4,0)*(1/2000)),H26,IF('Controls and Restrictions'!$F$7="No",Production_Hours*52*Tertiary_Crushing_Rate_Avg*VLOOKUP("Tertiary Crushing" &amp; "PM2.5",'Emission Factors'!$C$4:$F$30,2,0)*(1/2000),Production_Hours*52*Tertiary_Crushing_Rate_Avg*VLOOKUP("Tertiary Crushing" &amp; "PM2.5",'Emission Factors'!$C$4:$F$30,4,0)*(1/2000)))</f>
        <v>0</v>
      </c>
    </row>
    <row r="8" spans="2:15" x14ac:dyDescent="0.3">
      <c r="B8" s="182" t="s">
        <v>333</v>
      </c>
      <c r="C8" s="183">
        <v>0</v>
      </c>
      <c r="D8" s="183">
        <v>0</v>
      </c>
      <c r="E8" s="183">
        <v>0</v>
      </c>
      <c r="F8" s="183">
        <v>0</v>
      </c>
      <c r="G8" s="311">
        <f>IF(G27&lt;IF('Controls and Restrictions'!$F$8="No",Production_Hours*52*Fines_Crushing_Rate_Avg*VLOOKUP("Fines Crushing" &amp; "PM10",'Emission Factors'!$C$4:$F$30,2,0)*(1/2000),Production_Hours*52*Fines_Crushing_Rate_Avg*VLOOKUP("Fines Crushing" &amp; "PM10",'Emission Factors'!$C$4:$F$30,4,0)*(1/2000)),G27,IF('Controls and Restrictions'!$F$8="No",Production_Hours*52*Fines_Crushing_Rate_Avg*VLOOKUP("Fines Crushing" &amp; "PM10",'Emission Factors'!$C$4:$F$30,2,0)*(1/2000),Production_Hours*52*Fines_Crushing_Rate_Avg*VLOOKUP("Fines Crushing" &amp; "PM10",'Emission Factors'!$C$4:$F$30,4,0)*(1/2000)))</f>
        <v>0</v>
      </c>
      <c r="H8" s="312">
        <f>IF(H27&lt;IF('Controls and Restrictions'!$F$8="No",Production_Hours*52*Fines_Crushing_Rate_Avg*VLOOKUP("Fines Crushing" &amp; "PM2.5",'Emission Factors'!$C$4:$F$30,2,0)*(1/2000),Production_Hours*52*Fines_Crushing_Rate_Avg*VLOOKUP("Fines Crushing" &amp; "PM2.5",'Emission Factors'!$C$4:$F$30,4,0)*(1/2000)),H27,IF('Controls and Restrictions'!$F$8="No",Production_Hours*52*Fines_Crushing_Rate_Avg*VLOOKUP("Fines Crushing" &amp; "PM2.5",'Emission Factors'!$C$4:$F$30,2,0)*(1/2000),Production_Hours*52*Fines_Crushing_Rate_Avg*VLOOKUP("Fines Crushing" &amp; "PM2.5",'Emission Factors'!$C$4:$F$30,4,0)*(1/2000)))</f>
        <v>0</v>
      </c>
    </row>
    <row r="9" spans="2:15" x14ac:dyDescent="0.3">
      <c r="B9" s="182" t="s">
        <v>343</v>
      </c>
      <c r="C9" s="183">
        <v>0</v>
      </c>
      <c r="D9" s="183">
        <v>0</v>
      </c>
      <c r="E9" s="183">
        <v>0</v>
      </c>
      <c r="F9" s="183">
        <v>0</v>
      </c>
      <c r="G9" s="311">
        <f>IF(G28&lt;IF('Controls and Restrictions'!$F$5="No",Production_Hours*52*Primary_Crushing_Rate_Avg*VLOOKUP("Primary Screening" &amp; "PM10", 'Emission Factors'!$C$4:$F$30,2,0)*(1/2000),Production_Hours*52*Primary_Crushing_Rate_Avg*VLOOKUP("Primary Screening" &amp; "PM10", 'Emission Factors'!$C$4:$F$30,4,0)*(1/2000)),G28,IF('Controls and Restrictions'!$F$5="No",Production_Hours*52*Primary_Crushing_Rate_Avg*VLOOKUP("Primary Screening" &amp; "PM10", 'Emission Factors'!$C$4:$F$30,2,0)*(1/2000),Production_Hours*52*Primary_Crushing_Rate_Avg*VLOOKUP("Primary Screening" &amp; "PM10", 'Emission Factors'!$C$4:$F$30,4,0)*(1/2000)))</f>
        <v>0</v>
      </c>
      <c r="H9" s="312">
        <f>IF(H28&lt;IF('Controls and Restrictions'!$F$5="No",Production_Hours*52*Primary_Crushing_Rate_Avg*VLOOKUP("Primary Screening" &amp; "PM2.5", 'Emission Factors'!$C$4:$F$30,2,0)*(1/2000),Production_Hours*52*Primary_Crushing_Rate_Avg*VLOOKUP("Primary Screening" &amp; "PM2.5", 'Emission Factors'!$C$4:$F$30,4,0)*(1/2000)),H28,IF('Controls and Restrictions'!$F$5="No",Production_Hours*52*Primary_Crushing_Rate_Avg*VLOOKUP("Primary Screening" &amp; "PM2.5", 'Emission Factors'!$C$4:$F$30,2,0)*(1/2000),Production_Hours*52*Primary_Crushing_Rate_Avg*VLOOKUP("Primary Screening" &amp; "PM2.5", 'Emission Factors'!$C$4:$F$30,4,0)*(1/2000)))</f>
        <v>0</v>
      </c>
    </row>
    <row r="10" spans="2:15" x14ac:dyDescent="0.3">
      <c r="B10" s="182" t="s">
        <v>344</v>
      </c>
      <c r="C10" s="183">
        <v>0</v>
      </c>
      <c r="D10" s="183">
        <v>0</v>
      </c>
      <c r="E10" s="183">
        <v>0</v>
      </c>
      <c r="F10" s="183">
        <v>0</v>
      </c>
      <c r="G10" s="311">
        <f>IF(G29&lt;IF('Controls and Restrictions'!$F$6="No",Production_Hours*52*Secondary_Crushing_Rate_Avg*VLOOKUP("Secondary Screening" &amp; "PM10", 'Emission Factors'!$C$4:$F$30,2,0)* (1/2000),Production_Hours*52*Secondary_Crushing_Rate_Avg*VLOOKUP("Secondary Screening" &amp; "PM10", 'Emission Factors'!$C$4:$F$30,4,0)* (1/2000)),G29,IF('Controls and Restrictions'!$F$6="No",Production_Hours*52*Secondary_Crushing_Rate_Avg*VLOOKUP("Secondary Screening" &amp; "PM10", 'Emission Factors'!$C$4:$F$30,2,0)* (1/2000),Production_Hours*52*Secondary_Crushing_Rate_Avg*VLOOKUP("Secondary Screening" &amp; "PM10", 'Emission Factors'!$C$4:$F$30,4,0)* (1/2000)))</f>
        <v>0</v>
      </c>
      <c r="H10" s="312">
        <f>IF(H29&lt;IF('Controls and Restrictions'!$F$6="No",Production_Hours*52*Secondary_Crushing_Rate_Avg*VLOOKUP("Secondary Screening" &amp; "PM2.5", 'Emission Factors'!$C$4:$F$30,2,0)*(1/2000),Production_Hours*52*Secondary_Crushing_Rate_Avg*VLOOKUP("Secondary Screening" &amp; "PM2.5", 'Emission Factors'!$C$4:$F$30,4,0)*(1/2000)),H29,IF('Controls and Restrictions'!$F$6="No",Production_Hours*52*Secondary_Crushing_Rate_Avg*VLOOKUP("Secondary Screening" &amp; "PM2.5", 'Emission Factors'!$C$4:$F$30,2,0)*(1/2000),Production_Hours*52*Secondary_Crushing_Rate_Avg*VLOOKUP("Secondary Screening" &amp; "PM2.5", 'Emission Factors'!$C$4:$F$30,4,0)*(1/2000)))</f>
        <v>0</v>
      </c>
    </row>
    <row r="11" spans="2:15" x14ac:dyDescent="0.3">
      <c r="B11" s="182" t="s">
        <v>345</v>
      </c>
      <c r="C11" s="183">
        <v>0</v>
      </c>
      <c r="D11" s="183">
        <v>0</v>
      </c>
      <c r="E11" s="183">
        <v>0</v>
      </c>
      <c r="F11" s="183">
        <v>0</v>
      </c>
      <c r="G11" s="311">
        <f>IF(G30&lt;IF('Controls and Restrictions'!$F$7="No",Production_Hours*52*Tertiary_Crushing_Rate_Avg*VLOOKUP("Tertiary Screening" &amp; "PM10", 'Emission Factors'!$C$4:$F$30,2,0)* (1/2000),Production_Hours*52*Tertiary_Crushing_Rate_Avg*VLOOKUP("Tertiary Screening" &amp; "PM10", 'Emission Factors'!$C$4:$F$30,4,0)* (1/2000)),G30,IF('Controls and Restrictions'!$F$7="No",Production_Hours*52*Tertiary_Crushing_Rate_Avg*VLOOKUP("Tertiary Screening" &amp; "PM10", 'Emission Factors'!$C$4:$F$30,2,0)* (1/2000),Production_Hours*52*Tertiary_Crushing_Rate_Avg*VLOOKUP("Tertiary Screening" &amp; "PM10", 'Emission Factors'!$C$4:$F$30,4,0)* (1/2000)))</f>
        <v>0</v>
      </c>
      <c r="H11" s="312">
        <f>IF(H30&lt;IF('Controls and Restrictions'!$F$7="No",Production_Hours*52*Tertiary_Crushing_Rate_Avg*VLOOKUP("Tertiary Screening" &amp; "PM2.5", 'Emission Factors'!$C$4:$F$30,2,0)*(1/2000),Production_Hours*52*Tertiary_Crushing_Rate_Avg*VLOOKUP("Tertiary Screening" &amp; "PM2.5", 'Emission Factors'!$C$4:$F$30,4,0)*(1/2000)),H30,IF('Controls and Restrictions'!$F$7="No",Production_Hours*52*Tertiary_Crushing_Rate_Avg*VLOOKUP("Tertiary Screening" &amp; "PM2.5", 'Emission Factors'!$C$4:$F$30,2,0)*(1/2000),Production_Hours*52*Tertiary_Crushing_Rate_Avg*VLOOKUP("Tertiary Screening" &amp; "PM2.5", 'Emission Factors'!$C$4:$F$30,4,0)*(1/2000)))</f>
        <v>0</v>
      </c>
    </row>
    <row r="12" spans="2:15" x14ac:dyDescent="0.3">
      <c r="B12" s="182" t="s">
        <v>334</v>
      </c>
      <c r="C12" s="183">
        <v>0</v>
      </c>
      <c r="D12" s="183">
        <v>0</v>
      </c>
      <c r="E12" s="183">
        <v>0</v>
      </c>
      <c r="F12" s="183">
        <v>0</v>
      </c>
      <c r="G12" s="311">
        <f>IF(G31&lt;IF('Controls and Restrictions'!$F$8="No",Production_Hours*52*Fines_Crushing_Rate_Avg*VLOOKUP("Fines Screening"&amp;"PM10",'Emission Factors'!$C$4:$F$30,2,0)* (1/2000),Production_Hours*52*Fines_Crushing_Rate_Avg*VLOOKUP("Fines Screening"&amp;"PM10",'Emission Factors'!$C$4:$F$30,4,0)* (1/2000)),G31,IF('Controls and Restrictions'!$F$8="No",Production_Hours*52*Fines_Crushing_Rate_Avg*VLOOKUP("Fines Screening"&amp;"PM10",'Emission Factors'!$C$4:$F$30,2,0)* (1/2000),Production_Hours*52*Fines_Crushing_Rate_Avg*VLOOKUP("Fines Screening"&amp;"PM10",'Emission Factors'!$C$4:$F$30,4,0)* (1/2000)))</f>
        <v>0</v>
      </c>
      <c r="H12" s="312">
        <f>IF(H31&lt;IF('Controls and Restrictions'!$F$8="No",Production_Hours*52*Fines_Crushing_Rate_Avg*VLOOKUP("Fines Screening" &amp; "PM2.5", 'Emission Factors'!$C$4:$F$30,2,0)*(1/2000),Production_Hours*52*Fines_Crushing_Rate_Avg*VLOOKUP("Fines Screening" &amp; "PM2.5", 'Emission Factors'!$C$4:$F$30,4,0)*(1/2000)),H31,IF('Controls and Restrictions'!$F$8="No",Production_Hours*52*Fines_Crushing_Rate_Avg*VLOOKUP("Fines Screening" &amp; "PM2.5", 'Emission Factors'!$C$4:$F$30,2,0)*(1/2000),Production_Hours*52*Fines_Crushing_Rate_Avg*VLOOKUP("Fines Screening" &amp; "PM2.5", 'Emission Factors'!$C$4:$F$30,4,0)*(1/2000)))</f>
        <v>0</v>
      </c>
    </row>
    <row r="13" spans="2:15" x14ac:dyDescent="0.3">
      <c r="B13" s="182" t="s">
        <v>524</v>
      </c>
      <c r="C13" s="183">
        <v>0</v>
      </c>
      <c r="D13" s="183">
        <v>0</v>
      </c>
      <c r="E13" s="183">
        <v>0</v>
      </c>
      <c r="F13" s="183">
        <v>0</v>
      </c>
      <c r="G13" s="311">
        <f>IF(G32&lt;IF('Controls and Restrictions'!$F$5="No",Production_Hours*52*Primary_Conveyor_Transfer_Points*Primary_Crushing_Rate_Avg*VLOOKUP("Conveyor Transfer Point" &amp; "PM10", 'Emission Factors'!$C$4:$F$30,2,0)*(1/2000),Production_Hours*52*Primary_Conveyor_Transfer_Points*Primary_Crushing_Rate_Avg*VLOOKUP("Conveyor Transfer Point" &amp; "PM10", 'Emission Factors'!$C$4:$F$30,4,0)*(1/2000)),G32,IF('Controls and Restrictions'!$F$5="No",Production_Hours*52*Primary_Conveyor_Transfer_Points*Primary_Crushing_Rate_Avg*VLOOKUP("Conveyor Transfer Point" &amp; "PM10", 'Emission Factors'!$C$4:$F$30,2,0)*(1/2000),Production_Hours*52*Primary_Conveyor_Transfer_Points*Primary_Crushing_Rate_Avg*VLOOKUP("Conveyor Transfer Point" &amp; "PM10", 'Emission Factors'!$C$4:$F$30,4,0)*(1/2000)))</f>
        <v>0</v>
      </c>
      <c r="H13" s="312">
        <f>IF(H32&lt;IF('Controls and Restrictions'!$F$5="No",Production_Hours*52*Primary_Conveyor_Transfer_Points*Primary_Crushing_Rate_Avg*VLOOKUP("Conveyor Transfer Point" &amp; "PM2.5", 'Emission Factors'!$C$4:$F$30,2,0)*(1/2000),Production_Hours*52*Primary_Conveyor_Transfer_Points*Primary_Crushing_Rate_Avg*VLOOKUP("Conveyor Transfer Point" &amp; "PM2.5", 'Emission Factors'!$C$4:$F$30,4,0)*(1/2000)),H32,IF('Controls and Restrictions'!$F$5="No",Production_Hours*52*Primary_Conveyor_Transfer_Points*Primary_Crushing_Rate_Avg*VLOOKUP("Conveyor Transfer Point" &amp; "PM2.5", 'Emission Factors'!$C$4:$F$30,2,0)*(1/2000),Production_Hours*52*Primary_Conveyor_Transfer_Points*Primary_Crushing_Rate_Avg*VLOOKUP("Conveyor Transfer Point" &amp; "PM2.5", 'Emission Factors'!$C$4:$F$30,4,0)*(1/2000)))</f>
        <v>0</v>
      </c>
    </row>
    <row r="14" spans="2:15" x14ac:dyDescent="0.3">
      <c r="B14" s="182" t="s">
        <v>525</v>
      </c>
      <c r="C14" s="183">
        <v>0</v>
      </c>
      <c r="D14" s="183">
        <v>0</v>
      </c>
      <c r="E14" s="183">
        <v>0</v>
      </c>
      <c r="F14" s="183">
        <v>0</v>
      </c>
      <c r="G14" s="311">
        <f>IF(G33&lt;IF('Controls and Restrictions'!$F$6="No",Production_Hours*52*Secondary_Conveyor_Transfer_Points*Secondary_Crushing_Rate_Avg*VLOOKUP("Conveyor Transfer Point" &amp; "PM10", 'Emission Factors'!$C$4:$F$30,2,0)*(1/2000),Production_Hours*52*Secondary_Conveyor_Transfer_Points*Secondary_Crushing_Rate_Avg*VLOOKUP("Conveyor Transfer Point" &amp; "PM10", 'Emission Factors'!$C$4:$F$30,4,0)*(1/2000)),G33,IF('Controls and Restrictions'!$F$6="No",Production_Hours*52*Secondary_Conveyor_Transfer_Points*Secondary_Crushing_Rate_Avg*VLOOKUP("Conveyor Transfer Point" &amp; "PM10", 'Emission Factors'!$C$4:$F$30,2,0)*(1/2000),Production_Hours*52*Secondary_Conveyor_Transfer_Points*Secondary_Crushing_Rate_Avg*VLOOKUP("Conveyor Transfer Point" &amp; "PM10", 'Emission Factors'!$C$4:$F$30,4,0)*(1/2000)))</f>
        <v>0</v>
      </c>
      <c r="H14" s="312">
        <f>IF(H33&lt;IF('Controls and Restrictions'!$F$6="No",Production_Hours*52*Secondary_Conveyor_Transfer_Points*Secondary_Crushing_Rate_Avg*VLOOKUP("Conveyor Transfer Point" &amp; "PM2.5", 'Emission Factors'!$C$4:$F$30,2,0)*(1/2000),Production_Hours*52*Secondary_Conveyor_Transfer_Points*Secondary_Crushing_Rate_Avg*VLOOKUP("Conveyor Transfer Point" &amp; "PM2.5", 'Emission Factors'!$C$4:$F$30,4,0)*(1/2000)),H33,IF('Controls and Restrictions'!$F$6="No",Production_Hours*52*Secondary_Conveyor_Transfer_Points*Secondary_Crushing_Rate_Avg*VLOOKUP("Conveyor Transfer Point" &amp; "PM2.5", 'Emission Factors'!$C$4:$F$30,2,0)*(1/2000),Production_Hours*52*Secondary_Conveyor_Transfer_Points*Secondary_Crushing_Rate_Avg*VLOOKUP("Conveyor Transfer Point" &amp; "PM2.5", 'Emission Factors'!$C$4:$F$30,4,0)*(1/2000)))</f>
        <v>0</v>
      </c>
    </row>
    <row r="15" spans="2:15" x14ac:dyDescent="0.3">
      <c r="B15" s="182" t="s">
        <v>526</v>
      </c>
      <c r="C15" s="183">
        <v>0</v>
      </c>
      <c r="D15" s="183">
        <v>0</v>
      </c>
      <c r="E15" s="183">
        <v>0</v>
      </c>
      <c r="F15" s="183">
        <v>0</v>
      </c>
      <c r="G15" s="311">
        <f>IF(G34&lt;IF('Controls and Restrictions'!$F$7="No",Production_Hours*52*Tertiary_Conveyor_Transfer_Points*Tertiary_Crushing_Rate_Avg*VLOOKUP("Conveyor Transfer Point" &amp; "PM10", 'Emission Factors'!$C$4:$F$30,2,0)*(1/2000),Production_Hours*52*Tertiary_Conveyor_Transfer_Points*Tertiary_Crushing_Rate_Avg*VLOOKUP("Conveyor Transfer Point" &amp; "PM10", 'Emission Factors'!$C$4:$F$30,4,0)*(1/2000)),G34,IF('Controls and Restrictions'!$F$7="No",Production_Hours*52*Tertiary_Conveyor_Transfer_Points*Tertiary_Crushing_Rate_Avg*VLOOKUP("Conveyor Transfer Point" &amp; "PM10", 'Emission Factors'!$C$4:$F$30,2,0)*(1/2000),Production_Hours*52*Tertiary_Conveyor_Transfer_Points*Tertiary_Crushing_Rate_Avg*VLOOKUP("Conveyor Transfer Point" &amp; "PM10", 'Emission Factors'!$C$4:$F$30,4,0)*(1/2000)))</f>
        <v>0</v>
      </c>
      <c r="H15" s="312">
        <f>IF(H34&lt;IF('Controls and Restrictions'!$F$7="No",Production_Hours*52*Tertiary_Conveyor_Transfer_Points*Tertiary_Crushing_Rate_Avg*VLOOKUP("Conveyor Transfer Point" &amp; "PM2.5", 'Emission Factors'!$C$4:$F$30,2,0)*(1/2000),Production_Hours*52*Tertiary_Conveyor_Transfer_Points*Tertiary_Crushing_Rate_Avg*VLOOKUP("Conveyor Transfer Point" &amp; "PM2.5", 'Emission Factors'!$C$4:$F$30,4,0)*(1/2000)),H34,IF('Controls and Restrictions'!$F$7="No",Production_Hours*52*Tertiary_Conveyor_Transfer_Points*Tertiary_Crushing_Rate_Avg*VLOOKUP("Conveyor Transfer Point" &amp; "PM2.5", 'Emission Factors'!$C$4:$F$30,2,0)*(1/2000),Production_Hours*52*Tertiary_Conveyor_Transfer_Points*Tertiary_Crushing_Rate_Avg*VLOOKUP("Conveyor Transfer Point" &amp; "PM2.5", 'Emission Factors'!$C$4:$F$30,4,0)*(1/2000)))</f>
        <v>0</v>
      </c>
    </row>
    <row r="16" spans="2:15" x14ac:dyDescent="0.3">
      <c r="B16" s="182" t="s">
        <v>527</v>
      </c>
      <c r="C16" s="183">
        <v>0</v>
      </c>
      <c r="D16" s="183">
        <v>0</v>
      </c>
      <c r="E16" s="183">
        <v>0</v>
      </c>
      <c r="F16" s="183">
        <v>0</v>
      </c>
      <c r="G16" s="311">
        <f>IF(G35&lt;IF('Controls and Restrictions'!$F$8="No",Production_Hours*52*Fines_Conveyor_Transfer_Points*Fines_Crushing_Rate_Avg*VLOOKUP("Conveyor Transfer Point" &amp; "PM10", 'Emission Factors'!$C$4:$F$30,2,0)*(1/2000),Production_Hours*52*Fines_Conveyor_Transfer_Points*Fines_Crushing_Rate_Avg*VLOOKUP("Conveyor Transfer Point" &amp; "PM10", 'Emission Factors'!$C$4:$F$30,4,0)*(1/2000)),G35,IF('Controls and Restrictions'!$F$8="No",Production_Hours*52*Fines_Conveyor_Transfer_Points*Fines_Crushing_Rate_Avg*VLOOKUP("Conveyor Transfer Point" &amp; "PM10", 'Emission Factors'!$C$4:$F$30,2,0)*(1/2000),Production_Hours*52*Fines_Conveyor_Transfer_Points*Fines_Crushing_Rate_Avg*VLOOKUP("Conveyor Transfer Point" &amp; "PM10", 'Emission Factors'!$C$4:$F$30,4,0)*(1/2000)))</f>
        <v>0</v>
      </c>
      <c r="H16" s="312">
        <f>IF(H35&lt;IF('Controls and Restrictions'!$F$8="No",Production_Hours*52*Fines_Conveyor_Transfer_Points*Fines_Crushing_Rate_Avg*VLOOKUP("Conveyor Transfer Point" &amp; "PM2.5", 'Emission Factors'!$C$4:$F$30,2,0)*(1/2000),Production_Hours*52*Fines_Conveyor_Transfer_Points*Fines_Crushing_Rate_Avg*VLOOKUP("Conveyor Transfer Point" &amp; "PM2.5", 'Emission Factors'!$C$4:$F$30,4,0)*(1/2000)),H35,IF('Controls and Restrictions'!$F$8="No",Production_Hours*52*Fines_Conveyor_Transfer_Points*Fines_Crushing_Rate_Avg*VLOOKUP("Conveyor Transfer Point" &amp; "PM2.5", 'Emission Factors'!$C$4:$F$30,2,0)*(1/2000),Production_Hours*52*Fines_Conveyor_Transfer_Points*Fines_Crushing_Rate_Avg*VLOOKUP("Conveyor Transfer Point" &amp; "PM2.5", 'Emission Factors'!$C$4:$F$30,4,0)*(1/2000)))</f>
        <v>0</v>
      </c>
    </row>
    <row r="17" spans="2:8" x14ac:dyDescent="0.3">
      <c r="B17" s="182" t="s">
        <v>342</v>
      </c>
      <c r="C17" s="184">
        <f>Generator!I31</f>
        <v>0</v>
      </c>
      <c r="D17" s="184">
        <f>Generator!I29</f>
        <v>0</v>
      </c>
      <c r="E17" s="184">
        <f>Generator!I28</f>
        <v>0</v>
      </c>
      <c r="F17" s="184">
        <f>Generator!I30</f>
        <v>0</v>
      </c>
      <c r="G17" s="184">
        <f>Generator!I26</f>
        <v>0</v>
      </c>
      <c r="H17" s="185">
        <f>Generator!I27</f>
        <v>0</v>
      </c>
    </row>
    <row r="18" spans="2:8" ht="15" thickBot="1" x14ac:dyDescent="0.35">
      <c r="B18" s="313" t="s">
        <v>501</v>
      </c>
      <c r="C18" s="320">
        <f>'Engine (Crusher)'!I31</f>
        <v>0</v>
      </c>
      <c r="D18" s="320">
        <f>'Engine (Crusher)'!I29</f>
        <v>0</v>
      </c>
      <c r="E18" s="320">
        <f>'Engine (Crusher)'!I28</f>
        <v>0</v>
      </c>
      <c r="F18" s="320">
        <f>'Engine (Crusher)'!I30</f>
        <v>0</v>
      </c>
      <c r="G18" s="320">
        <f>'Engine (Crusher)'!I26</f>
        <v>0</v>
      </c>
      <c r="H18" s="321">
        <f>'Engine (Crusher)'!I27</f>
        <v>0</v>
      </c>
    </row>
    <row r="19" spans="2:8" ht="15" thickBot="1" x14ac:dyDescent="0.35">
      <c r="B19" s="179" t="s">
        <v>374</v>
      </c>
      <c r="C19" s="186">
        <f>SUM(C5:C18)</f>
        <v>0</v>
      </c>
      <c r="D19" s="186">
        <f t="shared" ref="D19:H19" si="0">SUM(D5:D18)</f>
        <v>0</v>
      </c>
      <c r="E19" s="186">
        <f t="shared" si="0"/>
        <v>0</v>
      </c>
      <c r="F19" s="186">
        <f t="shared" si="0"/>
        <v>0</v>
      </c>
      <c r="G19" s="186">
        <f t="shared" si="0"/>
        <v>0</v>
      </c>
      <c r="H19" s="187">
        <f t="shared" si="0"/>
        <v>0</v>
      </c>
    </row>
    <row r="21" spans="2:8" ht="15" thickBot="1" x14ac:dyDescent="0.35"/>
    <row r="22" spans="2:8" ht="15" thickBot="1" x14ac:dyDescent="0.35">
      <c r="B22" s="509" t="s">
        <v>410</v>
      </c>
      <c r="C22" s="510"/>
      <c r="D22" s="510"/>
      <c r="E22" s="510"/>
      <c r="F22" s="510"/>
      <c r="G22" s="510"/>
      <c r="H22" s="511"/>
    </row>
    <row r="23" spans="2:8" ht="16.2" thickBot="1" x14ac:dyDescent="0.4">
      <c r="B23" s="179" t="s">
        <v>373</v>
      </c>
      <c r="C23" s="180" t="s">
        <v>48</v>
      </c>
      <c r="D23" s="180" t="s">
        <v>53</v>
      </c>
      <c r="E23" s="180" t="s">
        <v>52</v>
      </c>
      <c r="F23" s="180" t="s">
        <v>47</v>
      </c>
      <c r="G23" s="180" t="s">
        <v>50</v>
      </c>
      <c r="H23" s="181" t="s">
        <v>51</v>
      </c>
    </row>
    <row r="24" spans="2:8" x14ac:dyDescent="0.3">
      <c r="B24" s="182" t="s">
        <v>324</v>
      </c>
      <c r="C24" s="183">
        <v>0</v>
      </c>
      <c r="D24" s="183">
        <v>0</v>
      </c>
      <c r="E24" s="183">
        <v>0</v>
      </c>
      <c r="F24" s="183">
        <v>0</v>
      </c>
      <c r="G24" s="311">
        <f>IF('Controls and Restrictions'!$F$15=0,8760*Primary_Crushing_Rate_Max*VLOOKUP("Primary Crushing" &amp; "PM10",'Emission Factors'!$C$4:$E$30,3,0)*(1/2000),Primary_Allowable_PM_Emissions/3)</f>
        <v>0</v>
      </c>
      <c r="H24" s="312">
        <f>IF('Controls and Restrictions'!$F$15=0,8760*Primary_Crushing_Rate_Max*VLOOKUP("Primary Crushing" &amp; "PM2.5",'Emission Factors'!$C$4:$E$30,3,0)*(1/2000),Primary_Allowable_PM_Emissions/3)</f>
        <v>0</v>
      </c>
    </row>
    <row r="25" spans="2:8" x14ac:dyDescent="0.3">
      <c r="B25" s="182" t="s">
        <v>328</v>
      </c>
      <c r="C25" s="183">
        <v>0</v>
      </c>
      <c r="D25" s="183">
        <v>0</v>
      </c>
      <c r="E25" s="183">
        <v>0</v>
      </c>
      <c r="F25" s="183">
        <v>0</v>
      </c>
      <c r="G25" s="311">
        <f>IF('Controls and Restrictions'!$F$16=0,8760*Secondary_Crushing_Rate_Max*VLOOKUP("Secondary Crushing" &amp; "PM10",'Emission Factors'!$C$4:$E$30,3,0)*(1/2000),Secondary_Allowable_PM_Emissions/3)</f>
        <v>0</v>
      </c>
      <c r="H25" s="312">
        <f>IF('Controls and Restrictions'!$F$16=0,8760*Secondary_Crushing_Rate_Max*VLOOKUP("Secondary Crushing" &amp; "PM2.5",'Emission Factors'!$C$4:$E$30,3,0)*(1/2000),Secondary_Allowable_PM_Emissions/3)</f>
        <v>0</v>
      </c>
    </row>
    <row r="26" spans="2:8" x14ac:dyDescent="0.3">
      <c r="B26" s="182" t="s">
        <v>329</v>
      </c>
      <c r="C26" s="183">
        <v>0</v>
      </c>
      <c r="D26" s="183">
        <v>0</v>
      </c>
      <c r="E26" s="183">
        <v>0</v>
      </c>
      <c r="F26" s="183">
        <v>0</v>
      </c>
      <c r="G26" s="311">
        <f>IF('Controls and Restrictions'!$F$17=0,8760*Tertiary_Crushing_Rate_Max*VLOOKUP("Tertiary Crushing" &amp; "PM10",'Emission Factors'!$C$4:$E$30,3,0)*(1/2000),Tertiary_Allowable_PM_Emissions/3)</f>
        <v>0</v>
      </c>
      <c r="H26" s="312">
        <f>IF('Controls and Restrictions'!$F$17=0,8760*Tertiary_Crushing_Rate_Max*VLOOKUP("Tertiary Crushing" &amp; "PM2.5",'Emission Factors'!$C$4:$E$30,3,0)*(1/2000),Tertiary_Allowable_PM_Emissions/3)</f>
        <v>0</v>
      </c>
    </row>
    <row r="27" spans="2:8" x14ac:dyDescent="0.3">
      <c r="B27" s="182" t="s">
        <v>333</v>
      </c>
      <c r="C27" s="183">
        <v>0</v>
      </c>
      <c r="D27" s="183">
        <v>0</v>
      </c>
      <c r="E27" s="183">
        <v>0</v>
      </c>
      <c r="F27" s="183">
        <v>0</v>
      </c>
      <c r="G27" s="311">
        <f>IF('Controls and Restrictions'!$F$18=0,8760*Fines_Crushing_Rate_Max*VLOOKUP("Fines Crushing" &amp; "PM10",'Emission Factors'!$C$4:$E$30,3,0)*(1/2000),Fines_Allowable_PM_Emissions/3)</f>
        <v>0</v>
      </c>
      <c r="H27" s="312">
        <f>IF('Controls and Restrictions'!$F$18=0,8760*Fines_Crushing_Rate_Max*VLOOKUP("Fines Crushing" &amp; "PM2.5",'Emission Factors'!$C$4:$E$30,3,0)*(1/2000),Fines_Allowable_PM_Emissions/3)</f>
        <v>0</v>
      </c>
    </row>
    <row r="28" spans="2:8" x14ac:dyDescent="0.3">
      <c r="B28" s="182" t="s">
        <v>343</v>
      </c>
      <c r="C28" s="183">
        <v>0</v>
      </c>
      <c r="D28" s="183">
        <v>0</v>
      </c>
      <c r="E28" s="183">
        <v>0</v>
      </c>
      <c r="F28" s="183">
        <v>0</v>
      </c>
      <c r="G28" s="311">
        <f>IF('Controls and Restrictions'!$F$15=0,8760*Primary_Crushing_Rate_Max*VLOOKUP("Primary Screening" &amp; "PM10", 'Emission Factors'!$C$4:$E$30,3,0)*(1/2000),Primary_Allowable_PM_Emissions/3)</f>
        <v>0</v>
      </c>
      <c r="H28" s="312">
        <f>IF('Controls and Restrictions'!$F$15=0,8760*Primary_Crushing_Rate_Max*VLOOKUP("Primary Screening" &amp; "PM2.5", 'Emission Factors'!$C$4:$E$30,3,0)*(1/2000),Primary_Allowable_PM_Emissions/3)</f>
        <v>0</v>
      </c>
    </row>
    <row r="29" spans="2:8" x14ac:dyDescent="0.3">
      <c r="B29" s="182" t="s">
        <v>344</v>
      </c>
      <c r="C29" s="183">
        <v>0</v>
      </c>
      <c r="D29" s="183">
        <v>0</v>
      </c>
      <c r="E29" s="183">
        <v>0</v>
      </c>
      <c r="F29" s="183">
        <v>0</v>
      </c>
      <c r="G29" s="311">
        <f>IF('Controls and Restrictions'!$F$16=0,8760*Secondary_Crushing_Rate_Max*VLOOKUP("Secondary Screening" &amp; "PM10", 'Emission Factors'!$C$4:$E$30,3,0)*(1/2000),Secondary_Allowable_PM_Emissions/3)</f>
        <v>0</v>
      </c>
      <c r="H29" s="312">
        <f>IF('Controls and Restrictions'!$F$16=0,8760*Secondary_Crushing_Rate_Max*VLOOKUP("Secondary Screening" &amp; "PM2.5", 'Emission Factors'!$C$4:$E$30,3,0)*(1/2000),Secondary_Allowable_PM_Emissions/3)</f>
        <v>0</v>
      </c>
    </row>
    <row r="30" spans="2:8" x14ac:dyDescent="0.3">
      <c r="B30" s="182" t="s">
        <v>345</v>
      </c>
      <c r="C30" s="183">
        <v>0</v>
      </c>
      <c r="D30" s="183">
        <v>0</v>
      </c>
      <c r="E30" s="183">
        <v>0</v>
      </c>
      <c r="F30" s="183">
        <v>0</v>
      </c>
      <c r="G30" s="311">
        <f>IF('Controls and Restrictions'!$F$17=0,8760*Tertiary_Crushing_Rate_Max*VLOOKUP("Tertiary Screening" &amp; "PM10", 'Emission Factors'!$C$4:$E$30,3,0)*(1/2000),Tertiary_Allowable_PM_Emissions/3)</f>
        <v>0</v>
      </c>
      <c r="H30" s="312">
        <f>IF('Controls and Restrictions'!$F$17=0,8760*Tertiary_Crushing_Rate_Max*VLOOKUP("Tertiary Screening" &amp; "PM2.5", 'Emission Factors'!$C$4:$E$30,3,0)*(1/2000),Tertiary_Allowable_PM_Emissions/3)</f>
        <v>0</v>
      </c>
    </row>
    <row r="31" spans="2:8" x14ac:dyDescent="0.3">
      <c r="B31" s="182" t="s">
        <v>334</v>
      </c>
      <c r="C31" s="183">
        <v>0</v>
      </c>
      <c r="D31" s="183">
        <v>0</v>
      </c>
      <c r="E31" s="183">
        <v>0</v>
      </c>
      <c r="F31" s="183">
        <v>0</v>
      </c>
      <c r="G31" s="311">
        <f>IF('Controls and Restrictions'!$F$18=0,8760*Fines_Crushing_Rate_Max*VLOOKUP("Fines Screening" &amp; "PM10", 'Emission Factors'!$C$4:$E$30,3,0)*(1/2000),Fines_Allowable_PM_Emissions/3)</f>
        <v>0</v>
      </c>
      <c r="H31" s="312">
        <f>IF('Controls and Restrictions'!$F$18=0,8760*Fines_Crushing_Rate_Max*VLOOKUP("Fines Screening" &amp; "PM2.5", 'Emission Factors'!$C$4:$E$30,3,0)*(1/2000),Fines_Allowable_PM_Emissions/3)</f>
        <v>0</v>
      </c>
    </row>
    <row r="32" spans="2:8" x14ac:dyDescent="0.3">
      <c r="B32" s="182" t="s">
        <v>524</v>
      </c>
      <c r="C32" s="183">
        <v>0</v>
      </c>
      <c r="D32" s="183">
        <v>0</v>
      </c>
      <c r="E32" s="183">
        <v>0</v>
      </c>
      <c r="F32" s="183">
        <v>0</v>
      </c>
      <c r="G32" s="311">
        <f>IF('Controls and Restrictions'!$F$15=0,8760*Primary_Conveyor_Transfer_Points*Primary_Crushing_Rate_Max*VLOOKUP("Conveyor Transfer Point" &amp; "PM10", 'Emission Factors'!$C$4:$E$30,3,0)*(1/2000),Primary_Allowable_PM_Emissions/3)</f>
        <v>0</v>
      </c>
      <c r="H32" s="312">
        <f>IF('Controls and Restrictions'!$F$15=0,8760*Primary_Conveyor_Transfer_Points*Primary_Crushing_Rate_Max*VLOOKUP("Conveyor Transfer Point" &amp; "PM2.5", 'Emission Factors'!$C$4:$E$30,3,0)*(1/2000),Primary_Allowable_PM_Emissions/3)</f>
        <v>0</v>
      </c>
    </row>
    <row r="33" spans="2:8" x14ac:dyDescent="0.3">
      <c r="B33" s="182" t="s">
        <v>525</v>
      </c>
      <c r="C33" s="183">
        <v>0</v>
      </c>
      <c r="D33" s="183">
        <v>0</v>
      </c>
      <c r="E33" s="183">
        <v>0</v>
      </c>
      <c r="F33" s="183">
        <v>0</v>
      </c>
      <c r="G33" s="311">
        <f>IF('Controls and Restrictions'!$F$16=0,8760*Secondary_Conveyor_Transfer_Points*Secondary_Crushing_Rate_Max*VLOOKUP("Conveyor Transfer Point" &amp; "PM10", 'Emission Factors'!$C$4:$E$30,3,0)*(1/2000),Secondary_Allowable_PM_Emissions/3)</f>
        <v>0</v>
      </c>
      <c r="H33" s="312">
        <f>IF('Controls and Restrictions'!$F$16=0,8760*Secondary_Conveyor_Transfer_Points*Secondary_Crushing_Rate_Max*VLOOKUP("Conveyor Transfer Point" &amp; "PM2.5", 'Emission Factors'!$C$4:$E$30,3,0)*(1/2000),Secondary_Allowable_PM_Emissions/3)</f>
        <v>0</v>
      </c>
    </row>
    <row r="34" spans="2:8" x14ac:dyDescent="0.3">
      <c r="B34" s="182" t="s">
        <v>526</v>
      </c>
      <c r="C34" s="183">
        <v>0</v>
      </c>
      <c r="D34" s="183">
        <v>0</v>
      </c>
      <c r="E34" s="183">
        <v>0</v>
      </c>
      <c r="F34" s="183">
        <v>0</v>
      </c>
      <c r="G34" s="311">
        <f>IF('Controls and Restrictions'!$F$17=0,8760*Tertiary_Conveyor_Transfer_Points*Tertiary_Crushing_Rate_Max*VLOOKUP("Conveyor Transfer Point" &amp; "PM10", 'Emission Factors'!$C$4:$E$30,3,0)*(1/2000),Tertiary_Allowable_PM_Emissions/3)</f>
        <v>0</v>
      </c>
      <c r="H34" s="312">
        <f>IF('Controls and Restrictions'!$F$17=0,8760*Tertiary_Conveyor_Transfer_Points*Tertiary_Crushing_Rate_Max*VLOOKUP("Conveyor Transfer Point" &amp; "PM2.5", 'Emission Factors'!$C$4:$E$30,3,0)*(1/2000),Tertiary_Allowable_PM_Emissions/3)</f>
        <v>0</v>
      </c>
    </row>
    <row r="35" spans="2:8" x14ac:dyDescent="0.3">
      <c r="B35" s="182" t="s">
        <v>527</v>
      </c>
      <c r="C35" s="183">
        <v>0</v>
      </c>
      <c r="D35" s="183">
        <v>0</v>
      </c>
      <c r="E35" s="183">
        <v>0</v>
      </c>
      <c r="F35" s="183">
        <v>0</v>
      </c>
      <c r="G35" s="311">
        <f>IF('Controls and Restrictions'!$F$18=0,8760*Fines_Conveyor_Transfer_Points*Fines_Crushing_Rate_Max*VLOOKUP("Conveyor Transfer Point" &amp; "PM10", 'Emission Factors'!$C$4:$E$30,3,0)*(1/2000),Fines_Allowable_PM_Emissions/3)</f>
        <v>0</v>
      </c>
      <c r="H35" s="312">
        <f>IF('Controls and Restrictions'!$F$18=0,8760*Fines_Conveyor_Transfer_Points*Fines_Crushing_Rate_Max*VLOOKUP("Conveyor Transfer Point" &amp; "PM2.5", 'Emission Factors'!$C$4:$E$30,3,0)*(1/2000),Fines_Allowable_PM_Emissions/3)</f>
        <v>0</v>
      </c>
    </row>
    <row r="36" spans="2:8" x14ac:dyDescent="0.3">
      <c r="B36" s="182" t="s">
        <v>342</v>
      </c>
      <c r="C36" s="311">
        <f>Generator!F31</f>
        <v>0</v>
      </c>
      <c r="D36" s="311">
        <f>Generator!F29</f>
        <v>0</v>
      </c>
      <c r="E36" s="311">
        <f>Generator!F28</f>
        <v>0</v>
      </c>
      <c r="F36" s="311">
        <f>Generator!F30</f>
        <v>0</v>
      </c>
      <c r="G36" s="311">
        <f>Generator!F26</f>
        <v>0</v>
      </c>
      <c r="H36" s="312">
        <f>Generator!F27</f>
        <v>0</v>
      </c>
    </row>
    <row r="37" spans="2:8" ht="15" thickBot="1" x14ac:dyDescent="0.35">
      <c r="B37" s="313" t="s">
        <v>501</v>
      </c>
      <c r="C37" s="314">
        <f>'Engine (Crusher)'!F31</f>
        <v>0</v>
      </c>
      <c r="D37" s="314">
        <f>'Engine (Crusher)'!F29</f>
        <v>0</v>
      </c>
      <c r="E37" s="314">
        <f>'Engine (Crusher)'!F28</f>
        <v>0</v>
      </c>
      <c r="F37" s="314">
        <f>'Engine (Crusher)'!F30</f>
        <v>0</v>
      </c>
      <c r="G37" s="314">
        <f>'Engine (Crusher)'!F26</f>
        <v>0</v>
      </c>
      <c r="H37" s="315">
        <f>'Engine (Crusher)'!F27</f>
        <v>0</v>
      </c>
    </row>
    <row r="38" spans="2:8" ht="15" thickBot="1" x14ac:dyDescent="0.35">
      <c r="B38" s="179" t="s">
        <v>374</v>
      </c>
      <c r="C38" s="186">
        <f>SUM(C24:C37)</f>
        <v>0</v>
      </c>
      <c r="D38" s="186">
        <f t="shared" ref="D38:H38" si="1">SUM(D24:D37)</f>
        <v>0</v>
      </c>
      <c r="E38" s="186">
        <f t="shared" si="1"/>
        <v>0</v>
      </c>
      <c r="F38" s="186">
        <f t="shared" si="1"/>
        <v>0</v>
      </c>
      <c r="G38" s="186">
        <f t="shared" si="1"/>
        <v>0</v>
      </c>
      <c r="H38" s="187">
        <f t="shared" si="1"/>
        <v>0</v>
      </c>
    </row>
  </sheetData>
  <sheetProtection password="C969" sheet="1" objects="1" scenarios="1"/>
  <mergeCells count="2">
    <mergeCell ref="B3:H3"/>
    <mergeCell ref="B22:H22"/>
  </mergeCells>
  <conditionalFormatting sqref="B5:H19">
    <cfRule type="expression" dxfId="10" priority="2">
      <formula>Facility_Type&lt;&gt;"Other"</formula>
    </cfRule>
  </conditionalFormatting>
  <conditionalFormatting sqref="B24:H38">
    <cfRule type="expression" dxfId="9" priority="1">
      <formula>Facility_Type&lt;&gt;"Other"</formula>
    </cfRule>
  </conditionalFormatting>
  <dataValidations xWindow="1075" yWindow="665" count="1">
    <dataValidation allowBlank="1" showInputMessage="1" showErrorMessage="1" prompt="This sheet is intended to summarize the components of your facility's emissions. A summary of total emissions and your registration status is located on the Output-Summary Printout sheet." sqref="B3 B22"/>
  </dataValidations>
  <pageMargins left="0.7" right="0.7" top="0.75" bottom="0.75" header="0.3" footer="0.3"/>
  <pageSetup scale="60" orientation="portrait" r:id="rId1"/>
  <headerFooter>
    <oddFooter>&amp;LPage &amp;P of &amp;N&amp;C&amp;F&amp;RPrinted &amp;D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topLeftCell="A15" zoomScaleNormal="100" workbookViewId="0">
      <selection activeCell="A32" sqref="A32:F32"/>
    </sheetView>
  </sheetViews>
  <sheetFormatPr defaultColWidth="3.33203125" defaultRowHeight="13.2" x14ac:dyDescent="0.25"/>
  <cols>
    <col min="1" max="1" width="16.109375" style="190" customWidth="1"/>
    <col min="2" max="2" width="4.6640625" style="190" customWidth="1"/>
    <col min="3" max="3" width="24.6640625" style="190" customWidth="1"/>
    <col min="4" max="4" width="5.5546875" style="190" customWidth="1"/>
    <col min="5" max="5" width="25.44140625" style="190" customWidth="1"/>
    <col min="6" max="6" width="32.44140625" style="190" customWidth="1"/>
    <col min="7" max="9" width="1.88671875" style="190" customWidth="1"/>
    <col min="10" max="10" width="3.109375" style="190" customWidth="1"/>
    <col min="11" max="11" width="16.6640625" style="192" hidden="1" customWidth="1"/>
    <col min="12" max="12" width="16.6640625" style="193" hidden="1" customWidth="1"/>
    <col min="13" max="13" width="18" style="193" hidden="1" customWidth="1"/>
    <col min="14" max="14" width="20.44140625" style="190" customWidth="1"/>
    <col min="15" max="58" width="1.88671875" style="190" customWidth="1"/>
    <col min="59" max="16384" width="3.33203125" style="190"/>
  </cols>
  <sheetData>
    <row r="1" spans="1:13" ht="24.75" customHeight="1" thickBot="1" x14ac:dyDescent="0.3"/>
    <row r="2" spans="1:13" ht="14.25" customHeight="1" x14ac:dyDescent="0.25">
      <c r="A2" s="194"/>
      <c r="B2" s="195"/>
      <c r="C2" s="195"/>
      <c r="D2" s="195"/>
      <c r="E2" s="195"/>
      <c r="F2" s="196"/>
    </row>
    <row r="3" spans="1:13" x14ac:dyDescent="0.25">
      <c r="A3" s="197" t="s">
        <v>55</v>
      </c>
      <c r="B3" s="198" t="str">
        <f>"  "&amp;Inputs!C4</f>
        <v xml:space="preserve">  Acme Rock Crushing</v>
      </c>
      <c r="C3" s="198"/>
      <c r="E3" s="199" t="str">
        <f>"Facility Contact:"&amp;"  "&amp;Inputs!C13</f>
        <v>Facility Contact:  John Doe</v>
      </c>
      <c r="F3" s="200"/>
    </row>
    <row r="4" spans="1:13" ht="14.25" customHeight="1" x14ac:dyDescent="0.25">
      <c r="A4" s="197" t="s">
        <v>56</v>
      </c>
      <c r="B4" s="198" t="str">
        <f>"  "&amp;Inputs!C5</f>
        <v xml:space="preserve">  101 Acme Way</v>
      </c>
      <c r="C4" s="198"/>
      <c r="E4" s="199" t="str">
        <f>"              Phone:"&amp;"  "&amp;Inputs!C14</f>
        <v xml:space="preserve">              Phone:  555-555-5555</v>
      </c>
      <c r="F4" s="200"/>
    </row>
    <row r="5" spans="1:13" x14ac:dyDescent="0.25">
      <c r="A5" s="201"/>
      <c r="B5" s="198" t="str">
        <f>"  "&amp;Inputs!C6&amp;", "&amp;VLOOKUP(Inputs!C7,'EPA Regional Contact Info'!$A$5:$B$49,2,FALSE)&amp;" "&amp;Inputs!C8</f>
        <v xml:space="preserve">  Albuquerque, NM 87101</v>
      </c>
      <c r="C5" s="198"/>
      <c r="E5" s="199" t="str">
        <f>"               Email:"&amp;"  "&amp;Inputs!C15</f>
        <v xml:space="preserve">               Email:  john.doe@acme.com</v>
      </c>
      <c r="F5" s="200"/>
    </row>
    <row r="6" spans="1:13" ht="13.8" thickBot="1" x14ac:dyDescent="0.3">
      <c r="A6" s="202"/>
      <c r="B6" s="203"/>
      <c r="C6" s="203"/>
      <c r="D6" s="203"/>
      <c r="E6" s="203"/>
      <c r="F6" s="204"/>
    </row>
    <row r="7" spans="1:13" ht="18" customHeight="1" thickBot="1" x14ac:dyDescent="0.3">
      <c r="A7" s="532" t="s">
        <v>112</v>
      </c>
      <c r="B7" s="533"/>
      <c r="C7" s="533"/>
      <c r="D7" s="533"/>
      <c r="E7" s="533"/>
      <c r="F7" s="534"/>
    </row>
    <row r="8" spans="1:13" ht="15.75" customHeight="1" x14ac:dyDescent="0.25">
      <c r="A8" s="535" t="s">
        <v>36</v>
      </c>
      <c r="B8" s="538" t="s">
        <v>555</v>
      </c>
      <c r="C8" s="539"/>
      <c r="D8" s="205"/>
      <c r="E8" s="351"/>
      <c r="F8" s="206" t="s">
        <v>59</v>
      </c>
      <c r="K8" s="512" t="s">
        <v>397</v>
      </c>
      <c r="L8" s="207" t="s">
        <v>58</v>
      </c>
      <c r="M8" s="513" t="s">
        <v>398</v>
      </c>
    </row>
    <row r="9" spans="1:13" x14ac:dyDescent="0.25">
      <c r="A9" s="536"/>
      <c r="B9" s="538"/>
      <c r="C9" s="539"/>
      <c r="D9" s="514" t="s">
        <v>399</v>
      </c>
      <c r="E9" s="515"/>
      <c r="F9" s="206" t="s">
        <v>125</v>
      </c>
      <c r="K9" s="512"/>
      <c r="L9" s="207" t="s">
        <v>125</v>
      </c>
      <c r="M9" s="513"/>
    </row>
    <row r="10" spans="1:13" ht="13.8" thickBot="1" x14ac:dyDescent="0.3">
      <c r="A10" s="537"/>
      <c r="B10" s="516" t="s">
        <v>60</v>
      </c>
      <c r="C10" s="517"/>
      <c r="D10" s="518" t="s">
        <v>60</v>
      </c>
      <c r="E10" s="519"/>
      <c r="F10" s="208" t="s">
        <v>60</v>
      </c>
      <c r="K10" s="512"/>
      <c r="L10" s="209" t="s">
        <v>60</v>
      </c>
      <c r="M10" s="513"/>
    </row>
    <row r="11" spans="1:13" ht="5.25" customHeight="1" x14ac:dyDescent="0.25">
      <c r="A11" s="210"/>
      <c r="B11" s="211"/>
      <c r="C11" s="212"/>
      <c r="D11" s="213"/>
      <c r="E11" s="214"/>
      <c r="F11" s="215"/>
      <c r="L11" s="216"/>
    </row>
    <row r="12" spans="1:13" x14ac:dyDescent="0.25">
      <c r="A12" s="217" t="s">
        <v>48</v>
      </c>
      <c r="B12" s="218"/>
      <c r="C12" s="219">
        <f>'Total Emissions'!$C$19</f>
        <v>0</v>
      </c>
      <c r="D12" s="220"/>
      <c r="E12" s="221">
        <f>'Total Emissions'!$C$38</f>
        <v>0</v>
      </c>
      <c r="F12" s="222">
        <f>IF(Inputs!$C$30="Attainment",10,5)</f>
        <v>10</v>
      </c>
      <c r="K12" s="192">
        <f>IF(E12&gt;=F12,1,0)</f>
        <v>0</v>
      </c>
      <c r="L12" s="223">
        <f>IF(Inputs!$C$30="Attainment",IF(Inputs!$C$9="Other",250,100),IF(Inputs!$C$30="Nonattainment - moderate",100,50))</f>
        <v>250</v>
      </c>
      <c r="M12" s="193">
        <f>IF(E12&gt;=L12,1,0)</f>
        <v>0</v>
      </c>
    </row>
    <row r="13" spans="1:13" ht="5.25" customHeight="1" x14ac:dyDescent="0.25">
      <c r="A13" s="224"/>
      <c r="B13" s="225"/>
      <c r="C13" s="219"/>
      <c r="D13" s="226"/>
      <c r="E13" s="227"/>
      <c r="F13" s="222"/>
      <c r="L13" s="223"/>
    </row>
    <row r="14" spans="1:13" ht="15.75" customHeight="1" x14ac:dyDescent="0.35">
      <c r="A14" s="217" t="s">
        <v>53</v>
      </c>
      <c r="B14" s="218"/>
      <c r="C14" s="219">
        <f>'Total Emissions'!$D$19</f>
        <v>0</v>
      </c>
      <c r="D14" s="220"/>
      <c r="E14" s="221">
        <f>'Total Emissions'!$D$38</f>
        <v>0</v>
      </c>
      <c r="F14" s="222">
        <f>IF(Inputs!$C$32="Attainment",10,5)</f>
        <v>10</v>
      </c>
      <c r="K14" s="192">
        <f t="shared" ref="K14:K22" si="0">IF(E14&gt;=F14,1,0)</f>
        <v>0</v>
      </c>
      <c r="L14" s="223">
        <f>IF(Inputs!$C$32="Attainment",IF(Inputs!$C$9="Other",250,100),IF(Inputs!$C$32="Nonattainment - marginal",100,IF(Inputs!$C$32="Nonattainment - moderate",100,IF(Inputs!$C$32="Nonattainment - serious",50,IF(Inputs!$C$32="Nonattainment - severe",25,10)))))</f>
        <v>250</v>
      </c>
      <c r="M14" s="193">
        <f t="shared" ref="M14:M22" si="1">IF(E14&gt;=L14,1,0)</f>
        <v>0</v>
      </c>
    </row>
    <row r="15" spans="1:13" ht="5.25" customHeight="1" x14ac:dyDescent="0.25">
      <c r="A15" s="224"/>
      <c r="B15" s="225"/>
      <c r="C15" s="219"/>
      <c r="D15" s="220"/>
      <c r="E15" s="228"/>
      <c r="F15" s="222"/>
      <c r="L15" s="223"/>
    </row>
    <row r="16" spans="1:13" ht="15.6" x14ac:dyDescent="0.35">
      <c r="A16" s="217" t="s">
        <v>52</v>
      </c>
      <c r="B16" s="218"/>
      <c r="C16" s="219">
        <f>'Total Emissions'!$E$19</f>
        <v>0</v>
      </c>
      <c r="D16" s="220"/>
      <c r="E16" s="221">
        <f>'Total Emissions'!$E$38</f>
        <v>0</v>
      </c>
      <c r="F16" s="222">
        <f>IF(Inputs!$C$34="Attainment",10,5)</f>
        <v>10</v>
      </c>
      <c r="K16" s="192">
        <f t="shared" si="0"/>
        <v>0</v>
      </c>
      <c r="L16" s="223">
        <f>IF(Inputs!$C$34="Attainment",IF(Inputs!$C$9="Other",250,100),100)</f>
        <v>250</v>
      </c>
      <c r="M16" s="193">
        <f t="shared" si="1"/>
        <v>0</v>
      </c>
    </row>
    <row r="17" spans="1:13" ht="5.25" customHeight="1" x14ac:dyDescent="0.25">
      <c r="A17" s="229"/>
      <c r="B17" s="230"/>
      <c r="C17" s="219"/>
      <c r="D17" s="220"/>
      <c r="E17" s="228"/>
      <c r="F17" s="222"/>
      <c r="L17" s="223"/>
    </row>
    <row r="18" spans="1:13" x14ac:dyDescent="0.25">
      <c r="A18" s="217" t="s">
        <v>47</v>
      </c>
      <c r="B18" s="218"/>
      <c r="C18" s="219">
        <f>'Total Emissions'!$F$19</f>
        <v>0</v>
      </c>
      <c r="D18" s="220"/>
      <c r="E18" s="221">
        <f>'Total Emissions'!$F$38</f>
        <v>0</v>
      </c>
      <c r="F18" s="222">
        <f>IF(Inputs!$C$32="Attainment",5,2)</f>
        <v>5</v>
      </c>
      <c r="K18" s="192">
        <f t="shared" si="0"/>
        <v>0</v>
      </c>
      <c r="L18" s="223">
        <f>IF(Inputs!$C$32="Attainment",IF(Inputs!$C$9="Other",250,100),IF(Inputs!$C$32="Nonattainment - marginal",100,IF(Inputs!$C$32="Nonattainment - moderate",100,IF(Inputs!$C$32="Nonattainment - serious",50,IF(Inputs!$C$32="Nonattainment - severe",25,10)))))</f>
        <v>250</v>
      </c>
      <c r="M18" s="193">
        <f t="shared" si="1"/>
        <v>0</v>
      </c>
    </row>
    <row r="19" spans="1:13" ht="5.25" customHeight="1" x14ac:dyDescent="0.25">
      <c r="A19" s="231"/>
      <c r="B19" s="232"/>
      <c r="C19" s="219"/>
      <c r="D19" s="220"/>
      <c r="E19" s="228"/>
      <c r="F19" s="222"/>
      <c r="L19" s="223"/>
    </row>
    <row r="20" spans="1:13" ht="15.6" x14ac:dyDescent="0.35">
      <c r="A20" s="217" t="s">
        <v>50</v>
      </c>
      <c r="B20" s="218"/>
      <c r="C20" s="219">
        <f>'Total Emissions'!$G$19</f>
        <v>0</v>
      </c>
      <c r="D20" s="220"/>
      <c r="E20" s="221">
        <f>'Total Emissions'!$G$38</f>
        <v>0</v>
      </c>
      <c r="F20" s="222">
        <f>IF(Inputs!$C$36="Attainment",5,1)</f>
        <v>5</v>
      </c>
      <c r="K20" s="192">
        <f t="shared" si="0"/>
        <v>0</v>
      </c>
      <c r="L20" s="223">
        <f>IF(Inputs!$C$36="Attainment",IF(Inputs!$C$9="Other",250,100),IF(Inputs!$C$36="Nonattainment - moderate",100,70))</f>
        <v>250</v>
      </c>
      <c r="M20" s="193">
        <f t="shared" si="1"/>
        <v>0</v>
      </c>
    </row>
    <row r="21" spans="1:13" ht="5.25" customHeight="1" x14ac:dyDescent="0.25">
      <c r="A21" s="224"/>
      <c r="B21" s="225"/>
      <c r="C21" s="219"/>
      <c r="D21" s="220"/>
      <c r="E21" s="228"/>
      <c r="F21" s="233"/>
      <c r="L21" s="234"/>
    </row>
    <row r="22" spans="1:13" ht="15.6" x14ac:dyDescent="0.35">
      <c r="A22" s="235" t="s">
        <v>51</v>
      </c>
      <c r="B22" s="236"/>
      <c r="C22" s="219">
        <f>'Total Emissions'!$H$19</f>
        <v>0</v>
      </c>
      <c r="D22" s="220"/>
      <c r="E22" s="221">
        <f>'Total Emissions'!$H$38</f>
        <v>0</v>
      </c>
      <c r="F22" s="222">
        <f>IF(Inputs!$C$38="Attainment",3,0.6)</f>
        <v>3</v>
      </c>
      <c r="K22" s="192">
        <f t="shared" si="0"/>
        <v>0</v>
      </c>
      <c r="L22" s="223">
        <f>IF(Inputs!$C$38="Attainment",IF(Inputs!$C$9="Other",250,100),100)</f>
        <v>250</v>
      </c>
      <c r="M22" s="193">
        <f t="shared" si="1"/>
        <v>0</v>
      </c>
    </row>
    <row r="23" spans="1:13" ht="5.25" customHeight="1" x14ac:dyDescent="0.25">
      <c r="A23" s="237"/>
      <c r="B23" s="238"/>
      <c r="C23" s="239"/>
      <c r="D23" s="220"/>
      <c r="E23" s="240"/>
      <c r="F23" s="241"/>
      <c r="L23" s="242"/>
    </row>
    <row r="24" spans="1:13" x14ac:dyDescent="0.25">
      <c r="A24" s="520" t="s">
        <v>61</v>
      </c>
      <c r="B24" s="521"/>
      <c r="C24" s="521"/>
      <c r="D24" s="521"/>
      <c r="E24" s="521"/>
      <c r="F24" s="522"/>
      <c r="L24" s="243"/>
    </row>
    <row r="25" spans="1:13" x14ac:dyDescent="0.25">
      <c r="A25" s="244"/>
      <c r="B25" s="207"/>
      <c r="C25" s="207"/>
      <c r="D25" s="207"/>
      <c r="E25" s="207"/>
      <c r="F25" s="245"/>
      <c r="L25" s="216"/>
    </row>
    <row r="26" spans="1:13" x14ac:dyDescent="0.25">
      <c r="A26" s="201"/>
      <c r="B26" s="220"/>
      <c r="C26" s="246">
        <v>100</v>
      </c>
      <c r="D26" s="247" t="s">
        <v>62</v>
      </c>
      <c r="E26" s="220"/>
      <c r="F26" s="245"/>
      <c r="G26" s="207"/>
      <c r="K26" s="190"/>
      <c r="L26" s="192"/>
    </row>
    <row r="27" spans="1:13" x14ac:dyDescent="0.25">
      <c r="A27" s="201"/>
      <c r="B27" s="220"/>
      <c r="C27" s="248">
        <v>50</v>
      </c>
      <c r="D27" s="247" t="s">
        <v>63</v>
      </c>
      <c r="E27" s="220"/>
      <c r="F27" s="200"/>
      <c r="L27" s="216"/>
    </row>
    <row r="28" spans="1:13" x14ac:dyDescent="0.25">
      <c r="A28" s="201"/>
      <c r="B28" s="220"/>
      <c r="C28" s="248">
        <v>0</v>
      </c>
      <c r="D28" s="247" t="s">
        <v>64</v>
      </c>
      <c r="E28" s="220"/>
      <c r="F28" s="200"/>
    </row>
    <row r="29" spans="1:13" ht="13.8" thickBot="1" x14ac:dyDescent="0.3">
      <c r="A29" s="202"/>
      <c r="B29" s="203"/>
      <c r="C29" s="203"/>
      <c r="D29" s="203"/>
      <c r="E29" s="203"/>
      <c r="F29" s="204"/>
    </row>
    <row r="30" spans="1:13" ht="22.5" customHeight="1" thickBot="1" x14ac:dyDescent="0.3">
      <c r="A30" s="523" t="str">
        <f>IF(OR($M$12=1,$M$14=1,$M$16=1,$M$18=1,$M$20=1,$M$22=1,Inputs!$C$9&lt;&gt;"other"),"PLEASE CONSULT WITH YOUR EPA REGIONAL CONTACT LISTED BELOW",IF(OR(K12=1,K14=1,K16=1,K18=1,K20=1,K22=1),"YOU ARE REQUIRED TO REGISTER YOUR FACILITY UNDER THE TRIBAL NEW SOURCE REVIEW RULE","PLEASE SEE NOTE BELOW"))</f>
        <v>PLEASE SEE NOTE BELOW</v>
      </c>
      <c r="B30" s="524"/>
      <c r="C30" s="524"/>
      <c r="D30" s="524"/>
      <c r="E30" s="524"/>
      <c r="F30" s="525"/>
    </row>
    <row r="31" spans="1:13" x14ac:dyDescent="0.25">
      <c r="A31" s="194"/>
      <c r="B31" s="195"/>
      <c r="C31" s="195"/>
      <c r="D31" s="195"/>
      <c r="E31" s="195"/>
      <c r="F31" s="196"/>
    </row>
    <row r="32" spans="1:13" ht="164.25" customHeight="1" thickBot="1" x14ac:dyDescent="0.3">
      <c r="A32" s="526" t="str">
        <f>IF(Inputs!$C$9&lt;&gt;"Other","You indicated that your facility is a "&amp;Inputs!$C$9&amp;".  Please consult with your EPA Regional contact listed below to determine applicable registration and permitting requirements.",IF(OR($M$12=1,$M$14=1,$M$16=1,$M$18=1,$M$20=1,$M$22=1),"The allowable emissions at your facility exceed the major source threshold for one or more pollutants. Please consult with your EPA Regional contact listed below to determine applicable permitting requirements.",IF($A$30="You are required to register your facility under the Tribal New Source Review Rule","Please print and mail this page to your EPA Regional contact listed below. Alternatively, you may scan the printed page and email it to your EPA Regional contact.","If your facility"&amp;" has additional sources of emissions, such as industrial boilers, you are required to complete all applicable registration calculators and sum the total emissions from"&amp;" each calculator to determine your registration requirement.  If the sum of total emissions from all applicable calculators is below the minor source threshold for every"&amp;" pollutant, then you are not required to register your facility and no further action is required. If the sum of total emissions from all applicable calculators"&amp;" exceeds the minor source threshold for any pollutant, then you are required to register your facility under the"&amp;" Tribal New Source Review Rule. If you are required to register, please contact your EPA Regional Office listed below.")))</f>
        <v>If your facility has additional sources of emissions, such as industrial boilers, you are required to complete all applicable registration calculators and sum the total emissions from each calculator to determine your registration requirement.  If the sum of total emissions from all applicable calculators is below the minor source threshold for every pollutant, then you are not required to register your facility and no further action is required. If the sum of total emissions from all applicable calculators exceeds the minor source threshold for any pollutant, then you are required to register your facility under the Tribal New Source Review Rule. If you are required to register, please contact your EPA Regional Office listed below.</v>
      </c>
      <c r="B32" s="527"/>
      <c r="C32" s="527"/>
      <c r="D32" s="527"/>
      <c r="E32" s="527"/>
      <c r="F32" s="528"/>
      <c r="K32" s="342"/>
    </row>
    <row r="33" spans="1:6" ht="15.75" customHeight="1" thickBot="1" x14ac:dyDescent="0.3">
      <c r="A33" s="529" t="str">
        <f>"U.S. Environmental Protection Agency Region "&amp;VLOOKUP(Inputs!$C$7,'EPA Regional Contact Info'!$A$5:$C$49,3,FALSE)&amp;" Contact"</f>
        <v>U.S. Environmental Protection Agency Region 6 Contact</v>
      </c>
      <c r="B33" s="530"/>
      <c r="C33" s="530"/>
      <c r="D33" s="530"/>
      <c r="E33" s="530"/>
      <c r="F33" s="531"/>
    </row>
    <row r="34" spans="1:6" ht="15.6" x14ac:dyDescent="0.3">
      <c r="A34" s="22"/>
      <c r="B34" s="135" t="s">
        <v>317</v>
      </c>
      <c r="C34" s="170"/>
      <c r="D34" s="171" t="str">
        <f>Inputs!C18</f>
        <v>Bonnie Braganza</v>
      </c>
      <c r="E34" s="170"/>
      <c r="F34" s="23"/>
    </row>
    <row r="35" spans="1:6" ht="15.6" x14ac:dyDescent="0.3">
      <c r="A35" s="17"/>
      <c r="B35" s="134" t="s">
        <v>318</v>
      </c>
      <c r="C35" s="172"/>
      <c r="D35" s="173" t="str">
        <f>Inputs!C24</f>
        <v>U.S. Environmental Protection Agency Region 6</v>
      </c>
      <c r="E35" s="172"/>
      <c r="F35" s="18"/>
    </row>
    <row r="36" spans="1:6" ht="15.6" x14ac:dyDescent="0.3">
      <c r="A36" s="17"/>
      <c r="B36" s="134"/>
      <c r="C36" s="172"/>
      <c r="D36" s="173" t="str">
        <f>Inputs!C25</f>
        <v>1445 Ross Avenue, Suite 1200</v>
      </c>
      <c r="E36" s="172"/>
      <c r="F36" s="18"/>
    </row>
    <row r="37" spans="1:6" ht="15.6" x14ac:dyDescent="0.3">
      <c r="A37" s="17"/>
      <c r="B37" s="134"/>
      <c r="C37" s="172"/>
      <c r="D37" s="173" t="str">
        <f>Inputs!C26</f>
        <v>MC: 6PD</v>
      </c>
      <c r="E37" s="172"/>
      <c r="F37" s="18"/>
    </row>
    <row r="38" spans="1:6" ht="15.6" x14ac:dyDescent="0.3">
      <c r="A38" s="17"/>
      <c r="B38" s="134"/>
      <c r="C38" s="172"/>
      <c r="D38" s="173" t="str">
        <f>Inputs!C27</f>
        <v>Dallas, TX 75202-2733</v>
      </c>
      <c r="E38" s="172"/>
      <c r="F38" s="18"/>
    </row>
    <row r="39" spans="1:6" ht="15.6" x14ac:dyDescent="0.3">
      <c r="A39" s="17"/>
      <c r="B39" s="134"/>
      <c r="C39" s="172"/>
      <c r="D39" s="173"/>
      <c r="E39" s="172"/>
      <c r="F39" s="18"/>
    </row>
    <row r="40" spans="1:6" ht="15.6" x14ac:dyDescent="0.3">
      <c r="A40" s="17"/>
      <c r="B40" s="134" t="s">
        <v>319</v>
      </c>
      <c r="C40" s="172"/>
      <c r="D40" s="173" t="str">
        <f>Inputs!C19</f>
        <v>214-665-7340</v>
      </c>
      <c r="E40" s="172"/>
      <c r="F40" s="18"/>
    </row>
    <row r="41" spans="1:6" ht="15.6" x14ac:dyDescent="0.3">
      <c r="A41" s="17"/>
      <c r="B41" s="134" t="s">
        <v>57</v>
      </c>
      <c r="C41" s="172"/>
      <c r="D41" s="173" t="str">
        <f>Inputs!C20</f>
        <v>braganza.bonnie@epa.gov</v>
      </c>
      <c r="E41" s="172"/>
      <c r="F41" s="18"/>
    </row>
    <row r="42" spans="1:6" ht="13.8" thickBot="1" x14ac:dyDescent="0.3">
      <c r="A42" s="19"/>
      <c r="B42" s="26"/>
      <c r="C42" s="26"/>
      <c r="D42" s="26"/>
      <c r="E42" s="26"/>
      <c r="F42" s="20"/>
    </row>
  </sheetData>
  <sheetProtection password="C969" sheet="1" objects="1" scenarios="1"/>
  <mergeCells count="12">
    <mergeCell ref="A24:F24"/>
    <mergeCell ref="A30:F30"/>
    <mergeCell ref="A32:F32"/>
    <mergeCell ref="A33:F33"/>
    <mergeCell ref="A7:F7"/>
    <mergeCell ref="A8:A10"/>
    <mergeCell ref="B8:C9"/>
    <mergeCell ref="K8:K10"/>
    <mergeCell ref="M8:M10"/>
    <mergeCell ref="D9:E9"/>
    <mergeCell ref="B10:C10"/>
    <mergeCell ref="D10:E10"/>
  </mergeCells>
  <conditionalFormatting sqref="A33 A32:F32">
    <cfRule type="expression" dxfId="8" priority="4">
      <formula>$A$30="PLEASE SEE NOTE BELOW"</formula>
    </cfRule>
  </conditionalFormatting>
  <conditionalFormatting sqref="A30:F30">
    <cfRule type="expression" dxfId="7" priority="3">
      <formula>$A$30="You are required to register your facility under the tribal new source review rule"</formula>
    </cfRule>
  </conditionalFormatting>
  <conditionalFormatting sqref="C27:C28">
    <cfRule type="iconSet" priority="5">
      <iconSet iconSet="3Symbols" showValue="0" reverse="1">
        <cfvo type="percent" val="0"/>
        <cfvo type="num" val="0" gte="0"/>
        <cfvo type="num" val="100"/>
      </iconSet>
    </cfRule>
  </conditionalFormatting>
  <conditionalFormatting sqref="C12 E12">
    <cfRule type="cellIs" dxfId="6" priority="6" operator="greaterThanOrEqual">
      <formula>$F$12</formula>
    </cfRule>
  </conditionalFormatting>
  <conditionalFormatting sqref="C14 E14">
    <cfRule type="cellIs" dxfId="5" priority="8" operator="greaterThanOrEqual">
      <formula>$F$14</formula>
    </cfRule>
  </conditionalFormatting>
  <conditionalFormatting sqref="C16 E16">
    <cfRule type="cellIs" dxfId="4" priority="10" operator="greaterThanOrEqual">
      <formula>$F$16</formula>
    </cfRule>
  </conditionalFormatting>
  <conditionalFormatting sqref="C18 E18">
    <cfRule type="cellIs" dxfId="3" priority="12" operator="greaterThanOrEqual">
      <formula>$F$18</formula>
    </cfRule>
  </conditionalFormatting>
  <conditionalFormatting sqref="C20 E20">
    <cfRule type="cellIs" dxfId="2" priority="14" operator="greaterThanOrEqual">
      <formula>$F$20</formula>
    </cfRule>
  </conditionalFormatting>
  <conditionalFormatting sqref="C22 E22">
    <cfRule type="cellIs" dxfId="1" priority="16" operator="greaterThanOrEqual">
      <formula>$F$22</formula>
    </cfRule>
  </conditionalFormatting>
  <conditionalFormatting sqref="C26">
    <cfRule type="iconSet" priority="2">
      <iconSet iconSet="3Symbols" showValue="0" reverse="1">
        <cfvo type="percent" val="0"/>
        <cfvo type="num" val="0" gte="0"/>
        <cfvo type="num" val="100"/>
      </iconSet>
    </cfRule>
  </conditionalFormatting>
  <conditionalFormatting sqref="E12">
    <cfRule type="iconSet" priority="7">
      <iconSet iconSet="3Symbols" reverse="1">
        <cfvo type="percent" val="0"/>
        <cfvo type="formula" val="$F$12"/>
        <cfvo type="formula" val="$L$12"/>
      </iconSet>
    </cfRule>
  </conditionalFormatting>
  <conditionalFormatting sqref="E14">
    <cfRule type="iconSet" priority="9">
      <iconSet iconSet="3Symbols" reverse="1">
        <cfvo type="percent" val="0"/>
        <cfvo type="formula" val="$F$14"/>
        <cfvo type="formula" val="$L$14"/>
      </iconSet>
    </cfRule>
  </conditionalFormatting>
  <conditionalFormatting sqref="E16">
    <cfRule type="iconSet" priority="11">
      <iconSet iconSet="3Symbols" reverse="1">
        <cfvo type="percent" val="0"/>
        <cfvo type="formula" val="$F$16"/>
        <cfvo type="formula" val="$L$16"/>
      </iconSet>
    </cfRule>
  </conditionalFormatting>
  <conditionalFormatting sqref="E18">
    <cfRule type="iconSet" priority="13">
      <iconSet iconSet="3Symbols" reverse="1">
        <cfvo type="percent" val="0"/>
        <cfvo type="formula" val="$F$18"/>
        <cfvo type="formula" val="$L$18"/>
      </iconSet>
    </cfRule>
  </conditionalFormatting>
  <conditionalFormatting sqref="E20">
    <cfRule type="iconSet" priority="15">
      <iconSet iconSet="3Symbols" reverse="1">
        <cfvo type="percent" val="0"/>
        <cfvo type="formula" val="$F$20"/>
        <cfvo type="formula" val="$L$20"/>
      </iconSet>
    </cfRule>
  </conditionalFormatting>
  <conditionalFormatting sqref="E22">
    <cfRule type="iconSet" priority="17">
      <iconSet iconSet="3Symbols" reverse="1">
        <cfvo type="percent" val="0"/>
        <cfvo type="formula" val="$F$22"/>
        <cfvo type="formula" val="$L$22"/>
      </iconSet>
    </cfRule>
  </conditionalFormatting>
  <conditionalFormatting sqref="C12:F22">
    <cfRule type="expression" dxfId="0" priority="1">
      <formula>Facility_Type&lt;&gt;"Other"</formula>
    </cfRule>
  </conditionalFormatting>
  <printOptions horizontalCentered="1" gridLinesSet="0"/>
  <pageMargins left="0.4" right="0.4" top="0.7" bottom="0.3" header="0.25" footer="0.25"/>
  <pageSetup scale="75" orientation="portrait" horizontalDpi="1200" verticalDpi="1200" r:id="rId1"/>
  <headerFooter alignWithMargins="0">
    <oddHeader xml:space="preserve">&amp;C&amp;"Arial,Bold"&amp;14
Rock Crushing Registration&amp;"Arial,Regular"&amp;10
Summary Printout
</oddHeader>
    <oddFooter>&amp;L&amp;F&amp;RPrinted &amp;D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sheetPr>
  <dimension ref="A1:G26"/>
  <sheetViews>
    <sheetView showGridLines="0" zoomScaleNormal="100" workbookViewId="0">
      <selection sqref="A1:F1"/>
    </sheetView>
  </sheetViews>
  <sheetFormatPr defaultColWidth="9.109375" defaultRowHeight="13.2" x14ac:dyDescent="0.25"/>
  <cols>
    <col min="1" max="1" width="17.88671875" style="40" bestFit="1" customWidth="1"/>
    <col min="2" max="2" width="17.5546875" style="41" customWidth="1"/>
    <col min="3" max="3" width="30.109375" style="2" customWidth="1"/>
    <col min="4" max="5" width="20" style="41" customWidth="1"/>
    <col min="6" max="6" width="25" style="41" customWidth="1"/>
    <col min="7" max="7" width="29.33203125" style="2" customWidth="1"/>
    <col min="8" max="16384" width="9.109375" style="2"/>
  </cols>
  <sheetData>
    <row r="1" spans="1:7" ht="17.399999999999999" x14ac:dyDescent="0.3">
      <c r="A1" s="540" t="s">
        <v>366</v>
      </c>
      <c r="B1" s="540"/>
      <c r="C1" s="540"/>
      <c r="D1" s="540"/>
      <c r="E1" s="540"/>
      <c r="F1" s="540"/>
    </row>
    <row r="2" spans="1:7" x14ac:dyDescent="0.25">
      <c r="A2" s="541" t="s">
        <v>572</v>
      </c>
      <c r="B2" s="541"/>
      <c r="C2" s="541"/>
      <c r="D2" s="541"/>
      <c r="E2" s="541"/>
      <c r="F2" s="541"/>
    </row>
    <row r="4" spans="1:7" ht="16.350000000000001" customHeight="1" x14ac:dyDescent="0.25">
      <c r="A4" s="27" t="s">
        <v>65</v>
      </c>
      <c r="B4" s="28" t="s">
        <v>66</v>
      </c>
      <c r="C4" s="28" t="s">
        <v>67</v>
      </c>
      <c r="D4" s="28" t="s">
        <v>68</v>
      </c>
      <c r="E4" s="28" t="s">
        <v>69</v>
      </c>
      <c r="F4" s="28" t="s">
        <v>70</v>
      </c>
      <c r="G4" s="28" t="s">
        <v>71</v>
      </c>
    </row>
    <row r="5" spans="1:7" s="33" customFormat="1" ht="33.75" customHeight="1" x14ac:dyDescent="0.3">
      <c r="A5" s="29">
        <v>1</v>
      </c>
      <c r="B5" s="30" t="s">
        <v>376</v>
      </c>
      <c r="C5" s="87" t="s">
        <v>72</v>
      </c>
      <c r="D5" s="151" t="s">
        <v>357</v>
      </c>
      <c r="E5" s="31" t="s">
        <v>73</v>
      </c>
      <c r="F5" s="32" t="s">
        <v>355</v>
      </c>
      <c r="G5" s="37" t="s">
        <v>356</v>
      </c>
    </row>
    <row r="6" spans="1:7" s="33" customFormat="1" ht="129" customHeight="1" x14ac:dyDescent="0.3">
      <c r="A6" s="34">
        <v>1.1000000000000001</v>
      </c>
      <c r="B6" s="30" t="s">
        <v>435</v>
      </c>
      <c r="C6" s="88" t="s">
        <v>518</v>
      </c>
      <c r="D6" s="39" t="s">
        <v>567</v>
      </c>
      <c r="E6" s="31" t="s">
        <v>73</v>
      </c>
      <c r="F6" s="36" t="s">
        <v>355</v>
      </c>
      <c r="G6" s="37" t="s">
        <v>356</v>
      </c>
    </row>
    <row r="7" spans="1:7" s="33" customFormat="1" ht="28.5" customHeight="1" x14ac:dyDescent="0.3">
      <c r="A7" s="38">
        <v>1.2</v>
      </c>
      <c r="B7" s="115" t="s">
        <v>568</v>
      </c>
      <c r="C7" s="116" t="s">
        <v>569</v>
      </c>
      <c r="D7" s="35" t="s">
        <v>567</v>
      </c>
      <c r="E7" s="35" t="s">
        <v>73</v>
      </c>
      <c r="F7" s="35" t="s">
        <v>355</v>
      </c>
      <c r="G7" s="117" t="s">
        <v>356</v>
      </c>
    </row>
    <row r="8" spans="1:7" s="33" customFormat="1" ht="41.25" customHeight="1" x14ac:dyDescent="0.3">
      <c r="A8" s="38">
        <v>1.3</v>
      </c>
      <c r="B8" s="115" t="s">
        <v>570</v>
      </c>
      <c r="C8" s="116" t="s">
        <v>571</v>
      </c>
      <c r="D8" s="35" t="s">
        <v>567</v>
      </c>
      <c r="E8" s="35" t="s">
        <v>73</v>
      </c>
      <c r="F8" s="35" t="s">
        <v>355</v>
      </c>
      <c r="G8" s="117" t="s">
        <v>356</v>
      </c>
    </row>
    <row r="9" spans="1:7" s="33" customFormat="1" ht="16.350000000000001" customHeight="1" x14ac:dyDescent="0.3">
      <c r="A9" s="38"/>
      <c r="B9" s="35"/>
      <c r="C9" s="39"/>
      <c r="D9" s="35"/>
      <c r="E9" s="35"/>
      <c r="F9" s="35"/>
      <c r="G9" s="35"/>
    </row>
    <row r="10" spans="1:7" s="33" customFormat="1" ht="16.350000000000001" customHeight="1" x14ac:dyDescent="0.3">
      <c r="A10" s="38"/>
      <c r="B10" s="35"/>
      <c r="C10" s="39"/>
      <c r="D10" s="35"/>
      <c r="E10" s="35"/>
      <c r="F10" s="35"/>
      <c r="G10" s="35"/>
    </row>
    <row r="11" spans="1:7" s="33" customFormat="1" ht="16.350000000000001" customHeight="1" x14ac:dyDescent="0.3">
      <c r="A11" s="38"/>
      <c r="B11" s="35"/>
      <c r="C11" s="39"/>
      <c r="D11" s="35"/>
      <c r="E11" s="35"/>
      <c r="F11" s="35"/>
      <c r="G11" s="35"/>
    </row>
    <row r="12" spans="1:7" s="33" customFormat="1" ht="16.350000000000001" customHeight="1" x14ac:dyDescent="0.3">
      <c r="A12" s="38"/>
      <c r="B12" s="35"/>
      <c r="C12" s="39"/>
      <c r="D12" s="35"/>
      <c r="E12" s="35"/>
      <c r="F12" s="35"/>
      <c r="G12" s="35"/>
    </row>
    <row r="13" spans="1:7" s="33" customFormat="1" ht="16.350000000000001" customHeight="1" x14ac:dyDescent="0.3">
      <c r="A13" s="38"/>
      <c r="B13" s="35"/>
      <c r="C13" s="39"/>
      <c r="D13" s="35"/>
      <c r="E13" s="35"/>
      <c r="F13" s="35"/>
      <c r="G13" s="35"/>
    </row>
    <row r="14" spans="1:7" s="33" customFormat="1" ht="16.350000000000001" customHeight="1" x14ac:dyDescent="0.3">
      <c r="A14" s="38"/>
      <c r="B14" s="35"/>
      <c r="C14" s="39"/>
      <c r="D14" s="35"/>
      <c r="E14" s="35"/>
      <c r="F14" s="35"/>
      <c r="G14" s="35"/>
    </row>
    <row r="15" spans="1:7" s="33" customFormat="1" ht="16.350000000000001" customHeight="1" x14ac:dyDescent="0.3">
      <c r="A15" s="38"/>
      <c r="B15" s="35"/>
      <c r="C15" s="39"/>
      <c r="D15" s="35"/>
      <c r="E15" s="35"/>
      <c r="F15" s="35"/>
      <c r="G15" s="35"/>
    </row>
    <row r="16" spans="1:7" s="33" customFormat="1" ht="16.350000000000001" customHeight="1" x14ac:dyDescent="0.3">
      <c r="A16" s="38"/>
      <c r="B16" s="35"/>
      <c r="C16" s="39"/>
      <c r="D16" s="35"/>
      <c r="E16" s="35"/>
      <c r="F16" s="35"/>
      <c r="G16" s="35"/>
    </row>
    <row r="17" spans="1:7" s="33" customFormat="1" ht="16.350000000000001" customHeight="1" x14ac:dyDescent="0.3">
      <c r="A17" s="38"/>
      <c r="B17" s="35"/>
      <c r="C17" s="39"/>
      <c r="D17" s="35"/>
      <c r="E17" s="35"/>
      <c r="F17" s="35"/>
      <c r="G17" s="35"/>
    </row>
    <row r="18" spans="1:7" s="33" customFormat="1" ht="16.350000000000001" customHeight="1" x14ac:dyDescent="0.3">
      <c r="A18" s="38"/>
      <c r="B18" s="35"/>
      <c r="C18" s="39"/>
      <c r="D18" s="35"/>
      <c r="E18" s="35"/>
      <c r="F18" s="35"/>
      <c r="G18" s="35"/>
    </row>
    <row r="19" spans="1:7" s="33" customFormat="1" ht="16.350000000000001" customHeight="1" x14ac:dyDescent="0.3">
      <c r="A19" s="38"/>
      <c r="B19" s="35"/>
      <c r="C19" s="39"/>
      <c r="D19" s="35"/>
      <c r="E19" s="35"/>
      <c r="F19" s="35"/>
      <c r="G19" s="35"/>
    </row>
    <row r="20" spans="1:7" s="33" customFormat="1" ht="16.350000000000001" customHeight="1" x14ac:dyDescent="0.3">
      <c r="A20" s="38"/>
      <c r="B20" s="35"/>
      <c r="C20" s="39"/>
      <c r="D20" s="35"/>
      <c r="E20" s="35"/>
      <c r="F20" s="35"/>
      <c r="G20" s="35"/>
    </row>
    <row r="21" spans="1:7" s="33" customFormat="1" ht="16.350000000000001" customHeight="1" x14ac:dyDescent="0.3">
      <c r="A21" s="38"/>
      <c r="B21" s="35"/>
      <c r="C21" s="39"/>
      <c r="D21" s="35"/>
      <c r="E21" s="35"/>
      <c r="F21" s="35"/>
      <c r="G21" s="35"/>
    </row>
    <row r="22" spans="1:7" s="33" customFormat="1" ht="16.350000000000001" customHeight="1" x14ac:dyDescent="0.3">
      <c r="A22" s="38"/>
      <c r="B22" s="35"/>
      <c r="C22" s="39"/>
      <c r="D22" s="35"/>
      <c r="E22" s="35"/>
      <c r="F22" s="35"/>
      <c r="G22" s="35"/>
    </row>
    <row r="23" spans="1:7" s="33" customFormat="1" ht="16.350000000000001" customHeight="1" x14ac:dyDescent="0.3">
      <c r="A23" s="38"/>
      <c r="B23" s="35"/>
      <c r="C23" s="39"/>
      <c r="D23" s="35"/>
      <c r="E23" s="35"/>
      <c r="F23" s="35"/>
      <c r="G23" s="35"/>
    </row>
    <row r="24" spans="1:7" s="33" customFormat="1" ht="16.350000000000001" customHeight="1" x14ac:dyDescent="0.3">
      <c r="A24" s="38"/>
      <c r="B24" s="35"/>
      <c r="C24" s="39"/>
      <c r="D24" s="35"/>
      <c r="E24" s="35"/>
      <c r="F24" s="35"/>
      <c r="G24" s="35"/>
    </row>
    <row r="25" spans="1:7" s="33" customFormat="1" ht="16.350000000000001" customHeight="1" x14ac:dyDescent="0.3">
      <c r="A25" s="38"/>
      <c r="B25" s="35"/>
      <c r="C25" s="39"/>
      <c r="D25" s="35"/>
      <c r="E25" s="35"/>
      <c r="F25" s="35"/>
      <c r="G25" s="35"/>
    </row>
    <row r="26" spans="1:7" s="33" customFormat="1" ht="16.350000000000001" customHeight="1" x14ac:dyDescent="0.3">
      <c r="A26" s="38"/>
      <c r="B26" s="35"/>
      <c r="C26" s="39"/>
      <c r="D26" s="35"/>
      <c r="E26" s="35"/>
      <c r="F26" s="35"/>
      <c r="G26" s="35"/>
    </row>
  </sheetData>
  <mergeCells count="2">
    <mergeCell ref="A1:F1"/>
    <mergeCell ref="A2:F2"/>
  </mergeCells>
  <hyperlinks>
    <hyperlink ref="G5" r:id="rId1"/>
    <hyperlink ref="G6" r:id="rId2"/>
    <hyperlink ref="G7" r:id="rId3"/>
    <hyperlink ref="G8" r:id="rId4"/>
  </hyperlinks>
  <pageMargins left="0.7" right="0.7" top="0.75" bottom="0.75" header="0.3" footer="0.3"/>
  <pageSetup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58</vt:i4>
      </vt:variant>
    </vt:vector>
  </HeadingPairs>
  <TitlesOfParts>
    <vt:vector size="72" baseType="lpstr">
      <vt:lpstr>Registration FAQs</vt:lpstr>
      <vt:lpstr>Instructions</vt:lpstr>
      <vt:lpstr>Inputs</vt:lpstr>
      <vt:lpstr>Generator</vt:lpstr>
      <vt:lpstr>Engine (Crusher)</vt:lpstr>
      <vt:lpstr>Controls and Restrictions</vt:lpstr>
      <vt:lpstr>Total Emissions</vt:lpstr>
      <vt:lpstr>Output-Summary Printout</vt:lpstr>
      <vt:lpstr>Change Log</vt:lpstr>
      <vt:lpstr>Emission Factors</vt:lpstr>
      <vt:lpstr>Engine Emission Factors</vt:lpstr>
      <vt:lpstr>Fuel Energy Content</vt:lpstr>
      <vt:lpstr>Additional References</vt:lpstr>
      <vt:lpstr>EPA Regional Contact Info</vt:lpstr>
      <vt:lpstr>Allowable_Hours_for_Emergency_Operation</vt:lpstr>
      <vt:lpstr>Allowable_Hours_for_Routine_Operation</vt:lpstr>
      <vt:lpstr>Brake_Specific_Fuel_Consumption</vt:lpstr>
      <vt:lpstr>Btu_hr_to_hp_Conversion_Factor</vt:lpstr>
      <vt:lpstr>CO_PM10_Attainment_List</vt:lpstr>
      <vt:lpstr>Cubic_Meter_to_Cubic_Foot_Conversion_Factor</vt:lpstr>
      <vt:lpstr>Emission_Rate_Unit_Crusher</vt:lpstr>
      <vt:lpstr>Emission_Rate_Unit_Generator</vt:lpstr>
      <vt:lpstr>Engine_Fuel_Type_Crusher</vt:lpstr>
      <vt:lpstr>Engine_Fuel_Type_Generator</vt:lpstr>
      <vt:lpstr>EngineFuelType1</vt:lpstr>
      <vt:lpstr>EngineUse1</vt:lpstr>
      <vt:lpstr>Facility_Type</vt:lpstr>
      <vt:lpstr>Facility_Type_List</vt:lpstr>
      <vt:lpstr>Fines_Allowable_PM_Emissions</vt:lpstr>
      <vt:lpstr>Fines_Conveyor_Transfer_Points</vt:lpstr>
      <vt:lpstr>Fines_Crushing_Rate_Avg</vt:lpstr>
      <vt:lpstr>Fines_Crushing_Rate_Max</vt:lpstr>
      <vt:lpstr>Fuel_Consumption_Crusher</vt:lpstr>
      <vt:lpstr>Fuel_Consumption_Generator</vt:lpstr>
      <vt:lpstr>Fuel_Energy_to_Output_Efficiency</vt:lpstr>
      <vt:lpstr>g_hp_hr_crusher</vt:lpstr>
      <vt:lpstr>g_hp_hr_Generator</vt:lpstr>
      <vt:lpstr>Gasoline_Energy_Content</vt:lpstr>
      <vt:lpstr>Grams_to_Pounds_Conversion_Factor</vt:lpstr>
      <vt:lpstr>Hp_to_Btu_hr_Conversion_Factor</vt:lpstr>
      <vt:lpstr>ICE_Yes_No_List</vt:lpstr>
      <vt:lpstr>kW_to_Btu_hr_Conversion_Factor</vt:lpstr>
      <vt:lpstr>kW_to_hp_Conversion_Factor</vt:lpstr>
      <vt:lpstr>Mechanical_Output_Crusher</vt:lpstr>
      <vt:lpstr>Mechanical_Output_Generator</vt:lpstr>
      <vt:lpstr>Natural_Gas_Energy_Content</vt:lpstr>
      <vt:lpstr>Oil_Distillate_Energy_Content</vt:lpstr>
      <vt:lpstr>Ozone_Attainment_List</vt:lpstr>
      <vt:lpstr>PM_Emission_Controls_Yes_No_List</vt:lpstr>
      <vt:lpstr>Power_Generator_Yes_No</vt:lpstr>
      <vt:lpstr>Power_Output_Crusher</vt:lpstr>
      <vt:lpstr>Power_Output_Generator</vt:lpstr>
      <vt:lpstr>Primary_Allowable_PM_Emissions</vt:lpstr>
      <vt:lpstr>Primary_Conveyor_Transfer_Points</vt:lpstr>
      <vt:lpstr>Primary_Crushing_Rate_Avg</vt:lpstr>
      <vt:lpstr>Primary_Crushing_Rate_Max</vt:lpstr>
      <vt:lpstr>'Controls and Restrictions'!Print_Area</vt:lpstr>
      <vt:lpstr>Inputs!Print_Area</vt:lpstr>
      <vt:lpstr>'Output-Summary Printout'!Print_Area</vt:lpstr>
      <vt:lpstr>'Registration FAQs'!Print_Area</vt:lpstr>
      <vt:lpstr>'Total Emissions'!Print_Area</vt:lpstr>
      <vt:lpstr>Production_Hours</vt:lpstr>
      <vt:lpstr>Secondary_Allowable_PM_Emissions</vt:lpstr>
      <vt:lpstr>Secondary_Conveyor_Transfer_Points</vt:lpstr>
      <vt:lpstr>Secondary_Crushing_Rate_Avg</vt:lpstr>
      <vt:lpstr>Secondary_Crushing_Rate_Max</vt:lpstr>
      <vt:lpstr>SO2_PM2.5_Attainment_List</vt:lpstr>
      <vt:lpstr>State_List</vt:lpstr>
      <vt:lpstr>Tertiary_Allowable_PM_Emissions</vt:lpstr>
      <vt:lpstr>Tertiary_Conveyor_Transfer_Points</vt:lpstr>
      <vt:lpstr>Tertiary_Crushing_Rate_Avg</vt:lpstr>
      <vt:lpstr>Tertiary_Crushing_Rate_Max</vt:lpstr>
    </vt:vector>
  </TitlesOfParts>
  <Company>Abt Associates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Dorn</dc:creator>
  <cp:lastModifiedBy>Dixon, Danielle</cp:lastModifiedBy>
  <cp:lastPrinted>2013-02-15T20:23:26Z</cp:lastPrinted>
  <dcterms:created xsi:type="dcterms:W3CDTF">2012-12-04T22:59:04Z</dcterms:created>
  <dcterms:modified xsi:type="dcterms:W3CDTF">2016-02-03T18:00:55Z</dcterms:modified>
</cp:coreProperties>
</file>