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1740" yWindow="1236" windowWidth="15480" windowHeight="10416" tabRatio="759"/>
  </bookViews>
  <sheets>
    <sheet name="Registration FAQs" sheetId="38" r:id="rId1"/>
    <sheet name="Instructions" sheetId="1" r:id="rId2"/>
    <sheet name="Inputs" sheetId="13" r:id="rId3"/>
    <sheet name="Controls and Restrictions" sheetId="35" r:id="rId4"/>
    <sheet name="Total Emissions" sheetId="31" r:id="rId5"/>
    <sheet name="Output-Summary Printout" sheetId="36" r:id="rId6"/>
    <sheet name="Change Log" sheetId="14" state="hidden" r:id="rId7"/>
    <sheet name="Emission Factors" sheetId="9" state="hidden" r:id="rId8"/>
    <sheet name="Fuel Energy Content" sheetId="32" state="hidden" r:id="rId9"/>
    <sheet name="Additional References" sheetId="20" state="hidden" r:id="rId10"/>
    <sheet name="EPA Regional Contact Info" sheetId="33" state="hidden" r:id="rId11"/>
  </sheets>
  <definedNames>
    <definedName name="_xlnm._FilterDatabase" localSheetId="10" hidden="1">'EPA Regional Contact Info'!$A$4:$N$55</definedName>
    <definedName name="Actual_2012_Boiler_Energy_Consumption">'Controls and Restrictions'!$L$19</definedName>
    <definedName name="Actual_2012_Furnace_Energy_Consumption">'Controls and Restrictions'!$L$22</definedName>
    <definedName name="Actual_Hourly_Wood">Inputs!$C$43</definedName>
    <definedName name="Bituminous_Actual_Sulfur_Content">'Additional References'!$C$17</definedName>
    <definedName name="Bituminous_Allowable_Sulfur_Content">'Additional References'!$C$5</definedName>
    <definedName name="Boiler_Capacity">Inputs!$C$66</definedName>
    <definedName name="Boiler_Fuel">Inputs!$C$67</definedName>
    <definedName name="Boiler_Fuel_Combusted_in_2012">Inputs!$C$68</definedName>
    <definedName name="Boiler_Fuel_Types">Inputs!$E$31:$E$38</definedName>
    <definedName name="Boiler_Sulfur_Content">Inputs!$C$69</definedName>
    <definedName name="Boiler_Used">Inputs!$C$65</definedName>
    <definedName name="CO_PM10_Attainment_List">Inputs!$E$3:$E$5</definedName>
    <definedName name="Dry_Green_Wood">Inputs!$E$21:$E$22</definedName>
    <definedName name="Emission_Rate_Unit">'Controls and Restrictions'!$L$15:$L$16</definedName>
    <definedName name="Fine_Sawing_Waste_Percent">Inputs!$C$56</definedName>
    <definedName name="Furnace_Capacity">Inputs!$C$72</definedName>
    <definedName name="Furnace_Fuel">Inputs!$C$73</definedName>
    <definedName name="Furnace_Fuel_Combusted_in_2012">Inputs!$C$74</definedName>
    <definedName name="Furnace_Fuel_Types">Inputs!$E$31:$E$39</definedName>
    <definedName name="Furnace_Sulfur_Content">Inputs!$C$75</definedName>
    <definedName name="Furnace_Used">Inputs!$C$71</definedName>
    <definedName name="Hard_Soft_Wood">Inputs!$E$23:$E$24</definedName>
    <definedName name="Kerosene_Actual_Sulfur_Content">'Additional References'!$C$19</definedName>
    <definedName name="Kerosene_Allowable_Sulfur_Content">'Additional References'!$C$7</definedName>
    <definedName name="Kiln_Used">Inputs!$C$64</definedName>
    <definedName name="LPG_Actual_Sulfur_Content">'Additional References'!$C$16</definedName>
    <definedName name="LPG_Allowable_Sulfur_Content">'Additional References'!$C$8</definedName>
    <definedName name="Max_Hourly_Wood">Inputs!$C$44</definedName>
    <definedName name="Milling_Waste_Percent">Inputs!$C$57</definedName>
    <definedName name="Molding_Waste_Percent">Inputs!$C$58</definedName>
    <definedName name="Natural_Gas_Actual_Sulfur_Content">'Additional References'!$C$13</definedName>
    <definedName name="Natural_Gas_Allowable_Sulfur_Content">'Additional References'!$C$10</definedName>
    <definedName name="Oil_Distillate_Actual_Sulfur_Content">'Additional References'!$C$14</definedName>
    <definedName name="Oil_Distillate_Allowable_Sulfur_Content">'Additional References'!$C$9</definedName>
    <definedName name="Oil_Residual_Actual_Sulfur_Content">'Additional References'!$C$15</definedName>
    <definedName name="Oil_Residual_Allowable_Sulfur_Content">'Additional References'!$C$11</definedName>
    <definedName name="Ozone_Attainment_List">Inputs!$E$8:$E$13</definedName>
    <definedName name="Planing_Waste_Percent">Inputs!$C$53</definedName>
    <definedName name="PM_Control_List">'Controls and Restrictions'!$L$4:$L$6</definedName>
    <definedName name="PM10_Control_Multiplier">'Controls and Restrictions'!$L$9</definedName>
    <definedName name="PM2.5_Control_Multiplier">'Controls and Restrictions'!$L$12</definedName>
    <definedName name="_xlnm.Print_Area" localSheetId="3">'Controls and Restrictions'!$A$1:$I$22</definedName>
    <definedName name="_xlnm.Print_Area" localSheetId="2">Inputs!$A$1:$C$75</definedName>
    <definedName name="_xlnm.Print_Area" localSheetId="1">Instructions!$A$1:$R$47</definedName>
    <definedName name="_xlnm.Print_Area" localSheetId="5">'Output-Summary Printout'!$A$1:$F$42</definedName>
    <definedName name="_xlnm.Print_Area" localSheetId="0">'Registration FAQs'!$B$1:$C$37</definedName>
    <definedName name="Rough_Sawing_Waste_Percent">Inputs!$C$55</definedName>
    <definedName name="Sanding_Waste_Percent">Inputs!$C$59</definedName>
    <definedName name="Shaving_Waste_Percent">Inputs!$C$54</definedName>
    <definedName name="SO2_PM25_Attainment_List">Inputs!$E$16:$E$17</definedName>
    <definedName name="State_List">Inputs!$E$42:$E$86</definedName>
    <definedName name="Subbituminous_Actual_Sulfur_Content">'Additional References'!$C$18</definedName>
    <definedName name="Subbituminous_Allowable_Sulfur_Content">'Additional References'!$C$6</definedName>
    <definedName name="Weekly_Operation_Hours">Inputs!$C$45</definedName>
    <definedName name="Wood_Density">Inputs!$C$47</definedName>
    <definedName name="Wood_Duct_Percent">Inputs!$C$49</definedName>
    <definedName name="Wood_Type">Inputs!$C$41</definedName>
    <definedName name="Wood_Type_2">Inputs!$C$42</definedName>
    <definedName name="Wood_Waste_Energy_Content">'Fuel Energy Content'!$B$23</definedName>
    <definedName name="Wood_Waste_Percent">Inputs!$C$48</definedName>
    <definedName name="Yes_No">Inputs!$E$27:$E$28</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C26" i="31" l="1"/>
  <c r="C70" i="13" l="1"/>
  <c r="B74" i="13" l="1"/>
  <c r="C76" i="13" l="1"/>
  <c r="B68" i="13"/>
  <c r="B23" i="32" l="1"/>
  <c r="C47" i="13"/>
  <c r="F6" i="35"/>
  <c r="L12" i="35" s="1"/>
  <c r="F5" i="35"/>
  <c r="L9" i="35" s="1"/>
  <c r="E43" i="13" l="1"/>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42" i="13"/>
  <c r="A33" i="36" l="1"/>
  <c r="L22" i="36"/>
  <c r="F22" i="36"/>
  <c r="L20" i="36"/>
  <c r="F20" i="36"/>
  <c r="L18" i="36"/>
  <c r="F18" i="36"/>
  <c r="L16" i="36"/>
  <c r="F16" i="36"/>
  <c r="L14" i="36"/>
  <c r="F14" i="36"/>
  <c r="L12" i="36"/>
  <c r="F12" i="36"/>
  <c r="E5" i="36"/>
  <c r="B5" i="36"/>
  <c r="E4" i="36"/>
  <c r="B4" i="36"/>
  <c r="E3" i="36"/>
  <c r="B3" i="36"/>
  <c r="D74" i="9" l="1"/>
  <c r="C61" i="13" l="1"/>
  <c r="C60" i="13"/>
  <c r="C25" i="13" l="1"/>
  <c r="D38" i="36" s="1"/>
  <c r="C24" i="13"/>
  <c r="D37" i="36" s="1"/>
  <c r="C23" i="13"/>
  <c r="D36" i="36" s="1"/>
  <c r="C22" i="13"/>
  <c r="D35" i="36" s="1"/>
  <c r="C21" i="13"/>
  <c r="C20" i="13"/>
  <c r="C19" i="13"/>
  <c r="C18" i="13"/>
  <c r="D41" i="36" s="1"/>
  <c r="C17" i="13"/>
  <c r="D40" i="36" s="1"/>
  <c r="C16" i="13"/>
  <c r="D34" i="36" s="1"/>
  <c r="B15" i="13"/>
  <c r="D172" i="9" l="1"/>
  <c r="E172" i="9" s="1"/>
  <c r="D140" i="9"/>
  <c r="D139" i="9"/>
  <c r="D138" i="9"/>
  <c r="D137" i="9"/>
  <c r="E137" i="9" s="1"/>
  <c r="D130" i="9"/>
  <c r="E130" i="9" s="1"/>
  <c r="D123" i="9"/>
  <c r="E123" i="9" s="1"/>
  <c r="D116" i="9"/>
  <c r="E175" i="9"/>
  <c r="C175" i="9"/>
  <c r="E174" i="9"/>
  <c r="C174" i="9"/>
  <c r="D173" i="9"/>
  <c r="E173" i="9" s="1"/>
  <c r="C173" i="9"/>
  <c r="C172" i="9"/>
  <c r="E171" i="9"/>
  <c r="C171" i="9"/>
  <c r="E170" i="9"/>
  <c r="C170" i="9"/>
  <c r="E169" i="9"/>
  <c r="C169" i="9"/>
  <c r="E168" i="9"/>
  <c r="C168" i="9"/>
  <c r="E167" i="9"/>
  <c r="C167" i="9"/>
  <c r="E166" i="9"/>
  <c r="C166" i="9"/>
  <c r="E165" i="9"/>
  <c r="C165" i="9"/>
  <c r="E164" i="9"/>
  <c r="C164" i="9"/>
  <c r="E163" i="9"/>
  <c r="C163" i="9"/>
  <c r="E162" i="9"/>
  <c r="C162" i="9"/>
  <c r="E161" i="9"/>
  <c r="C161" i="9"/>
  <c r="E160" i="9"/>
  <c r="C160" i="9"/>
  <c r="E159" i="9"/>
  <c r="C159" i="9"/>
  <c r="E158" i="9"/>
  <c r="C158" i="9"/>
  <c r="E157" i="9"/>
  <c r="C157" i="9"/>
  <c r="E156" i="9"/>
  <c r="C156" i="9"/>
  <c r="E155" i="9"/>
  <c r="C155" i="9"/>
  <c r="E154" i="9"/>
  <c r="C154" i="9"/>
  <c r="E153" i="9"/>
  <c r="C153" i="9"/>
  <c r="E152" i="9"/>
  <c r="C152" i="9"/>
  <c r="E151" i="9"/>
  <c r="C151" i="9"/>
  <c r="E150" i="9"/>
  <c r="C150" i="9"/>
  <c r="E149" i="9"/>
  <c r="C149" i="9"/>
  <c r="E148" i="9"/>
  <c r="C148" i="9"/>
  <c r="E147" i="9"/>
  <c r="C147" i="9"/>
  <c r="E146" i="9"/>
  <c r="C146" i="9"/>
  <c r="E145" i="9"/>
  <c r="C145" i="9"/>
  <c r="E144" i="9"/>
  <c r="C144" i="9"/>
  <c r="E143" i="9"/>
  <c r="C143" i="9"/>
  <c r="E142" i="9"/>
  <c r="C142" i="9"/>
  <c r="E141" i="9"/>
  <c r="C141" i="9"/>
  <c r="E140" i="9"/>
  <c r="C140" i="9"/>
  <c r="E139" i="9"/>
  <c r="C139" i="9"/>
  <c r="E138" i="9"/>
  <c r="C138" i="9"/>
  <c r="C137" i="9"/>
  <c r="E136" i="9"/>
  <c r="C136" i="9"/>
  <c r="E135" i="9"/>
  <c r="C135" i="9"/>
  <c r="E134" i="9"/>
  <c r="C134" i="9"/>
  <c r="E133" i="9"/>
  <c r="C133" i="9"/>
  <c r="E132" i="9"/>
  <c r="C132" i="9"/>
  <c r="E131" i="9"/>
  <c r="C131" i="9"/>
  <c r="C130" i="9"/>
  <c r="E129" i="9"/>
  <c r="C129" i="9"/>
  <c r="E128" i="9"/>
  <c r="C128" i="9"/>
  <c r="E127" i="9"/>
  <c r="C127" i="9"/>
  <c r="E126" i="9"/>
  <c r="C126" i="9"/>
  <c r="E125" i="9"/>
  <c r="C125" i="9"/>
  <c r="D124" i="9"/>
  <c r="E124" i="9" s="1"/>
  <c r="C124" i="9"/>
  <c r="C123" i="9"/>
  <c r="E122" i="9"/>
  <c r="C122" i="9"/>
  <c r="E121" i="9"/>
  <c r="C121" i="9"/>
  <c r="E120" i="9"/>
  <c r="C120" i="9"/>
  <c r="E119" i="9"/>
  <c r="C119" i="9"/>
  <c r="E118" i="9"/>
  <c r="C118" i="9"/>
  <c r="D117" i="9"/>
  <c r="E117" i="9" s="1"/>
  <c r="C117" i="9"/>
  <c r="C116" i="9"/>
  <c r="E115" i="9"/>
  <c r="C115" i="9"/>
  <c r="E114" i="9"/>
  <c r="C114" i="9"/>
  <c r="E113" i="9"/>
  <c r="C113" i="9"/>
  <c r="D108" i="9"/>
  <c r="E108" i="9" s="1"/>
  <c r="D76" i="9"/>
  <c r="D75" i="9"/>
  <c r="D73" i="9"/>
  <c r="E73" i="9" s="1"/>
  <c r="D66" i="9"/>
  <c r="E66" i="9" s="1"/>
  <c r="D59" i="9"/>
  <c r="E59" i="9" s="1"/>
  <c r="D52" i="9"/>
  <c r="E52" i="9" s="1"/>
  <c r="E87" i="9"/>
  <c r="E80" i="9"/>
  <c r="E76" i="9"/>
  <c r="E75" i="9"/>
  <c r="E74" i="9"/>
  <c r="D13" i="31" l="1"/>
  <c r="H13" i="31"/>
  <c r="C13" i="31"/>
  <c r="G13" i="31"/>
  <c r="F13" i="31"/>
  <c r="E13" i="31"/>
  <c r="E116" i="9"/>
  <c r="E26" i="31" s="1"/>
  <c r="B22" i="32"/>
  <c r="B21" i="32"/>
  <c r="B20" i="32"/>
  <c r="B19" i="32"/>
  <c r="B18" i="32"/>
  <c r="B17" i="32"/>
  <c r="B16" i="32"/>
  <c r="L22" i="35" l="1"/>
  <c r="L19" i="35"/>
  <c r="G26" i="31"/>
  <c r="H26" i="31"/>
  <c r="F26" i="31"/>
  <c r="D26" i="31"/>
  <c r="E92" i="9"/>
  <c r="E93" i="9"/>
  <c r="E94" i="9"/>
  <c r="E95" i="9"/>
  <c r="E96" i="9"/>
  <c r="E97" i="9"/>
  <c r="E98" i="9"/>
  <c r="E99" i="9"/>
  <c r="E100" i="9"/>
  <c r="E101" i="9"/>
  <c r="E102" i="9"/>
  <c r="E103" i="9"/>
  <c r="E104" i="9"/>
  <c r="E91" i="9"/>
  <c r="C104" i="9"/>
  <c r="C103" i="9"/>
  <c r="C102" i="9"/>
  <c r="C101" i="9"/>
  <c r="C100" i="9"/>
  <c r="C99" i="9"/>
  <c r="C98" i="9"/>
  <c r="E111" i="9"/>
  <c r="C111" i="9"/>
  <c r="E110" i="9"/>
  <c r="C110" i="9"/>
  <c r="D109" i="9"/>
  <c r="E109" i="9" s="1"/>
  <c r="C109" i="9"/>
  <c r="C108" i="9"/>
  <c r="E107" i="9"/>
  <c r="C107" i="9"/>
  <c r="E106" i="9"/>
  <c r="C106" i="9"/>
  <c r="E105" i="9"/>
  <c r="C105" i="9"/>
  <c r="C97" i="9"/>
  <c r="C96" i="9"/>
  <c r="C95" i="9"/>
  <c r="C94" i="9"/>
  <c r="C93" i="9"/>
  <c r="C92" i="9"/>
  <c r="C91" i="9"/>
  <c r="E90" i="9"/>
  <c r="C90" i="9"/>
  <c r="E89" i="9"/>
  <c r="C89" i="9"/>
  <c r="E88" i="9"/>
  <c r="C88" i="9"/>
  <c r="C87" i="9"/>
  <c r="E86" i="9"/>
  <c r="C86" i="9"/>
  <c r="E85" i="9"/>
  <c r="C85" i="9"/>
  <c r="E84" i="9"/>
  <c r="C84" i="9"/>
  <c r="E83" i="9"/>
  <c r="C83" i="9"/>
  <c r="E82" i="9"/>
  <c r="C82" i="9"/>
  <c r="E81" i="9"/>
  <c r="C81" i="9"/>
  <c r="C80" i="9"/>
  <c r="E79" i="9"/>
  <c r="C79" i="9"/>
  <c r="E78" i="9"/>
  <c r="C78" i="9"/>
  <c r="E77" i="9"/>
  <c r="C77" i="9"/>
  <c r="C76" i="9"/>
  <c r="C75" i="9"/>
  <c r="C74" i="9"/>
  <c r="C73" i="9"/>
  <c r="E72" i="9"/>
  <c r="C72" i="9"/>
  <c r="E71" i="9"/>
  <c r="C71" i="9"/>
  <c r="E70" i="9"/>
  <c r="C70" i="9"/>
  <c r="E69" i="9"/>
  <c r="C69" i="9"/>
  <c r="E68" i="9"/>
  <c r="C68" i="9"/>
  <c r="E67" i="9"/>
  <c r="C67" i="9"/>
  <c r="C66" i="9"/>
  <c r="E65" i="9"/>
  <c r="C65" i="9"/>
  <c r="E64" i="9"/>
  <c r="C64" i="9"/>
  <c r="E63" i="9"/>
  <c r="C63" i="9"/>
  <c r="E62" i="9"/>
  <c r="C62" i="9"/>
  <c r="E61" i="9"/>
  <c r="C61" i="9"/>
  <c r="D60" i="9"/>
  <c r="E60" i="9" s="1"/>
  <c r="C60" i="9"/>
  <c r="C59" i="9"/>
  <c r="E58" i="9"/>
  <c r="C58" i="9"/>
  <c r="E57" i="9"/>
  <c r="C57" i="9"/>
  <c r="E56" i="9"/>
  <c r="C56" i="9"/>
  <c r="E55" i="9"/>
  <c r="C55" i="9"/>
  <c r="E54" i="9"/>
  <c r="C54" i="9"/>
  <c r="D53" i="9"/>
  <c r="E53" i="9" s="1"/>
  <c r="C53" i="9"/>
  <c r="C52" i="9"/>
  <c r="E51" i="9"/>
  <c r="C51" i="9"/>
  <c r="E50" i="9"/>
  <c r="C50" i="9"/>
  <c r="E49" i="9"/>
  <c r="C49" i="9"/>
  <c r="G12" i="31" l="1"/>
  <c r="C12" i="31"/>
  <c r="C14" i="31" s="1"/>
  <c r="F25" i="31"/>
  <c r="F12" i="31"/>
  <c r="E25" i="31"/>
  <c r="C25" i="31"/>
  <c r="C27" i="31" s="1"/>
  <c r="E12" i="36" s="1"/>
  <c r="E12" i="31"/>
  <c r="E14" i="31" s="1"/>
  <c r="C16" i="36" s="1"/>
  <c r="H25" i="31"/>
  <c r="D25" i="31"/>
  <c r="H12" i="31"/>
  <c r="D12" i="31"/>
  <c r="D14" i="31" s="1"/>
  <c r="C14" i="36" s="1"/>
  <c r="G25" i="31"/>
  <c r="C12" i="36" l="1"/>
  <c r="E27" i="31"/>
  <c r="E16" i="36" s="1"/>
  <c r="D27" i="31"/>
  <c r="E14" i="36" s="1"/>
  <c r="F14" i="31"/>
  <c r="C18" i="36" s="1"/>
  <c r="F27" i="31"/>
  <c r="E18" i="36" s="1"/>
  <c r="E28" i="9"/>
  <c r="E30" i="9"/>
  <c r="E31" i="9"/>
  <c r="E33" i="9"/>
  <c r="E34" i="9"/>
  <c r="E36" i="9"/>
  <c r="E37" i="9"/>
  <c r="E39" i="9"/>
  <c r="E40" i="9"/>
  <c r="E42" i="9"/>
  <c r="E43" i="9"/>
  <c r="E45" i="9"/>
  <c r="E46" i="9"/>
  <c r="E27" i="9"/>
  <c r="E6" i="9"/>
  <c r="E7" i="9"/>
  <c r="E8" i="9"/>
  <c r="E9" i="9"/>
  <c r="E10" i="9"/>
  <c r="E11" i="9"/>
  <c r="E12" i="9"/>
  <c r="E14" i="9"/>
  <c r="E15" i="9"/>
  <c r="E17" i="9"/>
  <c r="E18" i="9"/>
  <c r="E19" i="9"/>
  <c r="E20" i="9"/>
  <c r="E21" i="9"/>
  <c r="E22" i="9"/>
  <c r="E23" i="9"/>
  <c r="E24" i="9"/>
  <c r="E5" i="9"/>
  <c r="D47" i="9"/>
  <c r="E47" i="9" s="1"/>
  <c r="D44" i="9"/>
  <c r="E44" i="9" s="1"/>
  <c r="D41" i="9"/>
  <c r="E41" i="9" s="1"/>
  <c r="D38" i="9"/>
  <c r="E38" i="9" s="1"/>
  <c r="D35" i="9"/>
  <c r="E35" i="9" s="1"/>
  <c r="D32" i="9"/>
  <c r="E32" i="9" s="1"/>
  <c r="D29" i="9"/>
  <c r="E29" i="9" s="1"/>
  <c r="D25" i="9"/>
  <c r="E25" i="9" s="1"/>
  <c r="D16" i="9"/>
  <c r="E16" i="9" s="1"/>
  <c r="D13" i="9"/>
  <c r="E13" i="9" s="1"/>
  <c r="C28" i="9"/>
  <c r="C29" i="9"/>
  <c r="C30" i="9"/>
  <c r="C31" i="9"/>
  <c r="C32" i="9"/>
  <c r="C33" i="9"/>
  <c r="C34" i="9"/>
  <c r="C35" i="9"/>
  <c r="C36" i="9"/>
  <c r="C37" i="9"/>
  <c r="C38" i="9"/>
  <c r="C39" i="9"/>
  <c r="C40" i="9"/>
  <c r="C41" i="9"/>
  <c r="C42" i="9"/>
  <c r="C43" i="9"/>
  <c r="C44" i="9"/>
  <c r="C45" i="9"/>
  <c r="C46" i="9"/>
  <c r="C47" i="9"/>
  <c r="C27" i="9"/>
  <c r="C6" i="9"/>
  <c r="C7" i="9"/>
  <c r="C8" i="9"/>
  <c r="C9" i="9"/>
  <c r="C10" i="9"/>
  <c r="C11" i="9"/>
  <c r="C12" i="9"/>
  <c r="C13" i="9"/>
  <c r="C14" i="9"/>
  <c r="C15" i="9"/>
  <c r="C16" i="9"/>
  <c r="C17" i="9"/>
  <c r="C18" i="9"/>
  <c r="C19" i="9"/>
  <c r="C20" i="9"/>
  <c r="C21" i="9"/>
  <c r="C22" i="9"/>
  <c r="C23" i="9"/>
  <c r="C24" i="9"/>
  <c r="C25" i="9"/>
  <c r="C5" i="9"/>
  <c r="G9" i="31" l="1"/>
  <c r="G10" i="31"/>
  <c r="H8" i="31"/>
  <c r="H9" i="31"/>
  <c r="H10" i="31"/>
  <c r="H7" i="31"/>
  <c r="H11" i="31"/>
  <c r="G5" i="31"/>
  <c r="G7" i="31"/>
  <c r="H5" i="31"/>
  <c r="G8" i="31"/>
  <c r="H6" i="31"/>
  <c r="G6" i="31"/>
  <c r="G11" i="31"/>
  <c r="M14" i="36"/>
  <c r="K14" i="36"/>
  <c r="M16" i="36"/>
  <c r="K16" i="36"/>
  <c r="M18" i="36"/>
  <c r="K18" i="36"/>
  <c r="M12" i="36"/>
  <c r="K12" i="36"/>
  <c r="G24" i="31"/>
  <c r="H24" i="31"/>
  <c r="H18" i="31"/>
  <c r="G18" i="31"/>
  <c r="H19" i="31"/>
  <c r="G19" i="31"/>
  <c r="G20" i="31"/>
  <c r="G21" i="31"/>
  <c r="G22" i="31"/>
  <c r="H23" i="31"/>
  <c r="H20" i="31"/>
  <c r="H21" i="31"/>
  <c r="H22" i="31"/>
  <c r="G23" i="31"/>
  <c r="G14" i="31" l="1"/>
  <c r="C20" i="36" s="1"/>
  <c r="H14" i="31"/>
  <c r="C22" i="36" s="1"/>
  <c r="G27" i="31"/>
  <c r="E20" i="36" s="1"/>
  <c r="H27" i="31"/>
  <c r="E22" i="36" s="1"/>
  <c r="K20" i="36" l="1"/>
  <c r="M20" i="36"/>
  <c r="M22" i="36"/>
  <c r="K22" i="36"/>
  <c r="B2" i="1"/>
  <c r="A30" i="36" l="1"/>
  <c r="A32" i="36" s="1"/>
  <c r="B1" i="1"/>
</calcChain>
</file>

<file path=xl/sharedStrings.xml><?xml version="1.0" encoding="utf-8"?>
<sst xmlns="http://schemas.openxmlformats.org/spreadsheetml/2006/main" count="1895" uniqueCount="517">
  <si>
    <t>Pollutant</t>
  </si>
  <si>
    <t>(tons/yr)</t>
  </si>
  <si>
    <t>volatile organic compound</t>
  </si>
  <si>
    <t>Purpose</t>
  </si>
  <si>
    <t>Facility Information</t>
  </si>
  <si>
    <t>Name</t>
  </si>
  <si>
    <t>Address</t>
  </si>
  <si>
    <t>Telephone</t>
  </si>
  <si>
    <t>Email</t>
  </si>
  <si>
    <t>Facility Contact</t>
  </si>
  <si>
    <t>Attainment</t>
  </si>
  <si>
    <t>Source Category Description</t>
  </si>
  <si>
    <t>Major Source</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</si>
  <si>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</si>
  <si>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</si>
  <si>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</si>
  <si>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</si>
  <si>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</si>
  <si>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</si>
  <si>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</si>
  <si>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</si>
  <si>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</si>
  <si>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</si>
  <si>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</si>
  <si>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</si>
  <si>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</si>
  <si>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</si>
  <si>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</si>
  <si>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</si>
  <si>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</si>
  <si>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</si>
  <si>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</si>
  <si>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</si>
  <si>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</si>
  <si>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</si>
  <si>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</si>
  <si>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</si>
  <si>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</si>
  <si>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</si>
  <si>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</si>
  <si>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</si>
  <si>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</si>
  <si>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</si>
  <si>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</si>
  <si>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</si>
  <si>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</si>
  <si>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</si>
  <si>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</si>
  <si>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Exceeds major source threshold.</t>
  </si>
  <si>
    <t>Additional References</t>
  </si>
  <si>
    <t>Data Element</t>
  </si>
  <si>
    <t>new source review</t>
  </si>
  <si>
    <t>Fuel and Process</t>
  </si>
  <si>
    <t xml:space="preserve">Value </t>
  </si>
  <si>
    <t>N/A</t>
  </si>
  <si>
    <r>
      <t>PM</t>
    </r>
    <r>
      <rPr>
        <vertAlign val="subscript"/>
        <sz val="10"/>
        <rFont val="Arial"/>
        <family val="2"/>
      </rPr>
      <t>10</t>
    </r>
    <r>
      <rPr>
        <sz val="10"/>
        <rFont val="Arial"/>
        <family val="2"/>
      </rPr>
      <t xml:space="preserve"> Attainment Status (select one):</t>
    </r>
  </si>
  <si>
    <r>
      <t>PM</t>
    </r>
    <r>
      <rPr>
        <b/>
        <vertAlign val="subscript"/>
        <sz val="10"/>
        <rFont val="Arial"/>
        <family val="2"/>
      </rPr>
      <t>10</t>
    </r>
  </si>
  <si>
    <r>
      <t>PM</t>
    </r>
    <r>
      <rPr>
        <b/>
        <vertAlign val="subscript"/>
        <sz val="10"/>
        <rFont val="Arial"/>
        <family val="2"/>
      </rPr>
      <t>2.5</t>
    </r>
  </si>
  <si>
    <t>Total PM</t>
  </si>
  <si>
    <t>carbon monoxide</t>
  </si>
  <si>
    <t>nitrogen oxides</t>
  </si>
  <si>
    <t>sulfur dioxide</t>
  </si>
  <si>
    <t>million British thermal units</t>
  </si>
  <si>
    <t>Units</t>
  </si>
  <si>
    <t>PM10</t>
  </si>
  <si>
    <t>PM2.5</t>
  </si>
  <si>
    <t>Registration Calculator Inputs</t>
  </si>
  <si>
    <t>Registration Summary</t>
  </si>
  <si>
    <t>Cells shaded gray do not need to be completed.</t>
  </si>
  <si>
    <t>Sawmill Registration Calculator</t>
  </si>
  <si>
    <t>Facility Questions</t>
  </si>
  <si>
    <t>Composition of Wood Waste</t>
  </si>
  <si>
    <t>Planing</t>
  </si>
  <si>
    <t>Shaving/Chipping</t>
  </si>
  <si>
    <t>Rough Sawing</t>
  </si>
  <si>
    <t>Fine Sawing</t>
  </si>
  <si>
    <t>Milling (and Hog)</t>
  </si>
  <si>
    <t>Molding</t>
  </si>
  <si>
    <t>Sanding</t>
  </si>
  <si>
    <t>Green Wood</t>
  </si>
  <si>
    <t>Dry Wood</t>
  </si>
  <si>
    <t>%</t>
  </si>
  <si>
    <t>board feet</t>
  </si>
  <si>
    <t>CO Attainment Status (select one):</t>
  </si>
  <si>
    <r>
      <t>SO</t>
    </r>
    <r>
      <rPr>
        <vertAlign val="subscript"/>
        <sz val="10"/>
        <rFont val="Arial"/>
        <family val="2"/>
      </rPr>
      <t>2</t>
    </r>
    <r>
      <rPr>
        <sz val="10"/>
        <rFont val="Arial"/>
        <family val="2"/>
      </rPr>
      <t xml:space="preserve"> Attainment Status (select one):</t>
    </r>
  </si>
  <si>
    <t>CO</t>
  </si>
  <si>
    <t>VOC</t>
  </si>
  <si>
    <t>Boiler</t>
  </si>
  <si>
    <r>
      <t>NO</t>
    </r>
    <r>
      <rPr>
        <b/>
        <vertAlign val="subscript"/>
        <sz val="10"/>
        <rFont val="Arial"/>
        <family val="2"/>
      </rPr>
      <t>x</t>
    </r>
  </si>
  <si>
    <r>
      <t>SO</t>
    </r>
    <r>
      <rPr>
        <b/>
        <vertAlign val="subscript"/>
        <sz val="10"/>
        <rFont val="Arial"/>
        <family val="2"/>
      </rPr>
      <t>2</t>
    </r>
  </si>
  <si>
    <t>Yes/No Answer</t>
  </si>
  <si>
    <t>Yes</t>
  </si>
  <si>
    <t>No</t>
  </si>
  <si>
    <t>Hard Wood</t>
  </si>
  <si>
    <t>Soft Wood</t>
  </si>
  <si>
    <t>Wood Types</t>
  </si>
  <si>
    <t>Facility Processes</t>
  </si>
  <si>
    <t>Boiler/Kiln Fuel Types</t>
  </si>
  <si>
    <t>lb</t>
  </si>
  <si>
    <t>Ton</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</si>
  <si>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t>
  </si>
  <si>
    <r>
      <t>NO</t>
    </r>
    <r>
      <rPr>
        <vertAlign val="subscript"/>
        <sz val="10"/>
        <rFont val="Arial"/>
        <family val="2"/>
      </rPr>
      <t>x</t>
    </r>
  </si>
  <si>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</si>
  <si>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</si>
  <si>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</si>
  <si>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Coal - Bituminous</t>
  </si>
  <si>
    <t>Based on average of emissions factors in AP-42, Fifth Edition, Volume I, Chapter 1: External Combustion Sources, http://www.epa.gov/ttn/chief/ap42/ch01/index.html.</t>
  </si>
  <si>
    <t>Coal - Subbituminous</t>
  </si>
  <si>
    <t>AP-42, Fifth Edition, Volume I, Chapter 1: External Combustion Sources, Table 1.1-3, Spreader Stoker, Subbituminous, http://www.epa.gov/ttn/chief/ap42/ch01/index.html.</t>
  </si>
  <si>
    <t>Oil - Distillate</t>
  </si>
  <si>
    <t>1000 gal</t>
  </si>
  <si>
    <t>Oil - Residual</t>
  </si>
  <si>
    <t>Natural Gas</t>
  </si>
  <si>
    <t>MMcf</t>
  </si>
  <si>
    <t>LPG</t>
  </si>
  <si>
    <t>MMBtu</t>
  </si>
  <si>
    <t>Kerosene</t>
  </si>
  <si>
    <t>Wood Waste</t>
  </si>
  <si>
    <t>Wood WasteWet Wood</t>
  </si>
  <si>
    <t>Wood WasteDry Wood</t>
  </si>
  <si>
    <t>AP-42, Fifth Edition, Volume I, Chapter 1.6: Wood Residue Combustion in Boilers, http://www.epa.gov/ttn/chief/ap42/ch01/final/c01s06.pdf.</t>
  </si>
  <si>
    <t>Assumed the same as distillate oil. USEPA, Technical Support Document for Potential to Emit Guidance Document. Documentation of Emissions Calculations. Tim Smith, April 1998, p. 12, available at http://www.epa.gov/ttn/atw/pte/tekmarch.pdf (accessed October 2012).</t>
  </si>
  <si>
    <t>U.S. Environmental Protection Agency, AP-42, Fifth Edition, Volume I, Chapter 1: External Combustion, Section 1.4: Natural Gas Combustion, 1998, available at http://www.epa.gov/ttn/chief/ap42/ch01/final/c01s04.pdf.</t>
  </si>
  <si>
    <t>Fuel Energy Content</t>
  </si>
  <si>
    <t>Units Same as Source</t>
  </si>
  <si>
    <t>Fuel</t>
  </si>
  <si>
    <t>Energy Content</t>
  </si>
  <si>
    <t>Energy Content Numerator</t>
  </si>
  <si>
    <t>Energy Content Denominator</t>
  </si>
  <si>
    <t>ton</t>
  </si>
  <si>
    <r>
      <t xml:space="preserve">U.S. Energy Information Administration, </t>
    </r>
    <r>
      <rPr>
        <b/>
        <sz val="10"/>
        <rFont val="Arial"/>
        <family val="2"/>
      </rPr>
      <t>Annual Energy Review 2011</t>
    </r>
    <r>
      <rPr>
        <sz val="10"/>
        <rFont val="Arial"/>
        <family val="2"/>
      </rPr>
      <t xml:space="preserve">, </t>
    </r>
    <r>
      <rPr>
        <i/>
        <sz val="10"/>
        <rFont val="Arial"/>
        <family val="2"/>
      </rPr>
      <t>Table A5. Approximate Heat Content of Coal and Coal Coke, Selected Years, 1949-2011, September 2012 (Million Btu per Short Ton)</t>
    </r>
    <r>
      <rPr>
        <sz val="10"/>
        <rFont val="Arial"/>
        <family val="2"/>
      </rPr>
      <t>, http://www.eia.gov/totalenergy/data/annual/pdf/sec12_5.pdf</t>
    </r>
  </si>
  <si>
    <t>bbl</t>
  </si>
  <si>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</si>
  <si>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U.S. Environmental Protection Agency, Direct Emissions from Stationary Combustion Sources, EPA430-K-08-003, May 2008, http://www.epa.gov/climateleadership/documents/resources/stationarycombustionguidance.pdf.</t>
  </si>
  <si>
    <t>Btu</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</si>
  <si>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</si>
  <si>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</si>
  <si>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t>Units Converted to Match Emission Factors</t>
  </si>
  <si>
    <t>U.S. Environmental Protection Agency 1993. Emissions Factor Documentation for AP-42 Section 1.11 Waste Oil Combustion. Table 2-1. Available electronically at: http://www.epa.gov/ttnchie1/ap42/ch01/bgdocs/b01s11.pdf</t>
  </si>
  <si>
    <t>Furnace</t>
  </si>
  <si>
    <t>Subbituminous Coal</t>
  </si>
  <si>
    <t>Bituminous Coal</t>
  </si>
  <si>
    <t>Oil Distillate</t>
  </si>
  <si>
    <t>Oil Residual</t>
  </si>
  <si>
    <t>Jonathan Dorn
Matt Hynson</t>
  </si>
  <si>
    <t xml:space="preserve">jonathan_dorn@abtassoc.com </t>
  </si>
  <si>
    <r>
      <t xml:space="preserve">You will need to enter information on the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</si>
  <si>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Acronyms/Definitions</t>
  </si>
  <si>
    <t>EPA</t>
  </si>
  <si>
    <t>U.S. Environmental Protection Agency</t>
  </si>
  <si>
    <t>particulate matter less than or equal to 10 micrometers (µm) in size</t>
  </si>
  <si>
    <t>particulate matter less than or equal to 2.5 micrometers (µm) in size</t>
  </si>
  <si>
    <t>Total Emissions</t>
  </si>
  <si>
    <t>Emissions Source:</t>
  </si>
  <si>
    <t xml:space="preserve">http://www.epa.gov/oar/oaqps/greenbk/ancl.html </t>
  </si>
  <si>
    <t>4:  Facility Use Questions</t>
  </si>
  <si>
    <t>Threshold</t>
  </si>
  <si>
    <t>City</t>
  </si>
  <si>
    <t>State</t>
  </si>
  <si>
    <t>Zip Code</t>
  </si>
  <si>
    <t>Albuquerque</t>
  </si>
  <si>
    <t>EPA Regional Contact Information</t>
  </si>
  <si>
    <t>Regional Contact Information</t>
  </si>
  <si>
    <t>State Abbreviation</t>
  </si>
  <si>
    <t>EPA Region</t>
  </si>
  <si>
    <t>Alternate Name</t>
  </si>
  <si>
    <t>Alt Telephone</t>
  </si>
  <si>
    <t>Alt Email</t>
  </si>
  <si>
    <t>Address 1</t>
  </si>
  <si>
    <t>Address 2</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</si>
  <si>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</si>
  <si>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</si>
  <si>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</si>
  <si>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</si>
  <si>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</si>
  <si>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</si>
  <si>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</si>
  <si>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</si>
  <si>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</si>
  <si>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</si>
  <si>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</si>
  <si>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</si>
  <si>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</si>
  <si>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</si>
  <si>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</si>
  <si>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</si>
  <si>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</si>
  <si>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</si>
  <si>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</si>
  <si>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</si>
  <si>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</si>
  <si>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</si>
  <si>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</si>
  <si>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</si>
  <si>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</si>
  <si>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</si>
  <si>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</si>
  <si>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</si>
  <si>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</si>
  <si>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</si>
  <si>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</si>
  <si>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</si>
  <si>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</si>
  <si>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</si>
  <si>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</si>
  <si>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</si>
  <si>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</si>
  <si>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</si>
  <si>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Kaushal Gupta</t>
  </si>
  <si>
    <t>312-886-6803</t>
  </si>
  <si>
    <t>gupta.kaushal@epa.gov</t>
  </si>
  <si>
    <t>77 West Jackson Boulevard</t>
  </si>
  <si>
    <t>Rm#: 18130</t>
  </si>
  <si>
    <t>Chicago</t>
  </si>
  <si>
    <t>IL</t>
  </si>
  <si>
    <t>60604-3507</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</si>
  <si>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</si>
  <si>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</si>
  <si>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</si>
  <si>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</si>
  <si>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</si>
  <si>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</si>
  <si>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</si>
  <si>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</si>
  <si>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</si>
  <si>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</si>
  <si>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</si>
  <si>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</si>
  <si>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</si>
  <si>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</si>
  <si>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</si>
  <si>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</si>
  <si>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</si>
  <si>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</si>
  <si>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</si>
  <si>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</si>
  <si>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</si>
  <si>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</si>
  <si>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</si>
  <si>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</si>
  <si>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</si>
  <si>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</si>
  <si>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</si>
  <si>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</si>
  <si>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</si>
  <si>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</si>
  <si>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</si>
  <si>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</si>
  <si>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</si>
  <si>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</si>
  <si>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</si>
  <si>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</si>
  <si>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</si>
  <si>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</si>
  <si>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</si>
  <si>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</si>
  <si>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</si>
  <si>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</si>
  <si>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</si>
  <si>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</si>
  <si>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</si>
  <si>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</si>
  <si>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</si>
  <si>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</si>
  <si>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</si>
  <si>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</si>
  <si>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</si>
  <si>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</si>
  <si>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</si>
  <si>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</si>
  <si>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</si>
  <si>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</si>
  <si>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</si>
  <si>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</si>
  <si>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</si>
  <si>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</si>
  <si>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</si>
  <si>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</si>
  <si>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</si>
  <si>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</si>
  <si>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</si>
  <si>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</si>
  <si>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</si>
  <si>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</si>
  <si>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</si>
  <si>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</si>
  <si>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</si>
  <si>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</si>
  <si>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</si>
  <si>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</si>
  <si>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</si>
  <si>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</si>
  <si>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</si>
  <si>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</si>
  <si>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</si>
  <si>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</si>
  <si>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</si>
  <si>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</si>
  <si>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</si>
  <si>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</si>
  <si>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</si>
  <si>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</si>
  <si>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</si>
  <si>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</si>
  <si>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</si>
  <si>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</si>
  <si>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</si>
  <si>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</si>
  <si>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</si>
  <si>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</si>
  <si>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</si>
  <si>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TX</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</si>
  <si>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</si>
  <si>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</si>
  <si>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</si>
  <si>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</si>
  <si>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</si>
  <si>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</si>
  <si>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</si>
  <si>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</si>
  <si>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</si>
  <si>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</si>
  <si>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</si>
  <si>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</si>
  <si>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</si>
  <si>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</si>
  <si>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</si>
  <si>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</si>
  <si>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</si>
  <si>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</si>
  <si>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</si>
  <si>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</si>
  <si>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</si>
  <si>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</si>
  <si>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</si>
  <si>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</si>
  <si>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</si>
  <si>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</si>
  <si>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</si>
  <si>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1997 8-Hr Ozone Attainment Status (select one):</t>
  </si>
  <si>
    <t>Primary Contact Name</t>
  </si>
  <si>
    <t>Primary Contact Telephone</t>
  </si>
  <si>
    <t>Primary Contact Email</t>
  </si>
  <si>
    <t>Alternate Contact Name</t>
  </si>
  <si>
    <t>Alternate Contact Telephone</t>
  </si>
  <si>
    <t>Alternate Contact Email</t>
  </si>
  <si>
    <t>TOTAL PERCENTAGE</t>
  </si>
  <si>
    <t>wt%</t>
  </si>
  <si>
    <t>weight percentage</t>
  </si>
  <si>
    <t>NSR</t>
  </si>
  <si>
    <r>
      <t>NO</t>
    </r>
    <r>
      <rPr>
        <vertAlign val="subscript"/>
        <sz val="10"/>
        <rFont val="Arial"/>
        <family val="2"/>
      </rPr>
      <t>x</t>
    </r>
    <r>
      <rPr>
        <sz val="10"/>
        <rFont val="Arial"/>
        <family val="2"/>
      </rPr>
      <t xml:space="preserve"> </t>
    </r>
  </si>
  <si>
    <t xml:space="preserve">MMBtu </t>
  </si>
  <si>
    <t xml:space="preserve">CO </t>
  </si>
  <si>
    <t xml:space="preserve">bd-ft </t>
  </si>
  <si>
    <t>Name:</t>
  </si>
  <si>
    <t>Address:</t>
  </si>
  <si>
    <t>Telephone:</t>
  </si>
  <si>
    <t>12/27/2012</t>
  </si>
  <si>
    <t>Based on Estimating Emissions from Generation and Combustion of "Waste" Wood, Draft, 1998, North Carolina Department of Environment and Natural Resources, available at http://daq.state.nc.us/monitor/eminv/industry/wood/woodwast.pdf and on the NCDENR PTE calculator available at http://daq.state.nc.us/permits/files/woodwork.xls (accessed December 2012).</t>
  </si>
  <si>
    <t>EF</t>
  </si>
  <si>
    <t>emission factor</t>
  </si>
  <si>
    <t>Acme Sawmill</t>
  </si>
  <si>
    <t>Bonnie Braganza</t>
  </si>
  <si>
    <t>214-665-7340</t>
  </si>
  <si>
    <t>braganza.bonnie@epa.gov</t>
  </si>
  <si>
    <t>1445 Ross Avenue, Suite 1200</t>
  </si>
  <si>
    <t>MC: 6PD</t>
  </si>
  <si>
    <t>Dallas</t>
  </si>
  <si>
    <t>75202-2733</t>
  </si>
  <si>
    <t>Tracey Westfield</t>
  </si>
  <si>
    <t>TRIBAL NEW SOURCE REVIEW PROGRAM</t>
  </si>
  <si>
    <t>Registration for Existing True Minor Sources of Air Pollution in Indian Country</t>
  </si>
  <si>
    <t>What is the Tribal New Source Review Rule?</t>
  </si>
  <si>
    <t>Do I need to register my minor source?</t>
  </si>
  <si>
    <r>
      <t xml:space="preserve">How do I determine if my source is a </t>
    </r>
    <r>
      <rPr>
        <b/>
        <i/>
        <sz val="10"/>
        <rFont val="Arial"/>
        <family val="2"/>
      </rPr>
      <t>true minor</t>
    </r>
    <r>
      <rPr>
        <b/>
        <sz val="10"/>
        <rFont val="Arial"/>
        <family val="2"/>
      </rPr>
      <t xml:space="preserve"> source?</t>
    </r>
  </si>
  <si>
    <t>How do I register my true minor source?</t>
  </si>
  <si>
    <t>1.</t>
  </si>
  <si>
    <t>2.</t>
  </si>
  <si>
    <t>How often must I register?</t>
  </si>
  <si>
    <t>This is a one-time registration for your true minor source.  However, after registration, you must notify your EPA Regional Office in writing if:</t>
  </si>
  <si>
    <t>3.</t>
  </si>
  <si>
    <t>May I register using my own emission information, rather than using the Registration Calculators?</t>
  </si>
  <si>
    <t>How does registration relate to obtaining a permit?</t>
  </si>
  <si>
    <t>Registration steps for existing true minor sources:</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</si>
  <si>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</si>
  <si>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</si>
  <si>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</si>
  <si>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</si>
  <si>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t>Total</t>
  </si>
  <si>
    <r>
      <t>PM</t>
    </r>
    <r>
      <rPr>
        <vertAlign val="subscript"/>
        <sz val="10"/>
        <rFont val="Arial"/>
        <family val="2"/>
      </rPr>
      <t>2.5</t>
    </r>
    <r>
      <rPr>
        <sz val="10"/>
        <rFont val="Arial"/>
        <family val="2"/>
      </rPr>
      <t xml:space="preserve"> Attainment Status (select one):</t>
    </r>
  </si>
  <si>
    <t>Estimated Actual Emissions</t>
  </si>
  <si>
    <t>Registration Determination</t>
  </si>
  <si>
    <t>Exceeds Major Source Threshold Determination</t>
  </si>
  <si>
    <t>Allowable Emissions</t>
  </si>
  <si>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</si>
  <si>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</si>
  <si>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</si>
  <si>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t>Allowable
Emissions</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</si>
  <si>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</si>
  <si>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CE</t>
  </si>
  <si>
    <t>control efficiency</t>
  </si>
  <si>
    <t>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t>
  </si>
  <si>
    <r>
      <t xml:space="preserve">On the </t>
    </r>
    <r>
      <rPr>
        <b/>
        <i/>
        <sz val="10"/>
        <rFont val="Arial"/>
        <family val="2"/>
      </rPr>
      <t>Inputs</t>
    </r>
    <r>
      <rPr>
        <sz val="10"/>
        <rFont val="Arial"/>
        <family val="2"/>
      </rPr>
      <t xml:space="preserve"> worksheet, replace the default facility information with information specific to your facility. </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</si>
  <si>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</si>
  <si>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t>6:  Emissions Summaries</t>
  </si>
  <si>
    <t>5: Emission Controls and 
    Restrictions</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</si>
  <si>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</si>
  <si>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What is the average volume of wood processed per hour at your sawmill in 2012? (in bd-ft/hr)</t>
  </si>
  <si>
    <t>On average, how many hours per week did your facility run wood processing operations in 2012?</t>
  </si>
  <si>
    <t>What percent of this wood waste was vented to ducts in 2012?</t>
  </si>
  <si>
    <t>What percent of your wood waste came from the following processes in calendar year 2012?</t>
  </si>
  <si>
    <t>Did your facility dry wood in a kiln in calendar year 2012?</t>
  </si>
  <si>
    <t>Did your facility use a boiler in 2012?</t>
  </si>
  <si>
    <t>What was the boiler heat capacity in 2012? (in MMBtu/hr)</t>
  </si>
  <si>
    <t>What was the primary fuel used in the boiler in 2012?</t>
  </si>
  <si>
    <t>What is the sulfur content of the fuel combusted in the boiler in 2012? (wt%) (Enter 0 if unknown)</t>
  </si>
  <si>
    <t>Did your facility use a furnace in 2012?</t>
  </si>
  <si>
    <t>What was the furnace heat capacity in 2012? (in MMBtu/hr)</t>
  </si>
  <si>
    <t>What was the primary fuel used in the furnace in 2012?</t>
  </si>
  <si>
    <t>What is the sulfur content of the fuel combusted in the furnace in 2012? (wt%) (Enter 0 if unknown)</t>
  </si>
  <si>
    <t>Emission Controls and Operational Restrictions</t>
  </si>
  <si>
    <t>Allowable Emissions (tons/yr):</t>
  </si>
  <si>
    <t>40 CFR 49.130(d)(2)</t>
  </si>
  <si>
    <t>Actual Emission Factor</t>
  </si>
  <si>
    <t>Allowable Emission Factor</t>
  </si>
  <si>
    <t xml:space="preserve">11201 Renner Blvd. </t>
  </si>
  <si>
    <t xml:space="preserve">MC: AWMD/APCO </t>
  </si>
  <si>
    <t>Lenexa</t>
  </si>
  <si>
    <t>Georgia</t>
  </si>
  <si>
    <t>Louisiana</t>
  </si>
  <si>
    <t>Estimated Actual 
Emissions for 2012</t>
  </si>
  <si>
    <t>Estimated Actual Emissions for 2012 (tons/yr):</t>
  </si>
  <si>
    <t>Jonathan Dorn</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</si>
  <si>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</si>
  <si>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</si>
  <si>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</si>
  <si>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</si>
  <si>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</si>
  <si>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</si>
  <si>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</si>
  <si>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</si>
  <si>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</si>
  <si>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</si>
  <si>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t>List of States with Federally Recognized Tribes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</si>
  <si>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</si>
  <si>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</si>
  <si>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</si>
  <si>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t>Explanation of Text Colors and Cell Shading</t>
  </si>
  <si>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</si>
  <si>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Did your facility primarily process dry or green wood in calendar year 2012?</t>
  </si>
  <si>
    <t>Did your facility primarily process hard or soft wood in 2012?</t>
  </si>
  <si>
    <t>Allowable Sulfur Content</t>
  </si>
  <si>
    <t>Actual Sulfur Content</t>
  </si>
  <si>
    <t>Data Key</t>
  </si>
  <si>
    <t>40 CFR 49.130(d)(6)</t>
  </si>
  <si>
    <t>40 CFR 49.130(d)(1)</t>
  </si>
  <si>
    <t>grains/100 scf</t>
  </si>
  <si>
    <t>Allowable value from 40 CFR Section 49.130(d)(8); 1.1 grams S per standard cubic meter = 48 grains per 100 scf</t>
  </si>
  <si>
    <t>40 CFR 49.130(d)(3)</t>
  </si>
  <si>
    <t xml:space="preserve">U.S. Environmental Protection Agency, AP-42, Fifth Edition, Volume I, Chapter 1: External Combustion, Section 1.4: Natural Gas Combustion, 1998, available at http://www.epa.gov/ttn/chief/ap42/ch01/final/c01s04.pdf. </t>
  </si>
  <si>
    <t>What is the average percent of wood processed at your mill in 2012 that became waste/byproduct?</t>
  </si>
  <si>
    <r>
      <t xml:space="preserve">Select the Units for the Emission Rate </t>
    </r>
    <r>
      <rPr>
        <b/>
        <sz val="10"/>
        <rFont val="Calibri"/>
        <family val="2"/>
      </rPr>
      <t>→</t>
    </r>
  </si>
  <si>
    <t>lb/hr</t>
  </si>
  <si>
    <t>Emission Rate Unit</t>
  </si>
  <si>
    <t>lb/MMBtu (fuel input)</t>
  </si>
  <si>
    <t>Operational Restrictions and Applicable Standards in 40 CFR parts 60 and 61</t>
  </si>
  <si>
    <t>Emission Control Questions</t>
  </si>
  <si>
    <t>Electricity</t>
  </si>
  <si>
    <t>PM Controls</t>
  </si>
  <si>
    <r>
      <t>PM</t>
    </r>
    <r>
      <rPr>
        <vertAlign val="subscript"/>
        <sz val="10"/>
        <rFont val="Arial"/>
        <family val="2"/>
      </rPr>
      <t>10</t>
    </r>
    <r>
      <rPr>
        <sz val="10"/>
        <rFont val="Arial"/>
        <family val="2"/>
      </rPr>
      <t xml:space="preserve"> Control Efficiency (percent)</t>
    </r>
  </si>
  <si>
    <t>Boiler Emissions Rates</t>
  </si>
  <si>
    <t>Boiler Emission Rate by Pollutant</t>
  </si>
  <si>
    <t>Bagfilter</t>
  </si>
  <si>
    <t>Cyclone</t>
  </si>
  <si>
    <t>PM Control Devices and Efficiencies</t>
  </si>
  <si>
    <t>U.S. Environmental Protection Agency, AP-42, Fifth Edition, Volume I, Appendix B.2: Generalized Particle Size Distributions, Table B.2-3, available at http://www.epa.gov/ttn/chief/ap42/appendix/appb-2.pdf.</t>
  </si>
  <si>
    <r>
      <t>40% was selected as a conservative number for PM</t>
    </r>
    <r>
      <rPr>
        <vertAlign val="subscript"/>
        <sz val="10"/>
        <rFont val="Arial"/>
        <family val="2"/>
      </rPr>
      <t>10</t>
    </r>
    <r>
      <rPr>
        <sz val="10"/>
        <rFont val="Arial"/>
        <family val="2"/>
      </rPr>
      <t>. U.S. Environmental Protection Agency, AP-42, Fifth Edition, Volume I, Appendix B.2: Generalized Particle Size Distributions, Table B.2-3, available at http://www.epa.gov/ttn/chief/ap42/appendix/appb-2.pdf.</t>
    </r>
  </si>
  <si>
    <r>
      <t>PM</t>
    </r>
    <r>
      <rPr>
        <b/>
        <vertAlign val="subscript"/>
        <sz val="10"/>
        <rFont val="Arial"/>
        <family val="2"/>
      </rPr>
      <t>10</t>
    </r>
    <r>
      <rPr>
        <b/>
        <sz val="10"/>
        <rFont val="Arial"/>
        <family val="2"/>
      </rPr>
      <t xml:space="preserve"> Control Multiplier</t>
    </r>
  </si>
  <si>
    <r>
      <t>PM</t>
    </r>
    <r>
      <rPr>
        <b/>
        <vertAlign val="subscript"/>
        <sz val="10"/>
        <rFont val="Arial"/>
        <family val="2"/>
      </rPr>
      <t>2.5</t>
    </r>
    <r>
      <rPr>
        <b/>
        <sz val="10"/>
        <rFont val="Arial"/>
        <family val="2"/>
      </rPr>
      <t xml:space="preserve"> Control Multiplier</t>
    </r>
  </si>
  <si>
    <r>
      <t>Bagfilter PM</t>
    </r>
    <r>
      <rPr>
        <vertAlign val="subscript"/>
        <sz val="10"/>
        <rFont val="Arial"/>
        <family val="2"/>
      </rPr>
      <t>10</t>
    </r>
  </si>
  <si>
    <r>
      <t>Bagfilter PM</t>
    </r>
    <r>
      <rPr>
        <vertAlign val="subscript"/>
        <sz val="10"/>
        <rFont val="Arial"/>
        <family val="2"/>
      </rPr>
      <t>2.5</t>
    </r>
  </si>
  <si>
    <r>
      <t>Cyclone PM</t>
    </r>
    <r>
      <rPr>
        <vertAlign val="subscript"/>
        <sz val="10"/>
        <rFont val="Arial"/>
        <family val="2"/>
      </rPr>
      <t>10</t>
    </r>
  </si>
  <si>
    <r>
      <t>Cyclone PM</t>
    </r>
    <r>
      <rPr>
        <vertAlign val="subscript"/>
        <sz val="10"/>
        <rFont val="Arial"/>
        <family val="2"/>
      </rPr>
      <t>2.5</t>
    </r>
  </si>
  <si>
    <t>Select the particulate matter (PM) control device used on ductwork vents at your facility in 2012? If your facility did not have PM controls in 2012, select 'None.'</t>
  </si>
  <si>
    <t>Sulfur content of the boiler fuel (wt%)</t>
  </si>
  <si>
    <t>Sulfur content of the furnace fuel (wt%)</t>
  </si>
  <si>
    <t>MMscf</t>
  </si>
  <si>
    <t>What is the average density of wood processed at your mill in 2012? (in lb/bd-ft). Enter 0 if unknown.</t>
  </si>
  <si>
    <t>Wood</t>
  </si>
  <si>
    <t xml:space="preserve">U.S. Environmental Protection Agency, AP-42, Fifth Edition, Volume I, Appendix A: Miscellaneous Data and Conversion Factors, page A-5, available at http://www.epa.gov/ttn/chief/ap42/appendix/appa.pdf. </t>
  </si>
  <si>
    <t>Actual 2012 Boiler Energy Consumption (MMBtu)</t>
  </si>
  <si>
    <t>Actual 2012 Furnace Energy Consumption (MMBtu)</t>
  </si>
  <si>
    <t>Changed all terminology to use "allowable emissions" and "estimated actual emissions." Added "Registration FAQs" and "Controls and Emissions" worksheets. Modified actual emissions calculation to use actual fuel consumption rather than hours of operation.</t>
  </si>
  <si>
    <t xml:space="preserve">MMscf </t>
  </si>
  <si>
    <t>million standard cubic feet</t>
  </si>
  <si>
    <r>
      <t xml:space="preserve">On the </t>
    </r>
    <r>
      <rPr>
        <b/>
        <i/>
        <sz val="10"/>
        <rFont val="Arial"/>
        <family val="2"/>
      </rPr>
      <t>Inputs</t>
    </r>
    <r>
      <rPr>
        <sz val="10"/>
        <rFont val="Arial"/>
        <family val="2"/>
      </rPr>
      <t xml:space="preserve"> worksheet, enter information on processes used at your facility. Indicate whether your mill typically uses dry or green wood, and estimate the average and maximum volumes of wood processed at your mill. Enter an average density of wood used at your mill in 2012, and an estimate of the overall percent of wood (by volume) that ends up as waste material. Enter an estimate of the percent of this wood waste at your mill that is vented to a duct. Finally, make an estimate for the percent of wood waste at your facility that comes from planing, shaving/chipping, rough sawing, fine sawing, milling (and hog), molding, and sanding. Note whether your facility uses any kilns, boilers, or furnaces. If your mill uses a boiler, furnace, or both, enter their heat capacity, type of fuel burned in 2012, quantity of fuel burned in 2012 and sulfur content of these fuels, if applicable. </t>
    </r>
  </si>
  <si>
    <t>Note: If your facility operated for only a portion of 2012, estimate the following information as if you had been operating for the whole year. For example, if your facility operated for only three months in 2012 and used an industrial boiler that burns distillate oil, you should multiply the gallons of fuel combusted in those three months by four to project the gallons of fuel used for the entire 12 months.</t>
  </si>
  <si>
    <t>What is the maximum volume of wood that can be processed per hour at your sawmill? (in bd-ft/hr)</t>
  </si>
  <si>
    <t>Average density of wood processed at your mill (lb/bd-ft)</t>
  </si>
  <si>
    <r>
      <t>Sawmills take harvested logs and process them into lumber suitable for construction or the creation of other wood products. Typical processes at a sawmill involve cutting logs to a standard length and then stripping them of bark in a specialized debarking machine. Logs determined not to have any significant defects may be cut and trimmed to standard lumber dimensions. This lumber may then be sent to a kiln to dry. Excess wood may be ground into wood chips for disposal or to be used as boiler fuel. Particulate matter in wood dust from sawing, sanding, and machining activities is the primary source of emissions in mills. Combustion of fuels for a boiler, furnace, or kiln can also emit particulate matter as well as VOCs, CO, NO</t>
    </r>
    <r>
      <rPr>
        <vertAlign val="subscript"/>
        <sz val="10"/>
        <rFont val="Arial"/>
        <family val="2"/>
      </rPr>
      <t>x</t>
    </r>
    <r>
      <rPr>
        <sz val="10"/>
        <rFont val="Arial"/>
        <family val="2"/>
      </rPr>
      <t>, and SO</t>
    </r>
    <r>
      <rPr>
        <vertAlign val="subscript"/>
        <sz val="10"/>
        <rFont val="Arial"/>
        <family val="2"/>
      </rPr>
      <t>2</t>
    </r>
    <r>
      <rPr>
        <sz val="10"/>
        <rFont val="Arial"/>
        <family val="2"/>
      </rPr>
      <t xml:space="preserve">. 
</t>
    </r>
  </si>
  <si>
    <r>
      <t xml:space="preserve">Owners/operators of sawmills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</si>
  <si>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r>
      <t>PM</t>
    </r>
    <r>
      <rPr>
        <vertAlign val="subscript"/>
        <sz val="10"/>
        <rFont val="Arial"/>
        <family val="2"/>
      </rPr>
      <t>2.5</t>
    </r>
    <r>
      <rPr>
        <sz val="10"/>
        <rFont val="Arial"/>
        <family val="2"/>
      </rPr>
      <t xml:space="preserve"> Control Efficiency (percent)</t>
    </r>
  </si>
  <si>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Controls and Restrictions</t>
    </r>
    <r>
      <rPr>
        <sz val="10"/>
        <rFont val="Arial"/>
        <family val="2"/>
      </rPr>
      <t xml:space="preserve"> worksheets.</t>
    </r>
  </si>
  <si>
    <t xml:space="preserve">Note: 40 CFR Part 60, Subparts D through DC provide standards of performance for boilers (e.g., steam generating units). If the standards listed in these sections applied to your boiler(s) in calendar year 2012, please enter in the table below the emission standards or the actual emission rates determined from continuous emission monitors or other tests performed at your facility. Enter 0 if unknown or not applicable. Select the appropriate units for the emission rate of each pollutant from the drop-down list. </t>
  </si>
  <si>
    <t>02/02/2013</t>
  </si>
  <si>
    <r>
      <t xml:space="preserve">On the </t>
    </r>
    <r>
      <rPr>
        <b/>
        <i/>
        <sz val="10"/>
        <rFont val="Arial"/>
        <family val="2"/>
      </rPr>
      <t xml:space="preserve">Controls and Restrictions </t>
    </r>
    <r>
      <rPr>
        <sz val="10"/>
        <rFont val="Arial"/>
        <family val="2"/>
      </rPr>
      <t xml:space="preserve">worksheet, select the particulate matter control device, if any, used on ductwork vents at your facility in 2012. If your facility did not have PM controls on ductwork vents then select 'None.'
40 CFR part 60, Subparts D through DC, provide standards of performance for boilers (e.g., steam generating units). If the standards listed in these sections applied to your boiler(s) in calendar year 2012, please enter on the </t>
    </r>
    <r>
      <rPr>
        <b/>
        <i/>
        <sz val="10"/>
        <rFont val="Arial"/>
        <family val="2"/>
      </rPr>
      <t>Controls and Restrictions</t>
    </r>
    <r>
      <rPr>
        <sz val="10"/>
        <rFont val="Arial"/>
        <family val="2"/>
      </rPr>
      <t xml:space="preserve"> worksheet the emission standards or the actual emission rates determined from continuous emission monitors or other tests performed at your facility. Enter 0 if unknown or not applicable. Select the appropriate units for the emission rate of each pollutant from the drop-down list. </t>
    </r>
  </si>
  <si>
    <t>Note: If your facility operated for only a portion of 2012, enter estimates for what would have been true if your facility had been operating the full year. For example, one of the questions below asks "How much fuel was combusted in the boiler in 2012?" If your facility operated for only three months in 2012, you should multiply the amount of fuel combusted during those three months by four to project the amount of fuel that would have been used over the course of the 12 months of 2012.</t>
  </si>
  <si>
    <t>02/15/2013</t>
  </si>
  <si>
    <t>Set inputs to zero.</t>
  </si>
  <si>
    <t>02/21/2013</t>
  </si>
  <si>
    <t>Updated region 6 telephone number.</t>
  </si>
  <si>
    <t>02/26/2013</t>
  </si>
  <si>
    <t>Updated data validations and conditional formatting to be compatible with Excel 2007.</t>
  </si>
  <si>
    <t>v1.4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</si>
  <si>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is required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</si>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</sst>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i/>
      <sz val="10"/>
      <color rgb="FFFF0000"/>
      <name val="Arial"/>
      <family val="2"/>
    </font>
    <font>
      <b/>
      <i/>
      <sz val="10"/>
      <color rgb="FFFF0000"/>
      <name val="Arial"/>
      <family val="2"/>
    </font>
    <font>
      <b/>
      <sz val="10"/>
      <color rgb="FFFF0000"/>
      <name val="Arial"/>
      <family val="2"/>
    </font>
    <font>
      <sz val="10"/>
      <color theme="1"/>
      <name val="Arial"/>
      <family val="2"/>
    </font>
    <font>
      <i/>
      <sz val="10"/>
      <name val="Arial"/>
      <family val="2"/>
    </font>
    <font>
      <vertAlign val="superscript"/>
      <sz val="10"/>
      <name val="Arial"/>
      <family val="2"/>
    </font>
    <font>
      <b/>
      <sz val="11"/>
      <color theme="1"/>
      <name val="Calibri"/>
      <family val="2"/>
      <scheme val="minor"/>
    </font>
    <font>
      <b/>
      <sz val="10"/>
      <color rgb="FFCC6600"/>
      <name val="Arial"/>
      <family val="2"/>
    </font>
    <font>
      <sz val="10"/>
      <color rgb="FFCC6600"/>
      <name val="Arial"/>
      <family val="2"/>
    </font>
    <font>
      <u/>
      <sz val="11"/>
      <color theme="10"/>
      <name val="Calibri"/>
      <family val="2"/>
      <scheme val="minor"/>
    </font>
    <font>
      <sz val="10"/>
      <color indexed="8"/>
      <name val="Arial"/>
      <family val="2"/>
    </font>
    <font>
      <b/>
      <sz val="11"/>
      <color rgb="FFFF0000"/>
      <name val="Arial"/>
      <family val="2"/>
    </font>
    <font>
      <b/>
      <sz val="11"/>
      <name val="Arial"/>
      <family val="2"/>
    </font>
    <font>
      <b/>
      <sz val="12"/>
      <name val="Arial"/>
      <family val="2"/>
    </font>
    <font>
      <sz val="11"/>
      <name val="Arial"/>
      <family val="2"/>
    </font>
    <font>
      <b/>
      <sz val="10"/>
      <name val="Calibri"/>
      <family val="2"/>
    </font>
    <font>
      <b/>
      <sz val="10"/>
      <color rgb="FF0000FF"/>
      <name val="Arial"/>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99"/>
        <bgColor indexed="64"/>
      </patternFill>
    </fill>
  </fills>
  <borders count="80">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auto="1"/>
      </left>
      <right/>
      <top/>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theme="1" tint="0.499984740745262"/>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style="dashed">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s>
  <cellStyleXfs count="9">
    <xf numFmtId="2" fontId="0" fillId="0" borderId="0"/>
    <xf numFmtId="2" fontId="17" fillId="0" borderId="0" applyNumberFormat="0" applyFill="0" applyBorder="0" applyAlignment="0" applyProtection="0"/>
    <xf numFmtId="2" fontId="6" fillId="0" borderId="0"/>
    <xf numFmtId="9" fontId="6" fillId="0" borderId="0" applyFont="0" applyFill="0" applyBorder="0" applyAlignment="0" applyProtection="0"/>
    <xf numFmtId="0" fontId="6" fillId="0" borderId="0"/>
    <xf numFmtId="0" fontId="4" fillId="0" borderId="0"/>
    <xf numFmtId="0" fontId="17" fillId="0" borderId="0" applyNumberFormat="0" applyFill="0" applyBorder="0" applyAlignment="0" applyProtection="0">
      <alignment vertical="top"/>
      <protection locked="0"/>
    </xf>
    <xf numFmtId="0" fontId="30" fillId="0" borderId="0"/>
    <xf numFmtId="0" fontId="23" fillId="0" borderId="0"/>
  </cellStyleXfs>
  <cellXfs count="462">
    <xf numFmtId="2" fontId="0" fillId="0" borderId="0" xfId="0"/>
    <xf numFmtId="2" fontId="14" fillId="0" borderId="0" xfId="0" applyFont="1"/>
    <xf numFmtId="2" fontId="6" fillId="0" borderId="0" xfId="0" applyFont="1"/>
    <xf numFmtId="2" fontId="7" fillId="4" borderId="6" xfId="0" applyFont="1" applyFill="1" applyBorder="1" applyAlignment="1">
      <alignment horizontal="center"/>
    </xf>
    <xf numFmtId="1" fontId="0" fillId="0" borderId="0" xfId="0" applyNumberFormat="1" applyAlignment="1">
      <alignment horizontal="center" vertical="center"/>
    </xf>
    <xf numFmtId="2" fontId="6" fillId="0" borderId="6" xfId="0" applyFont="1" applyBorder="1" applyAlignment="1">
      <alignment horizontal="center" vertical="center"/>
    </xf>
    <xf numFmtId="2" fontId="0" fillId="0" borderId="0" xfId="0" applyAlignment="1">
      <alignment horizontal="center"/>
    </xf>
    <xf numFmtId="165" fontId="0" fillId="0" borderId="0" xfId="0" applyNumberFormat="1"/>
    <xf numFmtId="2" fontId="5" fillId="4" borderId="6" xfId="0" applyFont="1" applyFill="1" applyBorder="1" applyAlignment="1">
      <alignment horizontal="center"/>
    </xf>
    <xf numFmtId="2" fontId="6" fillId="0" borderId="6" xfId="0" applyFont="1" applyBorder="1" applyAlignment="1">
      <alignment horizontal="center"/>
    </xf>
    <xf numFmtId="164" fontId="7" fillId="4" borderId="6" xfId="0" applyNumberFormat="1" applyFont="1" applyFill="1" applyBorder="1" applyAlignment="1">
      <alignment horizontal="center"/>
    </xf>
    <xf numFmtId="164" fontId="0" fillId="0" borderId="0" xfId="0" applyNumberFormat="1" applyAlignment="1">
      <alignment horizontal="center"/>
    </xf>
    <xf numFmtId="2" fontId="14" fillId="0" borderId="0" xfId="0" applyFont="1" applyProtection="1"/>
    <xf numFmtId="2" fontId="0" fillId="0" borderId="0" xfId="0" applyProtection="1"/>
    <xf numFmtId="2" fontId="0" fillId="0" borderId="0" xfId="0" applyBorder="1" applyProtection="1"/>
    <xf numFmtId="2" fontId="16" fillId="0" borderId="8" xfId="0" applyFont="1" applyBorder="1" applyProtection="1">
      <protection locked="0"/>
    </xf>
    <xf numFmtId="2" fontId="16" fillId="0" borderId="9" xfId="0" applyFont="1" applyBorder="1" applyProtection="1">
      <protection locked="0"/>
    </xf>
    <xf numFmtId="2" fontId="6" fillId="4" borderId="6" xfId="0" applyFont="1" applyFill="1" applyBorder="1" applyProtection="1"/>
    <xf numFmtId="2" fontId="16" fillId="0" borderId="18" xfId="0" applyFont="1" applyBorder="1" applyProtection="1">
      <protection locked="0"/>
    </xf>
    <xf numFmtId="164" fontId="0" fillId="0" borderId="6" xfId="0" applyNumberFormat="1" applyBorder="1" applyAlignment="1">
      <alignment horizontal="center" vertical="center"/>
    </xf>
    <xf numFmtId="2" fontId="6" fillId="0" borderId="6" xfId="0" quotePrefix="1" applyFont="1" applyBorder="1" applyAlignment="1">
      <alignment horizontal="center" vertical="center"/>
    </xf>
    <xf numFmtId="2" fontId="6" fillId="0" borderId="6" xfId="0" applyFont="1" applyBorder="1" applyAlignment="1">
      <alignment vertical="center" wrapText="1"/>
    </xf>
    <xf numFmtId="164" fontId="6" fillId="0" borderId="6" xfId="0" applyNumberFormat="1" applyFont="1" applyBorder="1" applyAlignment="1" applyProtection="1">
      <alignment horizontal="center" vertical="center"/>
      <protection locked="0"/>
    </xf>
    <xf numFmtId="2" fontId="6"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6" fillId="0" borderId="0" xfId="0" applyFont="1" applyProtection="1"/>
    <xf numFmtId="2" fontId="6" fillId="0" borderId="0" xfId="0" applyFont="1" applyAlignment="1">
      <alignment horizontal="center"/>
    </xf>
    <xf numFmtId="2" fontId="14" fillId="0" borderId="0" xfId="0" applyFont="1" applyAlignment="1">
      <alignment horizontal="center"/>
    </xf>
    <xf numFmtId="2" fontId="6" fillId="0" borderId="6" xfId="0" applyFont="1" applyBorder="1"/>
    <xf numFmtId="2" fontId="6"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0" fillId="0" borderId="12" xfId="0" applyBorder="1" applyAlignment="1" applyProtection="1">
      <alignment horizontal="left" indent="2"/>
    </xf>
    <xf numFmtId="2" fontId="6" fillId="0" borderId="21" xfId="0" applyFont="1" applyBorder="1" applyAlignment="1" applyProtection="1">
      <alignment horizontal="left" indent="2"/>
    </xf>
    <xf numFmtId="2" fontId="0" fillId="0" borderId="21" xfId="0" applyBorder="1" applyAlignment="1" applyProtection="1">
      <alignment horizontal="left" indent="2"/>
    </xf>
    <xf numFmtId="2" fontId="0" fillId="0" borderId="6" xfId="0" applyBorder="1"/>
    <xf numFmtId="2" fontId="12" fillId="0" borderId="0" xfId="0" applyFont="1" applyProtection="1"/>
    <xf numFmtId="2" fontId="9" fillId="0" borderId="0" xfId="0" applyFont="1" applyProtection="1"/>
    <xf numFmtId="2" fontId="0" fillId="0" borderId="15" xfId="0" applyBorder="1" applyAlignment="1" applyProtection="1"/>
    <xf numFmtId="2" fontId="0" fillId="0" borderId="0" xfId="0" applyBorder="1" applyAlignment="1" applyProtection="1"/>
    <xf numFmtId="2" fontId="7" fillId="4" borderId="15" xfId="0" applyFont="1" applyFill="1" applyBorder="1" applyAlignment="1" applyProtection="1"/>
    <xf numFmtId="2" fontId="7" fillId="4" borderId="25" xfId="0" applyFont="1" applyFill="1" applyBorder="1" applyAlignment="1" applyProtection="1"/>
    <xf numFmtId="2" fontId="6" fillId="4" borderId="19" xfId="0" applyFont="1" applyFill="1" applyBorder="1" applyAlignment="1" applyProtection="1">
      <alignment horizontal="left"/>
    </xf>
    <xf numFmtId="2" fontId="6" fillId="4" borderId="10"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0" fillId="0" borderId="0" xfId="0" applyBorder="1"/>
    <xf numFmtId="2" fontId="0" fillId="0" borderId="0" xfId="0" applyFill="1" applyBorder="1"/>
    <xf numFmtId="2" fontId="0" fillId="0" borderId="0" xfId="0" applyAlignment="1">
      <alignment horizontal="left"/>
    </xf>
    <xf numFmtId="2" fontId="6" fillId="0" borderId="6" xfId="0" applyFont="1" applyFill="1" applyBorder="1" applyAlignment="1" applyProtection="1">
      <alignment horizontal="left"/>
    </xf>
    <xf numFmtId="2" fontId="6" fillId="0" borderId="6" xfId="0" applyFont="1" applyFill="1" applyBorder="1" applyProtection="1"/>
    <xf numFmtId="1" fontId="5" fillId="4" borderId="6" xfId="0" applyNumberFormat="1" applyFont="1" applyFill="1" applyBorder="1" applyAlignment="1">
      <alignment horizontal="center" vertical="center"/>
    </xf>
    <xf numFmtId="165" fontId="5" fillId="4" borderId="6" xfId="0" applyNumberFormat="1" applyFont="1" applyFill="1" applyBorder="1" applyAlignment="1">
      <alignment horizontal="center" vertical="center"/>
    </xf>
    <xf numFmtId="1" fontId="5" fillId="4" borderId="6" xfId="0" applyNumberFormat="1" applyFont="1" applyFill="1" applyBorder="1" applyAlignment="1">
      <alignment horizontal="left" vertical="center"/>
    </xf>
    <xf numFmtId="2" fontId="0" fillId="0" borderId="6" xfId="0" applyFill="1" applyBorder="1"/>
    <xf numFmtId="2" fontId="0" fillId="4" borderId="6" xfId="0" applyFont="1" applyFill="1" applyBorder="1" applyProtection="1"/>
    <xf numFmtId="2" fontId="5" fillId="3" borderId="6" xfId="0" applyFont="1" applyFill="1" applyBorder="1" applyProtection="1"/>
    <xf numFmtId="2" fontId="6" fillId="0" borderId="6" xfId="0" applyFont="1" applyFill="1" applyBorder="1"/>
    <xf numFmtId="2" fontId="6" fillId="0" borderId="12" xfId="0" applyFont="1" applyBorder="1"/>
    <xf numFmtId="1" fontId="0" fillId="0" borderId="6" xfId="0" applyNumberFormat="1" applyBorder="1" applyAlignment="1">
      <alignment horizontal="center" vertical="center"/>
    </xf>
    <xf numFmtId="165" fontId="0" fillId="0" borderId="6" xfId="0" applyNumberFormat="1" applyBorder="1" applyAlignment="1">
      <alignment horizontal="center" vertical="center"/>
    </xf>
    <xf numFmtId="1" fontId="6" fillId="0" borderId="6" xfId="0" applyNumberFormat="1" applyFont="1" applyBorder="1" applyAlignment="1">
      <alignment horizontal="center" vertical="center"/>
    </xf>
    <xf numFmtId="1" fontId="6" fillId="0" borderId="8" xfId="0" applyNumberFormat="1" applyFont="1" applyBorder="1" applyAlignment="1">
      <alignment horizontal="left" vertical="center"/>
    </xf>
    <xf numFmtId="165" fontId="6" fillId="0" borderId="6" xfId="0" applyNumberFormat="1" applyFont="1" applyBorder="1" applyAlignment="1">
      <alignment horizontal="center" vertical="center"/>
    </xf>
    <xf numFmtId="165" fontId="6" fillId="0" borderId="0" xfId="0" applyNumberFormat="1" applyFont="1" applyBorder="1" applyAlignment="1">
      <alignment horizontal="center"/>
    </xf>
    <xf numFmtId="165" fontId="0" fillId="0" borderId="0" xfId="0" applyNumberFormat="1" applyBorder="1" applyAlignment="1">
      <alignment horizontal="center"/>
    </xf>
    <xf numFmtId="2" fontId="6" fillId="0" borderId="49" xfId="0" applyFont="1" applyBorder="1"/>
    <xf numFmtId="1" fontId="6" fillId="0" borderId="50" xfId="0" applyNumberFormat="1" applyFont="1" applyBorder="1" applyAlignment="1">
      <alignment horizontal="center" vertical="center"/>
    </xf>
    <xf numFmtId="1" fontId="0" fillId="0" borderId="50" xfId="0" applyNumberFormat="1" applyBorder="1" applyAlignment="1">
      <alignment horizontal="center" vertical="center"/>
    </xf>
    <xf numFmtId="165" fontId="0" fillId="0" borderId="50" xfId="0" applyNumberFormat="1" applyBorder="1" applyAlignment="1">
      <alignment horizontal="center" vertical="center"/>
    </xf>
    <xf numFmtId="1" fontId="6" fillId="0" borderId="51" xfId="0" applyNumberFormat="1" applyFont="1" applyBorder="1" applyAlignment="1">
      <alignment horizontal="left" vertical="center"/>
    </xf>
    <xf numFmtId="2" fontId="0" fillId="0" borderId="6" xfId="0" applyBorder="1" applyAlignment="1">
      <alignment horizontal="center"/>
    </xf>
    <xf numFmtId="2" fontId="14" fillId="0" borderId="0" xfId="2" applyFont="1"/>
    <xf numFmtId="2" fontId="6" fillId="0" borderId="0" xfId="2"/>
    <xf numFmtId="2" fontId="6" fillId="0" borderId="0" xfId="2" applyAlignment="1">
      <alignment horizontal="center"/>
    </xf>
    <xf numFmtId="2" fontId="5" fillId="4" borderId="12" xfId="2" applyFont="1" applyFill="1" applyBorder="1"/>
    <xf numFmtId="2" fontId="5" fillId="4" borderId="6" xfId="2" applyFont="1" applyFill="1" applyBorder="1"/>
    <xf numFmtId="2" fontId="5" fillId="4" borderId="6" xfId="2" applyFont="1" applyFill="1" applyBorder="1" applyAlignment="1">
      <alignment horizontal="center"/>
    </xf>
    <xf numFmtId="2" fontId="5" fillId="4" borderId="8" xfId="2" applyFont="1" applyFill="1" applyBorder="1"/>
    <xf numFmtId="2" fontId="6" fillId="0" borderId="12" xfId="2" applyFont="1" applyBorder="1"/>
    <xf numFmtId="2" fontId="6" fillId="0" borderId="6" xfId="2" applyBorder="1"/>
    <xf numFmtId="2" fontId="6" fillId="0" borderId="6" xfId="2" applyFont="1" applyBorder="1" applyAlignment="1">
      <alignment horizontal="center"/>
    </xf>
    <xf numFmtId="2" fontId="6" fillId="0" borderId="8" xfId="2" applyFont="1" applyBorder="1"/>
    <xf numFmtId="2" fontId="6" fillId="0" borderId="21" xfId="2" applyFont="1" applyBorder="1"/>
    <xf numFmtId="2" fontId="6" fillId="0" borderId="7" xfId="2" applyBorder="1"/>
    <xf numFmtId="2" fontId="6" fillId="0" borderId="7" xfId="2" applyFont="1" applyBorder="1" applyAlignment="1">
      <alignment horizontal="center"/>
    </xf>
    <xf numFmtId="2" fontId="6" fillId="0" borderId="0" xfId="2" applyFont="1"/>
    <xf numFmtId="2" fontId="5" fillId="4" borderId="8" xfId="2" applyFont="1" applyFill="1" applyBorder="1" applyAlignment="1">
      <alignment horizontal="center"/>
    </xf>
    <xf numFmtId="2" fontId="5" fillId="0" borderId="0" xfId="2" applyFont="1" applyFill="1" applyBorder="1"/>
    <xf numFmtId="2" fontId="6" fillId="0" borderId="8" xfId="2" applyFont="1" applyBorder="1" applyAlignment="1">
      <alignment horizontal="center"/>
    </xf>
    <xf numFmtId="2" fontId="6" fillId="0" borderId="6" xfId="0" applyFont="1" applyFill="1" applyBorder="1" applyAlignment="1">
      <alignment horizontal="center"/>
    </xf>
    <xf numFmtId="2" fontId="0" fillId="0" borderId="6" xfId="0" applyFill="1" applyBorder="1" applyAlignment="1">
      <alignment horizontal="center"/>
    </xf>
    <xf numFmtId="2" fontId="6" fillId="0" borderId="6" xfId="0" applyFont="1" applyBorder="1" applyAlignment="1">
      <alignment horizontal="center" vertical="center" wrapText="1"/>
    </xf>
    <xf numFmtId="2" fontId="6" fillId="0" borderId="0" xfId="2" applyProtection="1"/>
    <xf numFmtId="2" fontId="6" fillId="0" borderId="54" xfId="2" applyFont="1" applyBorder="1" applyAlignment="1" applyProtection="1">
      <alignment horizontal="left" vertical="center" wrapText="1"/>
    </xf>
    <xf numFmtId="2" fontId="6" fillId="0" borderId="13" xfId="2" applyBorder="1" applyAlignment="1" applyProtection="1">
      <alignment horizontal="left" vertical="center" wrapText="1"/>
    </xf>
    <xf numFmtId="2" fontId="6" fillId="0" borderId="3" xfId="0" applyFont="1" applyFill="1" applyBorder="1" applyAlignment="1" applyProtection="1">
      <alignment horizontal="left" vertical="center"/>
    </xf>
    <xf numFmtId="2" fontId="6" fillId="0" borderId="58" xfId="0" applyFont="1" applyFill="1" applyBorder="1" applyAlignment="1" applyProtection="1">
      <alignment horizontal="left" vertical="center"/>
    </xf>
    <xf numFmtId="2" fontId="5" fillId="0" borderId="17" xfId="0" applyFont="1" applyFill="1" applyBorder="1" applyAlignment="1" applyProtection="1">
      <alignment horizontal="left" vertical="center"/>
    </xf>
    <xf numFmtId="2" fontId="6" fillId="0" borderId="59" xfId="0" applyFont="1" applyBorder="1" applyAlignment="1" applyProtection="1">
      <alignment horizontal="left" vertical="center"/>
    </xf>
    <xf numFmtId="2" fontId="6" fillId="0" borderId="13" xfId="0" applyFont="1" applyBorder="1" applyAlignment="1" applyProtection="1">
      <alignment vertical="center"/>
    </xf>
    <xf numFmtId="2" fontId="6" fillId="0" borderId="46" xfId="0" applyFont="1" applyBorder="1" applyAlignment="1" applyProtection="1">
      <alignment vertical="center"/>
    </xf>
    <xf numFmtId="2" fontId="6" fillId="0" borderId="60" xfId="0" applyFont="1" applyBorder="1" applyAlignment="1" applyProtection="1">
      <alignment horizontal="left" vertical="center"/>
    </xf>
    <xf numFmtId="2" fontId="0" fillId="0" borderId="47" xfId="0" applyBorder="1" applyAlignment="1" applyProtection="1">
      <alignment horizontal="left" vertical="center"/>
    </xf>
    <xf numFmtId="0" fontId="14" fillId="0" borderId="0" xfId="4" applyFont="1" applyProtection="1"/>
    <xf numFmtId="2" fontId="5" fillId="4" borderId="33" xfId="0" applyFont="1" applyFill="1" applyBorder="1" applyProtection="1"/>
    <xf numFmtId="0" fontId="16" fillId="0" borderId="8" xfId="0" applyNumberFormat="1" applyFont="1" applyBorder="1" applyProtection="1">
      <protection locked="0"/>
    </xf>
    <xf numFmtId="2" fontId="14" fillId="0" borderId="0" xfId="2" applyFont="1" applyAlignment="1"/>
    <xf numFmtId="0" fontId="4" fillId="0" borderId="0" xfId="5" applyAlignment="1">
      <alignment horizontal="center"/>
    </xf>
    <xf numFmtId="0" fontId="4" fillId="0" borderId="0" xfId="5" applyAlignment="1"/>
    <xf numFmtId="0" fontId="26" fillId="4" borderId="6" xfId="5" applyFont="1" applyFill="1" applyBorder="1" applyAlignment="1"/>
    <xf numFmtId="0" fontId="26" fillId="4" borderId="6" xfId="5" applyFont="1" applyFill="1" applyBorder="1" applyAlignment="1">
      <alignment horizontal="center"/>
    </xf>
    <xf numFmtId="0" fontId="4" fillId="0" borderId="0" xfId="5" applyFont="1" applyAlignment="1">
      <alignment horizontal="left" vertical="center"/>
    </xf>
    <xf numFmtId="0" fontId="4" fillId="0" borderId="0" xfId="5" applyFont="1" applyAlignment="1"/>
    <xf numFmtId="0" fontId="29" fillId="0" borderId="0" xfId="1" applyNumberFormat="1" applyFont="1" applyAlignment="1">
      <alignment horizontal="left" vertical="center"/>
    </xf>
    <xf numFmtId="0" fontId="29" fillId="0" borderId="0" xfId="1" applyNumberFormat="1" applyFont="1" applyAlignment="1"/>
    <xf numFmtId="0" fontId="4" fillId="0" borderId="0" xfId="5" applyFont="1" applyAlignment="1">
      <alignment horizontal="center"/>
    </xf>
    <xf numFmtId="2" fontId="5" fillId="3" borderId="6" xfId="2" applyFont="1" applyFill="1" applyBorder="1" applyProtection="1"/>
    <xf numFmtId="2" fontId="6" fillId="4" borderId="6" xfId="2" applyFont="1" applyFill="1" applyBorder="1" applyAlignment="1" applyProtection="1">
      <alignment horizontal="left"/>
    </xf>
    <xf numFmtId="2" fontId="6" fillId="0" borderId="3" xfId="2" applyBorder="1" applyProtection="1"/>
    <xf numFmtId="2" fontId="6" fillId="0" borderId="2" xfId="2" applyBorder="1" applyProtection="1"/>
    <xf numFmtId="2" fontId="6" fillId="0" borderId="0" xfId="2" applyBorder="1" applyProtection="1"/>
    <xf numFmtId="2" fontId="6" fillId="0" borderId="0" xfId="2" applyFont="1" applyBorder="1" applyAlignment="1" applyProtection="1">
      <alignment vertical="top"/>
    </xf>
    <xf numFmtId="2" fontId="15" fillId="0" borderId="0" xfId="0" applyFont="1" applyAlignment="1" applyProtection="1">
      <alignment horizontal="left" vertical="top"/>
    </xf>
    <xf numFmtId="2" fontId="6" fillId="0" borderId="61" xfId="0" applyFont="1" applyBorder="1" applyAlignment="1" applyProtection="1">
      <alignment horizontal="left" vertical="center"/>
    </xf>
    <xf numFmtId="2" fontId="0" fillId="0" borderId="20" xfId="0" applyBorder="1" applyAlignment="1" applyProtection="1">
      <alignment horizontal="left" vertical="center"/>
    </xf>
    <xf numFmtId="2" fontId="6" fillId="0" borderId="14" xfId="0" applyFont="1" applyFill="1" applyBorder="1" applyAlignment="1" applyProtection="1">
      <alignment horizontal="left" vertical="center"/>
    </xf>
    <xf numFmtId="2" fontId="6" fillId="0" borderId="14" xfId="0" applyFont="1" applyBorder="1" applyAlignment="1" applyProtection="1">
      <alignment vertical="center" wrapText="1"/>
    </xf>
    <xf numFmtId="2" fontId="6" fillId="0" borderId="12" xfId="0" applyFont="1" applyBorder="1" applyAlignment="1" applyProtection="1">
      <alignment vertical="center" wrapText="1"/>
    </xf>
    <xf numFmtId="2" fontId="6" fillId="0" borderId="12" xfId="0" applyFont="1" applyFill="1" applyBorder="1" applyAlignment="1" applyProtection="1">
      <alignment horizontal="left" vertical="center" indent="2"/>
    </xf>
    <xf numFmtId="2" fontId="6" fillId="0" borderId="49" xfId="0" applyFont="1" applyFill="1" applyBorder="1" applyAlignment="1" applyProtection="1">
      <alignment horizontal="left" vertical="center" indent="2"/>
    </xf>
    <xf numFmtId="2" fontId="22" fillId="0" borderId="0" xfId="0" applyFont="1" applyBorder="1" applyAlignment="1" applyProtection="1">
      <alignment horizontal="center" vertical="top"/>
    </xf>
    <xf numFmtId="2" fontId="6" fillId="0" borderId="33" xfId="0" applyFont="1" applyFill="1" applyBorder="1" applyAlignment="1" applyProtection="1">
      <alignment horizontal="left" vertical="center" indent="2"/>
    </xf>
    <xf numFmtId="2" fontId="6" fillId="0" borderId="12" xfId="0" applyFont="1" applyFill="1" applyBorder="1" applyAlignment="1" applyProtection="1">
      <alignment vertical="center"/>
    </xf>
    <xf numFmtId="2" fontId="27" fillId="0" borderId="34" xfId="0" applyFont="1" applyBorder="1" applyAlignment="1" applyProtection="1">
      <alignment horizontal="center" vertical="center"/>
    </xf>
    <xf numFmtId="2" fontId="6" fillId="0" borderId="12" xfId="0" applyFont="1" applyFill="1" applyBorder="1" applyAlignment="1" applyProtection="1">
      <alignment horizontal="left" vertical="center" wrapText="1" indent="2"/>
    </xf>
    <xf numFmtId="2" fontId="6" fillId="0" borderId="2" xfId="0" applyFont="1" applyBorder="1" applyAlignment="1" applyProtection="1">
      <alignment vertical="center"/>
    </xf>
    <xf numFmtId="2" fontId="0" fillId="0" borderId="23" xfId="0" applyBorder="1" applyAlignment="1" applyProtection="1">
      <alignment horizontal="left" vertical="center"/>
    </xf>
    <xf numFmtId="2" fontId="6" fillId="0" borderId="27" xfId="2" applyBorder="1" applyProtection="1"/>
    <xf numFmtId="2" fontId="33" fillId="0" borderId="15" xfId="2" applyFont="1" applyBorder="1" applyAlignment="1" applyProtection="1">
      <alignment horizontal="left" indent="3"/>
    </xf>
    <xf numFmtId="2" fontId="6" fillId="0" borderId="15" xfId="2" applyBorder="1" applyProtection="1"/>
    <xf numFmtId="2" fontId="6" fillId="0" borderId="25" xfId="2" applyBorder="1" applyProtection="1"/>
    <xf numFmtId="2" fontId="33" fillId="0" borderId="0" xfId="2" applyFont="1" applyBorder="1" applyAlignment="1" applyProtection="1">
      <alignment horizontal="left" indent="3"/>
    </xf>
    <xf numFmtId="2" fontId="6" fillId="0" borderId="17" xfId="2" applyBorder="1" applyProtection="1"/>
    <xf numFmtId="2" fontId="6" fillId="0" borderId="1" xfId="2" applyBorder="1" applyProtection="1"/>
    <xf numFmtId="2" fontId="6" fillId="0" borderId="26" xfId="2" applyBorder="1" applyProtection="1"/>
    <xf numFmtId="2" fontId="5" fillId="4" borderId="48" xfId="0" applyFont="1" applyFill="1" applyBorder="1" applyAlignment="1" applyProtection="1">
      <alignment horizontal="center"/>
    </xf>
    <xf numFmtId="2" fontId="5" fillId="4" borderId="45" xfId="0" applyFont="1" applyFill="1" applyBorder="1" applyAlignment="1" applyProtection="1">
      <alignment horizontal="center"/>
    </xf>
    <xf numFmtId="2" fontId="5" fillId="4" borderId="34" xfId="0" applyFont="1" applyFill="1" applyBorder="1" applyAlignment="1" applyProtection="1">
      <alignment horizontal="center"/>
    </xf>
    <xf numFmtId="2" fontId="6" fillId="0" borderId="12" xfId="0" applyFont="1" applyFill="1" applyBorder="1" applyAlignment="1" applyProtection="1"/>
    <xf numFmtId="4" fontId="28" fillId="0" borderId="40" xfId="0" applyNumberFormat="1" applyFont="1" applyFill="1" applyBorder="1" applyAlignment="1" applyProtection="1">
      <alignment horizontal="right"/>
    </xf>
    <xf numFmtId="4" fontId="28" fillId="0" borderId="6" xfId="0" applyNumberFormat="1" applyFont="1" applyFill="1" applyBorder="1" applyAlignment="1" applyProtection="1">
      <alignment horizontal="right"/>
    </xf>
    <xf numFmtId="4" fontId="28" fillId="0" borderId="8" xfId="0" applyNumberFormat="1" applyFont="1" applyFill="1" applyBorder="1" applyAlignment="1" applyProtection="1">
      <alignment horizontal="right"/>
    </xf>
    <xf numFmtId="2" fontId="6" fillId="0" borderId="12" xfId="0" applyFont="1" applyFill="1" applyBorder="1" applyProtection="1"/>
    <xf numFmtId="2" fontId="6" fillId="0" borderId="0" xfId="0" applyFont="1" applyFill="1" applyBorder="1" applyProtection="1"/>
    <xf numFmtId="2" fontId="8" fillId="0" borderId="0" xfId="0" applyNumberFormat="1" applyFont="1" applyFill="1" applyBorder="1" applyAlignment="1" applyProtection="1">
      <alignment horizontal="left"/>
    </xf>
    <xf numFmtId="2" fontId="6" fillId="0" borderId="12" xfId="0" applyFont="1" applyBorder="1" applyAlignment="1" applyProtection="1">
      <alignment horizontal="left" vertical="center" wrapText="1"/>
    </xf>
    <xf numFmtId="2" fontId="6" fillId="0" borderId="21" xfId="0" applyFont="1" applyBorder="1" applyAlignment="1" applyProtection="1">
      <alignment horizontal="left" vertical="center" wrapText="1"/>
    </xf>
    <xf numFmtId="2" fontId="6" fillId="0" borderId="0" xfId="0" applyFont="1" applyBorder="1" applyAlignment="1" applyProtection="1">
      <alignment horizontal="right"/>
    </xf>
    <xf numFmtId="2" fontId="8" fillId="0" borderId="0" xfId="0" applyFont="1" applyBorder="1" applyAlignment="1" applyProtection="1">
      <alignment horizontal="center"/>
    </xf>
    <xf numFmtId="2" fontId="0" fillId="0" borderId="0" xfId="0" applyFont="1" applyFill="1" applyBorder="1" applyProtection="1"/>
    <xf numFmtId="2" fontId="16" fillId="0" borderId="44" xfId="0" applyFont="1" applyFill="1" applyBorder="1" applyAlignment="1" applyProtection="1">
      <alignment horizontal="center" vertical="center"/>
      <protection locked="0"/>
    </xf>
    <xf numFmtId="2" fontId="16" fillId="0" borderId="18" xfId="0" applyFont="1" applyFill="1" applyBorder="1" applyAlignment="1" applyProtection="1">
      <alignment horizontal="center" vertical="center"/>
      <protection locked="0"/>
    </xf>
    <xf numFmtId="4" fontId="16" fillId="0" borderId="18" xfId="0" applyNumberFormat="1" applyFont="1" applyBorder="1" applyAlignment="1" applyProtection="1">
      <alignment horizontal="center" vertical="center"/>
      <protection locked="0"/>
    </xf>
    <xf numFmtId="4" fontId="16" fillId="0" borderId="8" xfId="0" applyNumberFormat="1" applyFont="1" applyBorder="1" applyAlignment="1" applyProtection="1">
      <alignment horizontal="center" vertical="center"/>
      <protection locked="0"/>
    </xf>
    <xf numFmtId="2" fontId="16" fillId="0" borderId="8" xfId="0" applyFont="1" applyBorder="1" applyAlignment="1" applyProtection="1">
      <alignment horizontal="center" vertical="center"/>
      <protection locked="0"/>
    </xf>
    <xf numFmtId="2" fontId="16" fillId="0" borderId="9" xfId="0" applyFont="1" applyBorder="1" applyAlignment="1" applyProtection="1">
      <alignment horizontal="center" vertical="center"/>
      <protection locked="0"/>
    </xf>
    <xf numFmtId="2" fontId="16" fillId="0" borderId="51" xfId="0" applyFont="1" applyBorder="1" applyAlignment="1" applyProtection="1">
      <alignment horizontal="center" vertical="center"/>
      <protection locked="0"/>
    </xf>
    <xf numFmtId="2" fontId="16" fillId="0" borderId="44" xfId="0" applyFont="1" applyBorder="1" applyAlignment="1" applyProtection="1">
      <alignment horizontal="center" vertical="center"/>
      <protection locked="0"/>
    </xf>
    <xf numFmtId="2" fontId="6" fillId="0" borderId="59" xfId="2" applyBorder="1" applyAlignment="1" applyProtection="1">
      <alignment horizontal="left" vertical="center" wrapText="1"/>
    </xf>
    <xf numFmtId="2" fontId="6" fillId="0" borderId="23" xfId="2" applyBorder="1" applyAlignment="1" applyProtection="1">
      <alignment horizontal="left" vertical="center" wrapText="1"/>
    </xf>
    <xf numFmtId="2" fontId="6" fillId="0" borderId="68" xfId="2" applyBorder="1" applyAlignment="1" applyProtection="1">
      <alignment horizontal="left" indent="2"/>
    </xf>
    <xf numFmtId="2" fontId="6" fillId="0" borderId="68" xfId="2" applyBorder="1" applyProtection="1"/>
    <xf numFmtId="2" fontId="6" fillId="0" borderId="69" xfId="2" applyBorder="1" applyProtection="1"/>
    <xf numFmtId="2" fontId="6" fillId="0" borderId="70" xfId="2" applyBorder="1" applyAlignment="1" applyProtection="1">
      <alignment horizontal="left" indent="2"/>
    </xf>
    <xf numFmtId="2" fontId="6" fillId="0" borderId="12" xfId="2" applyBorder="1" applyAlignment="1" applyProtection="1">
      <alignment horizontal="left" indent="2"/>
    </xf>
    <xf numFmtId="2" fontId="6" fillId="0" borderId="43" xfId="0" applyFont="1" applyBorder="1" applyAlignment="1" applyProtection="1">
      <alignment vertical="center"/>
    </xf>
    <xf numFmtId="2" fontId="6" fillId="0" borderId="12" xfId="0" applyFont="1" applyBorder="1" applyAlignment="1" applyProtection="1">
      <alignment vertical="center"/>
    </xf>
    <xf numFmtId="2" fontId="0" fillId="0" borderId="12" xfId="0" applyBorder="1" applyAlignment="1" applyProtection="1">
      <alignment vertical="center"/>
    </xf>
    <xf numFmtId="2" fontId="0" fillId="0" borderId="21" xfId="0" applyBorder="1" applyAlignment="1" applyProtection="1">
      <alignment vertical="center"/>
    </xf>
    <xf numFmtId="2" fontId="16" fillId="0" borderId="17" xfId="0" applyFont="1" applyBorder="1" applyAlignment="1" applyProtection="1">
      <alignment horizontal="center" vertical="center"/>
      <protection locked="0"/>
    </xf>
    <xf numFmtId="2" fontId="16" fillId="0" borderId="8" xfId="0" applyFont="1" applyBorder="1" applyAlignment="1" applyProtection="1">
      <alignment horizontal="center" vertical="center"/>
    </xf>
    <xf numFmtId="2" fontId="0" fillId="0" borderId="8" xfId="0" applyBorder="1" applyAlignment="1" applyProtection="1">
      <alignment horizontal="center" vertical="center"/>
    </xf>
    <xf numFmtId="2" fontId="0" fillId="0" borderId="9" xfId="0" applyBorder="1" applyAlignment="1" applyProtection="1">
      <alignment horizontal="center" vertical="center"/>
    </xf>
    <xf numFmtId="2" fontId="0" fillId="0" borderId="23" xfId="0" applyBorder="1" applyAlignment="1" applyProtection="1">
      <alignment horizontal="left" vertical="center"/>
    </xf>
    <xf numFmtId="0" fontId="3" fillId="0" borderId="0" xfId="5" applyFont="1" applyAlignment="1">
      <alignment horizontal="left" vertical="center"/>
    </xf>
    <xf numFmtId="0" fontId="3" fillId="0" borderId="0" xfId="5" applyFont="1" applyAlignment="1"/>
    <xf numFmtId="0" fontId="17" fillId="0" borderId="0" xfId="1" applyNumberFormat="1" applyAlignment="1">
      <alignment horizontal="left" vertical="center"/>
    </xf>
    <xf numFmtId="0" fontId="3" fillId="0" borderId="0" xfId="5" applyFont="1" applyAlignment="1">
      <alignment horizontal="center"/>
    </xf>
    <xf numFmtId="2" fontId="28" fillId="0" borderId="25" xfId="2" applyFont="1" applyBorder="1" applyProtection="1"/>
    <xf numFmtId="2" fontId="28" fillId="0" borderId="8" xfId="2" applyFont="1" applyBorder="1" applyProtection="1"/>
    <xf numFmtId="2" fontId="28" fillId="0" borderId="20" xfId="2" applyFont="1" applyBorder="1" applyProtection="1"/>
    <xf numFmtId="2" fontId="28" fillId="0" borderId="17" xfId="2" applyFont="1" applyBorder="1" applyProtection="1"/>
    <xf numFmtId="2" fontId="28" fillId="0" borderId="26" xfId="2" applyFont="1" applyBorder="1" applyAlignment="1" applyProtection="1">
      <alignment vertical="top"/>
    </xf>
    <xf numFmtId="2" fontId="17" fillId="0" borderId="0" xfId="1" applyFont="1" applyAlignment="1" applyProtection="1">
      <alignment vertical="center" wrapText="1"/>
    </xf>
    <xf numFmtId="2" fontId="6" fillId="0" borderId="43" xfId="0" applyFont="1" applyFill="1" applyBorder="1" applyAlignment="1" applyProtection="1"/>
    <xf numFmtId="4" fontId="28" fillId="0" borderId="71" xfId="0" applyNumberFormat="1" applyFont="1" applyFill="1" applyBorder="1" applyAlignment="1" applyProtection="1">
      <alignment horizontal="right"/>
    </xf>
    <xf numFmtId="4" fontId="28" fillId="0" borderId="66" xfId="0" applyNumberFormat="1" applyFont="1" applyFill="1" applyBorder="1" applyAlignment="1" applyProtection="1">
      <alignment horizontal="right"/>
    </xf>
    <xf numFmtId="4" fontId="28" fillId="0" borderId="44" xfId="0" applyNumberFormat="1" applyFont="1" applyFill="1" applyBorder="1" applyAlignment="1" applyProtection="1">
      <alignment horizontal="right"/>
    </xf>
    <xf numFmtId="2" fontId="5" fillId="0" borderId="33" xfId="0" applyFont="1" applyFill="1" applyBorder="1" applyProtection="1"/>
    <xf numFmtId="4" fontId="27" fillId="0" borderId="45" xfId="0" applyNumberFormat="1" applyFont="1" applyFill="1" applyBorder="1" applyAlignment="1" applyProtection="1">
      <alignment horizontal="right"/>
    </xf>
    <xf numFmtId="4" fontId="27" fillId="0" borderId="34" xfId="0" applyNumberFormat="1" applyFont="1" applyFill="1" applyBorder="1" applyAlignment="1" applyProtection="1">
      <alignment horizontal="right"/>
    </xf>
    <xf numFmtId="2" fontId="0" fillId="0" borderId="43" xfId="0" applyBorder="1" applyAlignment="1" applyProtection="1">
      <alignment horizontal="left" indent="2"/>
    </xf>
    <xf numFmtId="2" fontId="16" fillId="0" borderId="44" xfId="0" applyFont="1" applyBorder="1" applyProtection="1">
      <protection locked="0"/>
    </xf>
    <xf numFmtId="1" fontId="16" fillId="0" borderId="9" xfId="0" applyNumberFormat="1" applyFont="1" applyBorder="1" applyAlignment="1" applyProtection="1">
      <alignment horizontal="left"/>
      <protection locked="0"/>
    </xf>
    <xf numFmtId="2" fontId="6" fillId="0" borderId="0" xfId="2" applyAlignment="1" applyProtection="1">
      <alignment horizontal="center" vertical="center"/>
    </xf>
    <xf numFmtId="2" fontId="6" fillId="0" borderId="0" xfId="2" applyAlignment="1" applyProtection="1">
      <alignment horizontal="center"/>
    </xf>
    <xf numFmtId="2" fontId="5" fillId="0" borderId="3" xfId="2" applyFont="1" applyBorder="1" applyAlignment="1" applyProtection="1">
      <alignment horizontal="right"/>
    </xf>
    <xf numFmtId="2" fontId="5" fillId="0" borderId="0" xfId="2" applyFont="1" applyBorder="1" applyAlignment="1" applyProtection="1">
      <alignment horizontal="left"/>
    </xf>
    <xf numFmtId="2" fontId="5" fillId="0" borderId="0" xfId="2" applyFont="1" applyBorder="1" applyProtection="1"/>
    <xf numFmtId="2" fontId="5" fillId="0" borderId="0" xfId="2" applyFont="1" applyBorder="1" applyAlignment="1" applyProtection="1">
      <alignment horizontal="center" wrapText="1"/>
    </xf>
    <xf numFmtId="2" fontId="5" fillId="0" borderId="31" xfId="2" applyFont="1" applyBorder="1" applyAlignment="1" applyProtection="1">
      <alignment horizontal="center"/>
    </xf>
    <xf numFmtId="2" fontId="5" fillId="0" borderId="0" xfId="2" applyFont="1" applyBorder="1" applyAlignment="1" applyProtection="1">
      <alignment horizontal="center"/>
    </xf>
    <xf numFmtId="2" fontId="6" fillId="0" borderId="32" xfId="2" applyFont="1" applyFill="1" applyBorder="1" applyAlignment="1" applyProtection="1">
      <alignment horizontal="center"/>
    </xf>
    <xf numFmtId="2" fontId="6" fillId="0" borderId="0" xfId="2" applyFill="1" applyBorder="1" applyAlignment="1" applyProtection="1">
      <alignment horizontal="center"/>
    </xf>
    <xf numFmtId="2" fontId="6" fillId="0" borderId="27" xfId="2" applyNumberFormat="1" applyBorder="1" applyAlignment="1" applyProtection="1">
      <alignment horizontal="left" indent="1"/>
    </xf>
    <xf numFmtId="2" fontId="6" fillId="0" borderId="35" xfId="2" applyNumberFormat="1" applyBorder="1" applyAlignment="1" applyProtection="1">
      <alignment horizontal="left" indent="1"/>
    </xf>
    <xf numFmtId="167" fontId="8" fillId="0" borderId="28" xfId="2" applyNumberFormat="1" applyFont="1" applyBorder="1" applyAlignment="1" applyProtection="1">
      <alignment horizontal="right" indent="3"/>
    </xf>
    <xf numFmtId="2" fontId="6" fillId="0" borderId="15" xfId="2" applyNumberFormat="1" applyBorder="1" applyProtection="1"/>
    <xf numFmtId="166" fontId="8" fillId="0" borderId="28" xfId="2" applyNumberFormat="1" applyFont="1" applyBorder="1" applyAlignment="1" applyProtection="1">
      <alignment horizontal="right" indent="3"/>
    </xf>
    <xf numFmtId="2" fontId="6" fillId="0" borderId="53" xfId="2" applyBorder="1" applyProtection="1"/>
    <xf numFmtId="2" fontId="6" fillId="0" borderId="0" xfId="2" applyBorder="1" applyAlignment="1" applyProtection="1">
      <alignment horizontal="center"/>
    </xf>
    <xf numFmtId="2" fontId="5" fillId="0" borderId="3" xfId="2" applyNumberFormat="1" applyFont="1" applyBorder="1" applyAlignment="1" applyProtection="1">
      <alignment horizontal="left" indent="3"/>
    </xf>
    <xf numFmtId="2" fontId="5" fillId="0" borderId="29" xfId="2" applyNumberFormat="1" applyFont="1" applyBorder="1" applyAlignment="1" applyProtection="1">
      <alignment horizontal="left" indent="1"/>
    </xf>
    <xf numFmtId="4" fontId="5" fillId="0" borderId="4" xfId="2" applyNumberFormat="1" applyFont="1" applyBorder="1" applyAlignment="1" applyProtection="1">
      <alignment horizontal="right" indent="7"/>
    </xf>
    <xf numFmtId="164" fontId="5" fillId="0" borderId="17" xfId="2" applyNumberFormat="1" applyFont="1" applyFill="1" applyBorder="1" applyAlignment="1" applyProtection="1">
      <alignment horizontal="right" indent="8"/>
    </xf>
    <xf numFmtId="164" fontId="5" fillId="0" borderId="0" xfId="2" applyNumberFormat="1" applyFont="1" applyFill="1" applyBorder="1" applyAlignment="1" applyProtection="1">
      <alignment horizontal="right" indent="3"/>
    </xf>
    <xf numFmtId="2" fontId="6" fillId="0" borderId="3" xfId="2" applyBorder="1" applyAlignment="1" applyProtection="1">
      <alignment horizontal="left" indent="3"/>
    </xf>
    <xf numFmtId="2" fontId="6" fillId="0" borderId="29" xfId="2" applyBorder="1" applyAlignment="1" applyProtection="1">
      <alignment horizontal="left" indent="1"/>
    </xf>
    <xf numFmtId="167" fontId="5" fillId="0" borderId="0" xfId="2" applyNumberFormat="1" applyFont="1" applyBorder="1" applyAlignment="1" applyProtection="1">
      <alignment horizontal="right" indent="8"/>
    </xf>
    <xf numFmtId="2" fontId="6" fillId="0" borderId="3" xfId="2" applyNumberFormat="1" applyBorder="1" applyAlignment="1" applyProtection="1">
      <alignment horizontal="left" indent="3"/>
    </xf>
    <xf numFmtId="2" fontId="6" fillId="0" borderId="29" xfId="2" applyNumberFormat="1" applyBorder="1" applyAlignment="1" applyProtection="1">
      <alignment horizontal="left" indent="1"/>
    </xf>
    <xf numFmtId="2" fontId="6" fillId="0" borderId="3" xfId="2" applyNumberFormat="1" applyFont="1" applyBorder="1" applyAlignment="1" applyProtection="1">
      <alignment horizontal="left" indent="3"/>
    </xf>
    <xf numFmtId="2" fontId="6" fillId="0" borderId="29" xfId="2" applyNumberFormat="1" applyFont="1" applyBorder="1" applyAlignment="1" applyProtection="1">
      <alignment horizontal="left" indent="1"/>
    </xf>
    <xf numFmtId="164" fontId="6" fillId="0" borderId="17" xfId="2" applyNumberFormat="1" applyFont="1" applyFill="1" applyBorder="1" applyAlignment="1" applyProtection="1">
      <alignment horizontal="right" indent="8"/>
    </xf>
    <xf numFmtId="164" fontId="6" fillId="0" borderId="0" xfId="2" applyNumberFormat="1" applyFont="1" applyFill="1" applyBorder="1" applyAlignment="1" applyProtection="1">
      <alignment horizontal="right" indent="3"/>
    </xf>
    <xf numFmtId="2" fontId="5" fillId="0" borderId="3" xfId="2" applyFont="1" applyBorder="1" applyAlignment="1" applyProtection="1">
      <alignment horizontal="left" indent="3"/>
    </xf>
    <xf numFmtId="2" fontId="5" fillId="0" borderId="29" xfId="2" applyFont="1" applyBorder="1" applyAlignment="1" applyProtection="1">
      <alignment horizontal="left" indent="1"/>
    </xf>
    <xf numFmtId="2" fontId="6" fillId="0" borderId="3" xfId="2" applyBorder="1" applyAlignment="1" applyProtection="1">
      <alignment horizontal="left" indent="1"/>
    </xf>
    <xf numFmtId="2" fontId="6" fillId="0" borderId="37" xfId="2" applyBorder="1" applyAlignment="1" applyProtection="1">
      <alignment horizontal="left" indent="1"/>
    </xf>
    <xf numFmtId="167" fontId="8" fillId="0" borderId="4" xfId="2" applyNumberFormat="1" applyFont="1" applyBorder="1" applyAlignment="1" applyProtection="1">
      <alignment horizontal="right" indent="6"/>
    </xf>
    <xf numFmtId="166" fontId="8" fillId="0" borderId="4" xfId="2" applyNumberFormat="1" applyFont="1" applyBorder="1" applyAlignment="1" applyProtection="1">
      <alignment horizontal="right" indent="3"/>
    </xf>
    <xf numFmtId="2" fontId="6" fillId="0" borderId="30" xfId="2" applyBorder="1" applyProtection="1"/>
    <xf numFmtId="164" fontId="6" fillId="0" borderId="0" xfId="2" applyNumberFormat="1" applyFont="1" applyFill="1" applyBorder="1" applyAlignment="1" applyProtection="1">
      <alignment horizontal="center"/>
    </xf>
    <xf numFmtId="164" fontId="5" fillId="0" borderId="0" xfId="2" applyNumberFormat="1" applyFont="1" applyFill="1" applyBorder="1" applyAlignment="1" applyProtection="1">
      <alignment horizontal="center"/>
    </xf>
    <xf numFmtId="2" fontId="5" fillId="0" borderId="3" xfId="2" applyFont="1" applyBorder="1" applyAlignment="1" applyProtection="1">
      <alignment horizontal="center"/>
    </xf>
    <xf numFmtId="2" fontId="5" fillId="0" borderId="17" xfId="2" applyFont="1" applyBorder="1" applyAlignment="1" applyProtection="1">
      <alignment horizontal="center"/>
    </xf>
    <xf numFmtId="2" fontId="5" fillId="0" borderId="0" xfId="2" applyFont="1" applyFill="1" applyBorder="1" applyAlignment="1" applyProtection="1">
      <alignment horizontal="right" vertical="center"/>
    </xf>
    <xf numFmtId="2" fontId="6" fillId="0" borderId="0" xfId="2" applyFont="1" applyBorder="1" applyProtection="1"/>
    <xf numFmtId="2" fontId="6" fillId="0" borderId="0" xfId="2" applyFill="1" applyBorder="1" applyAlignment="1" applyProtection="1">
      <alignment horizontal="right" vertical="center"/>
    </xf>
    <xf numFmtId="2" fontId="34" fillId="0" borderId="15" xfId="2" applyFont="1" applyBorder="1" applyProtection="1"/>
    <xf numFmtId="2" fontId="32" fillId="0" borderId="15" xfId="2" applyFont="1" applyBorder="1" applyProtection="1"/>
    <xf numFmtId="2" fontId="34" fillId="0" borderId="0" xfId="2" applyFont="1" applyBorder="1" applyProtection="1"/>
    <xf numFmtId="2" fontId="32" fillId="0" borderId="0" xfId="2" applyFont="1" applyBorder="1" applyProtection="1"/>
    <xf numFmtId="166" fontId="5" fillId="0" borderId="4" xfId="2" applyNumberFormat="1" applyFont="1" applyBorder="1" applyAlignment="1" applyProtection="1">
      <alignment horizontal="right" indent="7"/>
    </xf>
    <xf numFmtId="166" fontId="5" fillId="0" borderId="4" xfId="2" applyNumberFormat="1" applyFont="1" applyBorder="1" applyAlignment="1" applyProtection="1">
      <alignment horizontal="right" indent="8"/>
    </xf>
    <xf numFmtId="2" fontId="6" fillId="0" borderId="13" xfId="0" applyFont="1" applyFill="1" applyBorder="1" applyAlignment="1" applyProtection="1">
      <alignment horizontal="left" vertical="center"/>
    </xf>
    <xf numFmtId="2" fontId="6" fillId="0" borderId="59" xfId="0" applyFont="1" applyFill="1" applyBorder="1" applyAlignment="1" applyProtection="1">
      <alignment horizontal="left" vertical="center"/>
    </xf>
    <xf numFmtId="2" fontId="5" fillId="0" borderId="23" xfId="0" applyFont="1" applyFill="1" applyBorder="1" applyAlignment="1" applyProtection="1">
      <alignment horizontal="left" vertical="center"/>
    </xf>
    <xf numFmtId="2" fontId="6" fillId="0" borderId="46" xfId="0" applyFont="1" applyBorder="1" applyAlignment="1" applyProtection="1">
      <alignment vertical="center" wrapText="1"/>
    </xf>
    <xf numFmtId="2" fontId="6" fillId="0" borderId="43" xfId="0" applyFont="1" applyFill="1" applyBorder="1" applyAlignment="1" applyProtection="1">
      <alignment horizontal="left" vertical="center" wrapText="1"/>
    </xf>
    <xf numFmtId="2" fontId="6" fillId="0" borderId="43" xfId="0" applyFont="1" applyFill="1" applyBorder="1" applyAlignment="1" applyProtection="1">
      <alignment vertical="center"/>
    </xf>
    <xf numFmtId="2" fontId="14" fillId="0" borderId="0" xfId="2" applyFont="1" applyProtection="1"/>
    <xf numFmtId="2" fontId="6" fillId="0" borderId="6" xfId="0" applyFont="1" applyBorder="1" applyAlignment="1" applyProtection="1">
      <alignment horizontal="center" vertical="center" wrapText="1"/>
      <protection locked="0"/>
    </xf>
    <xf numFmtId="0" fontId="2" fillId="0" borderId="0" xfId="5" applyFont="1" applyAlignment="1">
      <alignment horizontal="left" vertical="center"/>
    </xf>
    <xf numFmtId="0" fontId="2" fillId="0" borderId="0" xfId="5" applyFont="1" applyAlignment="1"/>
    <xf numFmtId="2" fontId="5" fillId="0" borderId="0" xfId="0" applyFont="1" applyAlignment="1" applyProtection="1">
      <alignment vertical="center" wrapText="1"/>
    </xf>
    <xf numFmtId="2" fontId="17" fillId="0" borderId="0" xfId="1" applyProtection="1"/>
    <xf numFmtId="2" fontId="6" fillId="0" borderId="0" xfId="0" applyFont="1" applyAlignment="1" applyProtection="1">
      <alignment vertical="center" wrapText="1"/>
    </xf>
    <xf numFmtId="2" fontId="6" fillId="0" borderId="0" xfId="0" quotePrefix="1" applyFont="1" applyAlignment="1" applyProtection="1">
      <alignment horizontal="right" vertical="top"/>
    </xf>
    <xf numFmtId="2" fontId="6" fillId="0" borderId="0" xfId="0" applyFont="1" applyAlignment="1" applyProtection="1">
      <alignment horizontal="left" vertical="top" wrapText="1" indent="1"/>
    </xf>
    <xf numFmtId="2" fontId="6" fillId="0" borderId="0" xfId="0" applyFont="1" applyAlignment="1" applyProtection="1">
      <alignment horizontal="left" vertical="center" wrapText="1" indent="1"/>
    </xf>
    <xf numFmtId="2" fontId="6" fillId="0" borderId="0" xfId="0" applyFont="1" applyAlignment="1" applyProtection="1">
      <alignment wrapText="1"/>
    </xf>
    <xf numFmtId="2" fontId="0" fillId="4" borderId="6" xfId="0" applyFill="1" applyBorder="1" applyAlignment="1" applyProtection="1">
      <alignment horizontal="left"/>
    </xf>
    <xf numFmtId="2" fontId="6" fillId="0" borderId="8" xfId="0" applyFont="1" applyBorder="1"/>
    <xf numFmtId="1" fontId="6" fillId="0" borderId="6" xfId="0" applyNumberFormat="1" applyFont="1" applyBorder="1" applyAlignment="1">
      <alignment horizontal="left" vertical="center"/>
    </xf>
    <xf numFmtId="2" fontId="6" fillId="0" borderId="12" xfId="0" applyFont="1" applyFill="1" applyBorder="1"/>
    <xf numFmtId="2" fontId="6" fillId="0" borderId="8" xfId="0" applyFont="1" applyFill="1" applyBorder="1" applyAlignment="1"/>
    <xf numFmtId="2" fontId="6" fillId="0" borderId="8" xfId="0" applyFont="1" applyFill="1" applyBorder="1"/>
    <xf numFmtId="2" fontId="6" fillId="0" borderId="21" xfId="0" applyFont="1" applyFill="1" applyBorder="1"/>
    <xf numFmtId="2" fontId="6" fillId="0" borderId="7" xfId="0" applyFont="1" applyFill="1" applyBorder="1"/>
    <xf numFmtId="2" fontId="6" fillId="0" borderId="7" xfId="0" applyFont="1" applyFill="1" applyBorder="1" applyAlignment="1">
      <alignment horizontal="center"/>
    </xf>
    <xf numFmtId="2" fontId="6" fillId="0" borderId="9" xfId="0" applyFont="1" applyBorder="1"/>
    <xf numFmtId="2" fontId="5" fillId="4" borderId="6" xfId="0" applyFont="1" applyFill="1" applyBorder="1"/>
    <xf numFmtId="2" fontId="5" fillId="4" borderId="6" xfId="0" applyFont="1" applyFill="1" applyBorder="1" applyAlignment="1" applyProtection="1">
      <alignment horizontal="center" vertical="center"/>
    </xf>
    <xf numFmtId="2" fontId="5" fillId="4" borderId="8" xfId="0" applyFont="1" applyFill="1" applyBorder="1" applyAlignment="1" applyProtection="1">
      <alignment horizontal="center" vertical="center"/>
    </xf>
    <xf numFmtId="2" fontId="6" fillId="4" borderId="6" xfId="0" applyFont="1" applyFill="1" applyBorder="1" applyAlignment="1" applyProtection="1">
      <alignment horizontal="center" vertical="center"/>
    </xf>
    <xf numFmtId="2" fontId="6" fillId="4" borderId="6" xfId="0" applyFont="1" applyFill="1" applyBorder="1" applyAlignment="1" applyProtection="1">
      <alignment horizontal="center" wrapText="1"/>
    </xf>
    <xf numFmtId="2" fontId="5" fillId="4" borderId="11" xfId="0" applyFont="1" applyFill="1" applyBorder="1" applyProtection="1"/>
    <xf numFmtId="164" fontId="0" fillId="0" borderId="6" xfId="0" applyNumberFormat="1" applyBorder="1" applyAlignment="1">
      <alignment horizontal="center"/>
    </xf>
    <xf numFmtId="2" fontId="6" fillId="0" borderId="6" xfId="0" applyFont="1" applyFill="1" applyBorder="1" applyAlignment="1">
      <alignment horizontal="left"/>
    </xf>
    <xf numFmtId="165" fontId="6" fillId="4" borderId="6" xfId="0" applyNumberFormat="1" applyFont="1" applyFill="1" applyBorder="1" applyAlignment="1" applyProtection="1">
      <alignment horizontal="center" vertical="center"/>
    </xf>
    <xf numFmtId="2" fontId="16" fillId="0" borderId="79" xfId="0" applyFont="1" applyFill="1" applyBorder="1" applyAlignment="1" applyProtection="1">
      <alignment horizontal="center" vertical="center"/>
      <protection locked="0"/>
    </xf>
    <xf numFmtId="2" fontId="6" fillId="0" borderId="9" xfId="0" applyFont="1" applyFill="1" applyBorder="1" applyAlignment="1"/>
    <xf numFmtId="2" fontId="6" fillId="0" borderId="21" xfId="2" applyBorder="1"/>
    <xf numFmtId="2" fontId="6" fillId="0" borderId="7" xfId="2" applyBorder="1" applyAlignment="1">
      <alignment horizontal="center"/>
    </xf>
    <xf numFmtId="2" fontId="6" fillId="0" borderId="9" xfId="2" applyBorder="1" applyAlignment="1">
      <alignment horizontal="center"/>
    </xf>
    <xf numFmtId="2" fontId="5" fillId="4" borderId="27" xfId="0" applyFont="1" applyFill="1" applyBorder="1" applyAlignment="1" applyProtection="1">
      <alignment vertical="center"/>
    </xf>
    <xf numFmtId="2" fontId="6" fillId="4" borderId="11" xfId="0" applyFont="1" applyFill="1" applyBorder="1" applyAlignment="1" applyProtection="1">
      <alignment horizontal="left" vertical="center"/>
    </xf>
    <xf numFmtId="2" fontId="16" fillId="0" borderId="8" xfId="0" applyFont="1" applyFill="1" applyBorder="1" applyAlignment="1" applyProtection="1">
      <alignment horizontal="center" vertical="center"/>
      <protection locked="0"/>
    </xf>
    <xf numFmtId="2" fontId="16" fillId="0" borderId="23" xfId="0" applyFont="1" applyFill="1" applyBorder="1" applyAlignment="1" applyProtection="1">
      <alignment horizontal="center" vertical="center"/>
      <protection locked="0"/>
    </xf>
    <xf numFmtId="2" fontId="6" fillId="0" borderId="21" xfId="0" applyFont="1" applyFill="1" applyBorder="1" applyAlignment="1" applyProtection="1">
      <alignment horizontal="left" vertical="center" wrapText="1" indent="2"/>
    </xf>
    <xf numFmtId="2" fontId="6" fillId="0" borderId="0" xfId="0" applyFont="1" applyAlignment="1" applyProtection="1">
      <alignment horizontal="left" vertical="center" wrapText="1"/>
    </xf>
    <xf numFmtId="2" fontId="5" fillId="4" borderId="11" xfId="0" applyFont="1" applyFill="1" applyBorder="1" applyAlignment="1" applyProtection="1">
      <alignment horizontal="left"/>
    </xf>
    <xf numFmtId="2" fontId="5" fillId="4" borderId="19" xfId="0" applyFont="1" applyFill="1" applyBorder="1" applyAlignment="1" applyProtection="1">
      <alignment horizontal="left"/>
    </xf>
    <xf numFmtId="2" fontId="5" fillId="4" borderId="10" xfId="0" applyFont="1" applyFill="1" applyBorder="1" applyAlignment="1" applyProtection="1">
      <alignment horizontal="left"/>
    </xf>
    <xf numFmtId="2" fontId="5" fillId="0" borderId="4" xfId="2" applyFont="1" applyBorder="1" applyAlignment="1" applyProtection="1">
      <alignment horizontal="center"/>
    </xf>
    <xf numFmtId="2" fontId="28" fillId="0" borderId="8" xfId="0" applyFont="1" applyBorder="1" applyAlignment="1" applyProtection="1">
      <alignment horizontal="center" vertical="center"/>
    </xf>
    <xf numFmtId="2" fontId="28" fillId="0" borderId="8" xfId="0" applyFont="1" applyFill="1" applyBorder="1" applyAlignment="1" applyProtection="1">
      <alignment horizontal="center" vertical="center"/>
    </xf>
    <xf numFmtId="2" fontId="28" fillId="0" borderId="9" xfId="0" applyFont="1" applyFill="1" applyBorder="1" applyAlignment="1" applyProtection="1">
      <alignment horizontal="center" vertical="center"/>
    </xf>
    <xf numFmtId="2" fontId="36" fillId="0" borderId="6" xfId="0" applyFont="1" applyBorder="1" applyAlignment="1" applyProtection="1">
      <alignment horizontal="center" vertical="center" wrapText="1"/>
      <protection locked="0"/>
    </xf>
    <xf numFmtId="2" fontId="36" fillId="0" borderId="8" xfId="0" applyFont="1" applyBorder="1" applyAlignment="1" applyProtection="1">
      <alignment horizontal="center" vertical="center" wrapText="1"/>
      <protection locked="0"/>
    </xf>
    <xf numFmtId="2" fontId="16" fillId="0" borderId="7" xfId="0" applyFont="1" applyBorder="1" applyProtection="1">
      <protection locked="0"/>
    </xf>
    <xf numFmtId="2" fontId="0" fillId="0" borderId="6" xfId="0" quotePrefix="1" applyBorder="1" applyAlignment="1" applyProtection="1">
      <alignment horizontal="center" vertical="center"/>
      <protection locked="0"/>
    </xf>
    <xf numFmtId="0" fontId="1" fillId="0" borderId="0" xfId="5" applyFont="1" applyAlignment="1"/>
    <xf numFmtId="2" fontId="17" fillId="0" borderId="6" xfId="1" applyBorder="1" applyAlignment="1">
      <alignment horizontal="center" vertical="center"/>
    </xf>
    <xf numFmtId="2" fontId="17" fillId="0" borderId="6" xfId="1" applyBorder="1" applyAlignment="1" applyProtection="1">
      <alignment horizontal="center" vertical="center"/>
      <protection locked="0"/>
    </xf>
    <xf numFmtId="2" fontId="17" fillId="0" borderId="6" xfId="1" applyBorder="1" applyAlignment="1" applyProtection="1">
      <alignment vertical="center"/>
      <protection locked="0"/>
    </xf>
    <xf numFmtId="2" fontId="5" fillId="0" borderId="0" xfId="0" applyFont="1" applyAlignment="1" applyProtection="1">
      <alignment horizontal="left" vertical="center" wrapText="1"/>
    </xf>
    <xf numFmtId="2" fontId="14" fillId="0" borderId="0" xfId="0" applyFont="1" applyAlignment="1" applyProtection="1">
      <alignment horizontal="left" vertical="center" wrapText="1"/>
    </xf>
    <xf numFmtId="2" fontId="33" fillId="0" borderId="0" xfId="0" applyFont="1" applyAlignment="1" applyProtection="1">
      <alignment horizontal="left" vertical="center" wrapText="1"/>
    </xf>
    <xf numFmtId="2" fontId="6" fillId="0" borderId="0" xfId="0" applyFont="1" applyAlignment="1" applyProtection="1">
      <alignment horizontal="left" vertical="center" wrapText="1"/>
    </xf>
    <xf numFmtId="2" fontId="17" fillId="0" borderId="0" xfId="1" applyAlignment="1" applyProtection="1">
      <alignment horizontal="left" vertical="center" wrapText="1"/>
    </xf>
    <xf numFmtId="2" fontId="6" fillId="0" borderId="0" xfId="0" applyFont="1" applyAlignment="1" applyProtection="1">
      <alignment horizontal="left" wrapText="1"/>
    </xf>
    <xf numFmtId="2" fontId="6" fillId="0" borderId="14" xfId="0" applyFont="1" applyBorder="1" applyAlignment="1" applyProtection="1"/>
    <xf numFmtId="2" fontId="0" fillId="0" borderId="16" xfId="0" applyBorder="1" applyAlignment="1" applyProtection="1"/>
    <xf numFmtId="2" fontId="0" fillId="0" borderId="18" xfId="0" applyBorder="1" applyAlignment="1" applyProtection="1"/>
    <xf numFmtId="2" fontId="6"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6" fillId="5" borderId="21" xfId="0" applyFont="1" applyFill="1" applyBorder="1" applyAlignment="1" applyProtection="1"/>
    <xf numFmtId="2" fontId="0" fillId="5" borderId="7" xfId="0" applyFill="1" applyBorder="1" applyAlignment="1" applyProtection="1"/>
    <xf numFmtId="2" fontId="0" fillId="5" borderId="9" xfId="0" applyFill="1" applyBorder="1" applyAlignment="1" applyProtection="1"/>
    <xf numFmtId="2" fontId="5" fillId="4" borderId="11" xfId="0" applyFont="1" applyFill="1" applyBorder="1" applyAlignment="1" applyProtection="1">
      <alignment horizontal="left"/>
    </xf>
    <xf numFmtId="2" fontId="5" fillId="4" borderId="19" xfId="0" applyFont="1" applyFill="1" applyBorder="1" applyAlignment="1" applyProtection="1">
      <alignment horizontal="left"/>
    </xf>
    <xf numFmtId="2" fontId="5" fillId="4" borderId="10" xfId="0" applyFont="1" applyFill="1" applyBorder="1" applyAlignment="1" applyProtection="1">
      <alignment horizontal="left"/>
    </xf>
    <xf numFmtId="2" fontId="6" fillId="0" borderId="61" xfId="0" applyFont="1" applyBorder="1" applyAlignment="1" applyProtection="1">
      <alignment horizontal="left" vertical="center"/>
    </xf>
    <xf numFmtId="2" fontId="0" fillId="0" borderId="20" xfId="0" applyBorder="1" applyAlignment="1" applyProtection="1">
      <alignment horizontal="left" vertical="center"/>
    </xf>
    <xf numFmtId="2" fontId="6" fillId="0" borderId="13" xfId="0" applyFont="1" applyBorder="1" applyAlignment="1" applyProtection="1"/>
    <xf numFmtId="2" fontId="0" fillId="0" borderId="22" xfId="0" applyBorder="1" applyAlignment="1" applyProtection="1"/>
    <xf numFmtId="2" fontId="0" fillId="0" borderId="23" xfId="0" applyBorder="1" applyAlignment="1" applyProtection="1"/>
    <xf numFmtId="2" fontId="6" fillId="0" borderId="57" xfId="2" applyFont="1" applyBorder="1" applyAlignment="1" applyProtection="1">
      <alignment horizontal="left" vertical="center" wrapText="1"/>
    </xf>
    <xf numFmtId="2" fontId="6" fillId="0" borderId="44" xfId="2" applyFont="1" applyBorder="1" applyAlignment="1" applyProtection="1">
      <alignment horizontal="left" vertical="center" wrapText="1"/>
    </xf>
    <xf numFmtId="2" fontId="6" fillId="0" borderId="59" xfId="0" applyFont="1" applyBorder="1" applyAlignment="1" applyProtection="1">
      <alignment horizontal="left" vertical="center" wrapText="1"/>
    </xf>
    <xf numFmtId="2" fontId="0" fillId="0" borderId="23" xfId="0" applyBorder="1" applyAlignment="1">
      <alignment horizontal="left" vertical="center" wrapText="1"/>
    </xf>
    <xf numFmtId="2" fontId="15" fillId="0" borderId="0" xfId="0" applyFont="1" applyAlignment="1" applyProtection="1">
      <alignment horizontal="left" vertical="top"/>
    </xf>
    <xf numFmtId="2" fontId="6" fillId="0" borderId="0" xfId="0" applyFont="1" applyAlignment="1" applyProtection="1">
      <alignment horizontal="left" vertical="top" wrapText="1"/>
    </xf>
    <xf numFmtId="2" fontId="9" fillId="0" borderId="0" xfId="0" applyFont="1" applyAlignment="1" applyProtection="1">
      <alignment horizontal="left" vertical="top" wrapText="1"/>
    </xf>
    <xf numFmtId="2" fontId="6" fillId="0" borderId="0" xfId="2" applyFont="1" applyAlignment="1" applyProtection="1">
      <alignment horizontal="left" vertical="center" wrapText="1"/>
    </xf>
    <xf numFmtId="2" fontId="20" fillId="0" borderId="0" xfId="0" applyFont="1" applyAlignment="1" applyProtection="1">
      <alignment horizontal="left" vertical="center" wrapText="1"/>
    </xf>
    <xf numFmtId="2" fontId="0" fillId="0" borderId="59" xfId="0" applyBorder="1" applyAlignment="1" applyProtection="1">
      <alignment horizontal="left" vertical="center"/>
    </xf>
    <xf numFmtId="2" fontId="0" fillId="0" borderId="23" xfId="0" applyBorder="1" applyAlignment="1" applyProtection="1">
      <alignment horizontal="left" vertical="center"/>
    </xf>
    <xf numFmtId="2" fontId="6" fillId="0" borderId="62" xfId="0" applyFont="1" applyBorder="1" applyAlignment="1" applyProtection="1">
      <alignment horizontal="left" vertical="top" wrapText="1"/>
    </xf>
    <xf numFmtId="2" fontId="6" fillId="0" borderId="63" xfId="0" applyFont="1" applyBorder="1" applyAlignment="1" applyProtection="1">
      <alignment horizontal="left" vertical="top" wrapText="1"/>
    </xf>
    <xf numFmtId="2" fontId="17" fillId="0" borderId="41" xfId="1" applyBorder="1" applyAlignment="1" applyProtection="1">
      <alignment horizontal="center" vertical="center" wrapText="1"/>
    </xf>
    <xf numFmtId="2" fontId="6" fillId="0" borderId="47" xfId="2" applyFont="1" applyBorder="1" applyAlignment="1" applyProtection="1">
      <alignment horizontal="center" vertical="center" wrapText="1"/>
    </xf>
    <xf numFmtId="2" fontId="6" fillId="0" borderId="65" xfId="0" applyFont="1" applyBorder="1" applyAlignment="1" applyProtection="1">
      <alignment horizontal="left" vertical="center"/>
    </xf>
    <xf numFmtId="2" fontId="0" fillId="0" borderId="26" xfId="0" applyBorder="1" applyAlignment="1" applyProtection="1">
      <alignment horizontal="left" vertical="center"/>
    </xf>
    <xf numFmtId="49" fontId="6" fillId="0" borderId="43" xfId="0" applyNumberFormat="1" applyFont="1" applyBorder="1" applyAlignment="1" applyProtection="1">
      <alignment horizontal="left" vertical="top"/>
    </xf>
    <xf numFmtId="49" fontId="6" fillId="0" borderId="66" xfId="0" applyNumberFormat="1" applyFont="1" applyBorder="1" applyAlignment="1" applyProtection="1">
      <alignment horizontal="left" vertical="top"/>
    </xf>
    <xf numFmtId="49" fontId="6" fillId="0" borderId="12" xfId="0" applyNumberFormat="1" applyFont="1" applyBorder="1" applyAlignment="1" applyProtection="1">
      <alignment horizontal="left" vertical="top"/>
    </xf>
    <xf numFmtId="49" fontId="6" fillId="0" borderId="6" xfId="0" applyNumberFormat="1" applyFont="1" applyBorder="1" applyAlignment="1" applyProtection="1">
      <alignment horizontal="left" vertical="top"/>
    </xf>
    <xf numFmtId="49" fontId="6" fillId="0" borderId="38" xfId="0" applyNumberFormat="1" applyFont="1" applyBorder="1" applyAlignment="1" applyProtection="1">
      <alignment horizontal="left" vertical="top"/>
    </xf>
    <xf numFmtId="49" fontId="6" fillId="0" borderId="52" xfId="0" applyNumberFormat="1" applyFont="1" applyBorder="1" applyAlignment="1" applyProtection="1">
      <alignment horizontal="left" vertical="top"/>
    </xf>
    <xf numFmtId="49" fontId="6" fillId="0" borderId="46" xfId="0" applyNumberFormat="1" applyFont="1" applyBorder="1" applyAlignment="1" applyProtection="1">
      <alignment horizontal="left" vertical="top"/>
    </xf>
    <xf numFmtId="49" fontId="6" fillId="0" borderId="42" xfId="0" applyNumberFormat="1" applyFont="1" applyBorder="1" applyAlignment="1" applyProtection="1">
      <alignment horizontal="left" vertical="top"/>
    </xf>
    <xf numFmtId="49" fontId="6" fillId="0" borderId="21" xfId="0" applyNumberFormat="1" applyFont="1" applyBorder="1" applyAlignment="1" applyProtection="1">
      <alignment horizontal="left" vertical="top"/>
    </xf>
    <xf numFmtId="49" fontId="6" fillId="0" borderId="7" xfId="0" applyNumberFormat="1" applyFont="1" applyBorder="1" applyAlignment="1" applyProtection="1">
      <alignment horizontal="left" vertical="top"/>
    </xf>
    <xf numFmtId="2" fontId="6" fillId="0" borderId="67" xfId="0" applyFont="1" applyBorder="1" applyAlignment="1" applyProtection="1">
      <alignment horizontal="left" vertical="top" wrapText="1"/>
    </xf>
    <xf numFmtId="2" fontId="6" fillId="0" borderId="55" xfId="0" applyFont="1" applyBorder="1" applyAlignment="1" applyProtection="1">
      <alignment horizontal="left" vertical="top" wrapText="1"/>
    </xf>
    <xf numFmtId="2" fontId="6" fillId="0" borderId="39" xfId="0" applyFont="1" applyBorder="1" applyAlignment="1" applyProtection="1">
      <alignment horizontal="left" vertical="top" wrapText="1"/>
    </xf>
    <xf numFmtId="2" fontId="6" fillId="0" borderId="23" xfId="0" applyFont="1" applyBorder="1" applyAlignment="1" applyProtection="1">
      <alignment horizontal="left" vertical="top" wrapText="1"/>
    </xf>
    <xf numFmtId="2" fontId="6" fillId="0" borderId="64" xfId="0" applyFont="1" applyBorder="1" applyAlignment="1" applyProtection="1">
      <alignment horizontal="left" vertical="top" wrapText="1"/>
    </xf>
    <xf numFmtId="2" fontId="6" fillId="0" borderId="24" xfId="0" applyFont="1" applyBorder="1" applyAlignment="1" applyProtection="1">
      <alignment horizontal="left" vertical="top" wrapText="1"/>
    </xf>
    <xf numFmtId="49" fontId="6" fillId="0" borderId="13" xfId="0" applyNumberFormat="1" applyFont="1" applyBorder="1" applyAlignment="1" applyProtection="1">
      <alignment horizontal="left" vertical="top" wrapText="1"/>
    </xf>
    <xf numFmtId="2" fontId="0" fillId="0" borderId="40" xfId="0" applyBorder="1" applyAlignment="1">
      <alignment horizontal="left" vertical="top" wrapText="1"/>
    </xf>
    <xf numFmtId="2" fontId="6" fillId="0" borderId="6" xfId="0" applyFont="1" applyBorder="1" applyAlignment="1" applyProtection="1">
      <alignment horizontal="left" vertical="top" wrapText="1"/>
    </xf>
    <xf numFmtId="2" fontId="6" fillId="0" borderId="8" xfId="0" applyFont="1" applyBorder="1" applyAlignment="1" applyProtection="1">
      <alignment horizontal="left" vertical="top" wrapText="1"/>
    </xf>
    <xf numFmtId="2" fontId="6" fillId="4" borderId="11" xfId="0" applyFont="1" applyFill="1" applyBorder="1" applyAlignment="1" applyProtection="1">
      <alignment horizontal="left" vertical="center" wrapText="1"/>
    </xf>
    <xf numFmtId="2" fontId="6" fillId="0" borderId="10" xfId="0" applyFont="1" applyBorder="1" applyAlignment="1" applyProtection="1">
      <alignment horizontal="left" vertical="center" wrapText="1"/>
    </xf>
    <xf numFmtId="2" fontId="6" fillId="0" borderId="43" xfId="0" applyFont="1" applyBorder="1" applyAlignment="1" applyProtection="1">
      <alignment horizontal="left" vertical="center"/>
    </xf>
    <xf numFmtId="2" fontId="6" fillId="0" borderId="44" xfId="0" applyFont="1" applyBorder="1" applyAlignment="1" applyProtection="1">
      <alignment horizontal="left" vertical="center"/>
    </xf>
    <xf numFmtId="2" fontId="7" fillId="4" borderId="11" xfId="0" applyFont="1" applyFill="1" applyBorder="1" applyAlignment="1" applyProtection="1">
      <alignment horizontal="left"/>
    </xf>
    <xf numFmtId="2" fontId="7" fillId="4" borderId="10" xfId="0" applyFont="1" applyFill="1" applyBorder="1" applyAlignment="1" applyProtection="1">
      <alignment horizontal="left"/>
    </xf>
    <xf numFmtId="2" fontId="5" fillId="4" borderId="33" xfId="0" applyFont="1" applyFill="1" applyBorder="1" applyAlignment="1" applyProtection="1">
      <alignment horizontal="left"/>
    </xf>
    <xf numFmtId="2" fontId="5" fillId="4" borderId="34" xfId="0" applyFont="1" applyFill="1" applyBorder="1" applyAlignment="1" applyProtection="1">
      <alignment horizontal="left"/>
    </xf>
    <xf numFmtId="2" fontId="5" fillId="4" borderId="11" xfId="2" applyFont="1" applyFill="1" applyBorder="1" applyAlignment="1" applyProtection="1">
      <alignment horizontal="left"/>
    </xf>
    <xf numFmtId="2" fontId="5" fillId="4" borderId="10" xfId="2" applyFont="1" applyFill="1" applyBorder="1" applyAlignment="1" applyProtection="1">
      <alignment horizontal="left"/>
    </xf>
    <xf numFmtId="2" fontId="6" fillId="4" borderId="10" xfId="0" applyFont="1" applyFill="1" applyBorder="1" applyAlignment="1" applyProtection="1">
      <alignment horizontal="left" vertical="center" wrapText="1"/>
    </xf>
    <xf numFmtId="2" fontId="6" fillId="0" borderId="76" xfId="0" applyNumberFormat="1" applyFont="1" applyFill="1" applyBorder="1" applyAlignment="1" applyProtection="1">
      <alignment horizontal="left"/>
    </xf>
    <xf numFmtId="2" fontId="6" fillId="0" borderId="77" xfId="0" applyNumberFormat="1" applyFont="1" applyFill="1" applyBorder="1" applyAlignment="1" applyProtection="1">
      <alignment horizontal="left"/>
    </xf>
    <xf numFmtId="2" fontId="6" fillId="0" borderId="14" xfId="2" applyBorder="1" applyAlignment="1" applyProtection="1">
      <alignment horizontal="left" wrapText="1"/>
    </xf>
    <xf numFmtId="2" fontId="6" fillId="0" borderId="16" xfId="2" applyBorder="1" applyAlignment="1" applyProtection="1">
      <alignment horizontal="left" wrapText="1"/>
    </xf>
    <xf numFmtId="2" fontId="16" fillId="0" borderId="16" xfId="2" applyFont="1" applyBorder="1" applyAlignment="1" applyProtection="1">
      <alignment horizontal="center" vertical="center"/>
      <protection locked="0"/>
    </xf>
    <xf numFmtId="2" fontId="16" fillId="0" borderId="18" xfId="2" applyFont="1" applyBorder="1" applyAlignment="1" applyProtection="1">
      <alignment horizontal="center" vertical="center"/>
      <protection locked="0"/>
    </xf>
    <xf numFmtId="2" fontId="6" fillId="0" borderId="12" xfId="2" applyBorder="1" applyAlignment="1" applyProtection="1">
      <alignment horizontal="left"/>
    </xf>
    <xf numFmtId="2" fontId="6" fillId="0" borderId="6" xfId="2" applyBorder="1" applyAlignment="1" applyProtection="1">
      <alignment horizontal="left"/>
    </xf>
    <xf numFmtId="2" fontId="28" fillId="0" borderId="6" xfId="2" applyFont="1" applyBorder="1" applyAlignment="1" applyProtection="1">
      <alignment horizontal="center" vertical="center"/>
    </xf>
    <xf numFmtId="2" fontId="28" fillId="0" borderId="8" xfId="2" applyFont="1" applyBorder="1" applyAlignment="1" applyProtection="1">
      <alignment horizontal="center" vertical="center"/>
    </xf>
    <xf numFmtId="2" fontId="6" fillId="0" borderId="76" xfId="2" applyBorder="1" applyAlignment="1" applyProtection="1">
      <alignment horizontal="left"/>
    </xf>
    <xf numFmtId="2" fontId="6" fillId="0" borderId="78" xfId="2" applyBorder="1" applyAlignment="1" applyProtection="1">
      <alignment horizontal="left"/>
    </xf>
    <xf numFmtId="2" fontId="6" fillId="0" borderId="77" xfId="2" applyBorder="1" applyAlignment="1" applyProtection="1">
      <alignment horizontal="left"/>
    </xf>
    <xf numFmtId="2" fontId="28" fillId="0" borderId="64" xfId="2" applyFont="1" applyBorder="1" applyAlignment="1" applyProtection="1">
      <alignment horizontal="center" vertical="center"/>
    </xf>
    <xf numFmtId="2" fontId="28" fillId="0" borderId="78" xfId="2" applyFont="1" applyBorder="1" applyAlignment="1" applyProtection="1">
      <alignment horizontal="center" vertical="center"/>
    </xf>
    <xf numFmtId="2" fontId="28" fillId="0" borderId="24" xfId="2" applyFont="1" applyBorder="1" applyAlignment="1" applyProtection="1">
      <alignment horizontal="center" vertical="center"/>
    </xf>
    <xf numFmtId="2" fontId="0" fillId="4" borderId="19" xfId="0" applyFill="1" applyBorder="1" applyAlignment="1" applyProtection="1">
      <alignment horizontal="left" vertical="center" wrapText="1"/>
    </xf>
    <xf numFmtId="2" fontId="0" fillId="4" borderId="10" xfId="0" applyFill="1" applyBorder="1" applyAlignment="1" applyProtection="1">
      <alignment horizontal="left" vertical="center" wrapText="1"/>
    </xf>
    <xf numFmtId="2" fontId="5" fillId="4" borderId="66" xfId="0" applyFont="1" applyFill="1" applyBorder="1" applyAlignment="1" applyProtection="1">
      <alignment horizontal="center"/>
    </xf>
    <xf numFmtId="2" fontId="5" fillId="4" borderId="44" xfId="0" applyFont="1" applyFill="1" applyBorder="1" applyAlignment="1" applyProtection="1">
      <alignment horizontal="center"/>
    </xf>
    <xf numFmtId="2" fontId="5" fillId="4" borderId="12" xfId="0" applyFont="1" applyFill="1" applyBorder="1" applyAlignment="1" applyProtection="1">
      <alignment horizontal="right" vertical="center"/>
    </xf>
    <xf numFmtId="2" fontId="5" fillId="4" borderId="6" xfId="0" applyFont="1" applyFill="1" applyBorder="1" applyAlignment="1" applyProtection="1">
      <alignment horizontal="right" vertical="center"/>
    </xf>
    <xf numFmtId="2" fontId="5" fillId="4" borderId="27" xfId="0" applyFont="1" applyFill="1" applyBorder="1" applyAlignment="1" applyProtection="1">
      <alignment horizontal="left" vertical="center"/>
    </xf>
    <xf numFmtId="2" fontId="5" fillId="4" borderId="75" xfId="0" applyFont="1" applyFill="1" applyBorder="1" applyAlignment="1" applyProtection="1">
      <alignment horizontal="left" vertical="center"/>
    </xf>
    <xf numFmtId="2" fontId="5" fillId="4" borderId="46" xfId="0" applyFont="1" applyFill="1" applyBorder="1" applyAlignment="1" applyProtection="1">
      <alignment horizontal="left" vertical="center"/>
    </xf>
    <xf numFmtId="2" fontId="5" fillId="4" borderId="42" xfId="0" applyFont="1" applyFill="1" applyBorder="1" applyAlignment="1" applyProtection="1">
      <alignment horizontal="left" vertical="center"/>
    </xf>
    <xf numFmtId="2" fontId="5" fillId="6" borderId="11" xfId="0" applyFont="1" applyFill="1" applyBorder="1" applyAlignment="1" applyProtection="1">
      <alignment horizontal="center"/>
    </xf>
    <xf numFmtId="2" fontId="5" fillId="6" borderId="19" xfId="0" applyFont="1" applyFill="1" applyBorder="1" applyAlignment="1" applyProtection="1">
      <alignment horizontal="center"/>
    </xf>
    <xf numFmtId="2" fontId="5" fillId="6" borderId="10" xfId="0" applyFont="1" applyFill="1" applyBorder="1" applyAlignment="1" applyProtection="1">
      <alignment horizontal="center"/>
    </xf>
    <xf numFmtId="2" fontId="5" fillId="0" borderId="0" xfId="2" applyFont="1" applyAlignment="1" applyProtection="1">
      <alignment horizontal="center" vertical="center" wrapText="1"/>
    </xf>
    <xf numFmtId="2" fontId="5" fillId="0" borderId="0" xfId="2" applyFont="1" applyAlignment="1" applyProtection="1">
      <alignment horizontal="center" wrapText="1"/>
    </xf>
    <xf numFmtId="2" fontId="5" fillId="0" borderId="29" xfId="2" applyFont="1" applyBorder="1" applyAlignment="1" applyProtection="1">
      <alignment horizontal="center"/>
    </xf>
    <xf numFmtId="2" fontId="5" fillId="0" borderId="4" xfId="2" applyFont="1" applyBorder="1" applyAlignment="1" applyProtection="1">
      <alignment horizontal="center"/>
    </xf>
    <xf numFmtId="2" fontId="6" fillId="0" borderId="36" xfId="2" applyFont="1" applyBorder="1" applyAlignment="1" applyProtection="1">
      <alignment horizontal="center"/>
    </xf>
    <xf numFmtId="2" fontId="6" fillId="0" borderId="5" xfId="2" applyFont="1" applyBorder="1" applyAlignment="1" applyProtection="1">
      <alignment horizontal="center"/>
    </xf>
    <xf numFmtId="2" fontId="6" fillId="0" borderId="36" xfId="2" applyBorder="1" applyAlignment="1" applyProtection="1">
      <alignment horizontal="center"/>
    </xf>
    <xf numFmtId="2" fontId="6" fillId="0" borderId="5" xfId="2" applyBorder="1" applyAlignment="1" applyProtection="1">
      <alignment horizontal="center"/>
    </xf>
    <xf numFmtId="2" fontId="5" fillId="0" borderId="13" xfId="2" applyFont="1" applyBorder="1" applyAlignment="1" applyProtection="1">
      <alignment horizontal="center" vertical="center"/>
    </xf>
    <xf numFmtId="2" fontId="5" fillId="0" borderId="22" xfId="2" applyFont="1" applyBorder="1" applyAlignment="1" applyProtection="1">
      <alignment horizontal="center" vertical="center"/>
    </xf>
    <xf numFmtId="2" fontId="5" fillId="0" borderId="23" xfId="2" applyFont="1" applyBorder="1" applyAlignment="1" applyProtection="1">
      <alignment horizontal="center" vertical="center"/>
    </xf>
    <xf numFmtId="2" fontId="31" fillId="8" borderId="11" xfId="2" applyFont="1" applyFill="1" applyBorder="1" applyAlignment="1" applyProtection="1">
      <alignment horizontal="center" vertical="center"/>
    </xf>
    <xf numFmtId="2" fontId="31" fillId="8" borderId="19" xfId="2" applyFont="1" applyFill="1" applyBorder="1" applyAlignment="1" applyProtection="1">
      <alignment horizontal="center" vertical="center"/>
    </xf>
    <xf numFmtId="2" fontId="31" fillId="8" borderId="10" xfId="2" applyFont="1" applyFill="1" applyBorder="1" applyAlignment="1" applyProtection="1">
      <alignment horizontal="center" vertical="center"/>
    </xf>
    <xf numFmtId="2" fontId="31" fillId="0" borderId="2" xfId="2" applyFont="1" applyBorder="1" applyAlignment="1" applyProtection="1">
      <alignment horizontal="justify" vertical="top" wrapText="1"/>
    </xf>
    <xf numFmtId="2" fontId="31" fillId="0" borderId="1" xfId="2" applyFont="1" applyBorder="1" applyAlignment="1" applyProtection="1">
      <alignment horizontal="justify" vertical="top" wrapText="1"/>
    </xf>
    <xf numFmtId="2" fontId="31" fillId="0" borderId="26" xfId="2" applyFont="1" applyBorder="1" applyAlignment="1" applyProtection="1">
      <alignment horizontal="justify" vertical="top" wrapText="1"/>
    </xf>
    <xf numFmtId="2" fontId="32" fillId="7" borderId="11" xfId="2" applyFont="1" applyFill="1" applyBorder="1" applyAlignment="1" applyProtection="1">
      <alignment horizontal="center" vertical="top" wrapText="1"/>
    </xf>
    <xf numFmtId="2" fontId="32" fillId="7" borderId="19" xfId="2" applyFont="1" applyFill="1" applyBorder="1" applyAlignment="1" applyProtection="1">
      <alignment horizontal="center" vertical="top" wrapText="1"/>
    </xf>
    <xf numFmtId="2" fontId="32" fillId="7" borderId="10" xfId="2" applyFont="1" applyFill="1" applyBorder="1" applyAlignment="1" applyProtection="1">
      <alignment horizontal="center" vertical="top" wrapText="1"/>
    </xf>
    <xf numFmtId="2" fontId="10" fillId="2" borderId="2" xfId="2" applyFont="1" applyFill="1" applyBorder="1" applyAlignment="1" applyProtection="1">
      <alignment horizontal="center" vertical="center"/>
    </xf>
    <xf numFmtId="2" fontId="10" fillId="2" borderId="1" xfId="2" applyFont="1" applyFill="1" applyBorder="1" applyAlignment="1" applyProtection="1">
      <alignment horizontal="center" vertical="center"/>
    </xf>
    <xf numFmtId="2" fontId="10" fillId="2" borderId="26" xfId="2" applyFont="1" applyFill="1" applyBorder="1" applyAlignment="1" applyProtection="1">
      <alignment horizontal="center" vertical="center"/>
    </xf>
    <xf numFmtId="2" fontId="5" fillId="0" borderId="72" xfId="2" applyFont="1" applyBorder="1" applyAlignment="1" applyProtection="1">
      <alignment horizontal="center" vertical="center"/>
    </xf>
    <xf numFmtId="2" fontId="5" fillId="0" borderId="73" xfId="2" applyFont="1" applyBorder="1" applyAlignment="1" applyProtection="1">
      <alignment horizontal="center" vertical="center"/>
    </xf>
    <xf numFmtId="2" fontId="5" fillId="0" borderId="74" xfId="2" applyFont="1" applyBorder="1" applyAlignment="1" applyProtection="1">
      <alignment horizontal="center" vertical="center"/>
    </xf>
    <xf numFmtId="2" fontId="5" fillId="0" borderId="29" xfId="2" applyFont="1" applyBorder="1" applyAlignment="1" applyProtection="1">
      <alignment horizontal="center" wrapText="1"/>
    </xf>
    <xf numFmtId="2" fontId="5" fillId="0" borderId="4" xfId="2" applyFont="1" applyBorder="1" applyAlignment="1" applyProtection="1">
      <alignment horizontal="center" wrapText="1"/>
    </xf>
    <xf numFmtId="2" fontId="15" fillId="0" borderId="0" xfId="0" applyFont="1" applyAlignment="1">
      <alignment horizontal="left" vertical="top"/>
    </xf>
    <xf numFmtId="2" fontId="14" fillId="0" borderId="0" xfId="0" applyFont="1" applyAlignment="1">
      <alignment horizontal="left"/>
    </xf>
    <xf numFmtId="2" fontId="5" fillId="4" borderId="6" xfId="0" applyFont="1" applyFill="1" applyBorder="1" applyAlignment="1">
      <alignment horizontal="left"/>
    </xf>
    <xf numFmtId="1" fontId="0" fillId="0" borderId="0" xfId="0" applyNumberFormat="1" applyBorder="1" applyAlignment="1">
      <alignment horizontal="left" vertical="center"/>
    </xf>
    <xf numFmtId="2" fontId="5" fillId="4" borderId="22" xfId="0" applyFont="1" applyFill="1" applyBorder="1" applyAlignment="1">
      <alignment horizontal="left"/>
    </xf>
    <xf numFmtId="2" fontId="5" fillId="6" borderId="54" xfId="2" applyFont="1" applyFill="1" applyBorder="1" applyAlignment="1">
      <alignment horizontal="left"/>
    </xf>
    <xf numFmtId="2" fontId="5" fillId="6" borderId="56" xfId="2" applyFont="1" applyFill="1" applyBorder="1" applyAlignment="1">
      <alignment horizontal="left"/>
    </xf>
    <xf numFmtId="2" fontId="5" fillId="6" borderId="55" xfId="2" applyFont="1" applyFill="1" applyBorder="1" applyAlignment="1">
      <alignment horizontal="left"/>
    </xf>
    <xf numFmtId="2" fontId="5" fillId="4" borderId="12" xfId="0" applyFont="1" applyFill="1" applyBorder="1" applyAlignment="1">
      <alignment horizontal="left"/>
    </xf>
    <xf numFmtId="2" fontId="5" fillId="4" borderId="8" xfId="0" applyFont="1" applyFill="1" applyBorder="1" applyAlignment="1">
      <alignment horizontal="left"/>
    </xf>
    <xf numFmtId="2" fontId="5" fillId="4" borderId="14" xfId="0" applyFont="1" applyFill="1" applyBorder="1" applyAlignment="1">
      <alignment horizontal="left"/>
    </xf>
    <xf numFmtId="2" fontId="5" fillId="4" borderId="16" xfId="0" applyFont="1" applyFill="1" applyBorder="1" applyAlignment="1">
      <alignment horizontal="left"/>
    </xf>
    <xf numFmtId="2" fontId="5" fillId="4" borderId="18" xfId="0" applyFont="1" applyFill="1" applyBorder="1" applyAlignment="1">
      <alignment horizontal="left"/>
    </xf>
    <xf numFmtId="0" fontId="26" fillId="4" borderId="6" xfId="5" applyFont="1" applyFill="1" applyBorder="1" applyAlignment="1">
      <alignment horizontal="center"/>
    </xf>
  </cellXfs>
  <cellStyles count="9">
    <cellStyle name="Hyperlink" xfId="1" builtinId="8"/>
    <cellStyle name="Hyperlink 2" xfId="6"/>
    <cellStyle name="Normal" xfId="0" builtinId="0"/>
    <cellStyle name="Normal 2" xfId="2"/>
    <cellStyle name="Normal 2 2" xfId="7"/>
    <cellStyle name="Normal 2 3" xfId="4"/>
    <cellStyle name="Normal 3" xfId="5"/>
    <cellStyle name="Normal 4" xfId="8"/>
    <cellStyle name="Percent 2" xfId="3"/>
  </cellStyles>
  <dxfs count="20">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6600"/>
      <color rgb="FF0000FF"/>
      <color rgb="FFCC33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oquendo.ana@epa.gov" TargetMode="External"/><Relationship Id="rId21" Type="http://schemas.openxmlformats.org/officeDocument/2006/relationships/hyperlink" Target="mailto:smith.claudia@epa.gov" TargetMode="External"/><Relationship Id="rId34" Type="http://schemas.openxmlformats.org/officeDocument/2006/relationships/hyperlink" Target="mailto:gupta.kaushal@epa.gov" TargetMode="External"/><Relationship Id="rId42" Type="http://schemas.openxmlformats.org/officeDocument/2006/relationships/hyperlink" Target="mailto:shepherd.lorinda@epa.gov" TargetMode="External"/><Relationship Id="rId47" Type="http://schemas.openxmlformats.org/officeDocument/2006/relationships/hyperlink" Target="mailto:shepherd.lorinda@epa.gov" TargetMode="External"/><Relationship Id="rId50" Type="http://schemas.openxmlformats.org/officeDocument/2006/relationships/hyperlink" Target="mailto:Gutierrez.roberto@epa.gov" TargetMode="External"/><Relationship Id="rId55" Type="http://schemas.openxmlformats.org/officeDocument/2006/relationships/hyperlink" Target="mailto:Gutierrez.roberto@epa.gov" TargetMode="External"/><Relationship Id="rId63" Type="http://schemas.openxmlformats.org/officeDocument/2006/relationships/hyperlink" Target="mailto:braganza.bonnie@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webber.robert@epa.gov" TargetMode="External"/><Relationship Id="rId41" Type="http://schemas.openxmlformats.org/officeDocument/2006/relationships/hyperlink" Target="mailto:oquendo.ana@epa.gov" TargetMode="External"/><Relationship Id="rId54" Type="http://schemas.openxmlformats.org/officeDocument/2006/relationships/hyperlink" Target="mailto:Gutierrez.roberto@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gupta.kaushal@epa.gov" TargetMode="External"/><Relationship Id="rId37" Type="http://schemas.openxmlformats.org/officeDocument/2006/relationships/hyperlink" Target="mailto:oquendo.ana@epa.gov" TargetMode="External"/><Relationship Id="rId40" Type="http://schemas.openxmlformats.org/officeDocument/2006/relationships/hyperlink" Target="mailto:oquendo.ana@epa.gov" TargetMode="External"/><Relationship Id="rId45" Type="http://schemas.openxmlformats.org/officeDocument/2006/relationships/hyperlink" Target="mailto:shepherd.lorinda@epa.gov" TargetMode="External"/><Relationship Id="rId53" Type="http://schemas.openxmlformats.org/officeDocument/2006/relationships/hyperlink" Target="mailto:glass.geoffrey@epa.gov" TargetMode="External"/><Relationship Id="rId58" Type="http://schemas.openxmlformats.org/officeDocument/2006/relationships/hyperlink" Target="mailto:todd.bill@epa.gov" TargetMode="External"/><Relationship Id="rId66" Type="http://schemas.openxmlformats.org/officeDocument/2006/relationships/printerSettings" Target="../printerSettings/printerSettings11.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webber.robert@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lass.geoffrey@epa.gov" TargetMode="External"/><Relationship Id="rId60" Type="http://schemas.openxmlformats.org/officeDocument/2006/relationships/hyperlink" Target="mailto:todd.bill@epa.gov" TargetMode="External"/><Relationship Id="rId65" Type="http://schemas.openxmlformats.org/officeDocument/2006/relationships/hyperlink" Target="mailto:braganza.bonnie@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webber.robert@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shepherd.lorinda@epa.gov" TargetMode="External"/><Relationship Id="rId56" Type="http://schemas.openxmlformats.org/officeDocument/2006/relationships/hyperlink" Target="mailto:Gutierrez.roberto@epa.gov" TargetMode="External"/><Relationship Id="rId64" Type="http://schemas.openxmlformats.org/officeDocument/2006/relationships/hyperlink" Target="mailto:braganza.bonnie@epa.gov" TargetMode="External"/><Relationship Id="rId8" Type="http://schemas.openxmlformats.org/officeDocument/2006/relationships/hyperlink" Target="mailto:Dholakia.umesh@epa.gov" TargetMode="External"/><Relationship Id="rId51" Type="http://schemas.openxmlformats.org/officeDocument/2006/relationships/hyperlink" Target="mailto:glass.geoffrey@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gupta.kaushal@epa.gov" TargetMode="External"/><Relationship Id="rId38" Type="http://schemas.openxmlformats.org/officeDocument/2006/relationships/hyperlink" Target="mailto:oquendo.ana@epa.gov" TargetMode="External"/><Relationship Id="rId46" Type="http://schemas.openxmlformats.org/officeDocument/2006/relationships/hyperlink" Target="mailto:shepherd.lorinda@epa.gov" TargetMode="External"/><Relationship Id="rId59" Type="http://schemas.openxmlformats.org/officeDocument/2006/relationships/hyperlink" Target="mailto:todd.bill@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6" Type="http://schemas.openxmlformats.org/officeDocument/2006/relationships/printerSettings" Target="../printerSettings/printerSettings8.bin"/><Relationship Id="rId5" Type="http://schemas.openxmlformats.org/officeDocument/2006/relationships/hyperlink" Target="mailto:jonathan_dorn@abtassoc.com" TargetMode="External"/><Relationship Id="rId4" Type="http://schemas.openxmlformats.org/officeDocument/2006/relationships/hyperlink" Target="mailto:jonathan_dorn@abtassoc.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28" customWidth="1"/>
    <col min="2" max="2" width="5.88671875" style="274" customWidth="1"/>
    <col min="3" max="3" width="120.88671875" style="13" customWidth="1"/>
    <col min="4" max="16384" width="9.109375" style="28"/>
  </cols>
  <sheetData>
    <row r="1" spans="2:6" ht="17.399999999999999" x14ac:dyDescent="0.25">
      <c r="B1" s="321" t="s">
        <v>370</v>
      </c>
      <c r="C1" s="321"/>
    </row>
    <row r="2" spans="2:6" ht="15.6" x14ac:dyDescent="0.25">
      <c r="B2" s="322" t="s">
        <v>371</v>
      </c>
      <c r="C2" s="322"/>
    </row>
    <row r="3" spans="2:6" x14ac:dyDescent="0.25">
      <c r="B3" s="268"/>
      <c r="C3" s="28"/>
    </row>
    <row r="4" spans="2:6" x14ac:dyDescent="0.25">
      <c r="B4" s="320" t="s">
        <v>372</v>
      </c>
      <c r="C4" s="320"/>
    </row>
    <row r="5" spans="2:6" ht="75" customHeight="1" x14ac:dyDescent="0.25">
      <c r="B5" s="323" t="s">
        <v>433</v>
      </c>
      <c r="C5" s="323"/>
      <c r="F5" s="269"/>
    </row>
    <row r="6" spans="2:6" ht="18" customHeight="1" x14ac:dyDescent="0.25">
      <c r="B6" s="324" t="s">
        <v>434</v>
      </c>
      <c r="C6" s="324"/>
      <c r="F6" s="269"/>
    </row>
    <row r="7" spans="2:6" ht="15" customHeight="1" x14ac:dyDescent="0.25">
      <c r="B7" s="270"/>
      <c r="C7" s="28"/>
    </row>
    <row r="8" spans="2:6" x14ac:dyDescent="0.25">
      <c r="B8" s="320" t="s">
        <v>373</v>
      </c>
      <c r="C8" s="320"/>
    </row>
    <row r="9" spans="2:6" ht="97.5" customHeight="1" x14ac:dyDescent="0.25">
      <c r="B9" s="323" t="s">
        <v>448</v>
      </c>
      <c r="C9" s="323"/>
    </row>
    <row r="10" spans="2:6" ht="15" customHeight="1" x14ac:dyDescent="0.25">
      <c r="B10" s="270"/>
      <c r="C10" s="28"/>
    </row>
    <row r="11" spans="2:6" x14ac:dyDescent="0.25">
      <c r="B11" s="320" t="s">
        <v>374</v>
      </c>
      <c r="C11" s="320"/>
    </row>
    <row r="12" spans="2:6" ht="84" customHeight="1" x14ac:dyDescent="0.25">
      <c r="B12" s="323" t="s">
        <v>435</v>
      </c>
      <c r="C12" s="323"/>
    </row>
    <row r="13" spans="2:6" ht="15" customHeight="1" x14ac:dyDescent="0.25">
      <c r="B13" s="270"/>
      <c r="C13" s="28"/>
    </row>
    <row r="14" spans="2:6" x14ac:dyDescent="0.25">
      <c r="B14" s="320" t="s">
        <v>375</v>
      </c>
      <c r="C14" s="320"/>
    </row>
    <row r="15" spans="2:6" ht="18.75" customHeight="1" x14ac:dyDescent="0.25">
      <c r="B15" s="323" t="s">
        <v>436</v>
      </c>
      <c r="C15" s="323"/>
    </row>
    <row r="16" spans="2:6" ht="15.75" customHeight="1" x14ac:dyDescent="0.25">
      <c r="B16" s="271" t="s">
        <v>376</v>
      </c>
      <c r="C16" s="272" t="s">
        <v>437</v>
      </c>
    </row>
    <row r="17" spans="2:3" ht="27.75" customHeight="1" x14ac:dyDescent="0.25">
      <c r="B17" s="271" t="s">
        <v>377</v>
      </c>
      <c r="C17" s="272" t="s">
        <v>515</v>
      </c>
    </row>
    <row r="18" spans="2:3" ht="9" customHeight="1" x14ac:dyDescent="0.25">
      <c r="B18" s="304"/>
      <c r="C18" s="28"/>
    </row>
    <row r="19" spans="2:3" x14ac:dyDescent="0.25">
      <c r="B19" s="320" t="s">
        <v>378</v>
      </c>
      <c r="C19" s="320"/>
    </row>
    <row r="20" spans="2:3" ht="18" customHeight="1" x14ac:dyDescent="0.25">
      <c r="B20" s="323" t="s">
        <v>379</v>
      </c>
      <c r="C20" s="323"/>
    </row>
    <row r="21" spans="2:3" x14ac:dyDescent="0.25">
      <c r="B21" s="271" t="s">
        <v>376</v>
      </c>
      <c r="C21" s="273" t="s">
        <v>438</v>
      </c>
    </row>
    <row r="22" spans="2:3" x14ac:dyDescent="0.25">
      <c r="B22" s="271" t="s">
        <v>377</v>
      </c>
      <c r="C22" s="273" t="s">
        <v>439</v>
      </c>
    </row>
    <row r="23" spans="2:3" x14ac:dyDescent="0.25">
      <c r="B23" s="271" t="s">
        <v>380</v>
      </c>
      <c r="C23" s="273" t="s">
        <v>440</v>
      </c>
    </row>
    <row r="24" spans="2:3" x14ac:dyDescent="0.25">
      <c r="B24" s="28"/>
      <c r="C24" s="304"/>
    </row>
    <row r="25" spans="2:3" x14ac:dyDescent="0.25">
      <c r="B25" s="320" t="s">
        <v>381</v>
      </c>
      <c r="C25" s="320"/>
    </row>
    <row r="26" spans="2:3" ht="51" customHeight="1" x14ac:dyDescent="0.25">
      <c r="B26" s="325" t="s">
        <v>444</v>
      </c>
      <c r="C26" s="325"/>
    </row>
    <row r="27" spans="2:3" ht="24" customHeight="1" x14ac:dyDescent="0.25">
      <c r="B27" s="324" t="s">
        <v>445</v>
      </c>
      <c r="C27" s="323"/>
    </row>
    <row r="28" spans="2:3" x14ac:dyDescent="0.25">
      <c r="B28" s="196"/>
      <c r="C28" s="28"/>
    </row>
    <row r="29" spans="2:3" x14ac:dyDescent="0.25">
      <c r="B29" s="320" t="s">
        <v>382</v>
      </c>
      <c r="C29" s="320"/>
    </row>
    <row r="30" spans="2:3" ht="53.25" customHeight="1" x14ac:dyDescent="0.25">
      <c r="B30" s="323" t="s">
        <v>441</v>
      </c>
      <c r="C30" s="323"/>
    </row>
    <row r="31" spans="2:3" x14ac:dyDescent="0.25">
      <c r="B31" s="270"/>
      <c r="C31" s="28"/>
    </row>
    <row r="32" spans="2:3" x14ac:dyDescent="0.25">
      <c r="B32" s="320" t="s">
        <v>383</v>
      </c>
      <c r="C32" s="320"/>
    </row>
    <row r="33" spans="2:3" x14ac:dyDescent="0.25">
      <c r="B33" s="271" t="s">
        <v>376</v>
      </c>
      <c r="C33" s="272" t="s">
        <v>442</v>
      </c>
    </row>
    <row r="34" spans="2:3" x14ac:dyDescent="0.25">
      <c r="B34" s="271" t="s">
        <v>377</v>
      </c>
      <c r="C34" s="272" t="s">
        <v>384</v>
      </c>
    </row>
    <row r="35" spans="2:3" ht="26.4" x14ac:dyDescent="0.25">
      <c r="B35" s="271" t="s">
        <v>380</v>
      </c>
      <c r="C35" s="272" t="s">
        <v>516</v>
      </c>
    </row>
    <row r="36" spans="2:3" ht="26.4" x14ac:dyDescent="0.25">
      <c r="B36" s="271" t="s">
        <v>385</v>
      </c>
      <c r="C36" s="272" t="s">
        <v>514</v>
      </c>
    </row>
    <row r="37" spans="2:3" x14ac:dyDescent="0.25">
      <c r="B37" s="271" t="s">
        <v>386</v>
      </c>
      <c r="C37" s="272" t="s">
        <v>387</v>
      </c>
    </row>
  </sheetData>
  <sheetProtection password="C969" sheet="1" objects="1" scenarios="1"/>
  <mergeCells count="19">
    <mergeCell ref="B32:C32"/>
    <mergeCell ref="B20:C20"/>
    <mergeCell ref="B25:C25"/>
    <mergeCell ref="B26:C26"/>
    <mergeCell ref="B27:C27"/>
    <mergeCell ref="B29:C29"/>
    <mergeCell ref="B30:C30"/>
    <mergeCell ref="B19:C19"/>
    <mergeCell ref="B1:C1"/>
    <mergeCell ref="B2:C2"/>
    <mergeCell ref="B4:C4"/>
    <mergeCell ref="B5:C5"/>
    <mergeCell ref="B6:C6"/>
    <mergeCell ref="B8:C8"/>
    <mergeCell ref="B9:C9"/>
    <mergeCell ref="B11:C11"/>
    <mergeCell ref="B12:C12"/>
    <mergeCell ref="B14:C14"/>
    <mergeCell ref="B15:C15"/>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workbookViewId="0"/>
  </sheetViews>
  <sheetFormatPr defaultRowHeight="13.2" x14ac:dyDescent="0.25"/>
  <cols>
    <col min="1" max="1" width="36.33203125" customWidth="1"/>
    <col min="2" max="2" width="19.88671875" customWidth="1"/>
    <col min="3" max="4" width="20.6640625" style="6" customWidth="1"/>
    <col min="5" max="5" width="85.88671875" customWidth="1"/>
  </cols>
  <sheetData>
    <row r="1" spans="1:5" ht="17.399999999999999" x14ac:dyDescent="0.3">
      <c r="A1" s="1" t="s">
        <v>49</v>
      </c>
      <c r="B1" s="1"/>
      <c r="C1" s="30"/>
      <c r="D1" s="30"/>
    </row>
    <row r="2" spans="1:5" ht="12" customHeight="1" x14ac:dyDescent="0.25">
      <c r="A2" s="2"/>
      <c r="B2" s="2"/>
      <c r="C2" s="29"/>
      <c r="D2" s="29"/>
    </row>
    <row r="3" spans="1:5" ht="12" customHeight="1" x14ac:dyDescent="0.25">
      <c r="A3" s="285" t="s">
        <v>50</v>
      </c>
      <c r="B3" s="285" t="s">
        <v>453</v>
      </c>
      <c r="C3" s="8" t="s">
        <v>53</v>
      </c>
      <c r="D3" s="8" t="s">
        <v>63</v>
      </c>
      <c r="E3" s="285" t="s">
        <v>37</v>
      </c>
    </row>
    <row r="4" spans="1:5" s="48" customFormat="1" ht="12" customHeight="1" x14ac:dyDescent="0.25">
      <c r="A4" s="458" t="s">
        <v>451</v>
      </c>
      <c r="B4" s="459"/>
      <c r="C4" s="459"/>
      <c r="D4" s="459"/>
      <c r="E4" s="460"/>
    </row>
    <row r="5" spans="1:5" x14ac:dyDescent="0.25">
      <c r="A5" s="278" t="s">
        <v>141</v>
      </c>
      <c r="B5" s="37"/>
      <c r="C5" s="9">
        <v>1</v>
      </c>
      <c r="D5" s="92" t="s">
        <v>81</v>
      </c>
      <c r="E5" s="276" t="s">
        <v>454</v>
      </c>
    </row>
    <row r="6" spans="1:5" x14ac:dyDescent="0.25">
      <c r="A6" s="278" t="s">
        <v>140</v>
      </c>
      <c r="B6" s="37"/>
      <c r="C6" s="9">
        <v>1</v>
      </c>
      <c r="D6" s="92" t="s">
        <v>81</v>
      </c>
      <c r="E6" s="276" t="s">
        <v>454</v>
      </c>
    </row>
    <row r="7" spans="1:5" x14ac:dyDescent="0.25">
      <c r="A7" s="278" t="s">
        <v>116</v>
      </c>
      <c r="B7" s="37"/>
      <c r="C7" s="9">
        <v>0.3</v>
      </c>
      <c r="D7" s="92" t="s">
        <v>81</v>
      </c>
      <c r="E7" s="276" t="s">
        <v>455</v>
      </c>
    </row>
    <row r="8" spans="1:5" x14ac:dyDescent="0.25">
      <c r="A8" s="278" t="s">
        <v>114</v>
      </c>
      <c r="B8" s="59"/>
      <c r="C8" s="73">
        <v>48</v>
      </c>
      <c r="D8" s="73" t="s">
        <v>456</v>
      </c>
      <c r="E8" s="276" t="s">
        <v>457</v>
      </c>
    </row>
    <row r="9" spans="1:5" ht="12" customHeight="1" x14ac:dyDescent="0.25">
      <c r="A9" s="278" t="s">
        <v>142</v>
      </c>
      <c r="B9" s="37"/>
      <c r="C9" s="92">
        <v>0.5</v>
      </c>
      <c r="D9" s="92" t="s">
        <v>81</v>
      </c>
      <c r="E9" s="276" t="s">
        <v>422</v>
      </c>
    </row>
    <row r="10" spans="1:5" ht="12" customHeight="1" x14ac:dyDescent="0.25">
      <c r="A10" s="278" t="s">
        <v>112</v>
      </c>
      <c r="B10" s="59"/>
      <c r="C10" s="73">
        <v>48</v>
      </c>
      <c r="D10" s="73" t="s">
        <v>456</v>
      </c>
      <c r="E10" s="276" t="s">
        <v>457</v>
      </c>
    </row>
    <row r="11" spans="1:5" x14ac:dyDescent="0.25">
      <c r="A11" s="278" t="s">
        <v>143</v>
      </c>
      <c r="B11" s="37"/>
      <c r="C11" s="9">
        <v>1.75</v>
      </c>
      <c r="D11" s="9" t="s">
        <v>81</v>
      </c>
      <c r="E11" s="276" t="s">
        <v>458</v>
      </c>
    </row>
    <row r="12" spans="1:5" x14ac:dyDescent="0.25">
      <c r="A12" s="456" t="s">
        <v>452</v>
      </c>
      <c r="B12" s="450"/>
      <c r="C12" s="450"/>
      <c r="D12" s="450"/>
      <c r="E12" s="457"/>
    </row>
    <row r="13" spans="1:5" ht="12" customHeight="1" x14ac:dyDescent="0.25">
      <c r="A13" s="278" t="s">
        <v>112</v>
      </c>
      <c r="B13" s="59"/>
      <c r="C13" s="73">
        <v>0.2</v>
      </c>
      <c r="D13" s="73" t="s">
        <v>456</v>
      </c>
      <c r="E13" s="279" t="s">
        <v>459</v>
      </c>
    </row>
    <row r="14" spans="1:5" ht="12" customHeight="1" x14ac:dyDescent="0.25">
      <c r="A14" s="278" t="s">
        <v>142</v>
      </c>
      <c r="B14" s="59" t="s">
        <v>109</v>
      </c>
      <c r="C14" s="92">
        <v>0.24</v>
      </c>
      <c r="D14" s="92" t="s">
        <v>81</v>
      </c>
      <c r="E14" s="280" t="s">
        <v>138</v>
      </c>
    </row>
    <row r="15" spans="1:5" ht="12" customHeight="1" x14ac:dyDescent="0.25">
      <c r="A15" s="278" t="s">
        <v>143</v>
      </c>
      <c r="B15" s="59" t="s">
        <v>111</v>
      </c>
      <c r="C15" s="92">
        <v>1</v>
      </c>
      <c r="D15" s="92" t="s">
        <v>81</v>
      </c>
      <c r="E15" s="280" t="s">
        <v>138</v>
      </c>
    </row>
    <row r="16" spans="1:5" x14ac:dyDescent="0.25">
      <c r="A16" s="278" t="s">
        <v>114</v>
      </c>
      <c r="B16" s="59"/>
      <c r="C16" s="73">
        <v>0.2</v>
      </c>
      <c r="D16" s="73" t="s">
        <v>456</v>
      </c>
      <c r="E16" s="276" t="s">
        <v>122</v>
      </c>
    </row>
    <row r="17" spans="1:5" x14ac:dyDescent="0.25">
      <c r="A17" s="278" t="s">
        <v>141</v>
      </c>
      <c r="B17" s="59" t="s">
        <v>105</v>
      </c>
      <c r="C17" s="92">
        <v>1</v>
      </c>
      <c r="D17" s="92" t="s">
        <v>81</v>
      </c>
      <c r="E17" s="276" t="s">
        <v>454</v>
      </c>
    </row>
    <row r="18" spans="1:5" x14ac:dyDescent="0.25">
      <c r="A18" s="278" t="s">
        <v>140</v>
      </c>
      <c r="B18" s="59" t="s">
        <v>107</v>
      </c>
      <c r="C18" s="92">
        <v>1</v>
      </c>
      <c r="D18" s="92" t="s">
        <v>81</v>
      </c>
      <c r="E18" s="276" t="s">
        <v>454</v>
      </c>
    </row>
    <row r="19" spans="1:5" ht="13.8" thickBot="1" x14ac:dyDescent="0.3">
      <c r="A19" s="281" t="s">
        <v>116</v>
      </c>
      <c r="B19" s="282" t="s">
        <v>116</v>
      </c>
      <c r="C19" s="283">
        <v>0.24</v>
      </c>
      <c r="D19" s="283" t="s">
        <v>81</v>
      </c>
      <c r="E19" s="284" t="s">
        <v>121</v>
      </c>
    </row>
    <row r="20" spans="1:5" ht="12" customHeight="1" x14ac:dyDescent="0.25">
      <c r="A20" s="456" t="s">
        <v>474</v>
      </c>
      <c r="B20" s="450"/>
      <c r="C20" s="450"/>
      <c r="D20" s="450"/>
      <c r="E20" s="457"/>
    </row>
    <row r="21" spans="1:5" ht="15.75" customHeight="1" x14ac:dyDescent="0.35">
      <c r="A21" s="292" t="s">
        <v>479</v>
      </c>
      <c r="B21" s="37"/>
      <c r="C21" s="291">
        <v>99.5</v>
      </c>
      <c r="D21" s="9" t="s">
        <v>81</v>
      </c>
      <c r="E21" s="31" t="s">
        <v>475</v>
      </c>
    </row>
    <row r="22" spans="1:5" ht="15.6" x14ac:dyDescent="0.35">
      <c r="A22" s="292" t="s">
        <v>480</v>
      </c>
      <c r="B22" s="37"/>
      <c r="C22" s="291">
        <v>99</v>
      </c>
      <c r="D22" s="9" t="s">
        <v>81</v>
      </c>
      <c r="E22" s="31" t="s">
        <v>475</v>
      </c>
    </row>
    <row r="23" spans="1:5" ht="15.6" x14ac:dyDescent="0.35">
      <c r="A23" s="292" t="s">
        <v>481</v>
      </c>
      <c r="B23" s="37"/>
      <c r="C23" s="291">
        <v>40</v>
      </c>
      <c r="D23" s="9" t="s">
        <v>81</v>
      </c>
      <c r="E23" s="31" t="s">
        <v>476</v>
      </c>
    </row>
    <row r="24" spans="1:5" ht="15.6" x14ac:dyDescent="0.35">
      <c r="A24" s="292" t="s">
        <v>482</v>
      </c>
      <c r="B24" s="37"/>
      <c r="C24" s="291">
        <v>10</v>
      </c>
      <c r="D24" s="9" t="s">
        <v>81</v>
      </c>
      <c r="E24" s="31" t="s">
        <v>475</v>
      </c>
    </row>
  </sheetData>
  <mergeCells count="3">
    <mergeCell ref="A20:E20"/>
    <mergeCell ref="A12:E12"/>
    <mergeCell ref="A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11" bestFit="1" customWidth="1"/>
    <col min="2" max="2" width="17.88671875" style="110" bestFit="1" customWidth="1"/>
    <col min="3" max="3" width="11" style="110" bestFit="1" customWidth="1"/>
    <col min="4" max="4" width="19.44140625" style="111" bestFit="1" customWidth="1"/>
    <col min="5" max="5" width="14.33203125" style="111" bestFit="1" customWidth="1"/>
    <col min="6" max="6" width="26" style="111" bestFit="1" customWidth="1"/>
    <col min="7" max="7" width="18.6640625" style="111" bestFit="1" customWidth="1"/>
    <col min="8" max="8" width="14.33203125" style="111" bestFit="1" customWidth="1"/>
    <col min="9" max="10" width="26" style="111" bestFit="1" customWidth="1"/>
    <col min="11" max="11" width="18.6640625" style="111" bestFit="1" customWidth="1"/>
    <col min="12" max="12" width="13.44140625" style="111" bestFit="1" customWidth="1"/>
    <col min="13" max="13" width="5.5546875" style="110" bestFit="1" customWidth="1"/>
    <col min="14" max="14" width="12.109375" style="110" bestFit="1" customWidth="1"/>
    <col min="15" max="16384" width="9.109375" style="111"/>
  </cols>
  <sheetData>
    <row r="1" spans="1:14" ht="17.399999999999999" x14ac:dyDescent="0.3">
      <c r="A1" s="109" t="s">
        <v>161</v>
      </c>
    </row>
    <row r="3" spans="1:14" x14ac:dyDescent="0.3">
      <c r="D3" s="461" t="s">
        <v>162</v>
      </c>
      <c r="E3" s="461"/>
      <c r="F3" s="461"/>
      <c r="G3" s="461"/>
      <c r="H3" s="461"/>
      <c r="I3" s="461"/>
      <c r="J3" s="461"/>
      <c r="K3" s="461"/>
      <c r="L3" s="461"/>
      <c r="M3" s="461"/>
      <c r="N3" s="461"/>
    </row>
    <row r="4" spans="1:14" x14ac:dyDescent="0.3">
      <c r="A4" s="112" t="s">
        <v>158</v>
      </c>
      <c r="B4" s="113" t="s">
        <v>163</v>
      </c>
      <c r="C4" s="113" t="s">
        <v>164</v>
      </c>
      <c r="D4" s="112" t="s">
        <v>5</v>
      </c>
      <c r="E4" s="112" t="s">
        <v>7</v>
      </c>
      <c r="F4" s="112" t="s">
        <v>8</v>
      </c>
      <c r="G4" s="112" t="s">
        <v>165</v>
      </c>
      <c r="H4" s="112" t="s">
        <v>166</v>
      </c>
      <c r="I4" s="112" t="s">
        <v>167</v>
      </c>
      <c r="J4" s="112" t="s">
        <v>168</v>
      </c>
      <c r="K4" s="112" t="s">
        <v>169</v>
      </c>
      <c r="L4" s="112" t="s">
        <v>157</v>
      </c>
      <c r="M4" s="113" t="s">
        <v>158</v>
      </c>
      <c r="N4" s="113" t="s">
        <v>170</v>
      </c>
    </row>
    <row r="5" spans="1:14" x14ac:dyDescent="0.3">
      <c r="A5" s="111" t="s">
        <v>171</v>
      </c>
      <c r="B5" s="110" t="s">
        <v>172</v>
      </c>
      <c r="C5" s="110">
        <v>4</v>
      </c>
      <c r="D5" s="114" t="s">
        <v>173</v>
      </c>
      <c r="E5" s="115" t="s">
        <v>174</v>
      </c>
      <c r="F5" s="116" t="s">
        <v>175</v>
      </c>
      <c r="G5" s="115" t="s">
        <v>176</v>
      </c>
      <c r="H5" s="115" t="s">
        <v>177</v>
      </c>
      <c r="I5" s="117" t="s">
        <v>178</v>
      </c>
      <c r="J5" s="115" t="s">
        <v>179</v>
      </c>
      <c r="K5" s="114" t="s">
        <v>180</v>
      </c>
      <c r="L5" s="115" t="s">
        <v>181</v>
      </c>
      <c r="M5" s="118" t="s">
        <v>182</v>
      </c>
      <c r="N5" s="118" t="s">
        <v>183</v>
      </c>
    </row>
    <row r="6" spans="1:14" x14ac:dyDescent="0.3">
      <c r="A6" s="111" t="s">
        <v>184</v>
      </c>
      <c r="B6" s="110" t="s">
        <v>185</v>
      </c>
      <c r="C6" s="110">
        <v>10</v>
      </c>
      <c r="D6" s="114" t="s">
        <v>186</v>
      </c>
      <c r="E6" s="114" t="s">
        <v>187</v>
      </c>
      <c r="F6" s="117" t="s">
        <v>188</v>
      </c>
      <c r="G6" s="114" t="s">
        <v>189</v>
      </c>
      <c r="H6" s="115"/>
      <c r="I6" s="115"/>
      <c r="J6" s="115" t="s">
        <v>190</v>
      </c>
      <c r="K6" s="115" t="s">
        <v>191</v>
      </c>
      <c r="L6" s="115" t="s">
        <v>192</v>
      </c>
      <c r="M6" s="118" t="s">
        <v>193</v>
      </c>
      <c r="N6" s="118">
        <v>98101</v>
      </c>
    </row>
    <row r="7" spans="1:14" x14ac:dyDescent="0.3">
      <c r="A7" s="111" t="s">
        <v>194</v>
      </c>
      <c r="B7" s="110" t="s">
        <v>195</v>
      </c>
      <c r="C7" s="110">
        <v>9</v>
      </c>
      <c r="D7" s="114" t="s">
        <v>196</v>
      </c>
      <c r="E7" s="115" t="s">
        <v>197</v>
      </c>
      <c r="F7" s="116" t="s">
        <v>198</v>
      </c>
      <c r="G7" s="114" t="s">
        <v>199</v>
      </c>
      <c r="H7" s="115" t="s">
        <v>200</v>
      </c>
      <c r="I7" s="116" t="s">
        <v>201</v>
      </c>
      <c r="J7" s="115" t="s">
        <v>202</v>
      </c>
      <c r="K7" s="115" t="s">
        <v>203</v>
      </c>
      <c r="L7" s="115" t="s">
        <v>204</v>
      </c>
      <c r="M7" s="118" t="s">
        <v>205</v>
      </c>
      <c r="N7" s="118">
        <v>94105</v>
      </c>
    </row>
    <row r="8" spans="1:14" x14ac:dyDescent="0.3">
      <c r="A8" s="111" t="s">
        <v>206</v>
      </c>
      <c r="B8" s="110" t="s">
        <v>207</v>
      </c>
      <c r="C8" s="110">
        <v>6</v>
      </c>
      <c r="D8" s="187" t="s">
        <v>362</v>
      </c>
      <c r="E8" s="188" t="s">
        <v>363</v>
      </c>
      <c r="F8" s="189" t="s">
        <v>364</v>
      </c>
      <c r="G8" s="115" t="s">
        <v>189</v>
      </c>
      <c r="H8" s="115"/>
      <c r="I8" s="115"/>
      <c r="J8" s="187" t="s">
        <v>365</v>
      </c>
      <c r="K8" s="187" t="s">
        <v>366</v>
      </c>
      <c r="L8" s="188" t="s">
        <v>367</v>
      </c>
      <c r="M8" s="190" t="s">
        <v>311</v>
      </c>
      <c r="N8" s="190" t="s">
        <v>368</v>
      </c>
    </row>
    <row r="9" spans="1:14" x14ac:dyDescent="0.3">
      <c r="A9" s="111" t="s">
        <v>216</v>
      </c>
      <c r="B9" s="110" t="s">
        <v>205</v>
      </c>
      <c r="C9" s="110">
        <v>9</v>
      </c>
      <c r="D9" s="114" t="s">
        <v>196</v>
      </c>
      <c r="E9" s="115" t="s">
        <v>197</v>
      </c>
      <c r="F9" s="116" t="s">
        <v>198</v>
      </c>
      <c r="G9" s="114" t="s">
        <v>199</v>
      </c>
      <c r="H9" s="115" t="s">
        <v>200</v>
      </c>
      <c r="I9" s="116" t="s">
        <v>201</v>
      </c>
      <c r="J9" s="115" t="s">
        <v>202</v>
      </c>
      <c r="K9" s="115" t="s">
        <v>203</v>
      </c>
      <c r="L9" s="115" t="s">
        <v>204</v>
      </c>
      <c r="M9" s="118" t="s">
        <v>205</v>
      </c>
      <c r="N9" s="118">
        <v>94105</v>
      </c>
    </row>
    <row r="10" spans="1:14" x14ac:dyDescent="0.3">
      <c r="A10" s="111" t="s">
        <v>217</v>
      </c>
      <c r="B10" s="110" t="s">
        <v>85</v>
      </c>
      <c r="C10" s="110">
        <v>8</v>
      </c>
      <c r="D10" s="114" t="s">
        <v>218</v>
      </c>
      <c r="E10" s="115" t="s">
        <v>219</v>
      </c>
      <c r="F10" s="116" t="s">
        <v>220</v>
      </c>
      <c r="G10" s="114" t="s">
        <v>221</v>
      </c>
      <c r="H10" s="115" t="s">
        <v>222</v>
      </c>
      <c r="I10" s="117" t="s">
        <v>223</v>
      </c>
      <c r="J10" s="114" t="s">
        <v>224</v>
      </c>
      <c r="K10" s="114" t="s">
        <v>225</v>
      </c>
      <c r="L10" s="115" t="s">
        <v>226</v>
      </c>
      <c r="M10" s="118" t="s">
        <v>85</v>
      </c>
      <c r="N10" s="118" t="s">
        <v>227</v>
      </c>
    </row>
    <row r="11" spans="1:14" x14ac:dyDescent="0.3">
      <c r="A11" s="111" t="s">
        <v>228</v>
      </c>
      <c r="B11" s="110" t="s">
        <v>229</v>
      </c>
      <c r="C11" s="110">
        <v>1</v>
      </c>
      <c r="D11" s="115" t="s">
        <v>230</v>
      </c>
      <c r="E11" s="115" t="s">
        <v>231</v>
      </c>
      <c r="F11" s="117" t="s">
        <v>232</v>
      </c>
      <c r="G11" s="115" t="s">
        <v>189</v>
      </c>
      <c r="H11" s="115"/>
      <c r="I11" s="115"/>
      <c r="J11" s="114" t="s">
        <v>233</v>
      </c>
      <c r="K11" s="114" t="s">
        <v>234</v>
      </c>
      <c r="L11" s="115" t="s">
        <v>235</v>
      </c>
      <c r="M11" s="118" t="s">
        <v>236</v>
      </c>
      <c r="N11" s="118" t="s">
        <v>237</v>
      </c>
    </row>
    <row r="12" spans="1:14" x14ac:dyDescent="0.3">
      <c r="A12" s="111" t="s">
        <v>238</v>
      </c>
      <c r="B12" s="110" t="s">
        <v>239</v>
      </c>
      <c r="C12" s="110">
        <v>4</v>
      </c>
      <c r="D12" s="114" t="s">
        <v>173</v>
      </c>
      <c r="E12" s="115" t="s">
        <v>174</v>
      </c>
      <c r="F12" s="116" t="s">
        <v>175</v>
      </c>
      <c r="G12" s="115" t="s">
        <v>176</v>
      </c>
      <c r="H12" s="115" t="s">
        <v>177</v>
      </c>
      <c r="I12" s="117" t="s">
        <v>178</v>
      </c>
      <c r="J12" s="115" t="s">
        <v>179</v>
      </c>
      <c r="K12" s="114" t="s">
        <v>180</v>
      </c>
      <c r="L12" s="115" t="s">
        <v>181</v>
      </c>
      <c r="M12" s="118" t="s">
        <v>182</v>
      </c>
      <c r="N12" s="118" t="s">
        <v>183</v>
      </c>
    </row>
    <row r="13" spans="1:14" x14ac:dyDescent="0.3">
      <c r="A13" s="267" t="s">
        <v>428</v>
      </c>
      <c r="B13" s="110" t="s">
        <v>182</v>
      </c>
      <c r="C13" s="110">
        <v>4</v>
      </c>
      <c r="D13" s="114" t="s">
        <v>173</v>
      </c>
      <c r="E13" s="115" t="s">
        <v>174</v>
      </c>
      <c r="F13" s="116" t="s">
        <v>175</v>
      </c>
      <c r="G13" s="115" t="s">
        <v>176</v>
      </c>
      <c r="H13" s="115" t="s">
        <v>177</v>
      </c>
      <c r="I13" s="117" t="s">
        <v>178</v>
      </c>
      <c r="J13" s="115" t="s">
        <v>179</v>
      </c>
      <c r="K13" s="114" t="s">
        <v>180</v>
      </c>
      <c r="L13" s="115" t="s">
        <v>181</v>
      </c>
      <c r="M13" s="118" t="s">
        <v>182</v>
      </c>
      <c r="N13" s="118" t="s">
        <v>183</v>
      </c>
    </row>
    <row r="14" spans="1:14" x14ac:dyDescent="0.3">
      <c r="A14" s="111" t="s">
        <v>240</v>
      </c>
      <c r="B14" s="110" t="s">
        <v>241</v>
      </c>
      <c r="C14" s="110">
        <v>9</v>
      </c>
      <c r="D14" s="114" t="s">
        <v>196</v>
      </c>
      <c r="E14" s="115" t="s">
        <v>197</v>
      </c>
      <c r="F14" s="116" t="s">
        <v>198</v>
      </c>
      <c r="G14" s="114" t="s">
        <v>199</v>
      </c>
      <c r="H14" s="115" t="s">
        <v>200</v>
      </c>
      <c r="I14" s="116" t="s">
        <v>201</v>
      </c>
      <c r="J14" s="115" t="s">
        <v>202</v>
      </c>
      <c r="K14" s="115" t="s">
        <v>203</v>
      </c>
      <c r="L14" s="115" t="s">
        <v>204</v>
      </c>
      <c r="M14" s="118" t="s">
        <v>205</v>
      </c>
      <c r="N14" s="118">
        <v>94105</v>
      </c>
    </row>
    <row r="15" spans="1:14" x14ac:dyDescent="0.3">
      <c r="A15" s="111" t="s">
        <v>242</v>
      </c>
      <c r="B15" s="110" t="s">
        <v>243</v>
      </c>
      <c r="C15" s="110">
        <v>10</v>
      </c>
      <c r="D15" s="114" t="s">
        <v>186</v>
      </c>
      <c r="E15" s="114" t="s">
        <v>187</v>
      </c>
      <c r="F15" s="117" t="s">
        <v>188</v>
      </c>
      <c r="G15" s="114" t="s">
        <v>189</v>
      </c>
      <c r="H15" s="115"/>
      <c r="I15" s="115"/>
      <c r="J15" s="115" t="s">
        <v>190</v>
      </c>
      <c r="K15" s="115" t="s">
        <v>191</v>
      </c>
      <c r="L15" s="115" t="s">
        <v>192</v>
      </c>
      <c r="M15" s="118" t="s">
        <v>193</v>
      </c>
      <c r="N15" s="118">
        <v>98101</v>
      </c>
    </row>
    <row r="16" spans="1:14" x14ac:dyDescent="0.3">
      <c r="A16" s="111" t="s">
        <v>244</v>
      </c>
      <c r="B16" s="110" t="s">
        <v>214</v>
      </c>
      <c r="C16" s="110">
        <v>5</v>
      </c>
      <c r="D16" s="114" t="s">
        <v>208</v>
      </c>
      <c r="E16" s="115" t="s">
        <v>209</v>
      </c>
      <c r="F16" s="116" t="s">
        <v>210</v>
      </c>
      <c r="G16" s="115" t="s">
        <v>189</v>
      </c>
      <c r="H16" s="115"/>
      <c r="I16" s="115"/>
      <c r="J16" s="114" t="s">
        <v>211</v>
      </c>
      <c r="K16" s="114" t="s">
        <v>212</v>
      </c>
      <c r="L16" s="115" t="s">
        <v>213</v>
      </c>
      <c r="M16" s="118" t="s">
        <v>214</v>
      </c>
      <c r="N16" s="118" t="s">
        <v>215</v>
      </c>
    </row>
    <row r="17" spans="1:14" x14ac:dyDescent="0.3">
      <c r="A17" s="111" t="s">
        <v>245</v>
      </c>
      <c r="B17" s="110" t="s">
        <v>246</v>
      </c>
      <c r="C17" s="110">
        <v>5</v>
      </c>
      <c r="D17" s="114" t="s">
        <v>208</v>
      </c>
      <c r="E17" s="115" t="s">
        <v>209</v>
      </c>
      <c r="F17" s="116" t="s">
        <v>210</v>
      </c>
      <c r="G17" s="115" t="s">
        <v>189</v>
      </c>
      <c r="H17" s="115"/>
      <c r="I17" s="115"/>
      <c r="J17" s="114" t="s">
        <v>211</v>
      </c>
      <c r="K17" s="114" t="s">
        <v>212</v>
      </c>
      <c r="L17" s="115" t="s">
        <v>213</v>
      </c>
      <c r="M17" s="118" t="s">
        <v>214</v>
      </c>
      <c r="N17" s="118" t="s">
        <v>215</v>
      </c>
    </row>
    <row r="18" spans="1:14" x14ac:dyDescent="0.3">
      <c r="A18" s="111" t="s">
        <v>247</v>
      </c>
      <c r="B18" s="110" t="s">
        <v>248</v>
      </c>
      <c r="C18" s="110">
        <v>7</v>
      </c>
      <c r="D18" s="114" t="s">
        <v>249</v>
      </c>
      <c r="E18" s="115" t="s">
        <v>250</v>
      </c>
      <c r="F18" s="116" t="s">
        <v>251</v>
      </c>
      <c r="G18" s="115" t="s">
        <v>189</v>
      </c>
      <c r="H18" s="115"/>
      <c r="I18" s="115"/>
      <c r="J18" s="266" t="s">
        <v>425</v>
      </c>
      <c r="K18" s="114" t="s">
        <v>426</v>
      </c>
      <c r="L18" s="267" t="s">
        <v>427</v>
      </c>
      <c r="M18" s="118" t="s">
        <v>252</v>
      </c>
      <c r="N18" s="118">
        <v>66219</v>
      </c>
    </row>
    <row r="19" spans="1:14" x14ac:dyDescent="0.3">
      <c r="A19" s="111" t="s">
        <v>253</v>
      </c>
      <c r="B19" s="110" t="s">
        <v>254</v>
      </c>
      <c r="C19" s="110">
        <v>7</v>
      </c>
      <c r="D19" s="114" t="s">
        <v>249</v>
      </c>
      <c r="E19" s="115" t="s">
        <v>250</v>
      </c>
      <c r="F19" s="116" t="s">
        <v>251</v>
      </c>
      <c r="G19" s="115" t="s">
        <v>189</v>
      </c>
      <c r="H19" s="115"/>
      <c r="I19" s="115"/>
      <c r="J19" s="114" t="s">
        <v>425</v>
      </c>
      <c r="K19" s="114" t="s">
        <v>426</v>
      </c>
      <c r="L19" s="115" t="s">
        <v>427</v>
      </c>
      <c r="M19" s="118" t="s">
        <v>252</v>
      </c>
      <c r="N19" s="118">
        <v>66219</v>
      </c>
    </row>
    <row r="20" spans="1:14" x14ac:dyDescent="0.3">
      <c r="A20" s="111" t="s">
        <v>255</v>
      </c>
      <c r="B20" s="110" t="s">
        <v>256</v>
      </c>
      <c r="C20" s="110">
        <v>4</v>
      </c>
      <c r="D20" s="114" t="s">
        <v>173</v>
      </c>
      <c r="E20" s="115" t="s">
        <v>174</v>
      </c>
      <c r="F20" s="116" t="s">
        <v>175</v>
      </c>
      <c r="G20" s="115" t="s">
        <v>176</v>
      </c>
      <c r="H20" s="115" t="s">
        <v>177</v>
      </c>
      <c r="I20" s="117" t="s">
        <v>178</v>
      </c>
      <c r="J20" s="115" t="s">
        <v>179</v>
      </c>
      <c r="K20" s="114" t="s">
        <v>180</v>
      </c>
      <c r="L20" s="115" t="s">
        <v>181</v>
      </c>
      <c r="M20" s="118" t="s">
        <v>182</v>
      </c>
      <c r="N20" s="118" t="s">
        <v>183</v>
      </c>
    </row>
    <row r="21" spans="1:14" x14ac:dyDescent="0.3">
      <c r="A21" s="267" t="s">
        <v>429</v>
      </c>
      <c r="B21" s="110" t="s">
        <v>257</v>
      </c>
      <c r="C21" s="110">
        <v>6</v>
      </c>
      <c r="D21" s="187" t="s">
        <v>362</v>
      </c>
      <c r="E21" s="316" t="s">
        <v>363</v>
      </c>
      <c r="F21" s="189" t="s">
        <v>364</v>
      </c>
      <c r="G21" s="115" t="s">
        <v>189</v>
      </c>
      <c r="H21" s="115"/>
      <c r="I21" s="115"/>
      <c r="J21" s="187" t="s">
        <v>365</v>
      </c>
      <c r="K21" s="187" t="s">
        <v>366</v>
      </c>
      <c r="L21" s="188" t="s">
        <v>367</v>
      </c>
      <c r="M21" s="190" t="s">
        <v>311</v>
      </c>
      <c r="N21" s="190" t="s">
        <v>368</v>
      </c>
    </row>
    <row r="22" spans="1:14" x14ac:dyDescent="0.3">
      <c r="A22" s="111" t="s">
        <v>258</v>
      </c>
      <c r="B22" s="110" t="s">
        <v>259</v>
      </c>
      <c r="C22" s="110">
        <v>1</v>
      </c>
      <c r="D22" s="115" t="s">
        <v>230</v>
      </c>
      <c r="E22" s="115" t="s">
        <v>231</v>
      </c>
      <c r="F22" s="117" t="s">
        <v>232</v>
      </c>
      <c r="G22" s="115" t="s">
        <v>189</v>
      </c>
      <c r="H22" s="115"/>
      <c r="I22" s="115"/>
      <c r="J22" s="114" t="s">
        <v>233</v>
      </c>
      <c r="K22" s="114" t="s">
        <v>234</v>
      </c>
      <c r="L22" s="115" t="s">
        <v>235</v>
      </c>
      <c r="M22" s="118" t="s">
        <v>236</v>
      </c>
      <c r="N22" s="118" t="s">
        <v>237</v>
      </c>
    </row>
    <row r="23" spans="1:14" x14ac:dyDescent="0.3">
      <c r="A23" s="111" t="s">
        <v>260</v>
      </c>
      <c r="B23" s="110" t="s">
        <v>236</v>
      </c>
      <c r="C23" s="110">
        <v>1</v>
      </c>
      <c r="D23" s="115" t="s">
        <v>230</v>
      </c>
      <c r="E23" s="115" t="s">
        <v>231</v>
      </c>
      <c r="F23" s="117" t="s">
        <v>232</v>
      </c>
      <c r="G23" s="115" t="s">
        <v>189</v>
      </c>
      <c r="H23" s="115"/>
      <c r="I23" s="115"/>
      <c r="J23" s="114" t="s">
        <v>233</v>
      </c>
      <c r="K23" s="114" t="s">
        <v>234</v>
      </c>
      <c r="L23" s="115" t="s">
        <v>235</v>
      </c>
      <c r="M23" s="118" t="s">
        <v>236</v>
      </c>
      <c r="N23" s="118" t="s">
        <v>237</v>
      </c>
    </row>
    <row r="24" spans="1:14" x14ac:dyDescent="0.3">
      <c r="A24" s="111" t="s">
        <v>261</v>
      </c>
      <c r="B24" s="110" t="s">
        <v>262</v>
      </c>
      <c r="C24" s="110">
        <v>5</v>
      </c>
      <c r="D24" s="114" t="s">
        <v>208</v>
      </c>
      <c r="E24" s="115" t="s">
        <v>209</v>
      </c>
      <c r="F24" s="116" t="s">
        <v>210</v>
      </c>
      <c r="G24" s="115" t="s">
        <v>189</v>
      </c>
      <c r="H24" s="115"/>
      <c r="I24" s="115"/>
      <c r="J24" s="114" t="s">
        <v>211</v>
      </c>
      <c r="K24" s="114" t="s">
        <v>212</v>
      </c>
      <c r="L24" s="115" t="s">
        <v>213</v>
      </c>
      <c r="M24" s="118" t="s">
        <v>214</v>
      </c>
      <c r="N24" s="118" t="s">
        <v>215</v>
      </c>
    </row>
    <row r="25" spans="1:14" x14ac:dyDescent="0.3">
      <c r="A25" s="111" t="s">
        <v>263</v>
      </c>
      <c r="B25" s="110" t="s">
        <v>264</v>
      </c>
      <c r="C25" s="110">
        <v>5</v>
      </c>
      <c r="D25" s="114" t="s">
        <v>208</v>
      </c>
      <c r="E25" s="115" t="s">
        <v>209</v>
      </c>
      <c r="F25" s="116" t="s">
        <v>210</v>
      </c>
      <c r="G25" s="115" t="s">
        <v>189</v>
      </c>
      <c r="H25" s="115"/>
      <c r="I25" s="115"/>
      <c r="J25" s="114" t="s">
        <v>211</v>
      </c>
      <c r="K25" s="114" t="s">
        <v>212</v>
      </c>
      <c r="L25" s="115" t="s">
        <v>213</v>
      </c>
      <c r="M25" s="118" t="s">
        <v>214</v>
      </c>
      <c r="N25" s="118" t="s">
        <v>215</v>
      </c>
    </row>
    <row r="26" spans="1:14" x14ac:dyDescent="0.3">
      <c r="A26" s="111" t="s">
        <v>265</v>
      </c>
      <c r="B26" s="110" t="s">
        <v>266</v>
      </c>
      <c r="C26" s="110">
        <v>4</v>
      </c>
      <c r="D26" s="114" t="s">
        <v>173</v>
      </c>
      <c r="E26" s="115" t="s">
        <v>174</v>
      </c>
      <c r="F26" s="116" t="s">
        <v>175</v>
      </c>
      <c r="G26" s="115" t="s">
        <v>176</v>
      </c>
      <c r="H26" s="115" t="s">
        <v>177</v>
      </c>
      <c r="I26" s="117" t="s">
        <v>178</v>
      </c>
      <c r="J26" s="115" t="s">
        <v>179</v>
      </c>
      <c r="K26" s="114" t="s">
        <v>180</v>
      </c>
      <c r="L26" s="115" t="s">
        <v>181</v>
      </c>
      <c r="M26" s="118" t="s">
        <v>182</v>
      </c>
      <c r="N26" s="118" t="s">
        <v>183</v>
      </c>
    </row>
    <row r="27" spans="1:14" x14ac:dyDescent="0.3">
      <c r="A27" s="111" t="s">
        <v>267</v>
      </c>
      <c r="B27" s="110" t="s">
        <v>268</v>
      </c>
      <c r="C27" s="110">
        <v>7</v>
      </c>
      <c r="D27" s="114" t="s">
        <v>249</v>
      </c>
      <c r="E27" s="115" t="s">
        <v>250</v>
      </c>
      <c r="F27" s="116" t="s">
        <v>251</v>
      </c>
      <c r="G27" s="115" t="s">
        <v>189</v>
      </c>
      <c r="H27" s="115"/>
      <c r="I27" s="115"/>
      <c r="J27" s="114" t="s">
        <v>425</v>
      </c>
      <c r="K27" s="114" t="s">
        <v>426</v>
      </c>
      <c r="L27" s="115" t="s">
        <v>427</v>
      </c>
      <c r="M27" s="118" t="s">
        <v>252</v>
      </c>
      <c r="N27" s="118">
        <v>66219</v>
      </c>
    </row>
    <row r="28" spans="1:14" x14ac:dyDescent="0.3">
      <c r="A28" s="111" t="s">
        <v>269</v>
      </c>
      <c r="B28" s="110" t="s">
        <v>270</v>
      </c>
      <c r="C28" s="110">
        <v>8</v>
      </c>
      <c r="D28" s="114" t="s">
        <v>218</v>
      </c>
      <c r="E28" s="115" t="s">
        <v>219</v>
      </c>
      <c r="F28" s="116" t="s">
        <v>220</v>
      </c>
      <c r="G28" s="114" t="s">
        <v>221</v>
      </c>
      <c r="H28" s="115" t="s">
        <v>222</v>
      </c>
      <c r="I28" s="117" t="s">
        <v>223</v>
      </c>
      <c r="J28" s="114" t="s">
        <v>224</v>
      </c>
      <c r="K28" s="114" t="s">
        <v>225</v>
      </c>
      <c r="L28" s="115" t="s">
        <v>226</v>
      </c>
      <c r="M28" s="118" t="s">
        <v>85</v>
      </c>
      <c r="N28" s="118" t="s">
        <v>227</v>
      </c>
    </row>
    <row r="29" spans="1:14" x14ac:dyDescent="0.3">
      <c r="A29" s="111" t="s">
        <v>271</v>
      </c>
      <c r="B29" s="110" t="s">
        <v>272</v>
      </c>
      <c r="C29" s="110">
        <v>7</v>
      </c>
      <c r="D29" s="114" t="s">
        <v>249</v>
      </c>
      <c r="E29" s="115" t="s">
        <v>250</v>
      </c>
      <c r="F29" s="116" t="s">
        <v>251</v>
      </c>
      <c r="G29" s="115" t="s">
        <v>189</v>
      </c>
      <c r="H29" s="115"/>
      <c r="I29" s="115"/>
      <c r="J29" s="114" t="s">
        <v>425</v>
      </c>
      <c r="K29" s="266" t="s">
        <v>426</v>
      </c>
      <c r="L29" s="115" t="s">
        <v>427</v>
      </c>
      <c r="M29" s="118" t="s">
        <v>252</v>
      </c>
      <c r="N29" s="118">
        <v>66219</v>
      </c>
    </row>
    <row r="30" spans="1:14" x14ac:dyDescent="0.3">
      <c r="A30" s="111" t="s">
        <v>273</v>
      </c>
      <c r="B30" s="110" t="s">
        <v>274</v>
      </c>
      <c r="C30" s="110">
        <v>9</v>
      </c>
      <c r="D30" s="114" t="s">
        <v>196</v>
      </c>
      <c r="E30" s="115" t="s">
        <v>197</v>
      </c>
      <c r="F30" s="116" t="s">
        <v>198</v>
      </c>
      <c r="G30" s="114" t="s">
        <v>199</v>
      </c>
      <c r="H30" s="115" t="s">
        <v>200</v>
      </c>
      <c r="I30" s="116" t="s">
        <v>201</v>
      </c>
      <c r="J30" s="115" t="s">
        <v>202</v>
      </c>
      <c r="K30" s="115" t="s">
        <v>203</v>
      </c>
      <c r="L30" s="115" t="s">
        <v>204</v>
      </c>
      <c r="M30" s="118" t="s">
        <v>205</v>
      </c>
      <c r="N30" s="118">
        <v>94105</v>
      </c>
    </row>
    <row r="31" spans="1:14" x14ac:dyDescent="0.3">
      <c r="A31" s="111" t="s">
        <v>275</v>
      </c>
      <c r="B31" s="110" t="s">
        <v>276</v>
      </c>
      <c r="C31" s="110">
        <v>1</v>
      </c>
      <c r="D31" s="115" t="s">
        <v>230</v>
      </c>
      <c r="E31" s="115" t="s">
        <v>231</v>
      </c>
      <c r="F31" s="117" t="s">
        <v>232</v>
      </c>
      <c r="G31" s="115" t="s">
        <v>189</v>
      </c>
      <c r="H31" s="115"/>
      <c r="I31" s="115"/>
      <c r="J31" s="114" t="s">
        <v>233</v>
      </c>
      <c r="K31" s="114" t="s">
        <v>234</v>
      </c>
      <c r="L31" s="115" t="s">
        <v>235</v>
      </c>
      <c r="M31" s="118" t="s">
        <v>236</v>
      </c>
      <c r="N31" s="118" t="s">
        <v>237</v>
      </c>
    </row>
    <row r="32" spans="1:14" x14ac:dyDescent="0.3">
      <c r="A32" s="111" t="s">
        <v>277</v>
      </c>
      <c r="B32" s="110" t="s">
        <v>278</v>
      </c>
      <c r="C32" s="110">
        <v>2</v>
      </c>
      <c r="D32" s="115" t="s">
        <v>279</v>
      </c>
      <c r="E32" s="115" t="s">
        <v>280</v>
      </c>
      <c r="F32" s="117" t="s">
        <v>281</v>
      </c>
      <c r="G32" s="114" t="s">
        <v>282</v>
      </c>
      <c r="H32" s="115" t="s">
        <v>283</v>
      </c>
      <c r="I32" s="117" t="s">
        <v>284</v>
      </c>
      <c r="J32" s="114" t="s">
        <v>285</v>
      </c>
      <c r="K32" s="114" t="s">
        <v>286</v>
      </c>
      <c r="L32" s="115" t="s">
        <v>287</v>
      </c>
      <c r="M32" s="118" t="s">
        <v>288</v>
      </c>
      <c r="N32" s="118" t="s">
        <v>289</v>
      </c>
    </row>
    <row r="33" spans="1:14" x14ac:dyDescent="0.3">
      <c r="A33" s="111" t="s">
        <v>290</v>
      </c>
      <c r="B33" s="110" t="s">
        <v>291</v>
      </c>
      <c r="C33" s="110">
        <v>6</v>
      </c>
      <c r="D33" s="187" t="s">
        <v>362</v>
      </c>
      <c r="E33" s="316" t="s">
        <v>363</v>
      </c>
      <c r="F33" s="189" t="s">
        <v>364</v>
      </c>
      <c r="G33" s="115" t="s">
        <v>189</v>
      </c>
      <c r="H33" s="115"/>
      <c r="I33" s="115"/>
      <c r="J33" s="187" t="s">
        <v>365</v>
      </c>
      <c r="K33" s="187" t="s">
        <v>366</v>
      </c>
      <c r="L33" s="188" t="s">
        <v>367</v>
      </c>
      <c r="M33" s="190" t="s">
        <v>311</v>
      </c>
      <c r="N33" s="190" t="s">
        <v>368</v>
      </c>
    </row>
    <row r="34" spans="1:14" x14ac:dyDescent="0.3">
      <c r="A34" s="111" t="s">
        <v>287</v>
      </c>
      <c r="B34" s="110" t="s">
        <v>288</v>
      </c>
      <c r="C34" s="110">
        <v>2</v>
      </c>
      <c r="D34" s="115" t="s">
        <v>279</v>
      </c>
      <c r="E34" s="115" t="s">
        <v>280</v>
      </c>
      <c r="F34" s="117" t="s">
        <v>281</v>
      </c>
      <c r="G34" s="114" t="s">
        <v>282</v>
      </c>
      <c r="H34" s="115" t="s">
        <v>283</v>
      </c>
      <c r="I34" s="117" t="s">
        <v>284</v>
      </c>
      <c r="J34" s="114" t="s">
        <v>285</v>
      </c>
      <c r="K34" s="114" t="s">
        <v>286</v>
      </c>
      <c r="L34" s="115" t="s">
        <v>287</v>
      </c>
      <c r="M34" s="118" t="s">
        <v>288</v>
      </c>
      <c r="N34" s="118" t="s">
        <v>289</v>
      </c>
    </row>
    <row r="35" spans="1:14" x14ac:dyDescent="0.3">
      <c r="A35" s="111" t="s">
        <v>292</v>
      </c>
      <c r="B35" s="110" t="s">
        <v>293</v>
      </c>
      <c r="C35" s="110">
        <v>4</v>
      </c>
      <c r="D35" s="114" t="s">
        <v>173</v>
      </c>
      <c r="E35" s="115" t="s">
        <v>174</v>
      </c>
      <c r="F35" s="116" t="s">
        <v>175</v>
      </c>
      <c r="G35" s="115" t="s">
        <v>176</v>
      </c>
      <c r="H35" s="115" t="s">
        <v>177</v>
      </c>
      <c r="I35" s="117" t="s">
        <v>178</v>
      </c>
      <c r="J35" s="115" t="s">
        <v>179</v>
      </c>
      <c r="K35" s="114" t="s">
        <v>180</v>
      </c>
      <c r="L35" s="115" t="s">
        <v>181</v>
      </c>
      <c r="M35" s="118" t="s">
        <v>182</v>
      </c>
      <c r="N35" s="118" t="s">
        <v>183</v>
      </c>
    </row>
    <row r="36" spans="1:14" x14ac:dyDescent="0.3">
      <c r="A36" s="111" t="s">
        <v>294</v>
      </c>
      <c r="B36" s="110" t="s">
        <v>295</v>
      </c>
      <c r="C36" s="110">
        <v>8</v>
      </c>
      <c r="D36" s="114" t="s">
        <v>218</v>
      </c>
      <c r="E36" s="115" t="s">
        <v>219</v>
      </c>
      <c r="F36" s="116" t="s">
        <v>220</v>
      </c>
      <c r="G36" s="114" t="s">
        <v>221</v>
      </c>
      <c r="H36" s="115" t="s">
        <v>222</v>
      </c>
      <c r="I36" s="117" t="s">
        <v>223</v>
      </c>
      <c r="J36" s="114" t="s">
        <v>224</v>
      </c>
      <c r="K36" s="114" t="s">
        <v>225</v>
      </c>
      <c r="L36" s="115" t="s">
        <v>226</v>
      </c>
      <c r="M36" s="118" t="s">
        <v>85</v>
      </c>
      <c r="N36" s="118" t="s">
        <v>227</v>
      </c>
    </row>
    <row r="37" spans="1:14" x14ac:dyDescent="0.3">
      <c r="A37" s="111" t="s">
        <v>296</v>
      </c>
      <c r="B37" s="110" t="s">
        <v>297</v>
      </c>
      <c r="C37" s="110">
        <v>5</v>
      </c>
      <c r="D37" s="114" t="s">
        <v>208</v>
      </c>
      <c r="E37" s="115" t="s">
        <v>209</v>
      </c>
      <c r="F37" s="116" t="s">
        <v>210</v>
      </c>
      <c r="G37" s="115" t="s">
        <v>189</v>
      </c>
      <c r="H37" s="115"/>
      <c r="I37" s="115"/>
      <c r="J37" s="114" t="s">
        <v>211</v>
      </c>
      <c r="K37" s="114" t="s">
        <v>212</v>
      </c>
      <c r="L37" s="115" t="s">
        <v>213</v>
      </c>
      <c r="M37" s="118" t="s">
        <v>214</v>
      </c>
      <c r="N37" s="118" t="s">
        <v>215</v>
      </c>
    </row>
    <row r="38" spans="1:14" x14ac:dyDescent="0.3">
      <c r="A38" s="111" t="s">
        <v>298</v>
      </c>
      <c r="B38" s="110" t="s">
        <v>299</v>
      </c>
      <c r="C38" s="110">
        <v>6</v>
      </c>
      <c r="D38" s="187" t="s">
        <v>362</v>
      </c>
      <c r="E38" s="316" t="s">
        <v>363</v>
      </c>
      <c r="F38" s="189" t="s">
        <v>364</v>
      </c>
      <c r="G38" s="115" t="s">
        <v>189</v>
      </c>
      <c r="H38" s="115"/>
      <c r="I38" s="115"/>
      <c r="J38" s="187" t="s">
        <v>365</v>
      </c>
      <c r="K38" s="187" t="s">
        <v>366</v>
      </c>
      <c r="L38" s="188" t="s">
        <v>367</v>
      </c>
      <c r="M38" s="190" t="s">
        <v>311</v>
      </c>
      <c r="N38" s="190" t="s">
        <v>368</v>
      </c>
    </row>
    <row r="39" spans="1:14" x14ac:dyDescent="0.3">
      <c r="A39" s="111" t="s">
        <v>300</v>
      </c>
      <c r="B39" s="110" t="s">
        <v>301</v>
      </c>
      <c r="C39" s="110">
        <v>10</v>
      </c>
      <c r="D39" s="114" t="s">
        <v>186</v>
      </c>
      <c r="E39" s="114" t="s">
        <v>187</v>
      </c>
      <c r="F39" s="117" t="s">
        <v>188</v>
      </c>
      <c r="G39" s="114" t="s">
        <v>189</v>
      </c>
      <c r="H39" s="115"/>
      <c r="I39" s="115"/>
      <c r="J39" s="115" t="s">
        <v>190</v>
      </c>
      <c r="K39" s="115" t="s">
        <v>191</v>
      </c>
      <c r="L39" s="115" t="s">
        <v>192</v>
      </c>
      <c r="M39" s="118" t="s">
        <v>193</v>
      </c>
      <c r="N39" s="118">
        <v>98101</v>
      </c>
    </row>
    <row r="40" spans="1:14" x14ac:dyDescent="0.3">
      <c r="A40" s="111" t="s">
        <v>302</v>
      </c>
      <c r="B40" s="110" t="s">
        <v>303</v>
      </c>
      <c r="C40" s="110">
        <v>1</v>
      </c>
      <c r="D40" s="115" t="s">
        <v>230</v>
      </c>
      <c r="E40" s="115" t="s">
        <v>231</v>
      </c>
      <c r="F40" s="117" t="s">
        <v>232</v>
      </c>
      <c r="G40" s="115" t="s">
        <v>189</v>
      </c>
      <c r="H40" s="115"/>
      <c r="I40" s="115"/>
      <c r="J40" s="114" t="s">
        <v>233</v>
      </c>
      <c r="K40" s="114" t="s">
        <v>234</v>
      </c>
      <c r="L40" s="115" t="s">
        <v>235</v>
      </c>
      <c r="M40" s="118" t="s">
        <v>236</v>
      </c>
      <c r="N40" s="118" t="s">
        <v>237</v>
      </c>
    </row>
    <row r="41" spans="1:14" x14ac:dyDescent="0.3">
      <c r="A41" s="111" t="s">
        <v>304</v>
      </c>
      <c r="B41" s="110" t="s">
        <v>305</v>
      </c>
      <c r="C41" s="110">
        <v>4</v>
      </c>
      <c r="D41" s="114" t="s">
        <v>173</v>
      </c>
      <c r="E41" s="115" t="s">
        <v>174</v>
      </c>
      <c r="F41" s="116" t="s">
        <v>175</v>
      </c>
      <c r="G41" s="115" t="s">
        <v>176</v>
      </c>
      <c r="H41" s="115" t="s">
        <v>177</v>
      </c>
      <c r="I41" s="117" t="s">
        <v>178</v>
      </c>
      <c r="J41" s="115" t="s">
        <v>179</v>
      </c>
      <c r="K41" s="114" t="s">
        <v>180</v>
      </c>
      <c r="L41" s="115" t="s">
        <v>181</v>
      </c>
      <c r="M41" s="118" t="s">
        <v>182</v>
      </c>
      <c r="N41" s="118" t="s">
        <v>183</v>
      </c>
    </row>
    <row r="42" spans="1:14" x14ac:dyDescent="0.3">
      <c r="A42" s="111" t="s">
        <v>306</v>
      </c>
      <c r="B42" s="110" t="s">
        <v>307</v>
      </c>
      <c r="C42" s="110">
        <v>8</v>
      </c>
      <c r="D42" s="114" t="s">
        <v>218</v>
      </c>
      <c r="E42" s="115" t="s">
        <v>219</v>
      </c>
      <c r="F42" s="116" t="s">
        <v>220</v>
      </c>
      <c r="G42" s="114" t="s">
        <v>221</v>
      </c>
      <c r="H42" s="115" t="s">
        <v>222</v>
      </c>
      <c r="I42" s="117" t="s">
        <v>223</v>
      </c>
      <c r="J42" s="114" t="s">
        <v>224</v>
      </c>
      <c r="K42" s="114" t="s">
        <v>225</v>
      </c>
      <c r="L42" s="115" t="s">
        <v>226</v>
      </c>
      <c r="M42" s="118" t="s">
        <v>85</v>
      </c>
      <c r="N42" s="118" t="s">
        <v>227</v>
      </c>
    </row>
    <row r="43" spans="1:14" x14ac:dyDescent="0.3">
      <c r="A43" s="111" t="s">
        <v>308</v>
      </c>
      <c r="B43" s="110" t="s">
        <v>309</v>
      </c>
      <c r="C43" s="110">
        <v>4</v>
      </c>
      <c r="D43" s="114" t="s">
        <v>173</v>
      </c>
      <c r="E43" s="115" t="s">
        <v>174</v>
      </c>
      <c r="F43" s="116" t="s">
        <v>175</v>
      </c>
      <c r="G43" s="115" t="s">
        <v>176</v>
      </c>
      <c r="H43" s="115" t="s">
        <v>177</v>
      </c>
      <c r="I43" s="117" t="s">
        <v>178</v>
      </c>
      <c r="J43" s="115" t="s">
        <v>179</v>
      </c>
      <c r="K43" s="114" t="s">
        <v>180</v>
      </c>
      <c r="L43" s="115" t="s">
        <v>181</v>
      </c>
      <c r="M43" s="118" t="s">
        <v>182</v>
      </c>
      <c r="N43" s="118" t="s">
        <v>183</v>
      </c>
    </row>
    <row r="44" spans="1:14" x14ac:dyDescent="0.3">
      <c r="A44" s="111" t="s">
        <v>310</v>
      </c>
      <c r="B44" s="110" t="s">
        <v>311</v>
      </c>
      <c r="C44" s="110">
        <v>6</v>
      </c>
      <c r="D44" s="187" t="s">
        <v>362</v>
      </c>
      <c r="E44" s="316" t="s">
        <v>363</v>
      </c>
      <c r="F44" s="189" t="s">
        <v>364</v>
      </c>
      <c r="G44" s="115" t="s">
        <v>189</v>
      </c>
      <c r="H44" s="115"/>
      <c r="I44" s="115"/>
      <c r="J44" s="187" t="s">
        <v>365</v>
      </c>
      <c r="K44" s="187" t="s">
        <v>366</v>
      </c>
      <c r="L44" s="188" t="s">
        <v>367</v>
      </c>
      <c r="M44" s="190" t="s">
        <v>311</v>
      </c>
      <c r="N44" s="190" t="s">
        <v>368</v>
      </c>
    </row>
    <row r="45" spans="1:14" x14ac:dyDescent="0.3">
      <c r="A45" s="111" t="s">
        <v>312</v>
      </c>
      <c r="B45" s="110" t="s">
        <v>313</v>
      </c>
      <c r="C45" s="110">
        <v>8</v>
      </c>
      <c r="D45" s="114" t="s">
        <v>218</v>
      </c>
      <c r="E45" s="115" t="s">
        <v>219</v>
      </c>
      <c r="F45" s="116" t="s">
        <v>220</v>
      </c>
      <c r="G45" s="114" t="s">
        <v>221</v>
      </c>
      <c r="H45" s="115" t="s">
        <v>222</v>
      </c>
      <c r="I45" s="117" t="s">
        <v>223</v>
      </c>
      <c r="J45" s="114" t="s">
        <v>224</v>
      </c>
      <c r="K45" s="114" t="s">
        <v>225</v>
      </c>
      <c r="L45" s="115" t="s">
        <v>226</v>
      </c>
      <c r="M45" s="118" t="s">
        <v>85</v>
      </c>
      <c r="N45" s="118" t="s">
        <v>227</v>
      </c>
    </row>
    <row r="46" spans="1:14" x14ac:dyDescent="0.3">
      <c r="A46" s="111" t="s">
        <v>314</v>
      </c>
      <c r="B46" s="110" t="s">
        <v>315</v>
      </c>
      <c r="C46" s="110">
        <v>1</v>
      </c>
      <c r="D46" s="115" t="s">
        <v>230</v>
      </c>
      <c r="E46" s="115" t="s">
        <v>231</v>
      </c>
      <c r="F46" s="117" t="s">
        <v>232</v>
      </c>
      <c r="G46" s="115" t="s">
        <v>189</v>
      </c>
      <c r="H46" s="115"/>
      <c r="I46" s="115"/>
      <c r="J46" s="114" t="s">
        <v>233</v>
      </c>
      <c r="K46" s="114" t="s">
        <v>234</v>
      </c>
      <c r="L46" s="115" t="s">
        <v>235</v>
      </c>
      <c r="M46" s="118" t="s">
        <v>236</v>
      </c>
      <c r="N46" s="118" t="s">
        <v>237</v>
      </c>
    </row>
    <row r="47" spans="1:14" x14ac:dyDescent="0.3">
      <c r="A47" s="111" t="s">
        <v>316</v>
      </c>
      <c r="B47" s="110" t="s">
        <v>193</v>
      </c>
      <c r="C47" s="110">
        <v>10</v>
      </c>
      <c r="D47" s="114" t="s">
        <v>186</v>
      </c>
      <c r="E47" s="114" t="s">
        <v>187</v>
      </c>
      <c r="F47" s="117" t="s">
        <v>188</v>
      </c>
      <c r="G47" s="114" t="s">
        <v>189</v>
      </c>
      <c r="H47" s="115"/>
      <c r="I47" s="115"/>
      <c r="J47" s="115" t="s">
        <v>190</v>
      </c>
      <c r="K47" s="115" t="s">
        <v>191</v>
      </c>
      <c r="L47" s="115" t="s">
        <v>192</v>
      </c>
      <c r="M47" s="118" t="s">
        <v>193</v>
      </c>
      <c r="N47" s="118">
        <v>98101</v>
      </c>
    </row>
    <row r="48" spans="1:14" x14ac:dyDescent="0.3">
      <c r="A48" s="111" t="s">
        <v>317</v>
      </c>
      <c r="B48" s="110" t="s">
        <v>318</v>
      </c>
      <c r="C48" s="110">
        <v>5</v>
      </c>
      <c r="D48" s="114" t="s">
        <v>208</v>
      </c>
      <c r="E48" s="115" t="s">
        <v>209</v>
      </c>
      <c r="F48" s="116" t="s">
        <v>210</v>
      </c>
      <c r="G48" s="115" t="s">
        <v>189</v>
      </c>
      <c r="H48" s="115"/>
      <c r="I48" s="115"/>
      <c r="J48" s="114" t="s">
        <v>211</v>
      </c>
      <c r="K48" s="114" t="s">
        <v>212</v>
      </c>
      <c r="L48" s="115" t="s">
        <v>213</v>
      </c>
      <c r="M48" s="118" t="s">
        <v>214</v>
      </c>
      <c r="N48" s="118" t="s">
        <v>215</v>
      </c>
    </row>
    <row r="49" spans="1:14" x14ac:dyDescent="0.3">
      <c r="A49" s="111" t="s">
        <v>319</v>
      </c>
      <c r="B49" s="110" t="s">
        <v>320</v>
      </c>
      <c r="C49" s="110">
        <v>8</v>
      </c>
      <c r="D49" s="114" t="s">
        <v>218</v>
      </c>
      <c r="E49" s="115" t="s">
        <v>219</v>
      </c>
      <c r="F49" s="116" t="s">
        <v>220</v>
      </c>
      <c r="G49" s="114" t="s">
        <v>221</v>
      </c>
      <c r="H49" s="115" t="s">
        <v>222</v>
      </c>
      <c r="I49" s="117" t="s">
        <v>223</v>
      </c>
      <c r="J49" s="114" t="s">
        <v>224</v>
      </c>
      <c r="K49" s="114" t="s">
        <v>225</v>
      </c>
      <c r="L49" s="115" t="s">
        <v>226</v>
      </c>
      <c r="M49" s="118" t="s">
        <v>85</v>
      </c>
      <c r="N49" s="118" t="s">
        <v>227</v>
      </c>
    </row>
    <row r="50" spans="1:14" x14ac:dyDescent="0.3">
      <c r="A50" s="111" t="s">
        <v>321</v>
      </c>
      <c r="B50" s="110" t="s">
        <v>322</v>
      </c>
      <c r="C50" s="110">
        <v>3</v>
      </c>
      <c r="D50" s="114" t="s">
        <v>189</v>
      </c>
      <c r="E50" s="115"/>
      <c r="F50" s="115"/>
      <c r="G50" s="115"/>
      <c r="H50" s="115"/>
      <c r="I50" s="115"/>
      <c r="J50" s="115"/>
      <c r="K50" s="115"/>
      <c r="L50" s="115"/>
      <c r="M50" s="118"/>
      <c r="N50" s="118"/>
    </row>
    <row r="51" spans="1:14" x14ac:dyDescent="0.3">
      <c r="A51" s="111" t="s">
        <v>323</v>
      </c>
      <c r="B51" s="110" t="s">
        <v>324</v>
      </c>
      <c r="C51" s="110">
        <v>3</v>
      </c>
      <c r="D51" s="114" t="s">
        <v>189</v>
      </c>
      <c r="E51" s="115"/>
      <c r="F51" s="115"/>
      <c r="G51" s="115"/>
      <c r="H51" s="115"/>
      <c r="I51" s="115"/>
      <c r="J51" s="115"/>
      <c r="K51" s="115"/>
      <c r="L51" s="115"/>
      <c r="M51" s="118"/>
      <c r="N51" s="118"/>
    </row>
    <row r="52" spans="1:14" x14ac:dyDescent="0.3">
      <c r="A52" s="111" t="s">
        <v>325</v>
      </c>
      <c r="B52" s="110" t="s">
        <v>326</v>
      </c>
      <c r="C52" s="110">
        <v>3</v>
      </c>
      <c r="D52" s="114" t="s">
        <v>189</v>
      </c>
      <c r="E52" s="115"/>
      <c r="F52" s="115"/>
      <c r="G52" s="115"/>
      <c r="H52" s="115"/>
      <c r="I52" s="115"/>
      <c r="J52" s="115"/>
      <c r="K52" s="115"/>
      <c r="L52" s="115"/>
      <c r="M52" s="118"/>
      <c r="N52" s="118"/>
    </row>
    <row r="53" spans="1:14" x14ac:dyDescent="0.3">
      <c r="A53" s="111" t="s">
        <v>327</v>
      </c>
      <c r="B53" s="110" t="s">
        <v>328</v>
      </c>
      <c r="C53" s="110">
        <v>3</v>
      </c>
      <c r="D53" s="114" t="s">
        <v>189</v>
      </c>
      <c r="E53" s="115"/>
      <c r="F53" s="115"/>
      <c r="G53" s="115"/>
      <c r="H53" s="115"/>
      <c r="I53" s="115"/>
      <c r="J53" s="115"/>
      <c r="K53" s="115"/>
      <c r="L53" s="115"/>
      <c r="M53" s="118"/>
      <c r="N53" s="118"/>
    </row>
    <row r="54" spans="1:14" x14ac:dyDescent="0.3">
      <c r="A54" s="111" t="s">
        <v>329</v>
      </c>
      <c r="B54" s="110" t="s">
        <v>330</v>
      </c>
      <c r="C54" s="110">
        <v>3</v>
      </c>
      <c r="D54" s="114" t="s">
        <v>189</v>
      </c>
      <c r="E54" s="115"/>
      <c r="F54" s="115"/>
      <c r="G54" s="115"/>
      <c r="H54" s="115"/>
      <c r="I54" s="115"/>
      <c r="J54" s="115"/>
      <c r="K54" s="115"/>
      <c r="L54" s="115"/>
      <c r="M54" s="118"/>
      <c r="N54" s="118"/>
    </row>
    <row r="55" spans="1:14" x14ac:dyDescent="0.3">
      <c r="A55" s="111" t="s">
        <v>331</v>
      </c>
      <c r="B55" s="110" t="s">
        <v>332</v>
      </c>
      <c r="C55" s="110">
        <v>3</v>
      </c>
      <c r="D55" s="114" t="s">
        <v>189</v>
      </c>
      <c r="E55" s="115"/>
      <c r="F55" s="115"/>
      <c r="G55" s="115"/>
      <c r="H55" s="115"/>
      <c r="I55" s="115"/>
      <c r="J55" s="115"/>
      <c r="K55" s="115"/>
      <c r="L55" s="115"/>
      <c r="M55" s="118"/>
      <c r="N55" s="118"/>
    </row>
  </sheetData>
  <sortState ref="A5:N49">
    <sortCondition ref="A5:A49"/>
  </sortState>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9" r:id="rId27" display="mailto:webber.robert@epa.gov"/>
    <hyperlink ref="F27" r:id="rId28" display="mailto:webber.robert@epa.gov"/>
    <hyperlink ref="F29" r:id="rId29" display="mailto:webber.robert@epa.gov"/>
    <hyperlink ref="F17" r:id="rId30" display="mailto:gupta.kaushal@epa.gov"/>
    <hyperlink ref="F24" r:id="rId31" display="mailto:gupta.kaushal@epa.gov"/>
    <hyperlink ref="F25" r:id="rId32" display="mailto:gupta.kaushal@epa.gov"/>
    <hyperlink ref="F37" r:id="rId33" display="mailto:gupta.kaushal@epa.gov"/>
    <hyperlink ref="F48" r:id="rId34" display="mailto:gupta.kaushal@epa.gov"/>
    <hyperlink ref="F12" r:id="rId35" display="mailto:oquendo.ana@epa.gov"/>
    <hyperlink ref="F13" r:id="rId36" display="mailto:oquendo.ana@epa.gov"/>
    <hyperlink ref="F20" r:id="rId37" display="mailto:oquendo.ana@epa.gov"/>
    <hyperlink ref="F26" r:id="rId38" display="mailto:oquendo.ana@epa.gov"/>
    <hyperlink ref="F35" r:id="rId39" display="mailto:oquendo.ana@epa.gov"/>
    <hyperlink ref="F41" r:id="rId40" display="mailto:oquendo.ana@epa.gov"/>
    <hyperlink ref="F43" r:id="rId41" display="mailto:oquendo.ana@epa.gov"/>
    <hyperlink ref="I12" r:id="rId42" display="mailto:shepherd.lorinda@epa.gov"/>
    <hyperlink ref="I13" r:id="rId43" display="mailto:shepherd.lorinda@epa.gov"/>
    <hyperlink ref="I20" r:id="rId44" display="mailto:shepherd.lorinda@epa.gov"/>
    <hyperlink ref="I26" r:id="rId45" display="mailto:shepherd.lorinda@epa.gov"/>
    <hyperlink ref="I35" r:id="rId46" display="mailto:shepherd.lorinda@epa.gov"/>
    <hyperlink ref="I41" r:id="rId47" display="mailto:shepherd.lorinda@epa.gov"/>
    <hyperlink ref="I43" r:id="rId48" display="mailto:shepherd.lorinda@epa.gov"/>
    <hyperlink ref="F7" r:id="rId49" display="mailto:glass.geoffrey@epa.gov"/>
    <hyperlink ref="I7" r:id="rId50" display="mailto:Gutierrez.roberto@epa.gov"/>
    <hyperlink ref="F9" r:id="rId51" display="mailto:glass.geoffrey@epa.gov"/>
    <hyperlink ref="F14" r:id="rId52" display="mailto:glass.geoffrey@epa.gov"/>
    <hyperlink ref="F30" r:id="rId53" display="mailto:glass.geoffrey@epa.gov"/>
    <hyperlink ref="I9" r:id="rId54" display="mailto:Gutierrez.roberto@epa.gov"/>
    <hyperlink ref="I14" r:id="rId55" display="mailto:Gutierrez.roberto@epa.gov"/>
    <hyperlink ref="I30" r:id="rId56" display="mailto:Gutierrez.roberto@epa.gov"/>
    <hyperlink ref="F6" r:id="rId57"/>
    <hyperlink ref="F15" r:id="rId58"/>
    <hyperlink ref="F39" r:id="rId59"/>
    <hyperlink ref="F47" r:id="rId60"/>
    <hyperlink ref="F8" r:id="rId61"/>
    <hyperlink ref="F21" r:id="rId62"/>
    <hyperlink ref="F33" r:id="rId63"/>
    <hyperlink ref="F38" r:id="rId64"/>
    <hyperlink ref="F44"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7"/>
  <sheetViews>
    <sheetView showGridLines="0" zoomScaleNormal="100" workbookViewId="0"/>
  </sheetViews>
  <sheetFormatPr defaultColWidth="3.33203125" defaultRowHeight="13.2" x14ac:dyDescent="0.25"/>
  <cols>
    <col min="1" max="1" width="1.5546875" style="13" customWidth="1"/>
    <col min="2" max="2" width="11.6640625" style="13" customWidth="1"/>
    <col min="3" max="3" width="19.109375" style="13" customWidth="1"/>
    <col min="4" max="4" width="57.44140625" style="13" customWidth="1"/>
    <col min="5" max="5" width="85" style="13" customWidth="1"/>
    <col min="6" max="13" width="1.6640625" style="13" customWidth="1"/>
    <col min="14" max="14" width="7" style="13" customWidth="1"/>
    <col min="15" max="27" width="1.6640625" style="13" customWidth="1"/>
    <col min="28" max="16384" width="3.33203125" style="13"/>
  </cols>
  <sheetData>
    <row r="1" spans="2:5" ht="17.399999999999999" x14ac:dyDescent="0.3">
      <c r="B1" s="12" t="str">
        <f>'Change Log'!A1</f>
        <v>Sawmill Registration Calculator</v>
      </c>
    </row>
    <row r="2" spans="2:5" ht="15.75" customHeight="1" x14ac:dyDescent="0.25">
      <c r="B2" s="347" t="str">
        <f>'Change Log'!A2</f>
        <v>v1.4 (last updated 2013.02.26)</v>
      </c>
      <c r="C2" s="347"/>
      <c r="D2" s="347"/>
    </row>
    <row r="3" spans="2:5" ht="120" customHeight="1" x14ac:dyDescent="0.25">
      <c r="B3" s="351" t="s">
        <v>446</v>
      </c>
      <c r="C3" s="351"/>
      <c r="D3" s="351"/>
      <c r="E3" s="351"/>
    </row>
    <row r="4" spans="2:5" ht="6.75" customHeight="1" x14ac:dyDescent="0.25">
      <c r="B4" s="125"/>
      <c r="C4" s="125"/>
      <c r="D4" s="125"/>
    </row>
    <row r="5" spans="2:5" x14ac:dyDescent="0.25">
      <c r="B5" s="38" t="s">
        <v>3</v>
      </c>
    </row>
    <row r="6" spans="2:5" ht="32.25" customHeight="1" x14ac:dyDescent="0.25">
      <c r="B6" s="350" t="s">
        <v>500</v>
      </c>
      <c r="C6" s="350"/>
      <c r="D6" s="350"/>
      <c r="E6" s="350"/>
    </row>
    <row r="7" spans="2:5" ht="4.5" customHeight="1" x14ac:dyDescent="0.25">
      <c r="B7" s="39"/>
    </row>
    <row r="8" spans="2:5" ht="15" customHeight="1" x14ac:dyDescent="0.25">
      <c r="B8" s="38" t="s">
        <v>11</v>
      </c>
    </row>
    <row r="9" spans="2:5" ht="58.5" customHeight="1" x14ac:dyDescent="0.25">
      <c r="B9" s="348" t="s">
        <v>499</v>
      </c>
      <c r="C9" s="349"/>
      <c r="D9" s="349"/>
      <c r="E9" s="349"/>
    </row>
    <row r="10" spans="2:5" ht="5.25" customHeight="1" x14ac:dyDescent="0.25">
      <c r="B10" s="39"/>
    </row>
    <row r="11" spans="2:5" x14ac:dyDescent="0.25">
      <c r="B11" s="38" t="s">
        <v>26</v>
      </c>
    </row>
    <row r="12" spans="2:5" ht="54.75" customHeight="1" x14ac:dyDescent="0.25">
      <c r="B12" s="348" t="s">
        <v>146</v>
      </c>
      <c r="C12" s="349"/>
      <c r="D12" s="349"/>
      <c r="E12" s="349"/>
    </row>
    <row r="13" spans="2:5" ht="9" customHeight="1" thickBot="1" x14ac:dyDescent="0.3">
      <c r="B13" s="38"/>
    </row>
    <row r="14" spans="2:5" ht="13.8" thickBot="1" x14ac:dyDescent="0.3">
      <c r="B14" s="335" t="s">
        <v>447</v>
      </c>
      <c r="C14" s="336"/>
      <c r="D14" s="337"/>
    </row>
    <row r="15" spans="2:5" x14ac:dyDescent="0.25">
      <c r="B15" s="326" t="s">
        <v>394</v>
      </c>
      <c r="C15" s="327"/>
      <c r="D15" s="328"/>
    </row>
    <row r="16" spans="2:5" x14ac:dyDescent="0.25">
      <c r="B16" s="329" t="s">
        <v>395</v>
      </c>
      <c r="C16" s="330"/>
      <c r="D16" s="331"/>
    </row>
    <row r="17" spans="2:5" x14ac:dyDescent="0.25">
      <c r="B17" s="340" t="s">
        <v>396</v>
      </c>
      <c r="C17" s="341"/>
      <c r="D17" s="342"/>
    </row>
    <row r="18" spans="2:5" ht="13.8" thickBot="1" x14ac:dyDescent="0.3">
      <c r="B18" s="332" t="s">
        <v>68</v>
      </c>
      <c r="C18" s="333"/>
      <c r="D18" s="334"/>
    </row>
    <row r="19" spans="2:5" ht="10.5" customHeight="1" thickBot="1" x14ac:dyDescent="0.3">
      <c r="B19" s="40"/>
      <c r="C19" s="41"/>
      <c r="D19" s="40"/>
      <c r="E19" s="14"/>
    </row>
    <row r="20" spans="2:5" ht="13.8" thickBot="1" x14ac:dyDescent="0.3">
      <c r="B20" s="335" t="s">
        <v>147</v>
      </c>
      <c r="C20" s="336"/>
      <c r="D20" s="337"/>
    </row>
    <row r="21" spans="2:5" s="95" customFormat="1" ht="57.75" customHeight="1" x14ac:dyDescent="0.25">
      <c r="B21" s="96" t="s">
        <v>397</v>
      </c>
      <c r="C21" s="343" t="s">
        <v>398</v>
      </c>
      <c r="D21" s="344"/>
    </row>
    <row r="22" spans="2:5" x14ac:dyDescent="0.25">
      <c r="B22" s="98" t="s">
        <v>353</v>
      </c>
      <c r="C22" s="99" t="s">
        <v>82</v>
      </c>
      <c r="D22" s="100"/>
    </row>
    <row r="23" spans="2:5" x14ac:dyDescent="0.25">
      <c r="B23" s="258" t="s">
        <v>399</v>
      </c>
      <c r="C23" s="259" t="s">
        <v>400</v>
      </c>
      <c r="D23" s="260"/>
    </row>
    <row r="24" spans="2:5" ht="12.75" customHeight="1" x14ac:dyDescent="0.25">
      <c r="B24" s="102" t="s">
        <v>352</v>
      </c>
      <c r="C24" s="101" t="s">
        <v>59</v>
      </c>
      <c r="D24" s="139"/>
    </row>
    <row r="25" spans="2:5" ht="12.75" customHeight="1" x14ac:dyDescent="0.25">
      <c r="B25" s="102" t="s">
        <v>359</v>
      </c>
      <c r="C25" s="101" t="s">
        <v>360</v>
      </c>
      <c r="D25" s="186"/>
    </row>
    <row r="26" spans="2:5" ht="12.75" customHeight="1" x14ac:dyDescent="0.25">
      <c r="B26" s="102" t="s">
        <v>148</v>
      </c>
      <c r="C26" s="101" t="s">
        <v>149</v>
      </c>
      <c r="D26" s="139"/>
    </row>
    <row r="27" spans="2:5" ht="56.25" customHeight="1" x14ac:dyDescent="0.25">
      <c r="B27" s="261" t="s">
        <v>390</v>
      </c>
      <c r="C27" s="345" t="s">
        <v>401</v>
      </c>
      <c r="D27" s="346"/>
    </row>
    <row r="28" spans="2:5" ht="12.75" customHeight="1" x14ac:dyDescent="0.25">
      <c r="B28" s="103" t="s">
        <v>351</v>
      </c>
      <c r="C28" s="104" t="s">
        <v>62</v>
      </c>
      <c r="D28" s="105"/>
    </row>
    <row r="29" spans="2:5" ht="12.75" customHeight="1" x14ac:dyDescent="0.25">
      <c r="B29" s="102" t="s">
        <v>493</v>
      </c>
      <c r="C29" s="126" t="s">
        <v>494</v>
      </c>
      <c r="D29" s="127"/>
    </row>
    <row r="30" spans="2:5" ht="12.75" customHeight="1" x14ac:dyDescent="0.25">
      <c r="B30" s="102" t="s">
        <v>350</v>
      </c>
      <c r="C30" s="126" t="s">
        <v>60</v>
      </c>
      <c r="D30" s="127"/>
    </row>
    <row r="31" spans="2:5" ht="12.75" customHeight="1" x14ac:dyDescent="0.25">
      <c r="B31" s="102" t="s">
        <v>349</v>
      </c>
      <c r="C31" s="126" t="s">
        <v>51</v>
      </c>
      <c r="D31" s="127"/>
      <c r="E31" s="14"/>
    </row>
    <row r="32" spans="2:5" ht="12.75" customHeight="1" x14ac:dyDescent="0.25">
      <c r="B32" s="102" t="s">
        <v>103</v>
      </c>
      <c r="C32" s="338" t="s">
        <v>150</v>
      </c>
      <c r="D32" s="339"/>
    </row>
    <row r="33" spans="2:13" ht="12.75" customHeight="1" x14ac:dyDescent="0.25">
      <c r="B33" s="102" t="s">
        <v>104</v>
      </c>
      <c r="C33" s="126" t="s">
        <v>151</v>
      </c>
      <c r="D33" s="127"/>
    </row>
    <row r="34" spans="2:13" s="95" customFormat="1" ht="15" customHeight="1" x14ac:dyDescent="0.25">
      <c r="B34" s="97" t="s">
        <v>102</v>
      </c>
      <c r="C34" s="171" t="s">
        <v>61</v>
      </c>
      <c r="D34" s="172"/>
    </row>
    <row r="35" spans="2:13" s="95" customFormat="1" ht="15" customHeight="1" x14ac:dyDescent="0.25">
      <c r="B35" s="102" t="s">
        <v>86</v>
      </c>
      <c r="C35" s="352" t="s">
        <v>2</v>
      </c>
      <c r="D35" s="353"/>
    </row>
    <row r="36" spans="2:13" ht="20.25" customHeight="1" thickBot="1" x14ac:dyDescent="0.3">
      <c r="B36" s="138" t="s">
        <v>347</v>
      </c>
      <c r="C36" s="358" t="s">
        <v>348</v>
      </c>
      <c r="D36" s="359"/>
    </row>
    <row r="37" spans="2:13" ht="13.5" customHeight="1" thickBot="1" x14ac:dyDescent="0.3">
      <c r="B37" s="40"/>
      <c r="C37" s="40"/>
      <c r="D37" s="40"/>
      <c r="F37" s="14"/>
    </row>
    <row r="38" spans="2:13" ht="18.75" customHeight="1" thickBot="1" x14ac:dyDescent="0.3">
      <c r="B38" s="299" t="s">
        <v>46</v>
      </c>
      <c r="C38" s="42"/>
      <c r="D38" s="42"/>
      <c r="E38" s="43"/>
      <c r="F38" s="14"/>
    </row>
    <row r="39" spans="2:13" ht="16.5" customHeight="1" thickBot="1" x14ac:dyDescent="0.3">
      <c r="B39" s="300" t="s">
        <v>502</v>
      </c>
      <c r="C39" s="44"/>
      <c r="D39" s="44"/>
      <c r="E39" s="45"/>
      <c r="F39" s="14"/>
    </row>
    <row r="40" spans="2:13" ht="20.25" customHeight="1" x14ac:dyDescent="0.25">
      <c r="B40" s="360" t="s">
        <v>43</v>
      </c>
      <c r="C40" s="361"/>
      <c r="D40" s="370" t="s">
        <v>402</v>
      </c>
      <c r="E40" s="371"/>
      <c r="M40" s="14"/>
    </row>
    <row r="41" spans="2:13" ht="18.75" customHeight="1" x14ac:dyDescent="0.25">
      <c r="B41" s="362" t="s">
        <v>44</v>
      </c>
      <c r="C41" s="363"/>
      <c r="D41" s="372" t="s">
        <v>47</v>
      </c>
      <c r="E41" s="373"/>
    </row>
    <row r="42" spans="2:13" ht="55.5" customHeight="1" x14ac:dyDescent="0.25">
      <c r="B42" s="364" t="s">
        <v>45</v>
      </c>
      <c r="C42" s="365"/>
      <c r="D42" s="354" t="s">
        <v>403</v>
      </c>
      <c r="E42" s="355"/>
    </row>
    <row r="43" spans="2:13" ht="22.5" customHeight="1" x14ac:dyDescent="0.25">
      <c r="B43" s="366"/>
      <c r="C43" s="367"/>
      <c r="D43" s="356" t="s">
        <v>154</v>
      </c>
      <c r="E43" s="357"/>
    </row>
    <row r="44" spans="2:13" ht="78.75" customHeight="1" x14ac:dyDescent="0.25">
      <c r="B44" s="362" t="s">
        <v>155</v>
      </c>
      <c r="C44" s="363"/>
      <c r="D44" s="372" t="s">
        <v>495</v>
      </c>
      <c r="E44" s="373"/>
    </row>
    <row r="45" spans="2:13" ht="91.5" customHeight="1" x14ac:dyDescent="0.25">
      <c r="B45" s="376" t="s">
        <v>405</v>
      </c>
      <c r="C45" s="377"/>
      <c r="D45" s="378" t="s">
        <v>505</v>
      </c>
      <c r="E45" s="379"/>
    </row>
    <row r="46" spans="2:13" ht="42.75" customHeight="1" thickBot="1" x14ac:dyDescent="0.3">
      <c r="B46" s="368" t="s">
        <v>404</v>
      </c>
      <c r="C46" s="369"/>
      <c r="D46" s="374" t="s">
        <v>406</v>
      </c>
      <c r="E46" s="375"/>
    </row>
    <row r="47" spans="2:13" ht="27.75" customHeight="1" x14ac:dyDescent="0.25">
      <c r="B47" s="46"/>
      <c r="C47" s="47"/>
      <c r="D47" s="47"/>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29">
    <mergeCell ref="B44:C44"/>
    <mergeCell ref="B46:C46"/>
    <mergeCell ref="D40:E40"/>
    <mergeCell ref="D41:E41"/>
    <mergeCell ref="D44:E44"/>
    <mergeCell ref="D46:E46"/>
    <mergeCell ref="B45:C45"/>
    <mergeCell ref="D45:E45"/>
    <mergeCell ref="C35:D35"/>
    <mergeCell ref="D42:E42"/>
    <mergeCell ref="D43:E43"/>
    <mergeCell ref="C36:D36"/>
    <mergeCell ref="B40:C40"/>
    <mergeCell ref="B41:C41"/>
    <mergeCell ref="B42:C43"/>
    <mergeCell ref="B2:D2"/>
    <mergeCell ref="B9:E9"/>
    <mergeCell ref="B6:E6"/>
    <mergeCell ref="B14:D14"/>
    <mergeCell ref="B12:E12"/>
    <mergeCell ref="B3:E3"/>
    <mergeCell ref="B15:D15"/>
    <mergeCell ref="B16:D16"/>
    <mergeCell ref="B18:D18"/>
    <mergeCell ref="B20:D20"/>
    <mergeCell ref="C32:D32"/>
    <mergeCell ref="B17:D17"/>
    <mergeCell ref="C21:D21"/>
    <mergeCell ref="C27:D27"/>
  </mergeCells>
  <phoneticPr fontId="0" type="noConversion"/>
  <hyperlinks>
    <hyperlink ref="D43" r:id="rId2"/>
  </hyperlinks>
  <pageMargins left="0.2" right="0.2" top="0.5" bottom="0.5" header="0.5" footer="0.5"/>
  <pageSetup scale="68" orientation="landscape" r:id="rId3"/>
  <headerFooter alignWithMargins="0">
    <oddFooter>&amp;LPage &amp;P of &amp;N&amp;C&amp;F&amp;RPrinted &amp;D</oddFooter>
  </headerFooter>
  <rowBreaks count="1" manualBreakCount="1">
    <brk id="37"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95"/>
  <sheetViews>
    <sheetView showGridLines="0" zoomScaleNormal="100" workbookViewId="0"/>
  </sheetViews>
  <sheetFormatPr defaultColWidth="9.109375" defaultRowHeight="13.2" x14ac:dyDescent="0.25"/>
  <cols>
    <col min="1" max="1" width="2.88671875" style="13" customWidth="1"/>
    <col min="2" max="2" width="57.33203125" style="13" customWidth="1"/>
    <col min="3" max="3" width="72.88671875" style="13" customWidth="1"/>
    <col min="4" max="4" width="17.33203125" style="13" customWidth="1"/>
    <col min="5" max="5" width="97.44140625" style="13" hidden="1" customWidth="1"/>
    <col min="6" max="16384" width="9.109375" style="13"/>
  </cols>
  <sheetData>
    <row r="1" spans="2:5" ht="17.399999999999999" x14ac:dyDescent="0.3">
      <c r="B1" s="12" t="s">
        <v>66</v>
      </c>
    </row>
    <row r="2" spans="2:5" ht="16.2" thickBot="1" x14ac:dyDescent="0.4">
      <c r="E2" s="119" t="s">
        <v>333</v>
      </c>
    </row>
    <row r="3" spans="2:5" ht="13.8" thickBot="1" x14ac:dyDescent="0.3">
      <c r="B3" s="384" t="s">
        <v>4</v>
      </c>
      <c r="C3" s="385"/>
      <c r="E3" s="120" t="s">
        <v>10</v>
      </c>
    </row>
    <row r="4" spans="2:5" x14ac:dyDescent="0.25">
      <c r="B4" s="204" t="s">
        <v>5</v>
      </c>
      <c r="C4" s="205" t="s">
        <v>361</v>
      </c>
      <c r="E4" s="120" t="s">
        <v>334</v>
      </c>
    </row>
    <row r="5" spans="2:5" x14ac:dyDescent="0.25">
      <c r="B5" s="34" t="s">
        <v>6</v>
      </c>
      <c r="C5" s="15" t="s">
        <v>20</v>
      </c>
      <c r="E5" s="120" t="s">
        <v>16</v>
      </c>
    </row>
    <row r="6" spans="2:5" x14ac:dyDescent="0.25">
      <c r="B6" s="34" t="s">
        <v>157</v>
      </c>
      <c r="C6" s="15" t="s">
        <v>160</v>
      </c>
      <c r="E6" s="95"/>
    </row>
    <row r="7" spans="2:5" x14ac:dyDescent="0.25">
      <c r="B7" s="34" t="s">
        <v>158</v>
      </c>
      <c r="C7" s="108" t="s">
        <v>290</v>
      </c>
      <c r="E7" s="119" t="s">
        <v>335</v>
      </c>
    </row>
    <row r="8" spans="2:5" ht="13.8" thickBot="1" x14ac:dyDescent="0.3">
      <c r="B8" s="35" t="s">
        <v>159</v>
      </c>
      <c r="C8" s="206">
        <v>87101</v>
      </c>
      <c r="E8" s="120" t="s">
        <v>10</v>
      </c>
    </row>
    <row r="9" spans="2:5" ht="13.8" thickBot="1" x14ac:dyDescent="0.3">
      <c r="E9" s="120" t="s">
        <v>336</v>
      </c>
    </row>
    <row r="10" spans="2:5" ht="13.8" thickBot="1" x14ac:dyDescent="0.3">
      <c r="B10" s="384" t="s">
        <v>9</v>
      </c>
      <c r="C10" s="385"/>
      <c r="E10" s="120" t="s">
        <v>334</v>
      </c>
    </row>
    <row r="11" spans="2:5" x14ac:dyDescent="0.25">
      <c r="B11" s="33" t="s">
        <v>5</v>
      </c>
      <c r="C11" s="18" t="s">
        <v>17</v>
      </c>
      <c r="E11" s="120" t="s">
        <v>16</v>
      </c>
    </row>
    <row r="12" spans="2:5" x14ac:dyDescent="0.25">
      <c r="B12" s="34" t="s">
        <v>7</v>
      </c>
      <c r="C12" s="15" t="s">
        <v>18</v>
      </c>
      <c r="E12" s="120" t="s">
        <v>15</v>
      </c>
    </row>
    <row r="13" spans="2:5" ht="13.8" thickBot="1" x14ac:dyDescent="0.3">
      <c r="B13" s="36" t="s">
        <v>8</v>
      </c>
      <c r="C13" s="16" t="s">
        <v>19</v>
      </c>
      <c r="E13" s="120" t="s">
        <v>14</v>
      </c>
    </row>
    <row r="14" spans="2:5" ht="13.8" thickBot="1" x14ac:dyDescent="0.3"/>
    <row r="15" spans="2:5" ht="16.2" thickBot="1" x14ac:dyDescent="0.4">
      <c r="B15" s="388" t="str">
        <f>"U.S. Environmental Protection Agency Region "&amp;VLOOKUP(C7,'EPA Regional Contact Info'!$A$5:$C$49,3,FALSE)&amp;" Contact"</f>
        <v>U.S. Environmental Protection Agency Region 6 Contact</v>
      </c>
      <c r="C15" s="389"/>
      <c r="E15" s="119" t="s">
        <v>337</v>
      </c>
    </row>
    <row r="16" spans="2:5" x14ac:dyDescent="0.25">
      <c r="B16" s="176" t="s">
        <v>340</v>
      </c>
      <c r="C16" s="191" t="str">
        <f>VLOOKUP($C$7,'EPA Regional Contact Info'!$A$5:$N$49,4,FALSE)</f>
        <v>Bonnie Braganza</v>
      </c>
      <c r="E16" s="120" t="s">
        <v>10</v>
      </c>
    </row>
    <row r="17" spans="2:5" x14ac:dyDescent="0.25">
      <c r="B17" s="177" t="s">
        <v>341</v>
      </c>
      <c r="C17" s="192" t="str">
        <f>VLOOKUP($C$7,'EPA Regional Contact Info'!$A$5:$N$49,5,FALSE)</f>
        <v>214-665-7340</v>
      </c>
      <c r="E17" s="120" t="s">
        <v>338</v>
      </c>
    </row>
    <row r="18" spans="2:5" x14ac:dyDescent="0.25">
      <c r="B18" s="177" t="s">
        <v>342</v>
      </c>
      <c r="C18" s="192" t="str">
        <f>VLOOKUP($C$7,'EPA Regional Contact Info'!$A$5:$N$49,6,FALSE)</f>
        <v>braganza.bonnie@epa.gov</v>
      </c>
      <c r="E18" s="95"/>
    </row>
    <row r="19" spans="2:5" x14ac:dyDescent="0.25">
      <c r="B19" s="177" t="s">
        <v>343</v>
      </c>
      <c r="C19" s="192" t="str">
        <f>VLOOKUP($C$7,'EPA Regional Contact Info'!$A$5:$N$49,7,FALSE)</f>
        <v>None</v>
      </c>
    </row>
    <row r="20" spans="2:5" x14ac:dyDescent="0.25">
      <c r="B20" s="177" t="s">
        <v>344</v>
      </c>
      <c r="C20" s="192" t="str">
        <f>IF(VLOOKUP($C$7,'EPA Regional Contact Info'!$A$5:$N$49,8,FALSE)=0,"",VLOOKUP($C$7,'EPA Regional Contact Info'!$A$5:$N$49,8,FALSE))</f>
        <v/>
      </c>
      <c r="E20" s="58" t="s">
        <v>95</v>
      </c>
    </row>
    <row r="21" spans="2:5" x14ac:dyDescent="0.25">
      <c r="B21" s="177" t="s">
        <v>345</v>
      </c>
      <c r="C21" s="192" t="str">
        <f>IF(VLOOKUP($C$7,'EPA Regional Contact Info'!$A$5:$N$49,9,FALSE)=0,"",VLOOKUP($C$7,'EPA Regional Contact Info'!$A$5:$N$49,9,FALSE))</f>
        <v/>
      </c>
      <c r="E21" s="57" t="s">
        <v>80</v>
      </c>
    </row>
    <row r="22" spans="2:5" x14ac:dyDescent="0.25">
      <c r="B22" s="173" t="s">
        <v>6</v>
      </c>
      <c r="C22" s="193" t="str">
        <f>"U.S. Environmental Protection Agency Region "&amp;VLOOKUP($C$7,'EPA Regional Contact Info'!$A$5:$C$49,3,FALSE)</f>
        <v>U.S. Environmental Protection Agency Region 6</v>
      </c>
      <c r="E22" s="57" t="s">
        <v>79</v>
      </c>
    </row>
    <row r="23" spans="2:5" x14ac:dyDescent="0.25">
      <c r="B23" s="174"/>
      <c r="C23" s="194" t="str">
        <f>VLOOKUP($C$7,'EPA Regional Contact Info'!$A$5:$N$49,10,FALSE)</f>
        <v>1445 Ross Avenue, Suite 1200</v>
      </c>
      <c r="E23" s="17" t="s">
        <v>93</v>
      </c>
    </row>
    <row r="24" spans="2:5" x14ac:dyDescent="0.25">
      <c r="B24" s="174"/>
      <c r="C24" s="194" t="str">
        <f>VLOOKUP($C$7,'EPA Regional Contact Info'!$A$5:$N$49,11,FALSE)</f>
        <v>MC: 6PD</v>
      </c>
      <c r="E24" s="17" t="s">
        <v>94</v>
      </c>
    </row>
    <row r="25" spans="2:5" ht="13.8" thickBot="1" x14ac:dyDescent="0.3">
      <c r="B25" s="175"/>
      <c r="C25" s="195" t="str">
        <f>VLOOKUP($C$7,'EPA Regional Contact Info'!$A$5:$N$49,12,FALSE)&amp;", "&amp;VLOOKUP($C$7,'EPA Regional Contact Info'!$A$5:$N$49,13,FALSE)&amp;" "&amp;VLOOKUP($C$7,'EPA Regional Contact Info'!$A$5:$N$49,14,FALSE)</f>
        <v>Dallas, TX 75202-2733</v>
      </c>
    </row>
    <row r="26" spans="2:5" ht="13.8" thickBot="1" x14ac:dyDescent="0.3">
      <c r="B26" s="123"/>
      <c r="C26" s="124"/>
      <c r="E26" s="58" t="s">
        <v>90</v>
      </c>
    </row>
    <row r="27" spans="2:5" ht="13.8" thickBot="1" x14ac:dyDescent="0.3">
      <c r="B27" s="386" t="s">
        <v>42</v>
      </c>
      <c r="C27" s="387"/>
      <c r="E27" s="17" t="s">
        <v>91</v>
      </c>
    </row>
    <row r="28" spans="2:5" ht="15" customHeight="1" x14ac:dyDescent="0.25">
      <c r="B28" s="178" t="s">
        <v>83</v>
      </c>
      <c r="C28" s="182" t="s">
        <v>10</v>
      </c>
      <c r="E28" s="17" t="s">
        <v>92</v>
      </c>
    </row>
    <row r="29" spans="2:5" x14ac:dyDescent="0.25">
      <c r="B29" s="179"/>
      <c r="C29" s="183"/>
    </row>
    <row r="30" spans="2:5" x14ac:dyDescent="0.25">
      <c r="B30" s="179" t="s">
        <v>339</v>
      </c>
      <c r="C30" s="167" t="s">
        <v>10</v>
      </c>
      <c r="E30" s="58" t="s">
        <v>97</v>
      </c>
    </row>
    <row r="31" spans="2:5" x14ac:dyDescent="0.25">
      <c r="B31" s="180"/>
      <c r="C31" s="184"/>
      <c r="E31" s="17" t="s">
        <v>117</v>
      </c>
    </row>
    <row r="32" spans="2:5" ht="15.6" x14ac:dyDescent="0.25">
      <c r="B32" s="179" t="s">
        <v>84</v>
      </c>
      <c r="C32" s="167" t="s">
        <v>10</v>
      </c>
      <c r="E32" s="17" t="s">
        <v>105</v>
      </c>
    </row>
    <row r="33" spans="2:5" x14ac:dyDescent="0.25">
      <c r="B33" s="180"/>
      <c r="C33" s="184"/>
      <c r="E33" s="17" t="s">
        <v>107</v>
      </c>
    </row>
    <row r="34" spans="2:5" ht="15.6" x14ac:dyDescent="0.25">
      <c r="B34" s="179" t="s">
        <v>55</v>
      </c>
      <c r="C34" s="167" t="s">
        <v>10</v>
      </c>
      <c r="E34" s="17" t="s">
        <v>109</v>
      </c>
    </row>
    <row r="35" spans="2:5" x14ac:dyDescent="0.25">
      <c r="B35" s="180"/>
      <c r="C35" s="184"/>
      <c r="E35" s="17" t="s">
        <v>111</v>
      </c>
    </row>
    <row r="36" spans="2:5" ht="15.6" x14ac:dyDescent="0.25">
      <c r="B36" s="179" t="s">
        <v>389</v>
      </c>
      <c r="C36" s="167" t="s">
        <v>10</v>
      </c>
      <c r="E36" s="17" t="s">
        <v>112</v>
      </c>
    </row>
    <row r="37" spans="2:5" ht="13.8" thickBot="1" x14ac:dyDescent="0.3">
      <c r="B37" s="181"/>
      <c r="C37" s="185"/>
      <c r="E37" s="17" t="s">
        <v>114</v>
      </c>
    </row>
    <row r="38" spans="2:5" ht="18" customHeight="1" thickBot="1" x14ac:dyDescent="0.3">
      <c r="B38" s="14"/>
      <c r="C38" s="14"/>
      <c r="E38" s="17" t="s">
        <v>116</v>
      </c>
    </row>
    <row r="39" spans="2:5" ht="16.5" customHeight="1" thickBot="1" x14ac:dyDescent="0.3">
      <c r="B39" s="386" t="s">
        <v>70</v>
      </c>
      <c r="C39" s="387"/>
      <c r="E39" s="17" t="s">
        <v>467</v>
      </c>
    </row>
    <row r="40" spans="2:5" ht="45.75" customHeight="1" thickBot="1" x14ac:dyDescent="0.3">
      <c r="B40" s="380" t="s">
        <v>496</v>
      </c>
      <c r="C40" s="390"/>
    </row>
    <row r="41" spans="2:5" ht="29.25" customHeight="1" x14ac:dyDescent="0.25">
      <c r="B41" s="262" t="s">
        <v>449</v>
      </c>
      <c r="C41" s="163" t="s">
        <v>80</v>
      </c>
      <c r="E41" s="58" t="s">
        <v>443</v>
      </c>
    </row>
    <row r="42" spans="2:5" ht="14.25" customHeight="1" x14ac:dyDescent="0.25">
      <c r="B42" s="128" t="s">
        <v>450</v>
      </c>
      <c r="C42" s="164" t="s">
        <v>93</v>
      </c>
      <c r="E42" s="275" t="str">
        <f>'EPA Regional Contact Info'!A5</f>
        <v>Alabama</v>
      </c>
    </row>
    <row r="43" spans="2:5" ht="27" customHeight="1" x14ac:dyDescent="0.25">
      <c r="B43" s="129" t="s">
        <v>407</v>
      </c>
      <c r="C43" s="165">
        <v>0</v>
      </c>
      <c r="E43" s="275" t="str">
        <f>'EPA Regional Contact Info'!A6</f>
        <v>Alaska</v>
      </c>
    </row>
    <row r="44" spans="2:5" ht="28.5" customHeight="1" x14ac:dyDescent="0.25">
      <c r="B44" s="130" t="s">
        <v>497</v>
      </c>
      <c r="C44" s="166">
        <v>0</v>
      </c>
      <c r="E44" s="275" t="str">
        <f>'EPA Regional Contact Info'!A7</f>
        <v>Arizona</v>
      </c>
    </row>
    <row r="45" spans="2:5" ht="27.75" customHeight="1" x14ac:dyDescent="0.25">
      <c r="B45" s="130" t="s">
        <v>408</v>
      </c>
      <c r="C45" s="167">
        <v>0</v>
      </c>
      <c r="E45" s="275" t="str">
        <f>'EPA Regional Contact Info'!A8</f>
        <v>Arkansas</v>
      </c>
    </row>
    <row r="46" spans="2:5" ht="27.75" customHeight="1" x14ac:dyDescent="0.25">
      <c r="B46" s="158" t="s">
        <v>487</v>
      </c>
      <c r="C46" s="294">
        <v>0</v>
      </c>
      <c r="D46" s="28"/>
      <c r="E46" s="275" t="str">
        <f>'EPA Regional Contact Info'!A9</f>
        <v>California</v>
      </c>
    </row>
    <row r="47" spans="2:5" ht="27" customHeight="1" x14ac:dyDescent="0.25">
      <c r="B47" s="158" t="s">
        <v>498</v>
      </c>
      <c r="C47" s="309">
        <f>IF(C46=0,3.5,C46)</f>
        <v>3.5</v>
      </c>
      <c r="D47" s="28"/>
      <c r="E47" s="275" t="str">
        <f>'EPA Regional Contact Info'!A10</f>
        <v>Colorado</v>
      </c>
    </row>
    <row r="48" spans="2:5" ht="25.5" customHeight="1" x14ac:dyDescent="0.25">
      <c r="B48" s="158" t="s">
        <v>460</v>
      </c>
      <c r="C48" s="167">
        <v>0</v>
      </c>
      <c r="E48" s="275" t="str">
        <f>'EPA Regional Contact Info'!A11</f>
        <v>Connecticut</v>
      </c>
    </row>
    <row r="49" spans="2:5" ht="18" customHeight="1" thickBot="1" x14ac:dyDescent="0.3">
      <c r="B49" s="159" t="s">
        <v>409</v>
      </c>
      <c r="C49" s="168">
        <v>0</v>
      </c>
      <c r="E49" s="275" t="str">
        <f>'EPA Regional Contact Info'!A12</f>
        <v>Florida</v>
      </c>
    </row>
    <row r="50" spans="2:5" ht="17.25" customHeight="1" thickBot="1" x14ac:dyDescent="0.3">
      <c r="B50" s="160"/>
      <c r="C50" s="161"/>
      <c r="E50" s="275" t="str">
        <f>'EPA Regional Contact Info'!A13</f>
        <v>Georgia</v>
      </c>
    </row>
    <row r="51" spans="2:5" ht="14.25" customHeight="1" thickBot="1" x14ac:dyDescent="0.3">
      <c r="B51" s="386" t="s">
        <v>71</v>
      </c>
      <c r="C51" s="387"/>
      <c r="E51" s="275" t="str">
        <f>'EPA Regional Contact Info'!A14</f>
        <v>Hawaii</v>
      </c>
    </row>
    <row r="52" spans="2:5" ht="14.25" customHeight="1" x14ac:dyDescent="0.25">
      <c r="B52" s="382" t="s">
        <v>410</v>
      </c>
      <c r="C52" s="383"/>
      <c r="E52" s="275" t="str">
        <f>'EPA Regional Contact Info'!A15</f>
        <v>Idaho</v>
      </c>
    </row>
    <row r="53" spans="2:5" ht="12.75" customHeight="1" x14ac:dyDescent="0.25">
      <c r="B53" s="131" t="s">
        <v>72</v>
      </c>
      <c r="C53" s="167">
        <v>5</v>
      </c>
      <c r="E53" s="275" t="str">
        <f>'EPA Regional Contact Info'!A16</f>
        <v>Illinois</v>
      </c>
    </row>
    <row r="54" spans="2:5" ht="12.75" customHeight="1" x14ac:dyDescent="0.25">
      <c r="B54" s="131" t="s">
        <v>73</v>
      </c>
      <c r="C54" s="167">
        <v>0</v>
      </c>
      <c r="E54" s="275" t="str">
        <f>'EPA Regional Contact Info'!A17</f>
        <v>Indiana</v>
      </c>
    </row>
    <row r="55" spans="2:5" ht="12.75" customHeight="1" x14ac:dyDescent="0.25">
      <c r="B55" s="131" t="s">
        <v>74</v>
      </c>
      <c r="C55" s="167">
        <v>30</v>
      </c>
      <c r="E55" s="275" t="str">
        <f>'EPA Regional Contact Info'!A18</f>
        <v>Iowa</v>
      </c>
    </row>
    <row r="56" spans="2:5" ht="14.25" customHeight="1" x14ac:dyDescent="0.25">
      <c r="B56" s="131" t="s">
        <v>75</v>
      </c>
      <c r="C56" s="167">
        <v>30</v>
      </c>
      <c r="E56" s="275" t="str">
        <f>'EPA Regional Contact Info'!A19</f>
        <v>Kansas</v>
      </c>
    </row>
    <row r="57" spans="2:5" ht="15.75" customHeight="1" x14ac:dyDescent="0.25">
      <c r="B57" s="131" t="s">
        <v>76</v>
      </c>
      <c r="C57" s="167">
        <v>0</v>
      </c>
      <c r="E57" s="275" t="str">
        <f>'EPA Regional Contact Info'!A20</f>
        <v>Kentucky</v>
      </c>
    </row>
    <row r="58" spans="2:5" ht="15.75" customHeight="1" x14ac:dyDescent="0.25">
      <c r="B58" s="131" t="s">
        <v>77</v>
      </c>
      <c r="C58" s="167">
        <v>10</v>
      </c>
      <c r="E58" s="275" t="str">
        <f>'EPA Regional Contact Info'!A21</f>
        <v>Louisiana</v>
      </c>
    </row>
    <row r="59" spans="2:5" ht="15.75" customHeight="1" thickBot="1" x14ac:dyDescent="0.3">
      <c r="B59" s="132" t="s">
        <v>78</v>
      </c>
      <c r="C59" s="169">
        <v>25</v>
      </c>
      <c r="E59" s="275" t="str">
        <f>'EPA Regional Contact Info'!A22</f>
        <v>Maine</v>
      </c>
    </row>
    <row r="60" spans="2:5" ht="21.75" customHeight="1" thickBot="1" x14ac:dyDescent="0.3">
      <c r="B60" s="134" t="s">
        <v>346</v>
      </c>
      <c r="C60" s="136">
        <f>SUM(C53:C59)</f>
        <v>100</v>
      </c>
      <c r="E60" s="275" t="str">
        <f>'EPA Regional Contact Info'!A23</f>
        <v>Massachusetts</v>
      </c>
    </row>
    <row r="61" spans="2:5" ht="13.5" customHeight="1" thickBot="1" x14ac:dyDescent="0.3">
      <c r="B61" s="14"/>
      <c r="C61" s="133" t="str">
        <f>(IF(SUM(C53:C59)=100,"","WARNING: Total percentage must equal 100"))</f>
        <v/>
      </c>
      <c r="E61" s="275" t="str">
        <f>'EPA Regional Contact Info'!A24</f>
        <v>Michigan</v>
      </c>
    </row>
    <row r="62" spans="2:5" ht="14.25" customHeight="1" thickBot="1" x14ac:dyDescent="0.3">
      <c r="B62" s="335" t="s">
        <v>96</v>
      </c>
      <c r="C62" s="337"/>
      <c r="E62" s="275" t="str">
        <f>'EPA Regional Contact Info'!A25</f>
        <v>Minnesota</v>
      </c>
    </row>
    <row r="63" spans="2:5" ht="57" customHeight="1" thickBot="1" x14ac:dyDescent="0.3">
      <c r="B63" s="380" t="s">
        <v>506</v>
      </c>
      <c r="C63" s="381"/>
      <c r="E63" s="275" t="str">
        <f>'EPA Regional Contact Info'!A26</f>
        <v>Mississippi</v>
      </c>
    </row>
    <row r="64" spans="2:5" ht="14.25" customHeight="1" x14ac:dyDescent="0.25">
      <c r="B64" s="263" t="s">
        <v>411</v>
      </c>
      <c r="C64" s="170" t="s">
        <v>92</v>
      </c>
      <c r="E64" s="275" t="str">
        <f>'EPA Regional Contact Info'!A27</f>
        <v>Missouri</v>
      </c>
    </row>
    <row r="65" spans="2:5" ht="21.75" customHeight="1" x14ac:dyDescent="0.25">
      <c r="B65" s="135" t="s">
        <v>412</v>
      </c>
      <c r="C65" s="167" t="s">
        <v>92</v>
      </c>
      <c r="E65" s="275" t="str">
        <f>'EPA Regional Contact Info'!A28</f>
        <v>Montana</v>
      </c>
    </row>
    <row r="66" spans="2:5" ht="21.75" customHeight="1" x14ac:dyDescent="0.25">
      <c r="B66" s="131" t="s">
        <v>413</v>
      </c>
      <c r="C66" s="167">
        <v>0</v>
      </c>
      <c r="E66" s="275" t="str">
        <f>'EPA Regional Contact Info'!A29</f>
        <v>Nebraska</v>
      </c>
    </row>
    <row r="67" spans="2:5" ht="24" customHeight="1" x14ac:dyDescent="0.25">
      <c r="B67" s="131" t="s">
        <v>414</v>
      </c>
      <c r="C67" s="167" t="s">
        <v>105</v>
      </c>
      <c r="D67" s="28"/>
      <c r="E67" s="275" t="str">
        <f>'EPA Regional Contact Info'!A30</f>
        <v>Nevada</v>
      </c>
    </row>
    <row r="68" spans="2:5" ht="20.25" customHeight="1" x14ac:dyDescent="0.25">
      <c r="B68" s="131" t="str">
        <f>IF(OR(Boiler_Fuel="Coal - Bituminous",Boiler_Fuel="Coal - Subbituminous",Boiler_Fuel="Wood Waste"),"How much fuel was combusted in the boiler in 2012? (tons)",IF(Boiler_Fuel="Natural Gas","How much fuel was combusted in the boiler in 2012? (MMscf)","How much fuel was combusted in the boiler in 2012? (1000 gal)"))</f>
        <v>How much fuel was combusted in the boiler in 2012? (tons)</v>
      </c>
      <c r="C68" s="301">
        <v>0</v>
      </c>
      <c r="D68" s="28"/>
      <c r="E68" s="275" t="str">
        <f>'EPA Regional Contact Info'!A31</f>
        <v>New Hampshire</v>
      </c>
    </row>
    <row r="69" spans="2:5" ht="27" customHeight="1" x14ac:dyDescent="0.25">
      <c r="B69" s="137" t="s">
        <v>415</v>
      </c>
      <c r="C69" s="167">
        <v>0</v>
      </c>
      <c r="E69" s="275" t="str">
        <f>'EPA Regional Contact Info'!A32</f>
        <v>New Jersey</v>
      </c>
    </row>
    <row r="70" spans="2:5" ht="15.75" customHeight="1" x14ac:dyDescent="0.25">
      <c r="B70" s="137" t="s">
        <v>484</v>
      </c>
      <c r="C70" s="310">
        <f>IF(Boiler_Sulfur_Content=0,VLOOKUP(Boiler_Fuel,'Additional References'!$B$14:$C$19,2,FALSE),Boiler_Sulfur_Content)</f>
        <v>1</v>
      </c>
      <c r="E70" s="275" t="str">
        <f>'EPA Regional Contact Info'!A33</f>
        <v>New Mexico</v>
      </c>
    </row>
    <row r="71" spans="2:5" ht="21" customHeight="1" x14ac:dyDescent="0.25">
      <c r="B71" s="135" t="s">
        <v>416</v>
      </c>
      <c r="C71" s="167" t="s">
        <v>92</v>
      </c>
      <c r="E71" s="275" t="str">
        <f>'EPA Regional Contact Info'!A34</f>
        <v>New York</v>
      </c>
    </row>
    <row r="72" spans="2:5" ht="22.5" customHeight="1" x14ac:dyDescent="0.25">
      <c r="B72" s="131" t="s">
        <v>417</v>
      </c>
      <c r="C72" s="167">
        <v>0</v>
      </c>
      <c r="E72" s="275" t="str">
        <f>'EPA Regional Contact Info'!A35</f>
        <v>North Carolina</v>
      </c>
    </row>
    <row r="73" spans="2:5" ht="21" customHeight="1" x14ac:dyDescent="0.25">
      <c r="B73" s="131" t="s">
        <v>418</v>
      </c>
      <c r="C73" s="167" t="s">
        <v>105</v>
      </c>
      <c r="E73" s="275" t="str">
        <f>'EPA Regional Contact Info'!A36</f>
        <v>North Dakota</v>
      </c>
    </row>
    <row r="74" spans="2:5" ht="21.75" customHeight="1" x14ac:dyDescent="0.25">
      <c r="B74" s="131" t="str">
        <f>IF(OR(Furnace_Fuel="Coal - Bituminous",Furnace_Fuel="Coal - Subbituminous",Furnace_Fuel="Wood Waste"),"How much fuel was combusted in the furnace in 2012? (tons)",IF(Furnace_Fuel="Natural Gas","How much fuel was combusted in the furnace in 2012? (MMscf)","How much fuel was combusted in the furnace in 2012? (1000 gal)"))</f>
        <v>How much fuel was combusted in the furnace in 2012? (tons)</v>
      </c>
      <c r="C74" s="302">
        <v>0</v>
      </c>
      <c r="E74" s="275" t="str">
        <f>'EPA Regional Contact Info'!A37</f>
        <v>Ohio</v>
      </c>
    </row>
    <row r="75" spans="2:5" ht="32.25" customHeight="1" x14ac:dyDescent="0.25">
      <c r="B75" s="137" t="s">
        <v>419</v>
      </c>
      <c r="C75" s="167">
        <v>0</v>
      </c>
      <c r="E75" s="275" t="str">
        <f>'EPA Regional Contact Info'!A38</f>
        <v>Oklahoma</v>
      </c>
    </row>
    <row r="76" spans="2:5" ht="27" customHeight="1" thickBot="1" x14ac:dyDescent="0.3">
      <c r="B76" s="303" t="s">
        <v>485</v>
      </c>
      <c r="C76" s="311">
        <f>IF(Furnace_Fuel="electricity",0,IF(Furnace_Sulfur_Content=0,VLOOKUP(Furnace_Fuel,'Additional References'!$B$14:$C$19,2,FALSE),Furnace_Sulfur_Content))</f>
        <v>1</v>
      </c>
      <c r="E76" s="275" t="str">
        <f>'EPA Regional Contact Info'!A39</f>
        <v>Oregon</v>
      </c>
    </row>
    <row r="77" spans="2:5" ht="17.25" customHeight="1" x14ac:dyDescent="0.25">
      <c r="E77" s="275" t="str">
        <f>'EPA Regional Contact Info'!A40</f>
        <v>Rhode Island</v>
      </c>
    </row>
    <row r="78" spans="2:5" ht="18.75" customHeight="1" x14ac:dyDescent="0.25">
      <c r="E78" s="275" t="str">
        <f>'EPA Regional Contact Info'!A41</f>
        <v>South Carolina</v>
      </c>
    </row>
    <row r="79" spans="2:5" ht="12.75" customHeight="1" x14ac:dyDescent="0.25">
      <c r="E79" s="275" t="str">
        <f>'EPA Regional Contact Info'!A42</f>
        <v>South Dakota</v>
      </c>
    </row>
    <row r="80" spans="2:5" ht="12.75" customHeight="1" x14ac:dyDescent="0.25">
      <c r="E80" s="275" t="str">
        <f>'EPA Regional Contact Info'!A43</f>
        <v>Tennessee</v>
      </c>
    </row>
    <row r="81" spans="4:5" ht="12.75" customHeight="1" x14ac:dyDescent="0.25">
      <c r="E81" s="275" t="str">
        <f>'EPA Regional Contact Info'!A44</f>
        <v>Texas</v>
      </c>
    </row>
    <row r="82" spans="4:5" ht="12.75" customHeight="1" x14ac:dyDescent="0.25">
      <c r="E82" s="275" t="str">
        <f>'EPA Regional Contact Info'!A45</f>
        <v>Utah</v>
      </c>
    </row>
    <row r="83" spans="4:5" ht="27" customHeight="1" x14ac:dyDescent="0.25">
      <c r="E83" s="275" t="str">
        <f>'EPA Regional Contact Info'!A46</f>
        <v>Vermont</v>
      </c>
    </row>
    <row r="84" spans="4:5" ht="27" customHeight="1" x14ac:dyDescent="0.25">
      <c r="E84" s="275" t="str">
        <f>'EPA Regional Contact Info'!A47</f>
        <v>Washington</v>
      </c>
    </row>
    <row r="85" spans="4:5" ht="24.75" customHeight="1" x14ac:dyDescent="0.25">
      <c r="E85" s="275" t="str">
        <f>'EPA Regional Contact Info'!A48</f>
        <v>Wisconsin</v>
      </c>
    </row>
    <row r="86" spans="4:5" ht="14.25" customHeight="1" x14ac:dyDescent="0.25">
      <c r="E86" s="275" t="str">
        <f>'EPA Regional Contact Info'!A49</f>
        <v>Wyoming</v>
      </c>
    </row>
    <row r="87" spans="4:5" ht="12.75" customHeight="1" x14ac:dyDescent="0.25"/>
    <row r="88" spans="4:5" ht="12.75" customHeight="1" x14ac:dyDescent="0.25"/>
    <row r="89" spans="4:5" ht="12.75" customHeight="1" x14ac:dyDescent="0.25">
      <c r="D89" s="162"/>
    </row>
    <row r="90" spans="4:5" ht="12.75" customHeight="1" x14ac:dyDescent="0.25">
      <c r="D90" s="162"/>
    </row>
    <row r="91" spans="4:5" ht="12.75" customHeight="1" x14ac:dyDescent="0.25">
      <c r="D91" s="162"/>
    </row>
    <row r="92" spans="4:5" x14ac:dyDescent="0.25">
      <c r="D92" s="162"/>
    </row>
    <row r="93" spans="4:5" x14ac:dyDescent="0.25">
      <c r="D93" s="162"/>
    </row>
    <row r="94" spans="4:5" x14ac:dyDescent="0.25">
      <c r="D94" s="162"/>
    </row>
    <row r="95" spans="4:5" ht="12.75" customHeight="1" x14ac:dyDescent="0.25"/>
  </sheetData>
  <sheetProtection password="C969" sheet="1" objects="1" scenarios="1"/>
  <dataConsolidate/>
  <mergeCells count="10">
    <mergeCell ref="B63:C63"/>
    <mergeCell ref="B62:C62"/>
    <mergeCell ref="B52:C52"/>
    <mergeCell ref="B3:C3"/>
    <mergeCell ref="B10:C10"/>
    <mergeCell ref="B27:C27"/>
    <mergeCell ref="B39:C39"/>
    <mergeCell ref="B51:C51"/>
    <mergeCell ref="B15:C15"/>
    <mergeCell ref="B40:C40"/>
  </mergeCells>
  <conditionalFormatting sqref="B66:C70">
    <cfRule type="expression" dxfId="19" priority="17">
      <formula>$C$65="No"</formula>
    </cfRule>
  </conditionalFormatting>
  <conditionalFormatting sqref="B72:C73 B75:C76 C74">
    <cfRule type="expression" dxfId="18" priority="16">
      <formula>$C$71="No"</formula>
    </cfRule>
  </conditionalFormatting>
  <conditionalFormatting sqref="B69:C70">
    <cfRule type="expression" dxfId="17" priority="5">
      <formula>$C$67="Wood Waste"</formula>
    </cfRule>
    <cfRule type="expression" dxfId="16" priority="11">
      <formula>$C$67="LPG"</formula>
    </cfRule>
    <cfRule type="expression" dxfId="15" priority="12">
      <formula>$C$67="Natural Gas"</formula>
    </cfRule>
  </conditionalFormatting>
  <conditionalFormatting sqref="B75:C76">
    <cfRule type="expression" dxfId="14" priority="2">
      <formula>$C$73="electricity"</formula>
    </cfRule>
    <cfRule type="expression" dxfId="13" priority="4">
      <formula>$C$73="Wood Waste"</formula>
    </cfRule>
    <cfRule type="expression" dxfId="12" priority="7">
      <formula>$C$73="LPG"</formula>
    </cfRule>
    <cfRule type="expression" dxfId="11" priority="8">
      <formula>$C$73="Natural Gas"</formula>
    </cfRule>
  </conditionalFormatting>
  <conditionalFormatting sqref="B74">
    <cfRule type="expression" dxfId="10" priority="1">
      <formula>$C$71="No"</formula>
    </cfRule>
  </conditionalFormatting>
  <dataValidations xWindow="733" yWindow="480" count="35">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sqref="C36">
      <formula1>SO2_PM25_Attainment_List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decimal" allowBlank="1" showInputMessage="1" showErrorMessage="1" error="Wood waste from sanding must be a percent value between 0 and 100." sqref="C60">
      <formula1>0</formula1>
      <formula2>100</formula2>
    </dataValidation>
    <dataValidation type="list" allowBlank="1" showInputMessage="1" showErrorMessage="1" prompt="Use the drop down list to select whether your facility primarily processed dry or green (fresh) wood in 2012. " sqref="C41">
      <formula1>Dry_Green_Wood</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list" allowBlank="1" showInputMessage="1" showErrorMessage="1" prompt="Use the drop down list to select whether your facility primarily processed hard or soft wood in 2012." sqref="C42">
      <formula1>Hard_Soft_Wood</formula1>
    </dataValidation>
    <dataValidation type="list" allowBlank="1" showInputMessage="1" showErrorMessage="1" prompt="Use the drop down list to indicate whether or not your facility used a furnace for heating in 2012." sqref="C71">
      <formula1>Yes_No</formula1>
    </dataValidation>
    <dataValidation type="list" allowBlank="1" showInputMessage="1" showErrorMessage="1" prompt="Select the primary fuel used for your furnace in 2012. If you used more than one fuel for your furnace, select the fuel that was most frequently used." sqref="C73">
      <formula1>Furnace_Fuel_Types</formula1>
    </dataValidation>
    <dataValidation type="decimal" allowBlank="1" showInputMessage="1" showErrorMessage="1" errorTitle="Value Out of Range" error="The sulfur content must be between 0 and 1.75 percent. The maximum allowable sulfur content of fuel combusted on Tribal lands is 1.75 percent. See 40 CFR 49.130(d)." prompt="Enter an estimate of the sulfur content of the primary fuel combusted in your boiler. If you do not have this information, enter 0. " sqref="C69">
      <formula1>0</formula1>
      <formula2>1.75</formula2>
    </dataValidation>
    <dataValidation type="decimal" allowBlank="1" showInputMessage="1" showErrorMessage="1" errorTitle="Value Out of Range" error="The sulfur content must be between 0 and 1.75 percent. The maximum allowable sulfur content of fuel combusted on Tribal lands is 1.75 percent. See 40 CFR 49.130(d)." prompt="Enter an estimate of the sulfur content of the primary fuel combusted in your furnace. If you do not have this information, enter 0. " sqref="C75">
      <formula1>0</formula1>
      <formula2>1.75</formula2>
    </dataValidation>
    <dataValidation allowBlank="1" showInputMessage="1" showErrorMessage="1" prompt="Enter an estimate of the average hourly volume of wood processed at your facility in 2012, in board-feet per hour. " sqref="C43"/>
    <dataValidation allowBlank="1" showInputMessage="1" showErrorMessage="1" prompt="Enter an estimate of the maximum hourly volume of wood that can be processed at your facility, in board-feet per hour. " sqref="C44"/>
    <dataValidation type="decimal" allowBlank="1" showInputMessage="1" showErrorMessage="1" errorTitle="Value Out of Range" error="The value entered must be between 0 and 168." prompt="Enter an estimate of the number of hours per week that your facility typically conducted wood processing operations in 2012." sqref="C45">
      <formula1>0</formula1>
      <formula2>168</formula2>
    </dataValidation>
    <dataValidation allowBlank="1" showInputMessage="1" showErrorMessage="1" prompt="Enter an estimate of the density of wood processed at your facility. If you are unsure of this information, leave the default density of 3.5 lb/ bd-ft." sqref="C46"/>
    <dataValidation type="decimal" allowBlank="1" showInputMessage="1" showErrorMessage="1" errorTitle="Value Out of Range" error="Value entered must be between 0 and 100." prompt="Enter an estimate of the percentage of total wood volume processed at your mill that became waste/byproduct in 2012." sqref="C48">
      <formula1>0</formula1>
      <formula2>100</formula2>
    </dataValidation>
    <dataValidation type="decimal" allowBlank="1" showInputMessage="1" showErrorMessage="1" errorTitle="Value Out of Range" error="Value entered must be between 0 and 100." prompt="Enter an estimate of the percentage of wood waste that was vented to ducts in 2012." sqref="C49">
      <formula1>0</formula1>
      <formula2>100</formula2>
    </dataValidation>
    <dataValidation type="list" allowBlank="1" showInputMessage="1" showErrorMessage="1" prompt="Use the drop down list to indicate whether or not your facility used a kiln to dry wood in 2012." sqref="C64">
      <formula1>Yes_No</formula1>
    </dataValidation>
    <dataValidation type="list" allowBlank="1" showInputMessage="1" showErrorMessage="1" prompt="Use the drop down list to indicate whether or not your facility used a boiler for heating in 2012." sqref="C65">
      <formula1>Yes_No</formula1>
    </dataValidation>
    <dataValidation allowBlank="1" showInputMessage="1" showErrorMessage="1" prompt="Enter the heat capacity of your boiler (expressed in MMBtu/hr of fuel input)." sqref="C66"/>
    <dataValidation type="list" allowBlank="1" showInputMessage="1" showErrorMessage="1" prompt="Select the primary fuel used for your boiler in 2012. If you used more than one fuel for your boiler, select the fuel that was most frequently used." sqref="C67">
      <formula1>Boiler_Fuel_Types</formula1>
    </dataValidation>
    <dataValidation type="decimal" allowBlank="1" showInputMessage="1" showErrorMessage="1" errorTitle="Total Exceeds 100 Percent" error="The total percentage of wood waste from all processes cannot exceed 100 percent." sqref="C59">
      <formula1>0</formula1>
      <formula2>100-(Planing_Waste_Percent+Shaving_Waste_Percent+Rough_Sawing_Waste_Percent+Fine_Sawing_Waste_Percent+Milling_Waste_Percent+Molding_Waste_Percent)</formula2>
    </dataValidation>
    <dataValidation type="decimal" allowBlank="1" showInputMessage="1" showErrorMessage="1" errorTitle="Total Exceeds 100 Percent" error="The total percentage of wood waste from all processes cannot exceed 100 percent." sqref="C58">
      <formula1>0</formula1>
      <formula2>100-(Planing_Waste_Percent+Shaving_Waste_Percent+Rough_Sawing_Waste_Percent+Fine_Sawing_Waste_Percent+Milling_Waste_Percent+Sanding_Waste_Percent)</formula2>
    </dataValidation>
    <dataValidation type="decimal" allowBlank="1" showInputMessage="1" showErrorMessage="1" errorTitle="Total Exceeds 100 Percent" error="The total percentage of wood waste from all processes cannot exceed 100 percent." sqref="C53">
      <formula1>0</formula1>
      <formula2>100-(Shaving_Waste_Percent+Rough_Sawing_Waste_Percent+Fine_Sawing_Waste_Percent+Milling_Waste_Percent+Molding_Waste_Percent+Sanding_Waste_Percent)</formula2>
    </dataValidation>
    <dataValidation type="decimal" allowBlank="1" showInputMessage="1" showErrorMessage="1" errorTitle="Total Exceeds 100 Percent" error="The total percentage of wood waste from all processes cannot exceed 100 percent." sqref="C54">
      <formula1>0</formula1>
      <formula2>100-(Planing_Waste_Percent+Rough_Sawing_Waste_Percent+Fine_Sawing_Waste_Percent+Milling_Waste_Percent+Molding_Waste_Percent+Sanding_Waste_Percent)</formula2>
    </dataValidation>
    <dataValidation type="decimal" allowBlank="1" showInputMessage="1" showErrorMessage="1" errorTitle="Total Exceeds 100 Percent" error="The total percentage of wood waste from all processes cannot exceed 100 percent." sqref="C55">
      <formula1>0</formula1>
      <formula2>100-(Planing_Waste_Percent+Shaving_Waste_Percent+Fine_Sawing_Waste_Percent+Milling_Waste_Percent+Molding_Waste_Percent+Sanding_Waste_Percent)</formula2>
    </dataValidation>
    <dataValidation type="decimal" allowBlank="1" showInputMessage="1" showErrorMessage="1" errorTitle="Total Exceeds 100 Percent" error="The total percentage of wood waste from all processes cannot exceed 100 percent." sqref="C56">
      <formula1>0</formula1>
      <formula2>100-(Planing_Waste_Percent+Shaving_Waste_Percent+Rough_Sawing_Waste_Percent+Milling_Waste_Percent+Molding_Waste_Percent+Sanding_Waste_Percent)</formula2>
    </dataValidation>
    <dataValidation type="decimal" allowBlank="1" showInputMessage="1" showErrorMessage="1" errorTitle="Total Exceeds 100 Percent" error="The total percentage of wood waste from all processes cannot exceed 100 percent." sqref="C57">
      <formula1>0</formula1>
      <formula2>100-(Planing_Waste_Percent+Shaving_Waste_Percent+Rough_Sawing_Waste_Percent+Fine_Sawing_Waste_Percent+Molding_Waste_Percent+Sanding_Waste_Percent)</formula2>
    </dataValidation>
    <dataValidation allowBlank="1" showInputMessage="1" showErrorMessage="1" prompt="Enter the heat capacity of your furnace. (expressed in MMBtu/hr)" sqref="C72"/>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allowBlank="1" showInputMessage="1" showErrorMessage="1" prompt="Enter the quantity of fuel combusted in 2012. The units should match those provided in cell B74._x000a__x000a_MMscf = million standard cubic feet_x000a_1000 gal = thousand gallons_x000a__x000a_For example, if your facility combusted 2,000 gallons of distillate oil in 2012, enter 2." sqref="C74"/>
    <dataValidation allowBlank="1" showInputMessage="1" showErrorMessage="1" prompt="Enter the quantity of fuel combusted in 2012. The units should match those provided in cell B68._x000a__x000a_MMscf = million standard cubic feet_x000a_1000 gal = thousand gallons_x000a__x000a_For example, if your facility combusted 2,000 gallons of distillate oil in 2012, enter 2." sqref="C68"/>
    <dataValidation allowBlank="1" showInputMessage="1" showErrorMessage="1" prompt="Average density of wood processed at your mill in calendar year 2012 (lb/bd-ft). If 0 is entered in the field above, a default value of 3.50 lb/bd-ft will be used to estimate emissions." sqref="C47"/>
    <dataValidation type="decimal" allowBlank="1" showInputMessage="1" showErrorMessage="1" error="Sulfur content must be a percentage between 0 and 100." prompt="The sulfur content of the fuel that is used to calculate emissions in this calculator. If 0 is entered in the field above, a default value will be used to estimate emissions." sqref="C70 C76">
      <formula1>0</formula1>
      <formula2>100</formula2>
    </dataValidation>
  </dataValidations>
  <pageMargins left="0.7" right="0.7" top="0.75" bottom="0.75" header="0.3" footer="0.3"/>
  <pageSetup scale="94" orientation="landscape" r:id="rId1"/>
  <headerFooter>
    <oddFooter>&amp;LPage &amp;P of &amp;N&amp;C&amp;F&amp;RPrinted &amp;D</oddFooter>
  </headerFooter>
  <rowBreaks count="2" manualBreakCount="2">
    <brk id="38" max="2" man="1"/>
    <brk id="61" max="2" man="1"/>
  </rowBreaks>
  <ignoredErrors>
    <ignoredError sqref="C76 C70 C47 B7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2"/>
  <sheetViews>
    <sheetView showGridLines="0" zoomScaleNormal="100" workbookViewId="0"/>
  </sheetViews>
  <sheetFormatPr defaultColWidth="9.109375" defaultRowHeight="13.2" x14ac:dyDescent="0.25"/>
  <cols>
    <col min="1" max="1" width="2.5546875" style="95" customWidth="1"/>
    <col min="2" max="2" width="9.109375" style="95"/>
    <col min="3" max="3" width="28.109375" style="95" customWidth="1"/>
    <col min="4" max="9" width="13.5546875" style="95" customWidth="1"/>
    <col min="10" max="11" width="9.109375" style="95"/>
    <col min="12" max="12" width="47.6640625" style="95" hidden="1" customWidth="1"/>
    <col min="13" max="16384" width="9.109375" style="95"/>
  </cols>
  <sheetData>
    <row r="1" spans="2:12" ht="17.399999999999999" x14ac:dyDescent="0.3">
      <c r="B1" s="264" t="s">
        <v>420</v>
      </c>
    </row>
    <row r="2" spans="2:12" ht="13.8" thickBot="1" x14ac:dyDescent="0.3"/>
    <row r="3" spans="2:12" ht="13.8" thickBot="1" x14ac:dyDescent="0.3">
      <c r="B3" s="335" t="s">
        <v>466</v>
      </c>
      <c r="C3" s="336"/>
      <c r="D3" s="336"/>
      <c r="E3" s="336"/>
      <c r="F3" s="336"/>
      <c r="G3" s="336"/>
      <c r="H3" s="336"/>
      <c r="I3" s="337"/>
      <c r="L3" s="58" t="s">
        <v>468</v>
      </c>
    </row>
    <row r="4" spans="2:12" ht="41.25" customHeight="1" x14ac:dyDescent="0.25">
      <c r="B4" s="393" t="s">
        <v>483</v>
      </c>
      <c r="C4" s="394"/>
      <c r="D4" s="394"/>
      <c r="E4" s="394"/>
      <c r="F4" s="395" t="s">
        <v>189</v>
      </c>
      <c r="G4" s="395"/>
      <c r="H4" s="395"/>
      <c r="I4" s="396"/>
      <c r="L4" s="288" t="s">
        <v>472</v>
      </c>
    </row>
    <row r="5" spans="2:12" ht="15.6" x14ac:dyDescent="0.35">
      <c r="B5" s="397" t="s">
        <v>469</v>
      </c>
      <c r="C5" s="398"/>
      <c r="D5" s="398"/>
      <c r="E5" s="398"/>
      <c r="F5" s="399">
        <f>IF(F4="None",0,VLOOKUP(F4&amp;" PM10",'Additional References'!$A$21:$C$24,3,FALSE))</f>
        <v>0</v>
      </c>
      <c r="G5" s="399"/>
      <c r="H5" s="399"/>
      <c r="I5" s="400"/>
      <c r="L5" s="289" t="s">
        <v>473</v>
      </c>
    </row>
    <row r="6" spans="2:12" ht="16.2" thickBot="1" x14ac:dyDescent="0.4">
      <c r="B6" s="401" t="s">
        <v>501</v>
      </c>
      <c r="C6" s="402"/>
      <c r="D6" s="402"/>
      <c r="E6" s="403"/>
      <c r="F6" s="404">
        <f>IF(F4="None",0,VLOOKUP(F4&amp;" PM2.5",'Additional References'!$A$21:$C$24,3,FALSE))</f>
        <v>0</v>
      </c>
      <c r="G6" s="405"/>
      <c r="H6" s="405"/>
      <c r="I6" s="406"/>
      <c r="L6" s="289" t="s">
        <v>189</v>
      </c>
    </row>
    <row r="8" spans="2:12" ht="16.2" thickBot="1" x14ac:dyDescent="0.4">
      <c r="L8" s="58" t="s">
        <v>477</v>
      </c>
    </row>
    <row r="9" spans="2:12" ht="13.8" thickBot="1" x14ac:dyDescent="0.3">
      <c r="B9" s="290" t="s">
        <v>465</v>
      </c>
      <c r="C9" s="305"/>
      <c r="D9" s="306"/>
      <c r="E9" s="306"/>
      <c r="F9" s="306"/>
      <c r="G9" s="306"/>
      <c r="H9" s="306"/>
      <c r="I9" s="307"/>
      <c r="L9" s="293">
        <f>1-(F5/100)</f>
        <v>1</v>
      </c>
    </row>
    <row r="10" spans="2:12" ht="72.75" customHeight="1" thickBot="1" x14ac:dyDescent="0.3">
      <c r="B10" s="380" t="s">
        <v>503</v>
      </c>
      <c r="C10" s="407"/>
      <c r="D10" s="407"/>
      <c r="E10" s="407"/>
      <c r="F10" s="407"/>
      <c r="G10" s="407"/>
      <c r="H10" s="407"/>
      <c r="I10" s="408"/>
    </row>
    <row r="11" spans="2:12" ht="15.6" x14ac:dyDescent="0.35">
      <c r="B11" s="413"/>
      <c r="C11" s="414"/>
      <c r="D11" s="409" t="s">
        <v>471</v>
      </c>
      <c r="E11" s="409"/>
      <c r="F11" s="409"/>
      <c r="G11" s="409"/>
      <c r="H11" s="409"/>
      <c r="I11" s="410"/>
      <c r="L11" s="58" t="s">
        <v>478</v>
      </c>
    </row>
    <row r="12" spans="2:12" ht="15.6" x14ac:dyDescent="0.25">
      <c r="B12" s="415"/>
      <c r="C12" s="416"/>
      <c r="D12" s="286" t="s">
        <v>85</v>
      </c>
      <c r="E12" s="286" t="s">
        <v>88</v>
      </c>
      <c r="F12" s="286" t="s">
        <v>89</v>
      </c>
      <c r="G12" s="286" t="s">
        <v>86</v>
      </c>
      <c r="H12" s="286" t="s">
        <v>56</v>
      </c>
      <c r="I12" s="287" t="s">
        <v>57</v>
      </c>
      <c r="L12" s="293">
        <f>1-(F6/100)</f>
        <v>1</v>
      </c>
    </row>
    <row r="13" spans="2:12" ht="28.5" customHeight="1" x14ac:dyDescent="0.25">
      <c r="B13" s="411" t="s">
        <v>461</v>
      </c>
      <c r="C13" s="412"/>
      <c r="D13" s="312" t="s">
        <v>462</v>
      </c>
      <c r="E13" s="312" t="s">
        <v>462</v>
      </c>
      <c r="F13" s="312" t="s">
        <v>462</v>
      </c>
      <c r="G13" s="312" t="s">
        <v>462</v>
      </c>
      <c r="H13" s="312" t="s">
        <v>462</v>
      </c>
      <c r="I13" s="313" t="s">
        <v>462</v>
      </c>
    </row>
    <row r="14" spans="2:12" ht="13.8" thickBot="1" x14ac:dyDescent="0.3">
      <c r="B14" s="391" t="s">
        <v>470</v>
      </c>
      <c r="C14" s="392"/>
      <c r="D14" s="314">
        <v>0</v>
      </c>
      <c r="E14" s="314">
        <v>0</v>
      </c>
      <c r="F14" s="314">
        <v>0</v>
      </c>
      <c r="G14" s="314">
        <v>0</v>
      </c>
      <c r="H14" s="314">
        <v>0</v>
      </c>
      <c r="I14" s="16">
        <v>0</v>
      </c>
      <c r="L14" s="58" t="s">
        <v>463</v>
      </c>
    </row>
    <row r="15" spans="2:12" x14ac:dyDescent="0.25">
      <c r="L15" s="288" t="s">
        <v>462</v>
      </c>
    </row>
    <row r="16" spans="2:12" x14ac:dyDescent="0.25">
      <c r="L16" s="289" t="s">
        <v>464</v>
      </c>
    </row>
    <row r="17" spans="12:12" ht="15" customHeight="1" x14ac:dyDescent="0.25"/>
    <row r="18" spans="12:12" x14ac:dyDescent="0.25">
      <c r="L18" s="58" t="s">
        <v>490</v>
      </c>
    </row>
    <row r="19" spans="12:12" x14ac:dyDescent="0.25">
      <c r="L19" s="288">
        <f>Inputs!C68*VLOOKUP(Boiler_Fuel,'Fuel Energy Content'!$A$16:$B$23,2,FALSE)</f>
        <v>0</v>
      </c>
    </row>
    <row r="21" spans="12:12" x14ac:dyDescent="0.25">
      <c r="L21" s="58" t="s">
        <v>491</v>
      </c>
    </row>
    <row r="22" spans="12:12" x14ac:dyDescent="0.25">
      <c r="L22" s="288">
        <f>Inputs!C74*VLOOKUP(Furnace_Fuel,'Fuel Energy Content'!$A$16:$B$23,2,FALSE)</f>
        <v>0</v>
      </c>
    </row>
  </sheetData>
  <sheetProtection password="C969" sheet="1" objects="1" scenarios="1"/>
  <mergeCells count="12">
    <mergeCell ref="B14:C14"/>
    <mergeCell ref="B4:E4"/>
    <mergeCell ref="B3:I3"/>
    <mergeCell ref="F4:I4"/>
    <mergeCell ref="B5:E5"/>
    <mergeCell ref="F5:I5"/>
    <mergeCell ref="B6:E6"/>
    <mergeCell ref="F6:I6"/>
    <mergeCell ref="B10:I10"/>
    <mergeCell ref="D11:I11"/>
    <mergeCell ref="B13:C13"/>
    <mergeCell ref="B11:C12"/>
  </mergeCells>
  <conditionalFormatting sqref="B5:I6">
    <cfRule type="expression" dxfId="9" priority="1">
      <formula>$F$4="None"</formula>
    </cfRule>
  </conditionalFormatting>
  <conditionalFormatting sqref="D13:I14">
    <cfRule type="expression" dxfId="8" priority="2">
      <formula>Boiler_Used="No"</formula>
    </cfRule>
  </conditionalFormatting>
  <dataValidations count="4">
    <dataValidation type="list" allowBlank="1" showInputMessage="1" showErrorMessage="1" promptTitle="Emission Rate Units" prompt="If entering emissions rate data, select the emission rate units for the value being entered from the drop-down list." sqref="D13:I13">
      <formula1>Emission_Rate_Unit</formula1>
    </dataValidation>
    <dataValidation type="list" allowBlank="1" showInputMessage="1" showErrorMessage="1" promptTitle="PM Control Device" prompt="Select the particulate matter (PM) control device used on ductwork vents at your facility in 2012? If your facility did not have PM controls in 2012, select 'None.'" sqref="F4:I4">
      <formula1>PM_Control_List</formula1>
    </dataValidation>
    <dataValidation allowBlank="1" showInputMessage="1" showErrorMessage="1" promptTitle="PM10 Control Efficiency" prompt="Control efficiency based on PM control device selected above." sqref="F5:I5"/>
    <dataValidation allowBlank="1" showInputMessage="1" showErrorMessage="1" promptTitle="PM2.5 Control Efficiency" prompt="Control efficiency based on PM control device selected above." sqref="F6:I6"/>
  </dataValidations>
  <pageMargins left="0.7" right="0.7" top="0.75" bottom="0.75" header="0.3" footer="0.3"/>
  <pageSetup scale="85" orientation="landscape"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zoomScaleNormal="100" workbookViewId="0"/>
  </sheetViews>
  <sheetFormatPr defaultColWidth="9.109375" defaultRowHeight="13.2" x14ac:dyDescent="0.25"/>
  <cols>
    <col min="1" max="1" width="2.5546875" style="13" customWidth="1"/>
    <col min="2" max="2" width="21" style="13" customWidth="1"/>
    <col min="3" max="3" width="14.5546875" style="13" customWidth="1"/>
    <col min="4" max="4" width="14" style="13" customWidth="1"/>
    <col min="5" max="5" width="11.88671875" style="13" customWidth="1"/>
    <col min="6" max="6" width="14.5546875" style="13" customWidth="1"/>
    <col min="7" max="7" width="13.88671875" style="13" customWidth="1"/>
    <col min="8" max="8" width="13" style="13" customWidth="1"/>
    <col min="9" max="16384" width="9.109375" style="13"/>
  </cols>
  <sheetData>
    <row r="1" spans="2:8" ht="17.399999999999999" x14ac:dyDescent="0.3">
      <c r="B1" s="106" t="s">
        <v>152</v>
      </c>
    </row>
    <row r="2" spans="2:8" ht="13.8" thickBot="1" x14ac:dyDescent="0.3"/>
    <row r="3" spans="2:8" ht="13.8" thickBot="1" x14ac:dyDescent="0.3">
      <c r="B3" s="417" t="s">
        <v>431</v>
      </c>
      <c r="C3" s="418"/>
      <c r="D3" s="418"/>
      <c r="E3" s="418"/>
      <c r="F3" s="418"/>
      <c r="G3" s="418"/>
      <c r="H3" s="419"/>
    </row>
    <row r="4" spans="2:8" ht="16.2" thickBot="1" x14ac:dyDescent="0.4">
      <c r="B4" s="107" t="s">
        <v>153</v>
      </c>
      <c r="C4" s="148" t="s">
        <v>85</v>
      </c>
      <c r="D4" s="148" t="s">
        <v>88</v>
      </c>
      <c r="E4" s="148" t="s">
        <v>89</v>
      </c>
      <c r="F4" s="148" t="s">
        <v>86</v>
      </c>
      <c r="G4" s="149" t="s">
        <v>56</v>
      </c>
      <c r="H4" s="150" t="s">
        <v>57</v>
      </c>
    </row>
    <row r="5" spans="2:8" x14ac:dyDescent="0.25">
      <c r="B5" s="197" t="s">
        <v>72</v>
      </c>
      <c r="C5" s="198">
        <v>0</v>
      </c>
      <c r="D5" s="198">
        <v>0</v>
      </c>
      <c r="E5" s="198">
        <v>0</v>
      </c>
      <c r="F5" s="198">
        <v>0</v>
      </c>
      <c r="G5" s="199">
        <f>(IF(Wood_Type="Dry Wood",(Actual_Hourly_Wood*Wood_Density*Weekly_Operation_Hours*52*(Wood_Waste_Percent/100)*(Wood_Duct_Percent/100)*(1/2000))*((Planing_Waste_Percent/100)*(VLOOKUP("Planing"&amp;"PM10",'Emission Factors'!$C$27:$E$47,2,0)/100)),(Actual_Hourly_Wood*Wood_Density*Weekly_Operation_Hours*52*(Wood_Waste_Percent/100)*(Wood_Duct_Percent/100)*(1/2000))*((Planing_Waste_Percent/100)*(VLOOKUP("Planing"&amp;"PM10",'Emission Factors'!$C$5:$E$25,2,0)/100))))*PM10_Control_Multiplier</f>
        <v>0</v>
      </c>
      <c r="H5" s="200">
        <f>(IF(Wood_Type="Dry Wood",(Actual_Hourly_Wood*Wood_Density*Weekly_Operation_Hours*52*(Wood_Waste_Percent/100)*(Wood_Duct_Percent/100)*(1/2000))*((Planing_Waste_Percent/100)*(VLOOKUP("Planing"&amp;"PM2.5",'Emission Factors'!$C$27:$E$47,2,0)/100)),(Actual_Hourly_Wood*Wood_Density*Weekly_Operation_Hours*52*(Wood_Waste_Percent/100)*(Wood_Duct_Percent/100)*(1/2000))*((Planing_Waste_Percent/100)*(VLOOKUP("Planing"&amp;"PM2.5",'Emission Factors'!$C$5:$E$25,2,0)/100))))*PM2.5_Control_Multiplier</f>
        <v>0</v>
      </c>
    </row>
    <row r="6" spans="2:8" x14ac:dyDescent="0.25">
      <c r="B6" s="151" t="s">
        <v>73</v>
      </c>
      <c r="C6" s="152">
        <v>0</v>
      </c>
      <c r="D6" s="152">
        <v>0</v>
      </c>
      <c r="E6" s="152">
        <v>0</v>
      </c>
      <c r="F6" s="152">
        <v>0</v>
      </c>
      <c r="G6" s="153">
        <f>(IF(Wood_Type="Dry Wood",(Actual_Hourly_Wood*Wood_Density*Weekly_Operation_Hours*52*(Wood_Waste_Percent/100)*(Wood_Duct_Percent/100)*(1/2000))*((Shaving_Waste_Percent/100)*(VLOOKUP("Shaving/Chipping"&amp;"PM10",'Emission Factors'!$C$27:$E$47,2,0)/100)),(Actual_Hourly_Wood*Wood_Density*Weekly_Operation_Hours*52*(Wood_Waste_Percent/100)*(Wood_Duct_Percent/100)*(1/2000))*((Shaving_Waste_Percent/100)*(VLOOKUP("Shaving/Chipping"&amp;"PM10",'Emission Factors'!$C$5:$E$25,2,0)/100))))*PM10_Control_Multiplier</f>
        <v>0</v>
      </c>
      <c r="H6" s="154">
        <f>(IF(Wood_Type="Dry Wood",(Actual_Hourly_Wood*Wood_Density*Weekly_Operation_Hours*52*(Wood_Waste_Percent/100)*(Wood_Duct_Percent/100)*(1/2000))*((Shaving_Waste_Percent/100)*(VLOOKUP("Shaving/Chipping"&amp;"PM2.5",'Emission Factors'!$C$27:$E$47,2,0)/100)),(Actual_Hourly_Wood*Wood_Density*Weekly_Operation_Hours*52*(Wood_Waste_Percent/100)*(Wood_Duct_Percent/100)*(1/2000))*((Shaving_Waste_Percent/100)*(VLOOKUP("Shaving/Chipping"&amp;"PM2.5",'Emission Factors'!$C$5:$E$25,2,0)/100))))*PM2.5_Control_Multiplier</f>
        <v>0</v>
      </c>
    </row>
    <row r="7" spans="2:8" x14ac:dyDescent="0.25">
      <c r="B7" s="151" t="s">
        <v>74</v>
      </c>
      <c r="C7" s="152">
        <v>0</v>
      </c>
      <c r="D7" s="152">
        <v>0</v>
      </c>
      <c r="E7" s="152">
        <v>0</v>
      </c>
      <c r="F7" s="152">
        <v>0</v>
      </c>
      <c r="G7" s="153">
        <f>(IF(Wood_Type="Dry Wood",(Actual_Hourly_Wood*Wood_Density*Weekly_Operation_Hours*52*(Wood_Waste_Percent/100)*(Wood_Duct_Percent/100)*(1/2000))*((Rough_Sawing_Waste_Percent/100)*(VLOOKUP("Rough Sawing"&amp;"PM10",'Emission Factors'!$C$27:$E$47,2,0)/100)),(Actual_Hourly_Wood*Wood_Density*Weekly_Operation_Hours*52*(Wood_Waste_Percent/100)*(Wood_Duct_Percent/100)*(1/2000))*((Rough_Sawing_Waste_Percent/100)*(VLOOKUP("Rough Sawing"&amp;"PM10",'Emission Factors'!$C$5:$E$25,2,0)/100))))*PM10_Control_Multiplier</f>
        <v>0</v>
      </c>
      <c r="H7" s="154">
        <f>(IF(Wood_Type="Dry Wood",(Actual_Hourly_Wood*Wood_Density*Weekly_Operation_Hours*52*(Wood_Waste_Percent/100)*(Wood_Duct_Percent/100)*(1/2000))*((Rough_Sawing_Waste_Percent/100)*(VLOOKUP("Rough Sawing"&amp;"PM2.5",'Emission Factors'!$C$27:$E$47,2,0)/100)),(Actual_Hourly_Wood*Wood_Density*Weekly_Operation_Hours*52*(Wood_Waste_Percent/100)*(Wood_Duct_Percent/100)*(1/2000))*((Rough_Sawing_Waste_Percent/100)*(VLOOKUP("Rough Sawing"&amp;"PM2.5",'Emission Factors'!$C$5:$E$25,2,0)/100))))*PM2.5_Control_Multiplier</f>
        <v>0</v>
      </c>
    </row>
    <row r="8" spans="2:8" x14ac:dyDescent="0.25">
      <c r="B8" s="151" t="s">
        <v>75</v>
      </c>
      <c r="C8" s="153">
        <v>0</v>
      </c>
      <c r="D8" s="153">
        <v>0</v>
      </c>
      <c r="E8" s="153">
        <v>0</v>
      </c>
      <c r="F8" s="153">
        <v>0</v>
      </c>
      <c r="G8" s="153">
        <f>(IF(Wood_Type="Dry Wood",(Actual_Hourly_Wood*Wood_Density*Weekly_Operation_Hours*52*(Wood_Waste_Percent/100)*(Wood_Duct_Percent/100)*(1/2000))*((Fine_Sawing_Waste_Percent/100)*(VLOOKUP("Fine Sawing"&amp;"PM10",'Emission Factors'!$C$27:$E$47,2,0)/100)),(Actual_Hourly_Wood*Wood_Density*Weekly_Operation_Hours*52*(Wood_Waste_Percent/100)*(Wood_Duct_Percent/100)*(1/2000))*((Fine_Sawing_Waste_Percent/100)*(VLOOKUP("Fine Sawing"&amp;"PM10",'Emission Factors'!$C$5:$E$25,2,0)/100))))*PM10_Control_Multiplier</f>
        <v>0</v>
      </c>
      <c r="H8" s="154">
        <f>(IF(Wood_Type="Dry Wood",(Actual_Hourly_Wood*Wood_Density*Weekly_Operation_Hours*52*(Wood_Waste_Percent/100)*(Wood_Duct_Percent/100)*(1/2000))*((Fine_Sawing_Waste_Percent/100)*(VLOOKUP("Fine Sawing"&amp;"PM2.5",'Emission Factors'!$C$27:$E$47,2,0)/100)),(Actual_Hourly_Wood*Wood_Density*Weekly_Operation_Hours*52*(Wood_Waste_Percent/100)*(Wood_Duct_Percent/100)*(1/2000))*((Fine_Sawing_Waste_Percent/100)*(VLOOKUP("Fine Sawing"&amp;"PM2.5",'Emission Factors'!$C$5:$E$25,2,0)/100))))*PM2.5_Control_Multiplier</f>
        <v>0</v>
      </c>
    </row>
    <row r="9" spans="2:8" x14ac:dyDescent="0.25">
      <c r="B9" s="151" t="s">
        <v>76</v>
      </c>
      <c r="C9" s="153">
        <v>0</v>
      </c>
      <c r="D9" s="153">
        <v>0</v>
      </c>
      <c r="E9" s="153">
        <v>0</v>
      </c>
      <c r="F9" s="153">
        <v>0</v>
      </c>
      <c r="G9" s="153">
        <f>(IF(Wood_Type="Dry Wood",(Actual_Hourly_Wood*Wood_Density*Weekly_Operation_Hours*52*(Wood_Waste_Percent/100)*(Wood_Duct_Percent/100)*(1/2000))*((Milling_Waste_Percent/100)*(VLOOKUP("Milling (and Hog)"&amp;"PM10",'Emission Factors'!$C$27:$E$47,2,0)/100)),(Actual_Hourly_Wood*Wood_Density*Weekly_Operation_Hours*52*(Wood_Waste_Percent/100)*(Wood_Duct_Percent/100)*(1/2000))*((Milling_Waste_Percent/100)*(VLOOKUP("Milling (and Hog)"&amp;"PM10",'Emission Factors'!$C$5:$E$25,2,0)/100))))*PM10_Control_Multiplier</f>
        <v>0</v>
      </c>
      <c r="H9" s="154">
        <f>(IF(Wood_Type="Dry Wood",(Actual_Hourly_Wood*Wood_Density*Weekly_Operation_Hours*52*(Wood_Waste_Percent/100)*(Wood_Duct_Percent/100)*(1/2000))*((Milling_Waste_Percent/100)*(VLOOKUP("Milling (and Hog)"&amp;"PM2.5",'Emission Factors'!$C$27:$E$47,2,0)/100)),(Actual_Hourly_Wood*Wood_Density*Weekly_Operation_Hours*52*(Wood_Waste_Percent/100)*(Wood_Duct_Percent/100)*(1/2000))*((Milling_Waste_Percent/100)*(VLOOKUP("Milling (and Hog)"&amp;"PM2.5",'Emission Factors'!$C$5:$E$25,2,0)/100))))*PM2.5_Control_Multiplier</f>
        <v>0</v>
      </c>
    </row>
    <row r="10" spans="2:8" x14ac:dyDescent="0.25">
      <c r="B10" s="151" t="s">
        <v>77</v>
      </c>
      <c r="C10" s="153">
        <v>0</v>
      </c>
      <c r="D10" s="153">
        <v>0</v>
      </c>
      <c r="E10" s="153">
        <v>0</v>
      </c>
      <c r="F10" s="153">
        <v>0</v>
      </c>
      <c r="G10" s="153">
        <f>(IF(Wood_Type="Dry Wood",(Actual_Hourly_Wood*Wood_Density*Weekly_Operation_Hours*52*(Wood_Waste_Percent/100)*(Wood_Duct_Percent/100)*(1/2000))*((Molding_Waste_Percent/100)*(VLOOKUP("Molding"&amp;"PM10",'Emission Factors'!$C$27:$E$47,2,0)/100)),(Actual_Hourly_Wood*Wood_Density*Weekly_Operation_Hours*52*(Wood_Waste_Percent/100)*(Wood_Duct_Percent/100)*(1/2000))*((Molding_Waste_Percent/100)*(VLOOKUP("Molding"&amp;"PM10",'Emission Factors'!$C$5:$E$25,2,0)/100))))*PM10_Control_Multiplier</f>
        <v>0</v>
      </c>
      <c r="H10" s="154">
        <f>(IF(Wood_Type="Dry Wood",(Actual_Hourly_Wood*Wood_Density*Weekly_Operation_Hours*52*(Wood_Waste_Percent/100)*(Wood_Duct_Percent/100)*(1/2000))*((Molding_Waste_Percent/100)*(VLOOKUP("Molding"&amp;"PM2.5",'Emission Factors'!$C$27:$E$47,2,0)/100)),(Actual_Hourly_Wood*Wood_Density*Weekly_Operation_Hours*52*(Wood_Waste_Percent/100)*(Wood_Duct_Percent/100)*(1/2000))*((Molding_Waste_Percent/100)*(VLOOKUP("Molding"&amp;"PM2.5",'Emission Factors'!$C$5:$E$25,2,0)/100))))*PM2.5_Control_Multiplier</f>
        <v>0</v>
      </c>
    </row>
    <row r="11" spans="2:8" x14ac:dyDescent="0.25">
      <c r="B11" s="155" t="s">
        <v>78</v>
      </c>
      <c r="C11" s="153">
        <v>0</v>
      </c>
      <c r="D11" s="153">
        <v>0</v>
      </c>
      <c r="E11" s="153">
        <v>0</v>
      </c>
      <c r="F11" s="153">
        <v>0</v>
      </c>
      <c r="G11" s="153">
        <f>(IF(Wood_Type="Dry Wood",(Actual_Hourly_Wood*Wood_Density*Weekly_Operation_Hours*52*(Wood_Waste_Percent/100)*(Wood_Duct_Percent/100)*(1/2000))*((Sanding_Waste_Percent/100)*(VLOOKUP("Sanding"&amp;"PM10",'Emission Factors'!$C$27:$E$47,2,0)/100)),(Actual_Hourly_Wood*Wood_Density*Weekly_Operation_Hours*52*(Wood_Waste_Percent/100)*(Wood_Duct_Percent/100)*(1/2000))*((Sanding_Waste_Percent/100)*(VLOOKUP("Sanding"&amp;"PM10",'Emission Factors'!$C$5:$E$25,2,0)/100))))*PM10_Control_Multiplier</f>
        <v>0</v>
      </c>
      <c r="H11" s="154">
        <f>(IF(Wood_Type="Dry Wood",(Actual_Hourly_Wood*Wood_Density*Weekly_Operation_Hours*52*(Wood_Waste_Percent/100)*(Wood_Duct_Percent/100)*(1/2000))*((Sanding_Waste_Percent/100)*(VLOOKUP("Sanding"&amp;"PM2.5",'Emission Factors'!$C$27:$E$47,2,0)/100)),(Actual_Hourly_Wood*Wood_Density*Weekly_Operation_Hours*52*(Wood_Waste_Percent/100)*(Wood_Duct_Percent/100)*(1/2000))*((Sanding_Waste_Percent/100)*(VLOOKUP("Sanding"&amp;"PM2.5",'Emission Factors'!$C$5:$E$25,2,0)/100))))*PM2.5_Control_Multiplier</f>
        <v>0</v>
      </c>
    </row>
    <row r="12" spans="2:8" x14ac:dyDescent="0.25">
      <c r="B12" s="155" t="s">
        <v>87</v>
      </c>
      <c r="C12" s="153">
        <f>IF('Controls and Restrictions'!D14=0,IF(Boiler_Used="Yes",IF(Boiler_Fuel = "Wood Waste", Boiler_Fuel_Combusted_in_2012*VLOOKUP(Boiler_Fuel&amp;Wood_Type&amp;"CO",'Emission Factors'!$C$49:$E$111,2,0)*Wood_Waste_Energy_Content*(1/2000), Boiler_Fuel_Combusted_in_2012*VLOOKUP(Boiler_Fuel&amp;"CO",'Emission Factors'!$C$49:$E$111,2,0)*(1/2000)),0),IF('Controls and Restrictions'!$D$13="lb/hr",'Controls and Restrictions'!$D14*(Actual_2012_Boiler_Energy_Consumption/Boiler_Capacity)/2000,'Controls and Restrictions'!$D14*Actual_2012_Boiler_Energy_Consumption/2000))</f>
        <v>0</v>
      </c>
      <c r="D12" s="153">
        <f>IF('Controls and Restrictions'!E14=0,IF(Boiler_Used="Yes",IF(Boiler_Fuel = "Wood Waste", Boiler_Fuel_Combusted_in_2012*VLOOKUP(Boiler_Fuel&amp;Wood_Type&amp;"NOx",'Emission Factors'!$C$49:$E$111,2,0)*Wood_Waste_Energy_Content*(1/2000), Boiler_Fuel_Combusted_in_2012*VLOOKUP(Boiler_Fuel&amp;"NOx",'Emission Factors'!$C$49:$E$111,2,0)*(1/2000)),0),IF('Controls and Restrictions'!$E$13="lb/hr",'Controls and Restrictions'!$E14*(Actual_2012_Boiler_Energy_Consumption/Boiler_Capacity)/2000,'Controls and Restrictions'!$E14*Actual_2012_Boiler_Energy_Consumption/2000))</f>
        <v>0</v>
      </c>
      <c r="E12" s="153">
        <f>IF('Controls and Restrictions'!F14=0,IF(Boiler_Used="Yes",IF(Boiler_Fuel = "Wood Waste", Boiler_Fuel_Combusted_in_2012*VLOOKUP(Boiler_Fuel&amp;Wood_Type&amp;"SO2",'Emission Factors'!$C$49:$E$111,2,0)*Wood_Waste_Energy_Content*(1/2000), Boiler_Fuel_Combusted_in_2012*VLOOKUP(Boiler_Fuel&amp;"SO2",'Emission Factors'!$C$49:$E$111,2,0)*(1/2000)),0),IF('Controls and Restrictions'!$F$13="lb/hr",'Controls and Restrictions'!$F14*(Actual_2012_Boiler_Energy_Consumption/Boiler_Capacity)/2000,'Controls and Restrictions'!$F14*Actual_2012_Boiler_Energy_Consumption/2000))</f>
        <v>0</v>
      </c>
      <c r="F12" s="153">
        <f>IF('Controls and Restrictions'!G14=0,IF(Boiler_Used="Yes",IF(Boiler_Fuel = "Wood Waste", Boiler_Fuel_Combusted_in_2012*VLOOKUP(Boiler_Fuel&amp;Wood_Type&amp;"VOC",'Emission Factors'!$C$49:$E$111,2,0)*Wood_Waste_Energy_Content*(1/2000), Boiler_Fuel_Combusted_in_2012*VLOOKUP(Boiler_Fuel&amp;"VOC",'Emission Factors'!$C$49:$E$111,2,0)*(1/2000)),0),IF('Controls and Restrictions'!$G$13="lb/hr",'Controls and Restrictions'!$G14*(Actual_2012_Boiler_Energy_Consumption/Boiler_Capacity)/2000,'Controls and Restrictions'!$G14*Actual_2012_Boiler_Energy_Consumption/2000))</f>
        <v>0</v>
      </c>
      <c r="G12" s="153">
        <f>IF('Controls and Restrictions'!H14=0,IF(Boiler_Used="Yes",IF(Boiler_Fuel = "Wood Waste", Boiler_Fuel_Combusted_in_2012*VLOOKUP(Boiler_Fuel&amp;Wood_Type&amp;"PM10",'Emission Factors'!$C$49:$E$111,2,0)*Wood_Waste_Energy_Content*(1/2000), Boiler_Fuel_Combusted_in_2012*VLOOKUP(Boiler_Fuel&amp;"PM10",'Emission Factors'!$C$49:$E$111,2,0)*(1/2000)),0),IF('Controls and Restrictions'!$H$13="lb/hr",'Controls and Restrictions'!$H14*(Actual_2012_Boiler_Energy_Consumption/Boiler_Capacity)/2000,'Controls and Restrictions'!$H14*Actual_2012_Boiler_Energy_Consumption/2000))</f>
        <v>0</v>
      </c>
      <c r="H12" s="154">
        <f>IF('Controls and Restrictions'!I14=0,IF(Boiler_Used="Yes",IF(Boiler_Fuel = "Wood Waste", Boiler_Fuel_Combusted_in_2012*VLOOKUP(Boiler_Fuel&amp;Wood_Type&amp;"PM2.5",'Emission Factors'!$C$49:$E$111,2,0)*Wood_Waste_Energy_Content*(1/2000), Boiler_Fuel_Combusted_in_2012*VLOOKUP(Boiler_Fuel&amp;"PM2.5",'Emission Factors'!$C$49:$E$111,2,0)*(1/2000)),0),IF('Controls and Restrictions'!$I$13="lb/hr",'Controls and Restrictions'!$I14*(Actual_2012_Boiler_Energy_Consumption/Boiler_Capacity)/2000,'Controls and Restrictions'!$I14*Actual_2012_Boiler_Energy_Consumption/2000))</f>
        <v>0</v>
      </c>
    </row>
    <row r="13" spans="2:8" ht="13.8" thickBot="1" x14ac:dyDescent="0.3">
      <c r="B13" s="155" t="s">
        <v>139</v>
      </c>
      <c r="C13" s="153">
        <f>IF(Furnace_Used="Yes",IF(Furnace_Fuel = "Wood Waste", Furnace_Fuel_Combusted_in_2012*VLOOKUP(Furnace_Fuel&amp;Wood_Type&amp;"CO",'Emission Factors'!$C$113:$E$175,2,0)*Wood_Waste_Energy_Content*(1/2000), IF(Furnace_Fuel="electricity",0,Furnace_Fuel_Combusted_in_2012*VLOOKUP(Furnace_Fuel&amp;"CO",'Emission Factors'!$C$113:$E$175,2,0)*(1/2000))),0)</f>
        <v>0</v>
      </c>
      <c r="D13" s="153">
        <f>IF(Furnace_Used="Yes",IF(Furnace_Fuel = "Wood Waste", Furnace_Fuel_Combusted_in_2012*VLOOKUP(Furnace_Fuel&amp;Wood_Type&amp;"NOx",'Emission Factors'!$C$113:$E$175,2,0)*Wood_Waste_Energy_Content*(1/2000), IF(Furnace_Fuel="electricity",0,Furnace_Fuel_Combusted_in_2012*VLOOKUP(Furnace_Fuel&amp;"NOx",'Emission Factors'!$C$113:$E$175,2,0)*(1/2000))),0)</f>
        <v>0</v>
      </c>
      <c r="E13" s="153">
        <f>IF(Furnace_Used="Yes",IF(Furnace_Fuel = "Wood Waste", Furnace_Fuel_Combusted_in_2012*VLOOKUP(Furnace_Fuel&amp;Wood_Type&amp;"SO2",'Emission Factors'!$C$113:$E$175,2,0)*Wood_Waste_Energy_Content*(1/2000), IF(Furnace_Fuel="electricity",0,Furnace_Fuel_Combusted_in_2012*VLOOKUP(Furnace_Fuel&amp;"SO2",'Emission Factors'!$C$113:$E$175,2,0)*(1/2000))),0)</f>
        <v>0</v>
      </c>
      <c r="F13" s="153">
        <f>IF(Furnace_Used="Yes",IF(Furnace_Fuel = "Wood Waste", Furnace_Fuel_Combusted_in_2012*VLOOKUP(Furnace_Fuel&amp;Wood_Type&amp;"VOC",'Emission Factors'!$C$113:$E$175,2,0)*Wood_Waste_Energy_Content*(1/2000), IF(Furnace_Fuel="electricity",0,Furnace_Fuel_Combusted_in_2012*VLOOKUP(Furnace_Fuel&amp;"VOC",'Emission Factors'!$C$113:$E$175,2,0)*(1/2000))),0)</f>
        <v>0</v>
      </c>
      <c r="G13" s="153">
        <f>IF(Furnace_Used="Yes",IF(Furnace_Fuel = "Wood Waste",Furnace_Fuel_Combusted_in_2012*VLOOKUP(Furnace_Fuel&amp;Wood_Type&amp;"PM10",'Emission Factors'!$C$113:$E$175,2,0)*Wood_Waste_Energy_Content*(1/2000), IF(Furnace_Fuel="electricity",0,Furnace_Fuel_Combusted_in_2012*VLOOKUP(Furnace_Fuel&amp;"PM10",'Emission Factors'!$C$113:$E$175,2,0)*(1/2000))),0)</f>
        <v>0</v>
      </c>
      <c r="H13" s="154">
        <f>IF(Furnace_Used="Yes",IF(Furnace_Fuel = "Wood Waste", Furnace_Fuel_Combusted_in_2012*VLOOKUP(Furnace_Fuel&amp;Wood_Type&amp;"PM2.5",'Emission Factors'!$C$113:$E$175,2,0)*Wood_Waste_Energy_Content*(1/2000), IF(Furnace_Fuel="electricity",0,Furnace_Fuel_Combusted_in_2012*VLOOKUP(Furnace_Fuel&amp;"PM2.5",'Emission Factors'!$C$113:$E$175,2,0)*(1/2000))),0)</f>
        <v>0</v>
      </c>
    </row>
    <row r="14" spans="2:8" ht="13.8" thickBot="1" x14ac:dyDescent="0.3">
      <c r="B14" s="201" t="s">
        <v>388</v>
      </c>
      <c r="C14" s="202">
        <f>SUM(C5:C13)</f>
        <v>0</v>
      </c>
      <c r="D14" s="202">
        <f t="shared" ref="D14:H14" si="0">SUM(D5:D13)</f>
        <v>0</v>
      </c>
      <c r="E14" s="202">
        <f t="shared" si="0"/>
        <v>0</v>
      </c>
      <c r="F14" s="202">
        <f t="shared" si="0"/>
        <v>0</v>
      </c>
      <c r="G14" s="202">
        <f t="shared" si="0"/>
        <v>0</v>
      </c>
      <c r="H14" s="203">
        <f t="shared" si="0"/>
        <v>0</v>
      </c>
    </row>
    <row r="15" spans="2:8" s="14" customFormat="1" ht="13.8" thickBot="1" x14ac:dyDescent="0.3">
      <c r="B15" s="156"/>
      <c r="C15" s="156"/>
      <c r="D15" s="156"/>
      <c r="E15" s="156"/>
      <c r="F15" s="156"/>
      <c r="G15" s="157"/>
      <c r="H15" s="157"/>
    </row>
    <row r="16" spans="2:8" ht="13.8" thickBot="1" x14ac:dyDescent="0.3">
      <c r="B16" s="417" t="s">
        <v>421</v>
      </c>
      <c r="C16" s="418"/>
      <c r="D16" s="418"/>
      <c r="E16" s="418"/>
      <c r="F16" s="418"/>
      <c r="G16" s="418"/>
      <c r="H16" s="419"/>
    </row>
    <row r="17" spans="2:8" ht="16.2" thickBot="1" x14ac:dyDescent="0.4">
      <c r="B17" s="107" t="s">
        <v>153</v>
      </c>
      <c r="C17" s="148" t="s">
        <v>85</v>
      </c>
      <c r="D17" s="148" t="s">
        <v>88</v>
      </c>
      <c r="E17" s="148" t="s">
        <v>89</v>
      </c>
      <c r="F17" s="148" t="s">
        <v>86</v>
      </c>
      <c r="G17" s="149" t="s">
        <v>56</v>
      </c>
      <c r="H17" s="150" t="s">
        <v>57</v>
      </c>
    </row>
    <row r="18" spans="2:8" x14ac:dyDescent="0.25">
      <c r="B18" s="197" t="s">
        <v>72</v>
      </c>
      <c r="C18" s="198">
        <v>0</v>
      </c>
      <c r="D18" s="198">
        <v>0</v>
      </c>
      <c r="E18" s="198">
        <v>0</v>
      </c>
      <c r="F18" s="198">
        <v>0</v>
      </c>
      <c r="G18" s="199">
        <f>IF(Wood_Type="Dry Wood",(Max_Hourly_Wood*Wood_Density*8760*(Wood_Waste_Percent/100)*(Wood_Duct_Percent/100)*(1/2000))*((Planing_Waste_Percent/100)*(VLOOKUP("Planing"&amp;"PM10",'Emission Factors'!$C$27:$E$47,3,0)/100)),(Max_Hourly_Wood*Wood_Density*8760*(Wood_Waste_Percent/100)*(Wood_Duct_Percent/100)*(1/2000))*((Planing_Waste_Percent/100)*(VLOOKUP("Planing"&amp;"PM10",'Emission Factors'!$C$5:$E$25,3,0)/100)))</f>
        <v>0</v>
      </c>
      <c r="H18" s="200">
        <f>IF(Wood_Type="Dry Wood",(Max_Hourly_Wood*Wood_Density*8760*(Wood_Waste_Percent/100)*(Wood_Duct_Percent/100)*(1/2000))*((Planing_Waste_Percent/100)*(VLOOKUP("Planing"&amp;"PM2.5",'Emission Factors'!$C$27:$E$47,3,0)/100)),(Max_Hourly_Wood*Wood_Density*8760*(Wood_Waste_Percent/100)*(Wood_Duct_Percent/100)*(1/2000))*((Planing_Waste_Percent/100)*(VLOOKUP("Planing"&amp;"PM2.5",'Emission Factors'!$C$5:$E$25,3,0)/100)))</f>
        <v>0</v>
      </c>
    </row>
    <row r="19" spans="2:8" x14ac:dyDescent="0.25">
      <c r="B19" s="151" t="s">
        <v>73</v>
      </c>
      <c r="C19" s="152">
        <v>0</v>
      </c>
      <c r="D19" s="152">
        <v>0</v>
      </c>
      <c r="E19" s="152">
        <v>0</v>
      </c>
      <c r="F19" s="152">
        <v>0</v>
      </c>
      <c r="G19" s="153">
        <f>IF(Wood_Type="Dry Wood",(Max_Hourly_Wood*Wood_Density*8760*(Wood_Waste_Percent/100)*(Wood_Duct_Percent/100)*(1/2000))*((Shaving_Waste_Percent/100)*(VLOOKUP("Shaving/Chipping"&amp;"PM10",'Emission Factors'!$C$27:$E$47,3,0)/100)),(Max_Hourly_Wood*Wood_Density*8760*(Wood_Waste_Percent/100)*(Wood_Duct_Percent/100)*(1/2000))*((Shaving_Waste_Percent/100)*(VLOOKUP("Shaving/Chipping"&amp;"PM10",'Emission Factors'!$C$5:$E$25,3,0)/100)))</f>
        <v>0</v>
      </c>
      <c r="H19" s="154">
        <f>IF(Wood_Type="Dry Wood",(Max_Hourly_Wood*Wood_Density*8760*(Wood_Waste_Percent/100)*(Wood_Duct_Percent/100)*(1/2000))*((Shaving_Waste_Percent/100)*(VLOOKUP("Shaving/Chipping"&amp;"PM2.5",'Emission Factors'!$C$27:$E$47,3,0)/100)),(Max_Hourly_Wood*Wood_Density*8760*(Wood_Waste_Percent/100)*(Wood_Duct_Percent/100)*(1/2000))*((Shaving_Waste_Percent/100)*(VLOOKUP("Shaving/Chipping"&amp;"PM2.5",'Emission Factors'!$C$5:$E$25,3,0)/100)))</f>
        <v>0</v>
      </c>
    </row>
    <row r="20" spans="2:8" x14ac:dyDescent="0.25">
      <c r="B20" s="151" t="s">
        <v>74</v>
      </c>
      <c r="C20" s="152">
        <v>0</v>
      </c>
      <c r="D20" s="152">
        <v>0</v>
      </c>
      <c r="E20" s="152">
        <v>0</v>
      </c>
      <c r="F20" s="152">
        <v>0</v>
      </c>
      <c r="G20" s="153">
        <f>IF(Wood_Type="Dry Wood",(Max_Hourly_Wood*Wood_Density*8760*(Wood_Waste_Percent/100)*(Wood_Duct_Percent/100)*(1/2000))*((Rough_Sawing_Waste_Percent/100)*(VLOOKUP("Rough Sawing"&amp;"PM10",'Emission Factors'!$C$27:$E$47,3,0)/100)),(Max_Hourly_Wood*Wood_Density*8760*(Wood_Waste_Percent/100)*(Wood_Duct_Percent/100)*(1/2000))*((Rough_Sawing_Waste_Percent/100)*(VLOOKUP("Rough Sawing"&amp;"PM10",'Emission Factors'!$C$5:$E$25,3,0)/100)))</f>
        <v>0</v>
      </c>
      <c r="H20" s="154">
        <f>IF(Wood_Type="Dry Wood",(Max_Hourly_Wood*Wood_Density*8760*(Wood_Waste_Percent/100)*(Wood_Duct_Percent/100)*(1/2000))*((Rough_Sawing_Waste_Percent/100)*(VLOOKUP("Rough Sawing"&amp;"PM2.5",'Emission Factors'!$C$27:$E$47,3,0)/100)),(Max_Hourly_Wood*Wood_Density*8760*(Wood_Waste_Percent/100)*(Wood_Duct_Percent/100)*(1/2000))*((Rough_Sawing_Waste_Percent/100)*(VLOOKUP("Rough Sawing"&amp;"PM2.5",'Emission Factors'!$C$5:$E$25,3,0)/100)))</f>
        <v>0</v>
      </c>
    </row>
    <row r="21" spans="2:8" x14ac:dyDescent="0.25">
      <c r="B21" s="151" t="s">
        <v>75</v>
      </c>
      <c r="C21" s="152">
        <v>0</v>
      </c>
      <c r="D21" s="152">
        <v>0</v>
      </c>
      <c r="E21" s="152">
        <v>0</v>
      </c>
      <c r="F21" s="152">
        <v>0</v>
      </c>
      <c r="G21" s="153">
        <f>IF(Wood_Type="Dry Wood",(Max_Hourly_Wood*Wood_Density*8760*(Wood_Waste_Percent/100)*(Wood_Duct_Percent/100)*(1/2000))*((Fine_Sawing_Waste_Percent/100)*(VLOOKUP("Fine Sawing"&amp;"PM10",'Emission Factors'!$C$27:$E$47,3,0)/100)),(Max_Hourly_Wood*Wood_Density*8760*(Wood_Waste_Percent/100)*(Wood_Duct_Percent/100)*(1/2000))*((Fine_Sawing_Waste_Percent/100)*(VLOOKUP("Fine Sawing"&amp;"PM10",'Emission Factors'!$C$5:$E$25,3,0)/100)))</f>
        <v>0</v>
      </c>
      <c r="H21" s="154">
        <f>IF(Wood_Type="Dry Wood",(Max_Hourly_Wood*Wood_Density*8760*(Wood_Waste_Percent/100)*(Wood_Duct_Percent/100)*(1/2000))*((Fine_Sawing_Waste_Percent/100)*(VLOOKUP("Fine Sawing"&amp;"PM2.5",'Emission Factors'!$C$27:$E$47,3,0)/100)),(Max_Hourly_Wood*Wood_Density*8760*(Wood_Waste_Percent/100)*(Wood_Duct_Percent/100)*(1/2000))*((Fine_Sawing_Waste_Percent/100)*(VLOOKUP("Fine Sawing"&amp;"PM2.5",'Emission Factors'!$C$5:$E$25,3,0)/100)))</f>
        <v>0</v>
      </c>
    </row>
    <row r="22" spans="2:8" x14ac:dyDescent="0.25">
      <c r="B22" s="151" t="s">
        <v>76</v>
      </c>
      <c r="C22" s="152">
        <v>0</v>
      </c>
      <c r="D22" s="152">
        <v>0</v>
      </c>
      <c r="E22" s="152">
        <v>0</v>
      </c>
      <c r="F22" s="152">
        <v>0</v>
      </c>
      <c r="G22" s="153">
        <f>IF(Wood_Type="Dry Wood",(Max_Hourly_Wood*Wood_Density*8760*(Wood_Waste_Percent/100)*(Wood_Duct_Percent/100)*(1/2000))*((Milling_Waste_Percent/100)*(VLOOKUP("Milling (and Hog)"&amp;"PM10",'Emission Factors'!$C$27:$E$47,3,0)/100)),(Max_Hourly_Wood*Wood_Density*8760*(Wood_Waste_Percent/100)*(Wood_Duct_Percent/100)*(1/2000))*((Milling_Waste_Percent/100)*(VLOOKUP("Milling (and Hog)"&amp;"PM10",'Emission Factors'!$C$5:$E$25,3,0)/100)))</f>
        <v>0</v>
      </c>
      <c r="H22" s="154">
        <f>IF(Wood_Type="Dry Wood",(Max_Hourly_Wood*Wood_Density*8760*(Wood_Waste_Percent/100)*(Wood_Duct_Percent/100)*(1/2000))*((Milling_Waste_Percent/100)*(VLOOKUP("Milling (and Hog)"&amp;"PM2.5",'Emission Factors'!$C$27:$E$47,3,0)/100)),(Max_Hourly_Wood*Wood_Density*8760*(Wood_Waste_Percent/100)*(Wood_Duct_Percent/100)*(1/2000))*((Milling_Waste_Percent/100)*(VLOOKUP("Milling (and Hog)"&amp;"PM2.5",'Emission Factors'!$C$5:$E$25,3,0)/100)))</f>
        <v>0</v>
      </c>
    </row>
    <row r="23" spans="2:8" x14ac:dyDescent="0.25">
      <c r="B23" s="151" t="s">
        <v>77</v>
      </c>
      <c r="C23" s="153">
        <v>0</v>
      </c>
      <c r="D23" s="153">
        <v>0</v>
      </c>
      <c r="E23" s="153">
        <v>0</v>
      </c>
      <c r="F23" s="153">
        <v>0</v>
      </c>
      <c r="G23" s="153">
        <f>IF(Wood_Type="Dry Wood",(Max_Hourly_Wood*Wood_Density*8760*(Wood_Waste_Percent/100)*(Wood_Duct_Percent/100)*(1/2000))*((Molding_Waste_Percent/100)*(VLOOKUP("Molding"&amp;"PM10",'Emission Factors'!$C$27:$E$47,3,0)/100)),(Max_Hourly_Wood*Wood_Density*8760*(Wood_Waste_Percent/100)*(Wood_Duct_Percent/100)*(1/2000))*((Molding_Waste_Percent/100)*(VLOOKUP("Molding"&amp;"PM10",'Emission Factors'!$C$5:$E$25,3,0)/100)))</f>
        <v>0</v>
      </c>
      <c r="H23" s="154">
        <f>IF(Wood_Type="Dry Wood",(Max_Hourly_Wood*Wood_Density*8760*(Wood_Waste_Percent/100)*(Wood_Duct_Percent/100)*(1/2000))*((Molding_Waste_Percent/100)*(VLOOKUP("Molding"&amp;"PM2.5",'Emission Factors'!$C$27:$E$47,3,0)/100)),(Max_Hourly_Wood*Wood_Density*8760*(Wood_Waste_Percent/100)*(Wood_Duct_Percent/100)*(1/2000))*((Molding_Waste_Percent/100)*(VLOOKUP("Molding"&amp;"PM2.5",'Emission Factors'!$C$5:$E$25,3,0)/100)))</f>
        <v>0</v>
      </c>
    </row>
    <row r="24" spans="2:8" x14ac:dyDescent="0.25">
      <c r="B24" s="155" t="s">
        <v>78</v>
      </c>
      <c r="C24" s="153">
        <v>0</v>
      </c>
      <c r="D24" s="153">
        <v>0</v>
      </c>
      <c r="E24" s="153">
        <v>0</v>
      </c>
      <c r="F24" s="153">
        <v>0</v>
      </c>
      <c r="G24" s="153">
        <f>IF(Wood_Type="Dry Wood",(Max_Hourly_Wood*Wood_Density*8760*(Wood_Waste_Percent/100)*(Wood_Duct_Percent/100)*(1/2000))*((Sanding_Waste_Percent/100)*(VLOOKUP("Sanding"&amp;"PM10",'Emission Factors'!$C$27:$E$47,3,0)/100)),(Max_Hourly_Wood*Wood_Density*8760*(Wood_Waste_Percent/100)*(Wood_Duct_Percent/100)*(1/2000))*((Sanding_Waste_Percent/100)*(VLOOKUP("Sanding"&amp;"PM10",'Emission Factors'!$C$5:$E$25,3,0)/100)))</f>
        <v>0</v>
      </c>
      <c r="H24" s="154">
        <f>IF(Wood_Type="Dry Wood",(Max_Hourly_Wood*Wood_Density*8760*(Wood_Waste_Percent/100)*(Wood_Duct_Percent/100)*(1/2000))*((Sanding_Waste_Percent/100)*(VLOOKUP("Sanding"&amp;"PM2.5",'Emission Factors'!$C$27:$E$47,3,0)/100)),(Max_Hourly_Wood*Wood_Density*8760*(Wood_Waste_Percent/100)*(Wood_Duct_Percent/100)*(1/2000))*((Sanding_Waste_Percent/100)*(VLOOKUP("Sanding"&amp;"PM2.5",'Emission Factors'!$C$5:$E$25,3,0)/100)))</f>
        <v>0</v>
      </c>
    </row>
    <row r="25" spans="2:8" x14ac:dyDescent="0.25">
      <c r="B25" s="155" t="s">
        <v>87</v>
      </c>
      <c r="C25" s="153">
        <f>IF('Controls and Restrictions'!D14=0,IF(Boiler_Used="Yes",IF(Boiler_Fuel = "Wood Waste", (Boiler_Capacity)*VLOOKUP(Boiler_Fuel&amp;Wood_Type&amp;"CO",'Emission Factors'!$C$49:$E$111,3,0)*8760*(1/2000), (Boiler_Capacity)*VLOOKUP(Boiler_Fuel&amp;"CO",'Emission Factors'!$C$49:$E$111,3,0)*(1/VLOOKUP(Boiler_Fuel,'Fuel Energy Content'!$A$16:$B$22,2,0))*8760*(1/2000)),0),IF('Controls and Restrictions'!$D$13="lb/hr",'Controls and Restrictions'!$D14*8760/2000,'Controls and Restrictions'!$D14*8760*Boiler_Capacity/2000))</f>
        <v>0</v>
      </c>
      <c r="D25" s="153">
        <f>IF('Controls and Restrictions'!E14=0,IF(Boiler_Used="Yes",IF(Boiler_Fuel = "Wood Waste", (Boiler_Capacity)*VLOOKUP(Boiler_Fuel&amp;Wood_Type&amp;"NOx",'Emission Factors'!$C$49:$E$111,3,0)*8760*(1/2000), (Boiler_Capacity)*VLOOKUP(Boiler_Fuel&amp;"NOx",'Emission Factors'!$C$49:$E$111,3,0)*(1/VLOOKUP(Boiler_Fuel,'Fuel Energy Content'!$A$16:$B$22,2,0))*8760*(1/2000)),0),IF('Controls and Restrictions'!$E$13="lb/hr",'Controls and Restrictions'!$E14*8760/2000,'Controls and Restrictions'!$E14*8760*Boiler_Capacity/2000))</f>
        <v>0</v>
      </c>
      <c r="E25" s="153">
        <f>IF('Controls and Restrictions'!F14=0,IF(Boiler_Used="Yes",IF(Boiler_Fuel = "Wood Waste", (Boiler_Capacity)*VLOOKUP(Boiler_Fuel&amp;Wood_Type&amp;"SO2",'Emission Factors'!$C$49:$E$111,3,0)*8760*(1/2000), (Boiler_Capacity)*VLOOKUP(Boiler_Fuel&amp;"SO2",'Emission Factors'!$C$49:$E$111,3,0)*(1/VLOOKUP(Boiler_Fuel,'Fuel Energy Content'!$A$16:$B$22,2,0))*8760*(1/2000)),0),IF('Controls and Restrictions'!$F$13="lb/hr",'Controls and Restrictions'!$F14*8760/2000,'Controls and Restrictions'!$F14*8760*Boiler_Capacity/2000))</f>
        <v>0</v>
      </c>
      <c r="F25" s="153">
        <f>IF('Controls and Restrictions'!G14=0,IF(Boiler_Used="Yes",IF(Boiler_Fuel = "Wood Waste", (Boiler_Capacity)*VLOOKUP(Boiler_Fuel&amp;Wood_Type&amp;"VOC",'Emission Factors'!$C$49:$E$111,3,0)*8760*(1/2000), (Boiler_Capacity)*VLOOKUP(Boiler_Fuel&amp;"VOC",'Emission Factors'!$C$49:$E$111,3,0)*(1/VLOOKUP(Boiler_Fuel,'Fuel Energy Content'!$A$16:$B$22,2,0))*8760*(1/2000)),0),IF('Controls and Restrictions'!$G$13="lb/hr",'Controls and Restrictions'!$G14*8760/2000,'Controls and Restrictions'!$G14*8760*Boiler_Capacity/2000))</f>
        <v>0</v>
      </c>
      <c r="G25" s="153">
        <f>IF('Controls and Restrictions'!H14=0,IF(Boiler_Used="Yes",IF(Boiler_Fuel = "Wood Waste", (Boiler_Capacity)*VLOOKUP(Boiler_Fuel&amp;Wood_Type&amp;"PM10",'Emission Factors'!$C$49:$E$111,3,0)*8760*(1/2000), (Boiler_Capacity)*VLOOKUP(Boiler_Fuel&amp;"PM10",'Emission Factors'!$C$49:$E$111,3,0)*(1/VLOOKUP(Boiler_Fuel,'Fuel Energy Content'!$A$16:$B$22,2,0))*8760*(1/2000)),0),IF('Controls and Restrictions'!$H$13="lb/hr",'Controls and Restrictions'!$H14*8760/2000,'Controls and Restrictions'!$H14*8760*Boiler_Capacity/2000))</f>
        <v>0</v>
      </c>
      <c r="H25" s="154">
        <f>IF('Controls and Restrictions'!I14=0,IF(Boiler_Used="Yes",IF(Boiler_Fuel = "Wood Waste", (Boiler_Capacity)*VLOOKUP(Boiler_Fuel&amp;Wood_Type&amp;"PM2.5",'Emission Factors'!$C$49:$E$111,3,0)*8760*(1/2000), (Boiler_Capacity)*VLOOKUP(Boiler_Fuel&amp;"PM2.5",'Emission Factors'!$C$49:$E$111,3,0)*(1/VLOOKUP(Boiler_Fuel,'Fuel Energy Content'!$A$16:$B$22,2,0))*8760*(1/2000)),0),IF('Controls and Restrictions'!$I$13="lb/hr",'Controls and Restrictions'!$I14*8760/2000,'Controls and Restrictions'!$I14*8760*Boiler_Capacity/2000))</f>
        <v>0</v>
      </c>
    </row>
    <row r="26" spans="2:8" ht="13.8" thickBot="1" x14ac:dyDescent="0.3">
      <c r="B26" s="155" t="s">
        <v>139</v>
      </c>
      <c r="C26" s="153">
        <f>IF(Furnace_Used="Yes",IF(Furnace_Fuel = "Wood Waste", Furnace_Capacity*VLOOKUP(Furnace_Fuel&amp;Wood_Type&amp;"CO",'Emission Factors'!$C$113:$E$175,3,0)*8760*(1/2000), IF(Furnace_Fuel="electricity",0,Furnace_Capacity*VLOOKUP(Furnace_Fuel&amp;"CO",'Emission Factors'!$C$113:$E$175,3,0)*(1/VLOOKUP(Furnace_Fuel,'Fuel Energy Content'!$A$16:$B$22,2,0))*8760*(1/2000))),0)</f>
        <v>0</v>
      </c>
      <c r="D26" s="153">
        <f>IF(Furnace_Used="Yes",IF(Furnace_Fuel = "Wood Waste", Furnace_Capacity*VLOOKUP(Furnace_Fuel&amp;Wood_Type&amp;"NOx",'Emission Factors'!$C$113:$E$175,3,0)*8760*(1/2000), IF(Furnace_Fuel="electricity",0,Furnace_Capacity*VLOOKUP(Furnace_Fuel&amp;"NOx",'Emission Factors'!$C$113:$E$175,3,0)*(1/VLOOKUP(Furnace_Fuel,'Fuel Energy Content'!$A$16:$B$22,2,0))*8760*(1/2000))),0)</f>
        <v>0</v>
      </c>
      <c r="E26" s="153">
        <f>IF(Furnace_Used="Yes",IF(Furnace_Fuel = "Wood Waste", Furnace_Capacity*VLOOKUP(Furnace_Fuel&amp;Wood_Type&amp;"SO2",'Emission Factors'!$C$113:$E$175,3,0)*8760*(1/2000), IF(Furnace_Fuel="electricity",0,Furnace_Capacity*VLOOKUP(Furnace_Fuel&amp;"SO2",'Emission Factors'!$C$113:$E$175,3,0)*(1/VLOOKUP(Furnace_Fuel,'Fuel Energy Content'!$A$16:$B$22,2,0))*8760*(1/2000))),0)</f>
        <v>0</v>
      </c>
      <c r="F26" s="153">
        <f>IF(Furnace_Used="Yes",IF(Furnace_Fuel = "Wood Waste", Furnace_Capacity*VLOOKUP(Furnace_Fuel&amp;Wood_Type&amp;"VOC",'Emission Factors'!$C$113:$E$175,3,0)*8760*(1/2000), IF(Furnace_Fuel="electricity",0,Furnace_Capacity*VLOOKUP(Furnace_Fuel&amp;"VOC",'Emission Factors'!$C$113:$E$175,3,0)*(1/VLOOKUP(Furnace_Fuel,'Fuel Energy Content'!$A$16:$B$22,2,0))*8760*(1/2000))),0)</f>
        <v>0</v>
      </c>
      <c r="G26" s="153">
        <f>IF(Furnace_Used="Yes",IF(Furnace_Fuel = "Wood Waste", Furnace_Capacity*VLOOKUP(Furnace_Fuel&amp;Wood_Type&amp;"PM10",'Emission Factors'!$C$113:$E$175,3,0)*8760*(1/2000), IF(Furnace_Fuel="electricity",0,Furnace_Capacity*VLOOKUP(Furnace_Fuel&amp;"PM10",'Emission Factors'!$C$113:$E$175,3,0)*(1/VLOOKUP(Furnace_Fuel,'Fuel Energy Content'!$A$16:$B$22,2,0))*8760*(1/2000))),0)</f>
        <v>0</v>
      </c>
      <c r="H26" s="154">
        <f>IF(Furnace_Used="Yes",IF(Furnace_Fuel = "Wood Waste", Furnace_Capacity*VLOOKUP(Furnace_Fuel&amp;Wood_Type&amp;"PM2.5",'Emission Factors'!$C$113:$E$175,3,0)*8760*(1/2000), IF(Furnace_Fuel="electricity",0,Furnace_Capacity*VLOOKUP(Furnace_Fuel&amp;"PM2.5",'Emission Factors'!$C$113:$E$175,3,0)*(1/VLOOKUP(Furnace_Fuel,'Fuel Energy Content'!$A$16:$B$22,2,0))*8760*(1/2000))),0)</f>
        <v>0</v>
      </c>
    </row>
    <row r="27" spans="2:8" ht="13.8" thickBot="1" x14ac:dyDescent="0.3">
      <c r="B27" s="201" t="s">
        <v>388</v>
      </c>
      <c r="C27" s="202">
        <f>SUM(C18:C26)</f>
        <v>0</v>
      </c>
      <c r="D27" s="202">
        <f t="shared" ref="D27:H27" si="1">SUM(D18:D26)</f>
        <v>0</v>
      </c>
      <c r="E27" s="202">
        <f t="shared" si="1"/>
        <v>0</v>
      </c>
      <c r="F27" s="202">
        <f t="shared" si="1"/>
        <v>0</v>
      </c>
      <c r="G27" s="202">
        <f t="shared" si="1"/>
        <v>0</v>
      </c>
      <c r="H27" s="203">
        <f t="shared" si="1"/>
        <v>0</v>
      </c>
    </row>
  </sheetData>
  <sheetProtection password="C969" sheet="1" objects="1" scenarios="1"/>
  <mergeCells count="2">
    <mergeCell ref="B3:H3"/>
    <mergeCell ref="B16:H16"/>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B4 B16:B17"/>
  </dataValidations>
  <pageMargins left="0.7" right="0.7" top="0.75" bottom="0.75" header="0.3" footer="0.3"/>
  <pageSetup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workbookViewId="0">
      <selection sqref="A1:XFD1"/>
    </sheetView>
  </sheetViews>
  <sheetFormatPr defaultColWidth="3.33203125" defaultRowHeight="13.2" x14ac:dyDescent="0.25"/>
  <cols>
    <col min="1" max="1" width="16.109375" style="95" customWidth="1"/>
    <col min="2" max="2" width="4.6640625" style="95" customWidth="1"/>
    <col min="3" max="3" width="24.6640625" style="95" customWidth="1"/>
    <col min="4" max="4" width="5.5546875" style="95" customWidth="1"/>
    <col min="5" max="5" width="25.44140625" style="95" customWidth="1"/>
    <col min="6" max="6" width="32.44140625" style="95" customWidth="1"/>
    <col min="7" max="9" width="1.88671875" style="95" customWidth="1"/>
    <col min="10" max="10" width="3.109375" style="95" customWidth="1"/>
    <col min="11" max="11" width="16.6640625" style="207" hidden="1" customWidth="1"/>
    <col min="12" max="12" width="16.6640625" style="208" hidden="1" customWidth="1"/>
    <col min="13" max="13" width="18" style="208" hidden="1" customWidth="1"/>
    <col min="14" max="14" width="20.44140625" style="95" customWidth="1"/>
    <col min="15" max="58" width="1.88671875" style="95" customWidth="1"/>
    <col min="59" max="16384" width="3.33203125" style="95"/>
  </cols>
  <sheetData>
    <row r="1" spans="1:13" ht="24.75" customHeight="1" thickBot="1" x14ac:dyDescent="0.3"/>
    <row r="2" spans="1:13" ht="14.25" customHeight="1" x14ac:dyDescent="0.25">
      <c r="A2" s="140"/>
      <c r="B2" s="142"/>
      <c r="C2" s="142"/>
      <c r="D2" s="142"/>
      <c r="E2" s="142"/>
      <c r="F2" s="143"/>
    </row>
    <row r="3" spans="1:13" x14ac:dyDescent="0.25">
      <c r="A3" s="209" t="s">
        <v>30</v>
      </c>
      <c r="B3" s="210" t="str">
        <f>"  "&amp;Inputs!C4</f>
        <v xml:space="preserve">  Acme Sawmill</v>
      </c>
      <c r="C3" s="210"/>
      <c r="E3" s="211" t="str">
        <f>"Facility Contact:"&amp;"  "&amp;Inputs!C11</f>
        <v>Facility Contact:  John Doe</v>
      </c>
      <c r="F3" s="145"/>
    </row>
    <row r="4" spans="1:13" ht="14.25" customHeight="1" x14ac:dyDescent="0.25">
      <c r="A4" s="209" t="s">
        <v>31</v>
      </c>
      <c r="B4" s="210" t="str">
        <f>"  "&amp;Inputs!C5</f>
        <v xml:space="preserve">  101 Acme Way</v>
      </c>
      <c r="C4" s="210"/>
      <c r="E4" s="211" t="str">
        <f>"              Phone:"&amp;"  "&amp;Inputs!C12</f>
        <v xml:space="preserve">              Phone:  555-555-5555</v>
      </c>
      <c r="F4" s="145"/>
    </row>
    <row r="5" spans="1:13" x14ac:dyDescent="0.25">
      <c r="A5" s="121"/>
      <c r="B5" s="210" t="str">
        <f>"  "&amp;Inputs!C6&amp;", "&amp;VLOOKUP(Inputs!C7,'EPA Regional Contact Info'!$A$5:$B$49,2,FALSE)&amp;" "&amp;Inputs!C8</f>
        <v xml:space="preserve">  Albuquerque, NM 87101</v>
      </c>
      <c r="C5" s="210"/>
      <c r="E5" s="211" t="str">
        <f>"               Email:"&amp;"  "&amp;Inputs!C13</f>
        <v xml:space="preserve">               Email:  john.doe@acme.com</v>
      </c>
      <c r="F5" s="145"/>
    </row>
    <row r="6" spans="1:13" ht="13.8" thickBot="1" x14ac:dyDescent="0.3">
      <c r="A6" s="122"/>
      <c r="B6" s="146"/>
      <c r="C6" s="146"/>
      <c r="D6" s="146"/>
      <c r="E6" s="146"/>
      <c r="F6" s="147"/>
    </row>
    <row r="7" spans="1:13" ht="18" customHeight="1" thickBot="1" x14ac:dyDescent="0.3">
      <c r="A7" s="440" t="s">
        <v>67</v>
      </c>
      <c r="B7" s="441"/>
      <c r="C7" s="441"/>
      <c r="D7" s="441"/>
      <c r="E7" s="441"/>
      <c r="F7" s="442"/>
    </row>
    <row r="8" spans="1:13" ht="15.75" customHeight="1" x14ac:dyDescent="0.25">
      <c r="A8" s="443" t="s">
        <v>0</v>
      </c>
      <c r="B8" s="446" t="s">
        <v>430</v>
      </c>
      <c r="C8" s="447"/>
      <c r="D8" s="212"/>
      <c r="E8" s="308"/>
      <c r="F8" s="213" t="s">
        <v>13</v>
      </c>
      <c r="K8" s="420" t="s">
        <v>391</v>
      </c>
      <c r="L8" s="214" t="s">
        <v>12</v>
      </c>
      <c r="M8" s="421" t="s">
        <v>392</v>
      </c>
    </row>
    <row r="9" spans="1:13" x14ac:dyDescent="0.25">
      <c r="A9" s="444"/>
      <c r="B9" s="446"/>
      <c r="C9" s="447"/>
      <c r="D9" s="422" t="s">
        <v>393</v>
      </c>
      <c r="E9" s="423"/>
      <c r="F9" s="213" t="s">
        <v>156</v>
      </c>
      <c r="K9" s="420"/>
      <c r="L9" s="214" t="s">
        <v>156</v>
      </c>
      <c r="M9" s="421"/>
    </row>
    <row r="10" spans="1:13" ht="13.8" thickBot="1" x14ac:dyDescent="0.3">
      <c r="A10" s="445"/>
      <c r="B10" s="424" t="s">
        <v>1</v>
      </c>
      <c r="C10" s="425"/>
      <c r="D10" s="426" t="s">
        <v>1</v>
      </c>
      <c r="E10" s="427"/>
      <c r="F10" s="215" t="s">
        <v>1</v>
      </c>
      <c r="K10" s="420"/>
      <c r="L10" s="216" t="s">
        <v>1</v>
      </c>
      <c r="M10" s="421"/>
    </row>
    <row r="11" spans="1:13" ht="5.25" customHeight="1" x14ac:dyDescent="0.25">
      <c r="A11" s="217"/>
      <c r="B11" s="218"/>
      <c r="C11" s="219"/>
      <c r="D11" s="220"/>
      <c r="E11" s="221"/>
      <c r="F11" s="222"/>
      <c r="L11" s="223"/>
    </row>
    <row r="12" spans="1:13" x14ac:dyDescent="0.25">
      <c r="A12" s="224" t="s">
        <v>85</v>
      </c>
      <c r="B12" s="225"/>
      <c r="C12" s="226">
        <f>'Total Emissions'!$C$14</f>
        <v>0</v>
      </c>
      <c r="D12" s="123"/>
      <c r="E12" s="256">
        <f>'Total Emissions'!$C$27</f>
        <v>0</v>
      </c>
      <c r="F12" s="227">
        <f>IF(Inputs!$C$28="Attainment",10,5)</f>
        <v>10</v>
      </c>
      <c r="K12" s="207">
        <f>IF(E12&gt;=F12,1,0)</f>
        <v>0</v>
      </c>
      <c r="L12" s="228">
        <f>IF(Inputs!$C$28="Attainment",250,IF(Inputs!$C$28="Nonattainment - moderate",100,50))</f>
        <v>250</v>
      </c>
      <c r="M12" s="208">
        <f>IF(E12&gt;=L12,1,0)</f>
        <v>0</v>
      </c>
    </row>
    <row r="13" spans="1:13" ht="5.25" customHeight="1" x14ac:dyDescent="0.25">
      <c r="A13" s="229"/>
      <c r="B13" s="230"/>
      <c r="C13" s="226"/>
      <c r="D13" s="231"/>
      <c r="E13" s="257"/>
      <c r="F13" s="227"/>
      <c r="L13" s="228"/>
    </row>
    <row r="14" spans="1:13" ht="15.75" customHeight="1" x14ac:dyDescent="0.35">
      <c r="A14" s="224" t="s">
        <v>88</v>
      </c>
      <c r="B14" s="225"/>
      <c r="C14" s="226">
        <f>'Total Emissions'!$D$14</f>
        <v>0</v>
      </c>
      <c r="D14" s="123"/>
      <c r="E14" s="256">
        <f>'Total Emissions'!$D$27</f>
        <v>0</v>
      </c>
      <c r="F14" s="227">
        <f>IF(Inputs!$C$30="Attainment",10,5)</f>
        <v>10</v>
      </c>
      <c r="K14" s="207">
        <f t="shared" ref="K14:K22" si="0">IF(E14&gt;=F14,1,0)</f>
        <v>0</v>
      </c>
      <c r="L14" s="228">
        <f>IF(Inputs!$C$30="Attainment",250,IF(Inputs!$C$30="Nonattainment - marginal",100,IF(Inputs!$C$30="Nonattainment - moderate",100,IF(Inputs!$C$30="Nonattainment - serious",50,IF(Inputs!$C$30="Nonattainment - severe",25,10)))))</f>
        <v>250</v>
      </c>
      <c r="M14" s="208">
        <f t="shared" ref="M14:M22" si="1">IF(E14&gt;=L14,1,0)</f>
        <v>0</v>
      </c>
    </row>
    <row r="15" spans="1:13" ht="5.25" customHeight="1" x14ac:dyDescent="0.25">
      <c r="A15" s="229"/>
      <c r="B15" s="230"/>
      <c r="C15" s="226"/>
      <c r="D15" s="123"/>
      <c r="E15" s="256"/>
      <c r="F15" s="227"/>
      <c r="L15" s="228"/>
    </row>
    <row r="16" spans="1:13" ht="15.6" x14ac:dyDescent="0.35">
      <c r="A16" s="224" t="s">
        <v>89</v>
      </c>
      <c r="B16" s="225"/>
      <c r="C16" s="226">
        <f>'Total Emissions'!$E$14</f>
        <v>0</v>
      </c>
      <c r="D16" s="123"/>
      <c r="E16" s="256">
        <f>'Total Emissions'!$E$27</f>
        <v>0</v>
      </c>
      <c r="F16" s="227">
        <f>IF(Inputs!$C$32="Attainment",10,5)</f>
        <v>10</v>
      </c>
      <c r="K16" s="207">
        <f t="shared" si="0"/>
        <v>0</v>
      </c>
      <c r="L16" s="228">
        <f>IF(Inputs!$C$32="Attainment",250,100)</f>
        <v>250</v>
      </c>
      <c r="M16" s="208">
        <f t="shared" si="1"/>
        <v>0</v>
      </c>
    </row>
    <row r="17" spans="1:13" ht="5.25" customHeight="1" x14ac:dyDescent="0.25">
      <c r="A17" s="232"/>
      <c r="B17" s="233"/>
      <c r="C17" s="226"/>
      <c r="D17" s="123"/>
      <c r="E17" s="256"/>
      <c r="F17" s="227"/>
      <c r="L17" s="228"/>
    </row>
    <row r="18" spans="1:13" x14ac:dyDescent="0.25">
      <c r="A18" s="224" t="s">
        <v>86</v>
      </c>
      <c r="B18" s="225"/>
      <c r="C18" s="226">
        <f>'Total Emissions'!$F$14</f>
        <v>0</v>
      </c>
      <c r="D18" s="123"/>
      <c r="E18" s="256">
        <f>'Total Emissions'!$F$27</f>
        <v>0</v>
      </c>
      <c r="F18" s="227">
        <f>IF(Inputs!$C$30="Attainment",5,2)</f>
        <v>5</v>
      </c>
      <c r="K18" s="207">
        <f t="shared" si="0"/>
        <v>0</v>
      </c>
      <c r="L18" s="228">
        <f>IF(Inputs!$C$30="Attainment",250,IF(Inputs!$C$30="Nonattainment - marginal",100,IF(Inputs!$C$30="Nonattainment - moderate",100,IF(Inputs!$C$30="Nonattainment - serious",50,IF(Inputs!$C$30="Nonattainment - severe",25,10)))))</f>
        <v>250</v>
      </c>
      <c r="M18" s="208">
        <f t="shared" si="1"/>
        <v>0</v>
      </c>
    </row>
    <row r="19" spans="1:13" ht="5.25" customHeight="1" x14ac:dyDescent="0.25">
      <c r="A19" s="234"/>
      <c r="B19" s="235"/>
      <c r="C19" s="226"/>
      <c r="D19" s="123"/>
      <c r="E19" s="256"/>
      <c r="F19" s="227"/>
      <c r="L19" s="228"/>
    </row>
    <row r="20" spans="1:13" ht="15.6" x14ac:dyDescent="0.35">
      <c r="A20" s="224" t="s">
        <v>56</v>
      </c>
      <c r="B20" s="225"/>
      <c r="C20" s="226">
        <f>'Total Emissions'!$G$14</f>
        <v>0</v>
      </c>
      <c r="D20" s="123"/>
      <c r="E20" s="256">
        <f>'Total Emissions'!$G$27</f>
        <v>0</v>
      </c>
      <c r="F20" s="227">
        <f>IF(Inputs!$C$34="Attainment",5,1)</f>
        <v>5</v>
      </c>
      <c r="K20" s="207">
        <f t="shared" si="0"/>
        <v>0</v>
      </c>
      <c r="L20" s="228">
        <f>IF(Inputs!$C$34="Attainment",250,IF(Inputs!$C$34="Nonattainment - moderate",100,70))</f>
        <v>250</v>
      </c>
      <c r="M20" s="208">
        <f t="shared" si="1"/>
        <v>0</v>
      </c>
    </row>
    <row r="21" spans="1:13" ht="5.25" customHeight="1" x14ac:dyDescent="0.25">
      <c r="A21" s="229"/>
      <c r="B21" s="230"/>
      <c r="C21" s="226"/>
      <c r="D21" s="123"/>
      <c r="E21" s="256"/>
      <c r="F21" s="236"/>
      <c r="L21" s="237"/>
    </row>
    <row r="22" spans="1:13" ht="15.6" x14ac:dyDescent="0.35">
      <c r="A22" s="238" t="s">
        <v>57</v>
      </c>
      <c r="B22" s="239"/>
      <c r="C22" s="226">
        <f>'Total Emissions'!$H$14</f>
        <v>0</v>
      </c>
      <c r="D22" s="123"/>
      <c r="E22" s="256">
        <f>'Total Emissions'!$H$27</f>
        <v>0</v>
      </c>
      <c r="F22" s="227">
        <f>IF(Inputs!$C$36="Attainment",3,0.6)</f>
        <v>3</v>
      </c>
      <c r="K22" s="207">
        <f t="shared" si="0"/>
        <v>0</v>
      </c>
      <c r="L22" s="228">
        <f>IF(Inputs!$C$36="Attainment",250,100)</f>
        <v>250</v>
      </c>
      <c r="M22" s="208">
        <f t="shared" si="1"/>
        <v>0</v>
      </c>
    </row>
    <row r="23" spans="1:13" ht="5.25" customHeight="1" x14ac:dyDescent="0.25">
      <c r="A23" s="240"/>
      <c r="B23" s="241"/>
      <c r="C23" s="242"/>
      <c r="D23" s="123"/>
      <c r="E23" s="243"/>
      <c r="F23" s="244"/>
      <c r="L23" s="245"/>
    </row>
    <row r="24" spans="1:13" x14ac:dyDescent="0.25">
      <c r="A24" s="428" t="s">
        <v>29</v>
      </c>
      <c r="B24" s="429"/>
      <c r="C24" s="429"/>
      <c r="D24" s="429"/>
      <c r="E24" s="429"/>
      <c r="F24" s="430"/>
      <c r="L24" s="246"/>
    </row>
    <row r="25" spans="1:13" x14ac:dyDescent="0.25">
      <c r="A25" s="247"/>
      <c r="B25" s="214"/>
      <c r="C25" s="214"/>
      <c r="D25" s="214"/>
      <c r="E25" s="214"/>
      <c r="F25" s="248"/>
      <c r="L25" s="223"/>
    </row>
    <row r="26" spans="1:13" x14ac:dyDescent="0.25">
      <c r="A26" s="121"/>
      <c r="B26" s="123"/>
      <c r="C26" s="249">
        <v>100</v>
      </c>
      <c r="D26" s="250" t="s">
        <v>48</v>
      </c>
      <c r="E26" s="123"/>
      <c r="F26" s="248"/>
      <c r="G26" s="214"/>
      <c r="K26" s="95"/>
      <c r="L26" s="207"/>
    </row>
    <row r="27" spans="1:13" x14ac:dyDescent="0.25">
      <c r="A27" s="121"/>
      <c r="B27" s="123"/>
      <c r="C27" s="251">
        <v>50</v>
      </c>
      <c r="D27" s="250" t="s">
        <v>27</v>
      </c>
      <c r="E27" s="123"/>
      <c r="F27" s="145"/>
      <c r="L27" s="223"/>
    </row>
    <row r="28" spans="1:13" x14ac:dyDescent="0.25">
      <c r="A28" s="121"/>
      <c r="B28" s="123"/>
      <c r="C28" s="251">
        <v>0</v>
      </c>
      <c r="D28" s="250" t="s">
        <v>28</v>
      </c>
      <c r="E28" s="123"/>
      <c r="F28" s="145"/>
    </row>
    <row r="29" spans="1:13" ht="13.8" thickBot="1" x14ac:dyDescent="0.3">
      <c r="A29" s="122"/>
      <c r="B29" s="146"/>
      <c r="C29" s="146"/>
      <c r="D29" s="146"/>
      <c r="E29" s="146"/>
      <c r="F29" s="147"/>
    </row>
    <row r="30" spans="1:13" ht="22.5" customHeight="1" thickBot="1" x14ac:dyDescent="0.3">
      <c r="A30" s="431" t="str">
        <f>IF(OR($M$12=1,$M$14=1,$M$16=1,$M$18=1,$M$20=1,$M$22=1),"PLEASE CONSULT WITH YOUR EPA REGIONAL CONTACT LISTED BELOW",IF(OR(K12=1,K14=1,K16=1,K18=1,K20=1,K22=1),"YOU ARE REQUIRED TO REGISTER YOUR FACILITY UNDER THE TRIBAL NEW SOURCE REVIEW RULE","PLEASE SEE NOTE BELOW"))</f>
        <v>PLEASE SEE NOTE BELOW</v>
      </c>
      <c r="B30" s="432"/>
      <c r="C30" s="432"/>
      <c r="D30" s="432"/>
      <c r="E30" s="432"/>
      <c r="F30" s="433"/>
    </row>
    <row r="31" spans="1:13" x14ac:dyDescent="0.25">
      <c r="A31" s="140"/>
      <c r="B31" s="142"/>
      <c r="C31" s="142"/>
      <c r="D31" s="142"/>
      <c r="E31" s="142"/>
      <c r="F31" s="143"/>
    </row>
    <row r="32" spans="1:13" ht="164.25" customHeight="1" thickBot="1" x14ac:dyDescent="0.3">
      <c r="A32" s="434"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435"/>
      <c r="C32" s="435"/>
      <c r="D32" s="435"/>
      <c r="E32" s="435"/>
      <c r="F32" s="436"/>
    </row>
    <row r="33" spans="1:6" ht="15.75" customHeight="1" thickBot="1" x14ac:dyDescent="0.3">
      <c r="A33" s="437" t="str">
        <f>"U.S. Environmental Protection Agency Region "&amp;VLOOKUP(Inputs!$C$7,'EPA Regional Contact Info'!$A$5:$C$49,3,FALSE)&amp;" Contact"</f>
        <v>U.S. Environmental Protection Agency Region 6 Contact</v>
      </c>
      <c r="B33" s="438"/>
      <c r="C33" s="438"/>
      <c r="D33" s="438"/>
      <c r="E33" s="438"/>
      <c r="F33" s="439"/>
    </row>
    <row r="34" spans="1:6" ht="15.6" x14ac:dyDescent="0.3">
      <c r="A34" s="140"/>
      <c r="B34" s="141" t="s">
        <v>354</v>
      </c>
      <c r="C34" s="252"/>
      <c r="D34" s="253" t="str">
        <f>Inputs!C16</f>
        <v>Bonnie Braganza</v>
      </c>
      <c r="E34" s="252"/>
      <c r="F34" s="143"/>
    </row>
    <row r="35" spans="1:6" ht="15.6" x14ac:dyDescent="0.3">
      <c r="A35" s="121"/>
      <c r="B35" s="144" t="s">
        <v>355</v>
      </c>
      <c r="C35" s="254"/>
      <c r="D35" s="255" t="str">
        <f>Inputs!C22</f>
        <v>U.S. Environmental Protection Agency Region 6</v>
      </c>
      <c r="E35" s="254"/>
      <c r="F35" s="145"/>
    </row>
    <row r="36" spans="1:6" ht="15.6" x14ac:dyDescent="0.3">
      <c r="A36" s="121"/>
      <c r="B36" s="144"/>
      <c r="C36" s="254"/>
      <c r="D36" s="255" t="str">
        <f>Inputs!C23</f>
        <v>1445 Ross Avenue, Suite 1200</v>
      </c>
      <c r="E36" s="254"/>
      <c r="F36" s="145"/>
    </row>
    <row r="37" spans="1:6" ht="15.6" x14ac:dyDescent="0.3">
      <c r="A37" s="121"/>
      <c r="B37" s="144"/>
      <c r="C37" s="254"/>
      <c r="D37" s="255" t="str">
        <f>Inputs!C24</f>
        <v>MC: 6PD</v>
      </c>
      <c r="E37" s="254"/>
      <c r="F37" s="145"/>
    </row>
    <row r="38" spans="1:6" ht="15.6" x14ac:dyDescent="0.3">
      <c r="A38" s="121"/>
      <c r="B38" s="144"/>
      <c r="C38" s="254"/>
      <c r="D38" s="255" t="str">
        <f>Inputs!C25</f>
        <v>Dallas, TX 75202-2733</v>
      </c>
      <c r="E38" s="254"/>
      <c r="F38" s="145"/>
    </row>
    <row r="39" spans="1:6" ht="15.6" x14ac:dyDescent="0.3">
      <c r="A39" s="121"/>
      <c r="B39" s="144"/>
      <c r="C39" s="254"/>
      <c r="D39" s="255"/>
      <c r="E39" s="254"/>
      <c r="F39" s="145"/>
    </row>
    <row r="40" spans="1:6" ht="15.6" x14ac:dyDescent="0.3">
      <c r="A40" s="121"/>
      <c r="B40" s="144" t="s">
        <v>356</v>
      </c>
      <c r="C40" s="254"/>
      <c r="D40" s="255" t="str">
        <f>Inputs!C17</f>
        <v>214-665-7340</v>
      </c>
      <c r="E40" s="254"/>
      <c r="F40" s="145"/>
    </row>
    <row r="41" spans="1:6" ht="15.6" x14ac:dyDescent="0.3">
      <c r="A41" s="121"/>
      <c r="B41" s="144" t="s">
        <v>32</v>
      </c>
      <c r="C41" s="254"/>
      <c r="D41" s="255" t="str">
        <f>Inputs!C18</f>
        <v>braganza.bonnie@epa.gov</v>
      </c>
      <c r="E41" s="254"/>
      <c r="F41" s="145"/>
    </row>
    <row r="42" spans="1:6" ht="13.8" thickBot="1" x14ac:dyDescent="0.3">
      <c r="A42" s="122"/>
      <c r="B42" s="146"/>
      <c r="C42" s="146"/>
      <c r="D42" s="146"/>
      <c r="E42" s="146"/>
      <c r="F42" s="147"/>
    </row>
  </sheetData>
  <sheetProtection password="C969" sheet="1" objects="1" scenarios="1"/>
  <mergeCells count="12">
    <mergeCell ref="A24:F24"/>
    <mergeCell ref="A30:F30"/>
    <mergeCell ref="A32:F32"/>
    <mergeCell ref="A33:F33"/>
    <mergeCell ref="A7:F7"/>
    <mergeCell ref="A8:A10"/>
    <mergeCell ref="B8:C9"/>
    <mergeCell ref="K8:K10"/>
    <mergeCell ref="M8:M10"/>
    <mergeCell ref="D9:E9"/>
    <mergeCell ref="B10:C10"/>
    <mergeCell ref="D10:E10"/>
  </mergeCells>
  <conditionalFormatting sqref="A33 A32:F32">
    <cfRule type="expression" dxfId="7" priority="3">
      <formula>$A$30="PLEASE SEE NOTE BELOW"</formula>
    </cfRule>
  </conditionalFormatting>
  <conditionalFormatting sqref="A30:F30">
    <cfRule type="expression" dxfId="6" priority="2">
      <formula>$A$30="You are required to register your facility under the tribal new source review rule"</formula>
    </cfRule>
  </conditionalFormatting>
  <conditionalFormatting sqref="C27:C28">
    <cfRule type="iconSet" priority="4">
      <iconSet iconSet="3Symbols" showValue="0" reverse="1">
        <cfvo type="percent" val="0"/>
        <cfvo type="num" val="0" gte="0"/>
        <cfvo type="num" val="100"/>
      </iconSet>
    </cfRule>
  </conditionalFormatting>
  <conditionalFormatting sqref="C12 E12">
    <cfRule type="cellIs" dxfId="5" priority="5" operator="greaterThanOrEqual">
      <formula>$F$12</formula>
    </cfRule>
  </conditionalFormatting>
  <conditionalFormatting sqref="C14 E14">
    <cfRule type="cellIs" dxfId="4" priority="7" operator="greaterThanOrEqual">
      <formula>$F$14</formula>
    </cfRule>
  </conditionalFormatting>
  <conditionalFormatting sqref="C16 E16">
    <cfRule type="cellIs" dxfId="3" priority="9" operator="greaterThanOrEqual">
      <formula>$F$16</formula>
    </cfRule>
  </conditionalFormatting>
  <conditionalFormatting sqref="C18 E18">
    <cfRule type="cellIs" dxfId="2" priority="11" operator="greaterThanOrEqual">
      <formula>$F$18</formula>
    </cfRule>
  </conditionalFormatting>
  <conditionalFormatting sqref="C20 E20">
    <cfRule type="cellIs" dxfId="1" priority="13" operator="greaterThanOrEqual">
      <formula>$F$20</formula>
    </cfRule>
  </conditionalFormatting>
  <conditionalFormatting sqref="C22 E22">
    <cfRule type="cellIs" dxfId="0" priority="1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6">
      <iconSet iconSet="3Symbols" reverse="1">
        <cfvo type="percent" val="0"/>
        <cfvo type="formula" val="$F$12"/>
        <cfvo type="formula" val="$L$12"/>
      </iconSet>
    </cfRule>
  </conditionalFormatting>
  <conditionalFormatting sqref="E14">
    <cfRule type="iconSet" priority="8">
      <iconSet iconSet="3Symbols" reverse="1">
        <cfvo type="percent" val="0"/>
        <cfvo type="formula" val="$F$14"/>
        <cfvo type="formula" val="$L$14"/>
      </iconSet>
    </cfRule>
  </conditionalFormatting>
  <conditionalFormatting sqref="E16">
    <cfRule type="iconSet" priority="10">
      <iconSet iconSet="3Symbols" reverse="1">
        <cfvo type="percent" val="0"/>
        <cfvo type="formula" val="$F$16"/>
        <cfvo type="formula" val="$L$16"/>
      </iconSet>
    </cfRule>
  </conditionalFormatting>
  <conditionalFormatting sqref="E18">
    <cfRule type="iconSet" priority="12">
      <iconSet iconSet="3Symbols" reverse="1">
        <cfvo type="percent" val="0"/>
        <cfvo type="formula" val="$F$18"/>
        <cfvo type="formula" val="$L$18"/>
      </iconSet>
    </cfRule>
  </conditionalFormatting>
  <conditionalFormatting sqref="E20">
    <cfRule type="iconSet" priority="14">
      <iconSet iconSet="3Symbols" reverse="1">
        <cfvo type="percent" val="0"/>
        <cfvo type="formula" val="$F$20"/>
        <cfvo type="formula" val="$L$20"/>
      </iconSet>
    </cfRule>
  </conditionalFormatting>
  <conditionalFormatting sqref="E22">
    <cfRule type="iconSet" priority="1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r:id="rId1"/>
  <headerFooter alignWithMargins="0">
    <oddHeader xml:space="preserve">&amp;C&amp;"Arial,Bold"&amp;14
Sawmill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G26"/>
  <sheetViews>
    <sheetView workbookViewId="0">
      <selection sqref="A1:F1"/>
    </sheetView>
  </sheetViews>
  <sheetFormatPr defaultRowHeight="13.2" x14ac:dyDescent="0.25"/>
  <cols>
    <col min="1" max="1" width="17.88671875" style="11" bestFit="1" customWidth="1"/>
    <col min="2" max="2" width="17.5546875" style="6" customWidth="1"/>
    <col min="3" max="3" width="30.109375" customWidth="1"/>
    <col min="4" max="5" width="20" style="6" customWidth="1"/>
    <col min="6" max="6" width="25" style="6" customWidth="1"/>
    <col min="7" max="7" width="26.6640625" bestFit="1" customWidth="1"/>
  </cols>
  <sheetData>
    <row r="1" spans="1:7" ht="17.399999999999999" x14ac:dyDescent="0.3">
      <c r="A1" s="449" t="s">
        <v>69</v>
      </c>
      <c r="B1" s="449"/>
      <c r="C1" s="449"/>
      <c r="D1" s="449"/>
      <c r="E1" s="449"/>
      <c r="F1" s="449"/>
    </row>
    <row r="2" spans="1:7" x14ac:dyDescent="0.25">
      <c r="A2" s="448" t="s">
        <v>513</v>
      </c>
      <c r="B2" s="448"/>
      <c r="C2" s="448"/>
      <c r="D2" s="448"/>
      <c r="E2" s="448"/>
      <c r="F2" s="448"/>
    </row>
    <row r="4" spans="1:7" x14ac:dyDescent="0.25">
      <c r="A4" s="10" t="s">
        <v>25</v>
      </c>
      <c r="B4" s="3" t="s">
        <v>21</v>
      </c>
      <c r="C4" s="3" t="s">
        <v>23</v>
      </c>
      <c r="D4" s="3" t="s">
        <v>22</v>
      </c>
      <c r="E4" s="8" t="s">
        <v>39</v>
      </c>
      <c r="F4" s="8" t="s">
        <v>41</v>
      </c>
      <c r="G4" s="3" t="s">
        <v>24</v>
      </c>
    </row>
    <row r="5" spans="1:7" ht="30" customHeight="1" x14ac:dyDescent="0.25">
      <c r="A5" s="19">
        <v>1</v>
      </c>
      <c r="B5" s="20" t="s">
        <v>357</v>
      </c>
      <c r="C5" s="21" t="s">
        <v>38</v>
      </c>
      <c r="D5" s="94" t="s">
        <v>144</v>
      </c>
      <c r="E5" s="5" t="s">
        <v>40</v>
      </c>
      <c r="F5" s="5" t="s">
        <v>369</v>
      </c>
      <c r="G5" s="317" t="s">
        <v>145</v>
      </c>
    </row>
    <row r="6" spans="1:7" ht="118.5" customHeight="1" x14ac:dyDescent="0.25">
      <c r="A6" s="22">
        <v>1.1000000000000001</v>
      </c>
      <c r="B6" s="20" t="s">
        <v>504</v>
      </c>
      <c r="C6" s="23" t="s">
        <v>492</v>
      </c>
      <c r="D6" s="265" t="s">
        <v>432</v>
      </c>
      <c r="E6" s="32" t="s">
        <v>40</v>
      </c>
      <c r="F6" s="32" t="s">
        <v>369</v>
      </c>
      <c r="G6" s="317" t="s">
        <v>145</v>
      </c>
    </row>
    <row r="7" spans="1:7" ht="16.5" customHeight="1" x14ac:dyDescent="0.25">
      <c r="A7" s="26">
        <v>1.2</v>
      </c>
      <c r="B7" s="315" t="s">
        <v>507</v>
      </c>
      <c r="C7" s="27" t="s">
        <v>508</v>
      </c>
      <c r="D7" s="24" t="s">
        <v>432</v>
      </c>
      <c r="E7" s="24" t="s">
        <v>40</v>
      </c>
      <c r="F7" s="24" t="s">
        <v>369</v>
      </c>
      <c r="G7" s="318" t="s">
        <v>145</v>
      </c>
    </row>
    <row r="8" spans="1:7" ht="28.5" customHeight="1" x14ac:dyDescent="0.25">
      <c r="A8" s="26">
        <v>1.3</v>
      </c>
      <c r="B8" s="315" t="s">
        <v>509</v>
      </c>
      <c r="C8" s="27" t="s">
        <v>510</v>
      </c>
      <c r="D8" s="24" t="s">
        <v>432</v>
      </c>
      <c r="E8" s="24" t="s">
        <v>40</v>
      </c>
      <c r="F8" s="24" t="s">
        <v>369</v>
      </c>
      <c r="G8" s="318" t="s">
        <v>145</v>
      </c>
    </row>
    <row r="9" spans="1:7" ht="43.5" customHeight="1" x14ac:dyDescent="0.25">
      <c r="A9" s="26">
        <v>1.4</v>
      </c>
      <c r="B9" s="315" t="s">
        <v>511</v>
      </c>
      <c r="C9" s="27" t="s">
        <v>512</v>
      </c>
      <c r="D9" s="24" t="s">
        <v>432</v>
      </c>
      <c r="E9" s="24" t="s">
        <v>40</v>
      </c>
      <c r="F9" s="24" t="s">
        <v>369</v>
      </c>
      <c r="G9" s="319" t="s">
        <v>145</v>
      </c>
    </row>
    <row r="10" spans="1:7" ht="16.5" customHeight="1" x14ac:dyDescent="0.25">
      <c r="A10" s="26"/>
      <c r="B10" s="24"/>
      <c r="C10" s="27"/>
      <c r="D10" s="24"/>
      <c r="E10" s="24"/>
      <c r="F10" s="24"/>
      <c r="G10" s="25"/>
    </row>
    <row r="11" spans="1:7" ht="16.5" customHeight="1" x14ac:dyDescent="0.25">
      <c r="A11" s="26"/>
      <c r="B11" s="24"/>
      <c r="C11" s="27"/>
      <c r="D11" s="24"/>
      <c r="E11" s="24"/>
      <c r="F11" s="24"/>
      <c r="G11" s="25"/>
    </row>
    <row r="12" spans="1:7" ht="16.5" customHeight="1" x14ac:dyDescent="0.25">
      <c r="A12" s="26"/>
      <c r="B12" s="24"/>
      <c r="C12" s="27"/>
      <c r="D12" s="24"/>
      <c r="E12" s="24"/>
      <c r="F12" s="24"/>
      <c r="G12" s="25"/>
    </row>
    <row r="13" spans="1:7" ht="16.5" customHeight="1" x14ac:dyDescent="0.25">
      <c r="A13" s="26"/>
      <c r="B13" s="24"/>
      <c r="C13" s="27"/>
      <c r="D13" s="24"/>
      <c r="E13" s="24"/>
      <c r="F13" s="24"/>
      <c r="G13" s="25"/>
    </row>
    <row r="14" spans="1:7" ht="16.5" customHeight="1" x14ac:dyDescent="0.25">
      <c r="A14" s="26"/>
      <c r="B14" s="24"/>
      <c r="C14" s="27"/>
      <c r="D14" s="24"/>
      <c r="E14" s="24"/>
      <c r="F14" s="24"/>
      <c r="G14" s="25"/>
    </row>
    <row r="15" spans="1:7" ht="16.5" customHeight="1" x14ac:dyDescent="0.25">
      <c r="A15" s="26"/>
      <c r="B15" s="24"/>
      <c r="C15" s="27"/>
      <c r="D15" s="24"/>
      <c r="E15" s="24"/>
      <c r="F15" s="24"/>
      <c r="G15" s="25"/>
    </row>
    <row r="16" spans="1:7" ht="16.5" customHeight="1" x14ac:dyDescent="0.25">
      <c r="A16" s="26"/>
      <c r="B16" s="24"/>
      <c r="C16" s="27"/>
      <c r="D16" s="24"/>
      <c r="E16" s="24"/>
      <c r="F16" s="24"/>
      <c r="G16" s="25"/>
    </row>
    <row r="17" spans="1:7" ht="16.5" customHeight="1" x14ac:dyDescent="0.25">
      <c r="A17" s="26"/>
      <c r="B17" s="24"/>
      <c r="C17" s="27"/>
      <c r="D17" s="24"/>
      <c r="E17" s="24"/>
      <c r="F17" s="24"/>
      <c r="G17" s="25"/>
    </row>
    <row r="18" spans="1:7" ht="16.5" customHeight="1" x14ac:dyDescent="0.25">
      <c r="A18" s="26"/>
      <c r="B18" s="24"/>
      <c r="C18" s="27"/>
      <c r="D18" s="24"/>
      <c r="E18" s="24"/>
      <c r="F18" s="24"/>
      <c r="G18" s="25"/>
    </row>
    <row r="19" spans="1:7" ht="16.5" customHeight="1" x14ac:dyDescent="0.25">
      <c r="A19" s="26"/>
      <c r="B19" s="24"/>
      <c r="C19" s="27"/>
      <c r="D19" s="24"/>
      <c r="E19" s="24"/>
      <c r="F19" s="24"/>
      <c r="G19" s="25"/>
    </row>
    <row r="20" spans="1:7" ht="16.5" customHeight="1" x14ac:dyDescent="0.25">
      <c r="A20" s="26"/>
      <c r="B20" s="24"/>
      <c r="C20" s="27"/>
      <c r="D20" s="24"/>
      <c r="E20" s="24"/>
      <c r="F20" s="24"/>
      <c r="G20" s="25"/>
    </row>
    <row r="21" spans="1:7" ht="16.5" customHeight="1" x14ac:dyDescent="0.25">
      <c r="A21" s="26"/>
      <c r="B21" s="24"/>
      <c r="C21" s="27"/>
      <c r="D21" s="24"/>
      <c r="E21" s="24"/>
      <c r="F21" s="24"/>
      <c r="G21" s="25"/>
    </row>
    <row r="22" spans="1:7" ht="16.5" customHeight="1" x14ac:dyDescent="0.25">
      <c r="A22" s="26"/>
      <c r="B22" s="24"/>
      <c r="C22" s="27"/>
      <c r="D22" s="24"/>
      <c r="E22" s="24"/>
      <c r="F22" s="24"/>
      <c r="G22" s="25"/>
    </row>
    <row r="23" spans="1:7" ht="16.5" customHeight="1" x14ac:dyDescent="0.25">
      <c r="A23" s="26"/>
      <c r="B23" s="24"/>
      <c r="C23" s="27"/>
      <c r="D23" s="24"/>
      <c r="E23" s="24"/>
      <c r="F23" s="24"/>
      <c r="G23" s="25"/>
    </row>
    <row r="24" spans="1:7" ht="16.5" customHeight="1" x14ac:dyDescent="0.25">
      <c r="A24" s="26"/>
      <c r="B24" s="24"/>
      <c r="C24" s="27"/>
      <c r="D24" s="24"/>
      <c r="E24" s="24"/>
      <c r="F24" s="24"/>
      <c r="G24" s="25"/>
    </row>
    <row r="25" spans="1:7" ht="16.5" customHeight="1" x14ac:dyDescent="0.25">
      <c r="A25" s="26"/>
      <c r="B25" s="24"/>
      <c r="C25" s="27"/>
      <c r="D25" s="24"/>
      <c r="E25" s="24"/>
      <c r="F25" s="24"/>
      <c r="G25" s="25"/>
    </row>
    <row r="26" spans="1:7" ht="16.5" customHeight="1" x14ac:dyDescent="0.25">
      <c r="A26" s="26"/>
      <c r="B26" s="24"/>
      <c r="C26" s="27"/>
      <c r="D26" s="24"/>
      <c r="E26" s="24"/>
      <c r="F26" s="24"/>
      <c r="G26" s="25"/>
    </row>
  </sheetData>
  <mergeCells count="2">
    <mergeCell ref="A2:F2"/>
    <mergeCell ref="A1:F1"/>
  </mergeCells>
  <hyperlinks>
    <hyperlink ref="G5" r:id="rId1"/>
    <hyperlink ref="G6" r:id="rId2"/>
    <hyperlink ref="G7" r:id="rId3"/>
    <hyperlink ref="G8" r:id="rId4"/>
    <hyperlink ref="G9" r:id="rId5"/>
  </hyperlinks>
  <pageMargins left="0.7" right="0.7" top="0.75" bottom="0.75" header="0.3" footer="0.3"/>
  <pageSetup scale="79" orientation="landscap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185"/>
  <sheetViews>
    <sheetView zoomScaleNormal="100" workbookViewId="0">
      <pane ySplit="3" topLeftCell="A4" activePane="bottomLeft" state="frozen"/>
      <selection pane="bottomLeft"/>
    </sheetView>
  </sheetViews>
  <sheetFormatPr defaultRowHeight="13.2" x14ac:dyDescent="0.25"/>
  <cols>
    <col min="1" max="1" width="34.44140625" style="4" customWidth="1"/>
    <col min="2" max="2" width="17" customWidth="1"/>
    <col min="3" max="3" width="34.33203125" customWidth="1"/>
    <col min="4" max="4" width="29.6640625" style="7" customWidth="1"/>
    <col min="5" max="5" width="27.33203125" style="7" bestFit="1" customWidth="1"/>
    <col min="6" max="6" width="17" customWidth="1"/>
    <col min="7" max="7" width="19.6640625" customWidth="1"/>
    <col min="8" max="8" width="40.6640625" customWidth="1"/>
  </cols>
  <sheetData>
    <row r="1" spans="1:8" ht="17.399999999999999" x14ac:dyDescent="0.3">
      <c r="A1" s="1" t="s">
        <v>33</v>
      </c>
      <c r="B1" s="2"/>
    </row>
    <row r="2" spans="1:8" x14ac:dyDescent="0.25">
      <c r="A2" s="451"/>
      <c r="B2" s="451"/>
      <c r="C2" s="451"/>
      <c r="D2" s="451"/>
      <c r="E2" s="451"/>
      <c r="F2" s="451"/>
      <c r="G2" s="451"/>
      <c r="H2" s="451"/>
    </row>
    <row r="3" spans="1:8" x14ac:dyDescent="0.25">
      <c r="A3" s="53" t="s">
        <v>52</v>
      </c>
      <c r="B3" s="53" t="s">
        <v>0</v>
      </c>
      <c r="C3" s="53" t="s">
        <v>34</v>
      </c>
      <c r="D3" s="54" t="s">
        <v>423</v>
      </c>
      <c r="E3" s="54" t="s">
        <v>424</v>
      </c>
      <c r="F3" s="53" t="s">
        <v>36</v>
      </c>
      <c r="G3" s="53" t="s">
        <v>35</v>
      </c>
      <c r="H3" s="55" t="s">
        <v>37</v>
      </c>
    </row>
    <row r="4" spans="1:8" s="48" customFormat="1" x14ac:dyDescent="0.25">
      <c r="A4" s="450" t="s">
        <v>79</v>
      </c>
      <c r="B4" s="450"/>
      <c r="C4" s="450"/>
      <c r="D4" s="450"/>
      <c r="E4" s="450"/>
      <c r="F4" s="450"/>
      <c r="G4" s="450"/>
      <c r="H4" s="450"/>
    </row>
    <row r="5" spans="1:8" s="48" customFormat="1" ht="12.75" customHeight="1" x14ac:dyDescent="0.25">
      <c r="A5" s="31" t="s">
        <v>72</v>
      </c>
      <c r="B5" s="31" t="s">
        <v>58</v>
      </c>
      <c r="C5" s="37" t="str">
        <f>A5&amp;B5</f>
        <v>PlaningTotal PM</v>
      </c>
      <c r="D5" s="73">
        <v>0</v>
      </c>
      <c r="E5" s="73">
        <f t="shared" ref="E5:E25" si="0">D5</f>
        <v>0</v>
      </c>
      <c r="F5" s="9" t="s">
        <v>81</v>
      </c>
      <c r="G5" s="9" t="s">
        <v>54</v>
      </c>
      <c r="H5" s="31" t="s">
        <v>358</v>
      </c>
    </row>
    <row r="6" spans="1:8" s="48" customFormat="1" ht="12.75" customHeight="1" x14ac:dyDescent="0.25">
      <c r="A6" s="31" t="s">
        <v>72</v>
      </c>
      <c r="B6" s="31" t="s">
        <v>64</v>
      </c>
      <c r="C6" s="37" t="str">
        <f t="shared" ref="C6:C25" si="1">A6&amp;B6</f>
        <v>PlaningPM10</v>
      </c>
      <c r="D6" s="73">
        <v>0</v>
      </c>
      <c r="E6" s="73">
        <f t="shared" si="0"/>
        <v>0</v>
      </c>
      <c r="F6" s="9" t="s">
        <v>81</v>
      </c>
      <c r="G6" s="9" t="s">
        <v>54</v>
      </c>
      <c r="H6" s="31" t="s">
        <v>358</v>
      </c>
    </row>
    <row r="7" spans="1:8" s="48" customFormat="1" x14ac:dyDescent="0.25">
      <c r="A7" s="31" t="s">
        <v>72</v>
      </c>
      <c r="B7" s="31" t="s">
        <v>65</v>
      </c>
      <c r="C7" s="37" t="str">
        <f t="shared" si="1"/>
        <v>PlaningPM2.5</v>
      </c>
      <c r="D7" s="73">
        <v>0</v>
      </c>
      <c r="E7" s="73">
        <f t="shared" si="0"/>
        <v>0</v>
      </c>
      <c r="F7" s="9" t="s">
        <v>81</v>
      </c>
      <c r="G7" s="9" t="s">
        <v>54</v>
      </c>
      <c r="H7" s="31" t="s">
        <v>358</v>
      </c>
    </row>
    <row r="8" spans="1:8" s="48" customFormat="1" x14ac:dyDescent="0.25">
      <c r="A8" s="37" t="s">
        <v>73</v>
      </c>
      <c r="B8" s="31" t="s">
        <v>58</v>
      </c>
      <c r="C8" s="37" t="str">
        <f t="shared" si="1"/>
        <v>Shaving/ChippingTotal PM</v>
      </c>
      <c r="D8" s="93">
        <v>0.56000000000000005</v>
      </c>
      <c r="E8" s="73">
        <f t="shared" si="0"/>
        <v>0.56000000000000005</v>
      </c>
      <c r="F8" s="9" t="s">
        <v>81</v>
      </c>
      <c r="G8" s="9" t="s">
        <v>54</v>
      </c>
      <c r="H8" s="31" t="s">
        <v>358</v>
      </c>
    </row>
    <row r="9" spans="1:8" s="48" customFormat="1" x14ac:dyDescent="0.25">
      <c r="A9" s="37" t="s">
        <v>73</v>
      </c>
      <c r="B9" s="31" t="s">
        <v>64</v>
      </c>
      <c r="C9" s="37" t="str">
        <f t="shared" si="1"/>
        <v>Shaving/ChippingPM10</v>
      </c>
      <c r="D9" s="93">
        <v>0</v>
      </c>
      <c r="E9" s="73">
        <f t="shared" si="0"/>
        <v>0</v>
      </c>
      <c r="F9" s="9" t="s">
        <v>81</v>
      </c>
      <c r="G9" s="9" t="s">
        <v>54</v>
      </c>
      <c r="H9" s="31" t="s">
        <v>358</v>
      </c>
    </row>
    <row r="10" spans="1:8" s="48" customFormat="1" x14ac:dyDescent="0.25">
      <c r="A10" s="37" t="s">
        <v>73</v>
      </c>
      <c r="B10" s="31" t="s">
        <v>65</v>
      </c>
      <c r="C10" s="37" t="str">
        <f t="shared" si="1"/>
        <v>Shaving/ChippingPM2.5</v>
      </c>
      <c r="D10" s="93">
        <v>0</v>
      </c>
      <c r="E10" s="73">
        <f t="shared" si="0"/>
        <v>0</v>
      </c>
      <c r="F10" s="9" t="s">
        <v>81</v>
      </c>
      <c r="G10" s="9" t="s">
        <v>54</v>
      </c>
      <c r="H10" s="31" t="s">
        <v>358</v>
      </c>
    </row>
    <row r="11" spans="1:8" s="48" customFormat="1" x14ac:dyDescent="0.25">
      <c r="A11" s="51" t="s">
        <v>74</v>
      </c>
      <c r="B11" s="31" t="s">
        <v>58</v>
      </c>
      <c r="C11" s="37" t="str">
        <f t="shared" si="1"/>
        <v>Rough SawingTotal PM</v>
      </c>
      <c r="D11" s="93">
        <v>18</v>
      </c>
      <c r="E11" s="73">
        <f t="shared" si="0"/>
        <v>18</v>
      </c>
      <c r="F11" s="9" t="s">
        <v>81</v>
      </c>
      <c r="G11" s="9" t="s">
        <v>54</v>
      </c>
      <c r="H11" s="31" t="s">
        <v>358</v>
      </c>
    </row>
    <row r="12" spans="1:8" s="48" customFormat="1" x14ac:dyDescent="0.25">
      <c r="A12" s="51" t="s">
        <v>74</v>
      </c>
      <c r="B12" s="31" t="s">
        <v>64</v>
      </c>
      <c r="C12" s="37" t="str">
        <f t="shared" si="1"/>
        <v>Rough SawingPM10</v>
      </c>
      <c r="D12" s="93">
        <v>1.89</v>
      </c>
      <c r="E12" s="73">
        <f t="shared" si="0"/>
        <v>1.89</v>
      </c>
      <c r="F12" s="9" t="s">
        <v>81</v>
      </c>
      <c r="G12" s="9" t="s">
        <v>54</v>
      </c>
      <c r="H12" s="31" t="s">
        <v>358</v>
      </c>
    </row>
    <row r="13" spans="1:8" s="48" customFormat="1" x14ac:dyDescent="0.25">
      <c r="A13" s="51" t="s">
        <v>74</v>
      </c>
      <c r="B13" s="31" t="s">
        <v>65</v>
      </c>
      <c r="C13" s="37" t="str">
        <f t="shared" si="1"/>
        <v>Rough SawingPM2.5</v>
      </c>
      <c r="D13" s="93">
        <f>D12*0.37</f>
        <v>0.69929999999999992</v>
      </c>
      <c r="E13" s="73">
        <f t="shared" si="0"/>
        <v>0.69929999999999992</v>
      </c>
      <c r="F13" s="9" t="s">
        <v>81</v>
      </c>
      <c r="G13" s="9" t="s">
        <v>54</v>
      </c>
      <c r="H13" s="31" t="s">
        <v>358</v>
      </c>
    </row>
    <row r="14" spans="1:8" s="48" customFormat="1" x14ac:dyDescent="0.25">
      <c r="A14" s="51" t="s">
        <v>75</v>
      </c>
      <c r="B14" s="31" t="s">
        <v>58</v>
      </c>
      <c r="C14" s="37" t="str">
        <f t="shared" si="1"/>
        <v>Fine SawingTotal PM</v>
      </c>
      <c r="D14" s="93">
        <v>31</v>
      </c>
      <c r="E14" s="73">
        <f t="shared" si="0"/>
        <v>31</v>
      </c>
      <c r="F14" s="9" t="s">
        <v>81</v>
      </c>
      <c r="G14" s="9" t="s">
        <v>54</v>
      </c>
      <c r="H14" s="31" t="s">
        <v>358</v>
      </c>
    </row>
    <row r="15" spans="1:8" s="48" customFormat="1" x14ac:dyDescent="0.25">
      <c r="A15" s="51" t="s">
        <v>75</v>
      </c>
      <c r="B15" s="31" t="s">
        <v>64</v>
      </c>
      <c r="C15" s="37" t="str">
        <f t="shared" si="1"/>
        <v>Fine SawingPM10</v>
      </c>
      <c r="D15" s="93">
        <v>0.37</v>
      </c>
      <c r="E15" s="73">
        <f t="shared" si="0"/>
        <v>0.37</v>
      </c>
      <c r="F15" s="9" t="s">
        <v>81</v>
      </c>
      <c r="G15" s="9" t="s">
        <v>54</v>
      </c>
      <c r="H15" s="31" t="s">
        <v>358</v>
      </c>
    </row>
    <row r="16" spans="1:8" s="48" customFormat="1" x14ac:dyDescent="0.25">
      <c r="A16" s="51" t="s">
        <v>75</v>
      </c>
      <c r="B16" s="31" t="s">
        <v>65</v>
      </c>
      <c r="C16" s="37" t="str">
        <f t="shared" si="1"/>
        <v>Fine SawingPM2.5</v>
      </c>
      <c r="D16" s="73">
        <f>D15*0.37</f>
        <v>0.13689999999999999</v>
      </c>
      <c r="E16" s="73">
        <f t="shared" si="0"/>
        <v>0.13689999999999999</v>
      </c>
      <c r="F16" s="9" t="s">
        <v>81</v>
      </c>
      <c r="G16" s="9" t="s">
        <v>54</v>
      </c>
      <c r="H16" s="31" t="s">
        <v>358</v>
      </c>
    </row>
    <row r="17" spans="1:8" s="48" customFormat="1" ht="14.25" customHeight="1" x14ac:dyDescent="0.25">
      <c r="A17" s="51" t="s">
        <v>76</v>
      </c>
      <c r="B17" s="31" t="s">
        <v>58</v>
      </c>
      <c r="C17" s="37" t="str">
        <f t="shared" si="1"/>
        <v>Milling (and Hog)Total PM</v>
      </c>
      <c r="D17" s="93">
        <v>10</v>
      </c>
      <c r="E17" s="73">
        <f t="shared" si="0"/>
        <v>10</v>
      </c>
      <c r="F17" s="9" t="s">
        <v>81</v>
      </c>
      <c r="G17" s="9" t="s">
        <v>54</v>
      </c>
      <c r="H17" s="31" t="s">
        <v>358</v>
      </c>
    </row>
    <row r="18" spans="1:8" s="48" customFormat="1" ht="14.25" customHeight="1" x14ac:dyDescent="0.25">
      <c r="A18" s="51" t="s">
        <v>76</v>
      </c>
      <c r="B18" s="31" t="s">
        <v>64</v>
      </c>
      <c r="C18" s="37" t="str">
        <f t="shared" si="1"/>
        <v>Milling (and Hog)PM10</v>
      </c>
      <c r="D18" s="93">
        <v>0</v>
      </c>
      <c r="E18" s="73">
        <f t="shared" si="0"/>
        <v>0</v>
      </c>
      <c r="F18" s="9" t="s">
        <v>81</v>
      </c>
      <c r="G18" s="9" t="s">
        <v>54</v>
      </c>
      <c r="H18" s="31" t="s">
        <v>358</v>
      </c>
    </row>
    <row r="19" spans="1:8" s="48" customFormat="1" ht="14.25" customHeight="1" x14ac:dyDescent="0.25">
      <c r="A19" s="51" t="s">
        <v>76</v>
      </c>
      <c r="B19" s="31" t="s">
        <v>65</v>
      </c>
      <c r="C19" s="37" t="str">
        <f t="shared" si="1"/>
        <v>Milling (and Hog)PM2.5</v>
      </c>
      <c r="D19" s="93">
        <v>0</v>
      </c>
      <c r="E19" s="73">
        <f t="shared" si="0"/>
        <v>0</v>
      </c>
      <c r="F19" s="9" t="s">
        <v>81</v>
      </c>
      <c r="G19" s="9" t="s">
        <v>54</v>
      </c>
      <c r="H19" s="31" t="s">
        <v>358</v>
      </c>
    </row>
    <row r="20" spans="1:8" s="48" customFormat="1" ht="14.25" customHeight="1" x14ac:dyDescent="0.25">
      <c r="A20" s="51" t="s">
        <v>77</v>
      </c>
      <c r="B20" s="31" t="s">
        <v>58</v>
      </c>
      <c r="C20" s="37" t="str">
        <f t="shared" si="1"/>
        <v>MoldingTotal PM</v>
      </c>
      <c r="D20" s="93">
        <v>5.2</v>
      </c>
      <c r="E20" s="73">
        <f t="shared" si="0"/>
        <v>5.2</v>
      </c>
      <c r="F20" s="9" t="s">
        <v>81</v>
      </c>
      <c r="G20" s="9" t="s">
        <v>54</v>
      </c>
      <c r="H20" s="31" t="s">
        <v>358</v>
      </c>
    </row>
    <row r="21" spans="1:8" s="48" customFormat="1" ht="14.25" customHeight="1" x14ac:dyDescent="0.25">
      <c r="A21" s="51" t="s">
        <v>77</v>
      </c>
      <c r="B21" s="31" t="s">
        <v>64</v>
      </c>
      <c r="C21" s="37" t="str">
        <f t="shared" si="1"/>
        <v>MoldingPM10</v>
      </c>
      <c r="D21" s="93">
        <v>0</v>
      </c>
      <c r="E21" s="73">
        <f t="shared" si="0"/>
        <v>0</v>
      </c>
      <c r="F21" s="9" t="s">
        <v>81</v>
      </c>
      <c r="G21" s="9" t="s">
        <v>54</v>
      </c>
      <c r="H21" s="31" t="s">
        <v>358</v>
      </c>
    </row>
    <row r="22" spans="1:8" s="48" customFormat="1" ht="14.25" customHeight="1" x14ac:dyDescent="0.25">
      <c r="A22" s="51" t="s">
        <v>77</v>
      </c>
      <c r="B22" s="31" t="s">
        <v>65</v>
      </c>
      <c r="C22" s="37" t="str">
        <f t="shared" si="1"/>
        <v>MoldingPM2.5</v>
      </c>
      <c r="D22" s="93">
        <v>0</v>
      </c>
      <c r="E22" s="73">
        <f t="shared" si="0"/>
        <v>0</v>
      </c>
      <c r="F22" s="9" t="s">
        <v>81</v>
      </c>
      <c r="G22" s="9" t="s">
        <v>54</v>
      </c>
      <c r="H22" s="31" t="s">
        <v>358</v>
      </c>
    </row>
    <row r="23" spans="1:8" s="48" customFormat="1" ht="14.25" customHeight="1" x14ac:dyDescent="0.25">
      <c r="A23" s="52" t="s">
        <v>78</v>
      </c>
      <c r="B23" s="31" t="s">
        <v>58</v>
      </c>
      <c r="C23" s="37" t="str">
        <f t="shared" si="1"/>
        <v>SandingTotal PM</v>
      </c>
      <c r="D23" s="93">
        <v>76</v>
      </c>
      <c r="E23" s="73">
        <f t="shared" si="0"/>
        <v>76</v>
      </c>
      <c r="F23" s="9" t="s">
        <v>81</v>
      </c>
      <c r="G23" s="9" t="s">
        <v>54</v>
      </c>
      <c r="H23" s="31" t="s">
        <v>358</v>
      </c>
    </row>
    <row r="24" spans="1:8" s="48" customFormat="1" ht="14.25" customHeight="1" x14ac:dyDescent="0.25">
      <c r="A24" s="52" t="s">
        <v>78</v>
      </c>
      <c r="B24" s="31" t="s">
        <v>64</v>
      </c>
      <c r="C24" s="37" t="str">
        <f t="shared" si="1"/>
        <v>SandingPM10</v>
      </c>
      <c r="D24" s="93">
        <v>23.8</v>
      </c>
      <c r="E24" s="73">
        <f t="shared" si="0"/>
        <v>23.8</v>
      </c>
      <c r="F24" s="9" t="s">
        <v>81</v>
      </c>
      <c r="G24" s="9" t="s">
        <v>54</v>
      </c>
      <c r="H24" s="31" t="s">
        <v>358</v>
      </c>
    </row>
    <row r="25" spans="1:8" s="48" customFormat="1" ht="14.25" customHeight="1" x14ac:dyDescent="0.25">
      <c r="A25" s="52" t="s">
        <v>78</v>
      </c>
      <c r="B25" s="31" t="s">
        <v>65</v>
      </c>
      <c r="C25" s="37" t="str">
        <f t="shared" si="1"/>
        <v>SandingPM2.5</v>
      </c>
      <c r="D25" s="73">
        <f>D24*0.37</f>
        <v>8.8060000000000009</v>
      </c>
      <c r="E25" s="73">
        <f t="shared" si="0"/>
        <v>8.8060000000000009</v>
      </c>
      <c r="F25" s="9" t="s">
        <v>81</v>
      </c>
      <c r="G25" s="9" t="s">
        <v>54</v>
      </c>
      <c r="H25" s="31" t="s">
        <v>358</v>
      </c>
    </row>
    <row r="26" spans="1:8" s="48" customFormat="1" x14ac:dyDescent="0.25">
      <c r="A26" s="450" t="s">
        <v>80</v>
      </c>
      <c r="B26" s="450"/>
      <c r="C26" s="450"/>
      <c r="D26" s="450"/>
      <c r="E26" s="450"/>
      <c r="F26" s="450"/>
      <c r="G26" s="450"/>
      <c r="H26" s="450"/>
    </row>
    <row r="27" spans="1:8" s="48" customFormat="1" x14ac:dyDescent="0.25">
      <c r="A27" s="31" t="s">
        <v>72</v>
      </c>
      <c r="B27" s="31" t="s">
        <v>58</v>
      </c>
      <c r="C27" s="56" t="str">
        <f>A27&amp;B27</f>
        <v>PlaningTotal PM</v>
      </c>
      <c r="D27" s="93">
        <v>2.6</v>
      </c>
      <c r="E27" s="73">
        <f t="shared" ref="E27:E47" si="2">D27</f>
        <v>2.6</v>
      </c>
      <c r="F27" s="9" t="s">
        <v>81</v>
      </c>
      <c r="G27" s="9" t="s">
        <v>54</v>
      </c>
      <c r="H27" s="31" t="s">
        <v>358</v>
      </c>
    </row>
    <row r="28" spans="1:8" s="48" customFormat="1" x14ac:dyDescent="0.25">
      <c r="A28" s="31" t="s">
        <v>72</v>
      </c>
      <c r="B28" s="31" t="s">
        <v>64</v>
      </c>
      <c r="C28" s="56" t="str">
        <f t="shared" ref="C28:C47" si="3">A28&amp;B28</f>
        <v>PlaningPM10</v>
      </c>
      <c r="D28" s="93">
        <v>0</v>
      </c>
      <c r="E28" s="73">
        <f t="shared" si="2"/>
        <v>0</v>
      </c>
      <c r="F28" s="9" t="s">
        <v>81</v>
      </c>
      <c r="G28" s="9" t="s">
        <v>54</v>
      </c>
      <c r="H28" s="31" t="s">
        <v>358</v>
      </c>
    </row>
    <row r="29" spans="1:8" s="48" customFormat="1" x14ac:dyDescent="0.25">
      <c r="A29" s="31" t="s">
        <v>72</v>
      </c>
      <c r="B29" s="31" t="s">
        <v>65</v>
      </c>
      <c r="C29" s="56" t="str">
        <f t="shared" si="3"/>
        <v>PlaningPM2.5</v>
      </c>
      <c r="D29" s="73">
        <f>D28*0.37</f>
        <v>0</v>
      </c>
      <c r="E29" s="73">
        <f t="shared" si="2"/>
        <v>0</v>
      </c>
      <c r="F29" s="9" t="s">
        <v>81</v>
      </c>
      <c r="G29" s="9" t="s">
        <v>54</v>
      </c>
      <c r="H29" s="31" t="s">
        <v>358</v>
      </c>
    </row>
    <row r="30" spans="1:8" s="48" customFormat="1" x14ac:dyDescent="0.25">
      <c r="A30" s="37" t="s">
        <v>73</v>
      </c>
      <c r="B30" s="31" t="s">
        <v>58</v>
      </c>
      <c r="C30" s="56" t="str">
        <f t="shared" si="3"/>
        <v>Shaving/ChippingTotal PM</v>
      </c>
      <c r="D30" s="73">
        <v>0.56000000000000005</v>
      </c>
      <c r="E30" s="73">
        <f t="shared" si="2"/>
        <v>0.56000000000000005</v>
      </c>
      <c r="F30" s="9" t="s">
        <v>81</v>
      </c>
      <c r="G30" s="9" t="s">
        <v>54</v>
      </c>
      <c r="H30" s="31" t="s">
        <v>358</v>
      </c>
    </row>
    <row r="31" spans="1:8" s="48" customFormat="1" x14ac:dyDescent="0.25">
      <c r="A31" s="37" t="s">
        <v>73</v>
      </c>
      <c r="B31" s="31" t="s">
        <v>64</v>
      </c>
      <c r="C31" s="56" t="str">
        <f t="shared" si="3"/>
        <v>Shaving/ChippingPM10</v>
      </c>
      <c r="D31" s="93">
        <v>0</v>
      </c>
      <c r="E31" s="73">
        <f t="shared" si="2"/>
        <v>0</v>
      </c>
      <c r="F31" s="9" t="s">
        <v>81</v>
      </c>
      <c r="G31" s="9" t="s">
        <v>54</v>
      </c>
      <c r="H31" s="31" t="s">
        <v>358</v>
      </c>
    </row>
    <row r="32" spans="1:8" s="48" customFormat="1" x14ac:dyDescent="0.25">
      <c r="A32" s="37" t="s">
        <v>73</v>
      </c>
      <c r="B32" s="31" t="s">
        <v>65</v>
      </c>
      <c r="C32" s="56" t="str">
        <f t="shared" si="3"/>
        <v>Shaving/ChippingPM2.5</v>
      </c>
      <c r="D32" s="73">
        <f>D31*0.37</f>
        <v>0</v>
      </c>
      <c r="E32" s="73">
        <f t="shared" si="2"/>
        <v>0</v>
      </c>
      <c r="F32" s="9" t="s">
        <v>81</v>
      </c>
      <c r="G32" s="9" t="s">
        <v>54</v>
      </c>
      <c r="H32" s="31" t="s">
        <v>358</v>
      </c>
    </row>
    <row r="33" spans="1:8" s="48" customFormat="1" x14ac:dyDescent="0.25">
      <c r="A33" s="51" t="s">
        <v>74</v>
      </c>
      <c r="B33" s="31" t="s">
        <v>58</v>
      </c>
      <c r="C33" s="56" t="str">
        <f t="shared" si="3"/>
        <v>Rough SawingTotal PM</v>
      </c>
      <c r="D33" s="93">
        <v>18</v>
      </c>
      <c r="E33" s="73">
        <f t="shared" si="2"/>
        <v>18</v>
      </c>
      <c r="F33" s="9" t="s">
        <v>81</v>
      </c>
      <c r="G33" s="9" t="s">
        <v>54</v>
      </c>
      <c r="H33" s="31" t="s">
        <v>358</v>
      </c>
    </row>
    <row r="34" spans="1:8" s="48" customFormat="1" x14ac:dyDescent="0.25">
      <c r="A34" s="51" t="s">
        <v>74</v>
      </c>
      <c r="B34" s="31" t="s">
        <v>64</v>
      </c>
      <c r="C34" s="56" t="str">
        <f t="shared" si="3"/>
        <v>Rough SawingPM10</v>
      </c>
      <c r="D34" s="93">
        <v>1.89</v>
      </c>
      <c r="E34" s="73">
        <f t="shared" si="2"/>
        <v>1.89</v>
      </c>
      <c r="F34" s="9" t="s">
        <v>81</v>
      </c>
      <c r="G34" s="9" t="s">
        <v>54</v>
      </c>
      <c r="H34" s="31" t="s">
        <v>358</v>
      </c>
    </row>
    <row r="35" spans="1:8" s="48" customFormat="1" x14ac:dyDescent="0.25">
      <c r="A35" s="51" t="s">
        <v>74</v>
      </c>
      <c r="B35" s="31" t="s">
        <v>65</v>
      </c>
      <c r="C35" s="56" t="str">
        <f t="shared" si="3"/>
        <v>Rough SawingPM2.5</v>
      </c>
      <c r="D35" s="73">
        <f>D34*0.37</f>
        <v>0.69929999999999992</v>
      </c>
      <c r="E35" s="73">
        <f t="shared" si="2"/>
        <v>0.69929999999999992</v>
      </c>
      <c r="F35" s="9" t="s">
        <v>81</v>
      </c>
      <c r="G35" s="9" t="s">
        <v>54</v>
      </c>
      <c r="H35" s="31" t="s">
        <v>358</v>
      </c>
    </row>
    <row r="36" spans="1:8" s="48" customFormat="1" x14ac:dyDescent="0.25">
      <c r="A36" s="51" t="s">
        <v>75</v>
      </c>
      <c r="B36" s="31" t="s">
        <v>58</v>
      </c>
      <c r="C36" s="56" t="str">
        <f t="shared" si="3"/>
        <v>Fine SawingTotal PM</v>
      </c>
      <c r="D36" s="93">
        <v>31</v>
      </c>
      <c r="E36" s="73">
        <f t="shared" si="2"/>
        <v>31</v>
      </c>
      <c r="F36" s="9" t="s">
        <v>81</v>
      </c>
      <c r="G36" s="9" t="s">
        <v>54</v>
      </c>
      <c r="H36" s="31" t="s">
        <v>358</v>
      </c>
    </row>
    <row r="37" spans="1:8" s="48" customFormat="1" x14ac:dyDescent="0.25">
      <c r="A37" s="51" t="s">
        <v>75</v>
      </c>
      <c r="B37" s="31" t="s">
        <v>64</v>
      </c>
      <c r="C37" s="56" t="str">
        <f t="shared" si="3"/>
        <v>Fine SawingPM10</v>
      </c>
      <c r="D37" s="93">
        <v>0.37</v>
      </c>
      <c r="E37" s="73">
        <f t="shared" si="2"/>
        <v>0.37</v>
      </c>
      <c r="F37" s="9" t="s">
        <v>81</v>
      </c>
      <c r="G37" s="9" t="s">
        <v>54</v>
      </c>
      <c r="H37" s="31" t="s">
        <v>358</v>
      </c>
    </row>
    <row r="38" spans="1:8" s="48" customFormat="1" x14ac:dyDescent="0.25">
      <c r="A38" s="51" t="s">
        <v>75</v>
      </c>
      <c r="B38" s="31" t="s">
        <v>65</v>
      </c>
      <c r="C38" s="56" t="str">
        <f t="shared" si="3"/>
        <v>Fine SawingPM2.5</v>
      </c>
      <c r="D38" s="73">
        <f>D37*0.37</f>
        <v>0.13689999999999999</v>
      </c>
      <c r="E38" s="73">
        <f t="shared" si="2"/>
        <v>0.13689999999999999</v>
      </c>
      <c r="F38" s="9" t="s">
        <v>81</v>
      </c>
      <c r="G38" s="9" t="s">
        <v>54</v>
      </c>
      <c r="H38" s="31" t="s">
        <v>358</v>
      </c>
    </row>
    <row r="39" spans="1:8" s="48" customFormat="1" x14ac:dyDescent="0.25">
      <c r="A39" s="51" t="s">
        <v>76</v>
      </c>
      <c r="B39" s="31" t="s">
        <v>58</v>
      </c>
      <c r="C39" s="56" t="str">
        <f t="shared" si="3"/>
        <v>Milling (and Hog)Total PM</v>
      </c>
      <c r="D39" s="93">
        <v>10</v>
      </c>
      <c r="E39" s="73">
        <f t="shared" si="2"/>
        <v>10</v>
      </c>
      <c r="F39" s="9" t="s">
        <v>81</v>
      </c>
      <c r="G39" s="9" t="s">
        <v>54</v>
      </c>
      <c r="H39" s="31" t="s">
        <v>358</v>
      </c>
    </row>
    <row r="40" spans="1:8" s="48" customFormat="1" x14ac:dyDescent="0.25">
      <c r="A40" s="51" t="s">
        <v>76</v>
      </c>
      <c r="B40" s="31" t="s">
        <v>64</v>
      </c>
      <c r="C40" s="56" t="str">
        <f t="shared" si="3"/>
        <v>Milling (and Hog)PM10</v>
      </c>
      <c r="D40" s="93">
        <v>0</v>
      </c>
      <c r="E40" s="73">
        <f t="shared" si="2"/>
        <v>0</v>
      </c>
      <c r="F40" s="9" t="s">
        <v>81</v>
      </c>
      <c r="G40" s="9" t="s">
        <v>54</v>
      </c>
      <c r="H40" s="31" t="s">
        <v>358</v>
      </c>
    </row>
    <row r="41" spans="1:8" s="48" customFormat="1" x14ac:dyDescent="0.25">
      <c r="A41" s="51" t="s">
        <v>76</v>
      </c>
      <c r="B41" s="31" t="s">
        <v>65</v>
      </c>
      <c r="C41" s="56" t="str">
        <f t="shared" si="3"/>
        <v>Milling (and Hog)PM2.5</v>
      </c>
      <c r="D41" s="73">
        <f>D40*0.37</f>
        <v>0</v>
      </c>
      <c r="E41" s="73">
        <f t="shared" si="2"/>
        <v>0</v>
      </c>
      <c r="F41" s="9" t="s">
        <v>81</v>
      </c>
      <c r="G41" s="9" t="s">
        <v>54</v>
      </c>
      <c r="H41" s="31" t="s">
        <v>358</v>
      </c>
    </row>
    <row r="42" spans="1:8" s="48" customFormat="1" x14ac:dyDescent="0.25">
      <c r="A42" s="51" t="s">
        <v>77</v>
      </c>
      <c r="B42" s="31" t="s">
        <v>58</v>
      </c>
      <c r="C42" s="56" t="str">
        <f t="shared" si="3"/>
        <v>MoldingTotal PM</v>
      </c>
      <c r="D42" s="93">
        <v>5.2</v>
      </c>
      <c r="E42" s="73">
        <f t="shared" si="2"/>
        <v>5.2</v>
      </c>
      <c r="F42" s="9" t="s">
        <v>81</v>
      </c>
      <c r="G42" s="9" t="s">
        <v>54</v>
      </c>
      <c r="H42" s="31" t="s">
        <v>358</v>
      </c>
    </row>
    <row r="43" spans="1:8" s="48" customFormat="1" x14ac:dyDescent="0.25">
      <c r="A43" s="51" t="s">
        <v>77</v>
      </c>
      <c r="B43" s="31" t="s">
        <v>64</v>
      </c>
      <c r="C43" s="56" t="str">
        <f t="shared" si="3"/>
        <v>MoldingPM10</v>
      </c>
      <c r="D43" s="93">
        <v>0</v>
      </c>
      <c r="E43" s="73">
        <f t="shared" si="2"/>
        <v>0</v>
      </c>
      <c r="F43" s="9" t="s">
        <v>81</v>
      </c>
      <c r="G43" s="9" t="s">
        <v>54</v>
      </c>
      <c r="H43" s="31" t="s">
        <v>358</v>
      </c>
    </row>
    <row r="44" spans="1:8" s="48" customFormat="1" x14ac:dyDescent="0.25">
      <c r="A44" s="51" t="s">
        <v>77</v>
      </c>
      <c r="B44" s="31" t="s">
        <v>65</v>
      </c>
      <c r="C44" s="56" t="str">
        <f t="shared" si="3"/>
        <v>MoldingPM2.5</v>
      </c>
      <c r="D44" s="73">
        <f>D43*0.37</f>
        <v>0</v>
      </c>
      <c r="E44" s="73">
        <f t="shared" si="2"/>
        <v>0</v>
      </c>
      <c r="F44" s="9" t="s">
        <v>81</v>
      </c>
      <c r="G44" s="9" t="s">
        <v>54</v>
      </c>
      <c r="H44" s="31" t="s">
        <v>358</v>
      </c>
    </row>
    <row r="45" spans="1:8" s="48" customFormat="1" x14ac:dyDescent="0.25">
      <c r="A45" s="52" t="s">
        <v>78</v>
      </c>
      <c r="B45" s="31" t="s">
        <v>58</v>
      </c>
      <c r="C45" s="56" t="str">
        <f t="shared" si="3"/>
        <v>SandingTotal PM</v>
      </c>
      <c r="D45" s="93">
        <v>76</v>
      </c>
      <c r="E45" s="73">
        <f t="shared" si="2"/>
        <v>76</v>
      </c>
      <c r="F45" s="9" t="s">
        <v>81</v>
      </c>
      <c r="G45" s="9" t="s">
        <v>54</v>
      </c>
      <c r="H45" s="31" t="s">
        <v>358</v>
      </c>
    </row>
    <row r="46" spans="1:8" s="48" customFormat="1" x14ac:dyDescent="0.25">
      <c r="A46" s="52" t="s">
        <v>78</v>
      </c>
      <c r="B46" s="31" t="s">
        <v>64</v>
      </c>
      <c r="C46" s="56" t="str">
        <f t="shared" si="3"/>
        <v>SandingPM10</v>
      </c>
      <c r="D46" s="93">
        <v>23.8</v>
      </c>
      <c r="E46" s="73">
        <f t="shared" si="2"/>
        <v>23.8</v>
      </c>
      <c r="F46" s="9" t="s">
        <v>81</v>
      </c>
      <c r="G46" s="9" t="s">
        <v>54</v>
      </c>
      <c r="H46" s="31" t="s">
        <v>358</v>
      </c>
    </row>
    <row r="47" spans="1:8" s="48" customFormat="1" x14ac:dyDescent="0.25">
      <c r="A47" s="52" t="s">
        <v>78</v>
      </c>
      <c r="B47" s="31" t="s">
        <v>65</v>
      </c>
      <c r="C47" s="56" t="str">
        <f t="shared" si="3"/>
        <v>SandingPM2.5</v>
      </c>
      <c r="D47" s="73">
        <f>D46*0.37</f>
        <v>8.8060000000000009</v>
      </c>
      <c r="E47" s="73">
        <f t="shared" si="2"/>
        <v>8.8060000000000009</v>
      </c>
      <c r="F47" s="9" t="s">
        <v>81</v>
      </c>
      <c r="G47" s="9" t="s">
        <v>54</v>
      </c>
      <c r="H47" s="31" t="s">
        <v>358</v>
      </c>
    </row>
    <row r="48" spans="1:8" s="48" customFormat="1" ht="14.25" customHeight="1" x14ac:dyDescent="0.25">
      <c r="A48" s="452" t="s">
        <v>87</v>
      </c>
      <c r="B48" s="452"/>
      <c r="C48" s="452"/>
      <c r="D48" s="452"/>
      <c r="E48" s="452"/>
      <c r="F48" s="452"/>
      <c r="G48" s="452"/>
      <c r="H48" s="452"/>
    </row>
    <row r="49" spans="1:8" s="48" customFormat="1" x14ac:dyDescent="0.25">
      <c r="A49" s="60" t="s">
        <v>105</v>
      </c>
      <c r="B49" s="61" t="s">
        <v>86</v>
      </c>
      <c r="C49" s="61" t="str">
        <f t="shared" ref="C49:C111" si="4">A49&amp;B49</f>
        <v>Coal - BituminousVOC</v>
      </c>
      <c r="D49" s="62">
        <v>0.05</v>
      </c>
      <c r="E49" s="62">
        <f t="shared" ref="E49:E111" si="5">D49</f>
        <v>0.05</v>
      </c>
      <c r="F49" s="63" t="s">
        <v>98</v>
      </c>
      <c r="G49" s="63" t="s">
        <v>99</v>
      </c>
      <c r="H49" s="64" t="s">
        <v>100</v>
      </c>
    </row>
    <row r="50" spans="1:8" s="48" customFormat="1" ht="15.6" x14ac:dyDescent="0.25">
      <c r="A50" s="60" t="s">
        <v>105</v>
      </c>
      <c r="B50" s="63" t="s">
        <v>101</v>
      </c>
      <c r="C50" s="61" t="str">
        <f t="shared" si="4"/>
        <v>Coal - BituminousNOx</v>
      </c>
      <c r="D50" s="62">
        <v>11</v>
      </c>
      <c r="E50" s="62">
        <f t="shared" si="5"/>
        <v>11</v>
      </c>
      <c r="F50" s="63" t="s">
        <v>98</v>
      </c>
      <c r="G50" s="63" t="s">
        <v>99</v>
      </c>
      <c r="H50" s="64" t="s">
        <v>100</v>
      </c>
    </row>
    <row r="51" spans="1:8" s="48" customFormat="1" x14ac:dyDescent="0.25">
      <c r="A51" s="60" t="s">
        <v>105</v>
      </c>
      <c r="B51" s="63" t="s">
        <v>85</v>
      </c>
      <c r="C51" s="61" t="str">
        <f t="shared" si="4"/>
        <v>Coal - BituminousCO</v>
      </c>
      <c r="D51" s="62">
        <v>5</v>
      </c>
      <c r="E51" s="62">
        <f t="shared" si="5"/>
        <v>5</v>
      </c>
      <c r="F51" s="63" t="s">
        <v>98</v>
      </c>
      <c r="G51" s="63" t="s">
        <v>99</v>
      </c>
      <c r="H51" s="64" t="s">
        <v>100</v>
      </c>
    </row>
    <row r="52" spans="1:8" s="48" customFormat="1" ht="15.6" x14ac:dyDescent="0.25">
      <c r="A52" s="60" t="s">
        <v>105</v>
      </c>
      <c r="B52" s="63" t="s">
        <v>102</v>
      </c>
      <c r="C52" s="61" t="str">
        <f t="shared" si="4"/>
        <v>Coal - BituminousSO2</v>
      </c>
      <c r="D52" s="65">
        <f>IF(Boiler_Sulfur_Content = 0, 38*Bituminous_Actual_Sulfur_Content,38*Boiler_Sulfur_Content)</f>
        <v>38</v>
      </c>
      <c r="E52" s="62">
        <f>IF(D52&gt;38*Bituminous_Allowable_Sulfur_Content,D52,38*Bituminous_Allowable_Sulfur_Content)</f>
        <v>38</v>
      </c>
      <c r="F52" s="63" t="s">
        <v>98</v>
      </c>
      <c r="G52" s="63" t="s">
        <v>99</v>
      </c>
      <c r="H52" s="64" t="s">
        <v>100</v>
      </c>
    </row>
    <row r="53" spans="1:8" s="48" customFormat="1" x14ac:dyDescent="0.25">
      <c r="A53" s="60" t="s">
        <v>105</v>
      </c>
      <c r="B53" s="63" t="s">
        <v>58</v>
      </c>
      <c r="C53" s="61" t="str">
        <f t="shared" si="4"/>
        <v>Coal - BituminousTotal PM</v>
      </c>
      <c r="D53" s="62">
        <f>D54/0.28</f>
        <v>46.571428571428562</v>
      </c>
      <c r="E53" s="62">
        <f t="shared" si="5"/>
        <v>46.571428571428562</v>
      </c>
      <c r="F53" s="63" t="s">
        <v>98</v>
      </c>
      <c r="G53" s="63" t="s">
        <v>99</v>
      </c>
      <c r="H53" s="64" t="s">
        <v>106</v>
      </c>
    </row>
    <row r="54" spans="1:8" s="48" customFormat="1" ht="15.6" x14ac:dyDescent="0.25">
      <c r="A54" s="60" t="s">
        <v>105</v>
      </c>
      <c r="B54" s="63" t="s">
        <v>103</v>
      </c>
      <c r="C54" s="61" t="str">
        <f t="shared" si="4"/>
        <v>Coal - BituminousPM10</v>
      </c>
      <c r="D54" s="62">
        <v>13.04</v>
      </c>
      <c r="E54" s="62">
        <f t="shared" si="5"/>
        <v>13.04</v>
      </c>
      <c r="F54" s="63" t="s">
        <v>98</v>
      </c>
      <c r="G54" s="63" t="s">
        <v>99</v>
      </c>
      <c r="H54" s="64" t="s">
        <v>100</v>
      </c>
    </row>
    <row r="55" spans="1:8" s="48" customFormat="1" ht="15.6" x14ac:dyDescent="0.25">
      <c r="A55" s="60" t="s">
        <v>105</v>
      </c>
      <c r="B55" s="63" t="s">
        <v>104</v>
      </c>
      <c r="C55" s="61" t="str">
        <f t="shared" si="4"/>
        <v>Coal - BituminousPM2.5</v>
      </c>
      <c r="D55" s="62">
        <v>2.44</v>
      </c>
      <c r="E55" s="62">
        <f t="shared" si="5"/>
        <v>2.44</v>
      </c>
      <c r="F55" s="63" t="s">
        <v>98</v>
      </c>
      <c r="G55" s="63" t="s">
        <v>99</v>
      </c>
      <c r="H55" s="64" t="s">
        <v>100</v>
      </c>
    </row>
    <row r="56" spans="1:8" s="48" customFormat="1" x14ac:dyDescent="0.25">
      <c r="A56" s="60" t="s">
        <v>107</v>
      </c>
      <c r="B56" s="61" t="s">
        <v>86</v>
      </c>
      <c r="C56" s="61" t="str">
        <f t="shared" si="4"/>
        <v>Coal - SubbituminousVOC</v>
      </c>
      <c r="D56" s="62">
        <v>0.05</v>
      </c>
      <c r="E56" s="62">
        <f t="shared" si="5"/>
        <v>0.05</v>
      </c>
      <c r="F56" s="63" t="s">
        <v>98</v>
      </c>
      <c r="G56" s="63" t="s">
        <v>99</v>
      </c>
      <c r="H56" s="64" t="s">
        <v>100</v>
      </c>
    </row>
    <row r="57" spans="1:8" s="48" customFormat="1" ht="15.6" x14ac:dyDescent="0.25">
      <c r="A57" s="60" t="s">
        <v>107</v>
      </c>
      <c r="B57" s="63" t="s">
        <v>101</v>
      </c>
      <c r="C57" s="61" t="str">
        <f t="shared" si="4"/>
        <v>Coal - SubbituminousNOx</v>
      </c>
      <c r="D57" s="62">
        <v>8.8000000000000007</v>
      </c>
      <c r="E57" s="62">
        <f t="shared" si="5"/>
        <v>8.8000000000000007</v>
      </c>
      <c r="F57" s="63" t="s">
        <v>98</v>
      </c>
      <c r="G57" s="63" t="s">
        <v>99</v>
      </c>
      <c r="H57" s="64" t="s">
        <v>108</v>
      </c>
    </row>
    <row r="58" spans="1:8" s="48" customFormat="1" x14ac:dyDescent="0.25">
      <c r="A58" s="60" t="s">
        <v>107</v>
      </c>
      <c r="B58" s="63" t="s">
        <v>85</v>
      </c>
      <c r="C58" s="61" t="str">
        <f t="shared" si="4"/>
        <v>Coal - SubbituminousCO</v>
      </c>
      <c r="D58" s="62">
        <v>5</v>
      </c>
      <c r="E58" s="62">
        <f t="shared" si="5"/>
        <v>5</v>
      </c>
      <c r="F58" s="63" t="s">
        <v>98</v>
      </c>
      <c r="G58" s="63" t="s">
        <v>99</v>
      </c>
      <c r="H58" s="64" t="s">
        <v>108</v>
      </c>
    </row>
    <row r="59" spans="1:8" s="48" customFormat="1" ht="15.6" x14ac:dyDescent="0.25">
      <c r="A59" s="60" t="s">
        <v>107</v>
      </c>
      <c r="B59" s="63" t="s">
        <v>102</v>
      </c>
      <c r="C59" s="61" t="str">
        <f t="shared" si="4"/>
        <v>Coal - SubbituminousSO2</v>
      </c>
      <c r="D59" s="65">
        <f>IF(Boiler_Sulfur_Content = 0, 35*Subbituminous_Actual_Sulfur_Content, 35*Boiler_Sulfur_Content)</f>
        <v>35</v>
      </c>
      <c r="E59" s="62">
        <f>IF(D59&gt;35*Subbituminous_Allowable_Sulfur_Content,D59,35*Subbituminous_Allowable_Sulfur_Content)</f>
        <v>35</v>
      </c>
      <c r="F59" s="63" t="s">
        <v>98</v>
      </c>
      <c r="G59" s="63" t="s">
        <v>99</v>
      </c>
      <c r="H59" s="64" t="s">
        <v>108</v>
      </c>
    </row>
    <row r="60" spans="1:8" s="48" customFormat="1" x14ac:dyDescent="0.25">
      <c r="A60" s="60" t="s">
        <v>107</v>
      </c>
      <c r="B60" s="63" t="s">
        <v>58</v>
      </c>
      <c r="C60" s="61" t="str">
        <f t="shared" si="4"/>
        <v>Coal - SubbituminousTotal PM</v>
      </c>
      <c r="D60" s="62">
        <f>D61/0.28</f>
        <v>46.571428571428562</v>
      </c>
      <c r="E60" s="62">
        <f t="shared" ref="E60:E62" si="6">D60</f>
        <v>46.571428571428562</v>
      </c>
      <c r="F60" s="63" t="s">
        <v>98</v>
      </c>
      <c r="G60" s="63" t="s">
        <v>99</v>
      </c>
      <c r="H60" s="64" t="s">
        <v>100</v>
      </c>
    </row>
    <row r="61" spans="1:8" s="48" customFormat="1" ht="15.6" x14ac:dyDescent="0.25">
      <c r="A61" s="60" t="s">
        <v>107</v>
      </c>
      <c r="B61" s="63" t="s">
        <v>103</v>
      </c>
      <c r="C61" s="61" t="str">
        <f t="shared" si="4"/>
        <v>Coal - SubbituminousPM10</v>
      </c>
      <c r="D61" s="62">
        <v>13.04</v>
      </c>
      <c r="E61" s="62">
        <f t="shared" si="6"/>
        <v>13.04</v>
      </c>
      <c r="F61" s="63" t="s">
        <v>98</v>
      </c>
      <c r="G61" s="63" t="s">
        <v>99</v>
      </c>
      <c r="H61" s="64" t="s">
        <v>100</v>
      </c>
    </row>
    <row r="62" spans="1:8" s="48" customFormat="1" ht="15.6" x14ac:dyDescent="0.25">
      <c r="A62" s="60" t="s">
        <v>107</v>
      </c>
      <c r="B62" s="63" t="s">
        <v>104</v>
      </c>
      <c r="C62" s="61" t="str">
        <f t="shared" si="4"/>
        <v>Coal - SubbituminousPM2.5</v>
      </c>
      <c r="D62" s="62">
        <v>2.44</v>
      </c>
      <c r="E62" s="62">
        <f t="shared" si="6"/>
        <v>2.44</v>
      </c>
      <c r="F62" s="63" t="s">
        <v>98</v>
      </c>
      <c r="G62" s="63" t="s">
        <v>99</v>
      </c>
      <c r="H62" s="64" t="s">
        <v>100</v>
      </c>
    </row>
    <row r="63" spans="1:8" s="48" customFormat="1" x14ac:dyDescent="0.25">
      <c r="A63" s="60" t="s">
        <v>109</v>
      </c>
      <c r="B63" s="61" t="s">
        <v>86</v>
      </c>
      <c r="C63" s="61" t="str">
        <f t="shared" si="4"/>
        <v>Oil - DistillateVOC</v>
      </c>
      <c r="D63" s="62">
        <v>0.2</v>
      </c>
      <c r="E63" s="62">
        <f t="shared" si="5"/>
        <v>0.2</v>
      </c>
      <c r="F63" s="63" t="s">
        <v>98</v>
      </c>
      <c r="G63" s="63" t="s">
        <v>110</v>
      </c>
      <c r="H63" s="64" t="s">
        <v>100</v>
      </c>
    </row>
    <row r="64" spans="1:8" s="48" customFormat="1" ht="15.6" x14ac:dyDescent="0.25">
      <c r="A64" s="60" t="s">
        <v>109</v>
      </c>
      <c r="B64" s="63" t="s">
        <v>101</v>
      </c>
      <c r="C64" s="61" t="str">
        <f t="shared" si="4"/>
        <v>Oil - DistillateNOx</v>
      </c>
      <c r="D64" s="62">
        <v>20</v>
      </c>
      <c r="E64" s="62">
        <f t="shared" si="5"/>
        <v>20</v>
      </c>
      <c r="F64" s="63" t="s">
        <v>98</v>
      </c>
      <c r="G64" s="63" t="s">
        <v>110</v>
      </c>
      <c r="H64" s="64" t="s">
        <v>100</v>
      </c>
    </row>
    <row r="65" spans="1:8" s="48" customFormat="1" x14ac:dyDescent="0.25">
      <c r="A65" s="60" t="s">
        <v>109</v>
      </c>
      <c r="B65" s="63" t="s">
        <v>85</v>
      </c>
      <c r="C65" s="61" t="str">
        <f t="shared" si="4"/>
        <v>Oil - DistillateCO</v>
      </c>
      <c r="D65" s="62">
        <v>5</v>
      </c>
      <c r="E65" s="62">
        <f t="shared" si="5"/>
        <v>5</v>
      </c>
      <c r="F65" s="63" t="s">
        <v>98</v>
      </c>
      <c r="G65" s="63" t="s">
        <v>110</v>
      </c>
      <c r="H65" s="64" t="s">
        <v>100</v>
      </c>
    </row>
    <row r="66" spans="1:8" s="48" customFormat="1" ht="15.6" x14ac:dyDescent="0.25">
      <c r="A66" s="60" t="s">
        <v>109</v>
      </c>
      <c r="B66" s="63" t="s">
        <v>102</v>
      </c>
      <c r="C66" s="61" t="str">
        <f t="shared" si="4"/>
        <v>Oil - DistillateSO2</v>
      </c>
      <c r="D66" s="65">
        <f>IF(Boiler_Sulfur_Content = 0, 142*Oil_Distillate_Actual_Sulfur_Content,142*Boiler_Sulfur_Content)</f>
        <v>34.08</v>
      </c>
      <c r="E66" s="62">
        <f>IF(D66&gt;142*Oil_Distillate_Allowable_Sulfur_Content,D66,142*Oil_Distillate_Allowable_Sulfur_Content)</f>
        <v>71</v>
      </c>
      <c r="F66" s="63" t="s">
        <v>98</v>
      </c>
      <c r="G66" s="63" t="s">
        <v>110</v>
      </c>
      <c r="H66" s="64" t="s">
        <v>100</v>
      </c>
    </row>
    <row r="67" spans="1:8" s="48" customFormat="1" x14ac:dyDescent="0.25">
      <c r="A67" s="60" t="s">
        <v>109</v>
      </c>
      <c r="B67" s="63" t="s">
        <v>58</v>
      </c>
      <c r="C67" s="61" t="str">
        <f t="shared" si="4"/>
        <v>Oil - DistillateTotal PM</v>
      </c>
      <c r="D67" s="62">
        <v>4.5999999999999996</v>
      </c>
      <c r="E67" s="62">
        <f t="shared" si="5"/>
        <v>4.5999999999999996</v>
      </c>
      <c r="F67" s="63" t="s">
        <v>98</v>
      </c>
      <c r="G67" s="63" t="s">
        <v>110</v>
      </c>
      <c r="H67" s="64" t="s">
        <v>100</v>
      </c>
    </row>
    <row r="68" spans="1:8" s="48" customFormat="1" ht="15.6" x14ac:dyDescent="0.25">
      <c r="A68" s="60" t="s">
        <v>109</v>
      </c>
      <c r="B68" s="63" t="s">
        <v>103</v>
      </c>
      <c r="C68" s="61" t="str">
        <f t="shared" si="4"/>
        <v>Oil - DistillatePM10</v>
      </c>
      <c r="D68" s="62">
        <v>2.2999999999999998</v>
      </c>
      <c r="E68" s="62">
        <f t="shared" si="5"/>
        <v>2.2999999999999998</v>
      </c>
      <c r="F68" s="63" t="s">
        <v>98</v>
      </c>
      <c r="G68" s="63" t="s">
        <v>110</v>
      </c>
      <c r="H68" s="64" t="s">
        <v>100</v>
      </c>
    </row>
    <row r="69" spans="1:8" s="48" customFormat="1" ht="15.6" x14ac:dyDescent="0.25">
      <c r="A69" s="60" t="s">
        <v>109</v>
      </c>
      <c r="B69" s="63" t="s">
        <v>104</v>
      </c>
      <c r="C69" s="61" t="str">
        <f t="shared" si="4"/>
        <v>Oil - DistillatePM2.5</v>
      </c>
      <c r="D69" s="62">
        <v>1.55</v>
      </c>
      <c r="E69" s="62">
        <f t="shared" si="5"/>
        <v>1.55</v>
      </c>
      <c r="F69" s="63" t="s">
        <v>98</v>
      </c>
      <c r="G69" s="63" t="s">
        <v>110</v>
      </c>
      <c r="H69" s="64" t="s">
        <v>100</v>
      </c>
    </row>
    <row r="70" spans="1:8" s="48" customFormat="1" x14ac:dyDescent="0.25">
      <c r="A70" s="60" t="s">
        <v>111</v>
      </c>
      <c r="B70" s="61" t="s">
        <v>86</v>
      </c>
      <c r="C70" s="61" t="str">
        <f t="shared" si="4"/>
        <v>Oil - ResidualVOC</v>
      </c>
      <c r="D70" s="62">
        <v>0.28000000000000003</v>
      </c>
      <c r="E70" s="62">
        <f t="shared" si="5"/>
        <v>0.28000000000000003</v>
      </c>
      <c r="F70" s="63" t="s">
        <v>98</v>
      </c>
      <c r="G70" s="63" t="s">
        <v>110</v>
      </c>
      <c r="H70" s="64" t="s">
        <v>100</v>
      </c>
    </row>
    <row r="71" spans="1:8" s="48" customFormat="1" ht="15.6" x14ac:dyDescent="0.25">
      <c r="A71" s="60" t="s">
        <v>111</v>
      </c>
      <c r="B71" s="63" t="s">
        <v>101</v>
      </c>
      <c r="C71" s="61" t="str">
        <f t="shared" si="4"/>
        <v>Oil - ResidualNOx</v>
      </c>
      <c r="D71" s="62">
        <v>55</v>
      </c>
      <c r="E71" s="62">
        <f t="shared" si="5"/>
        <v>55</v>
      </c>
      <c r="F71" s="63" t="s">
        <v>98</v>
      </c>
      <c r="G71" s="63" t="s">
        <v>110</v>
      </c>
      <c r="H71" s="64" t="s">
        <v>100</v>
      </c>
    </row>
    <row r="72" spans="1:8" s="48" customFormat="1" x14ac:dyDescent="0.25">
      <c r="A72" s="60" t="s">
        <v>111</v>
      </c>
      <c r="B72" s="63" t="s">
        <v>85</v>
      </c>
      <c r="C72" s="61" t="str">
        <f t="shared" si="4"/>
        <v>Oil - ResidualCO</v>
      </c>
      <c r="D72" s="62">
        <v>5</v>
      </c>
      <c r="E72" s="62">
        <f t="shared" si="5"/>
        <v>5</v>
      </c>
      <c r="F72" s="63" t="s">
        <v>98</v>
      </c>
      <c r="G72" s="63" t="s">
        <v>110</v>
      </c>
      <c r="H72" s="64" t="s">
        <v>100</v>
      </c>
    </row>
    <row r="73" spans="1:8" s="48" customFormat="1" ht="15.6" x14ac:dyDescent="0.25">
      <c r="A73" s="60" t="s">
        <v>111</v>
      </c>
      <c r="B73" s="63" t="s">
        <v>102</v>
      </c>
      <c r="C73" s="61" t="str">
        <f t="shared" si="4"/>
        <v>Oil - ResidualSO2</v>
      </c>
      <c r="D73" s="65">
        <f>IF(Boiler_Sulfur_Content = 0, 157*Oil_Residual_Actual_Sulfur_Content,157*Boiler_Sulfur_Content)</f>
        <v>157</v>
      </c>
      <c r="E73" s="62">
        <f>IF(D73&gt;157*Oil_Residual_Allowable_Sulfur_Content,D73,157*Oil_Residual_Allowable_Sulfur_Content)</f>
        <v>274.75</v>
      </c>
      <c r="F73" s="63" t="s">
        <v>98</v>
      </c>
      <c r="G73" s="63" t="s">
        <v>110</v>
      </c>
      <c r="H73" s="64" t="s">
        <v>100</v>
      </c>
    </row>
    <row r="74" spans="1:8" s="48" customFormat="1" x14ac:dyDescent="0.25">
      <c r="A74" s="60" t="s">
        <v>111</v>
      </c>
      <c r="B74" s="63" t="s">
        <v>58</v>
      </c>
      <c r="C74" s="61" t="str">
        <f t="shared" si="4"/>
        <v>Oil - ResidualTotal PM</v>
      </c>
      <c r="D74" s="66">
        <f>IF(Boiler_Sulfur_Content = 0, 8.34*(1.12*Oil_Residual_Actual_Sulfur_Content+0.37)+1.5,8.34*(1.12*Boiler_Sulfur_Content+0.37)+1.5)</f>
        <v>13.926600000000002</v>
      </c>
      <c r="E74" s="62">
        <f>8.34*(1.12*Oil_Residual_Allowable_Sulfur_Content+0.37)+1.5</f>
        <v>20.932200000000002</v>
      </c>
      <c r="F74" s="63" t="s">
        <v>98</v>
      </c>
      <c r="G74" s="63" t="s">
        <v>110</v>
      </c>
      <c r="H74" s="64" t="s">
        <v>100</v>
      </c>
    </row>
    <row r="75" spans="1:8" s="48" customFormat="1" ht="15.6" x14ac:dyDescent="0.25">
      <c r="A75" s="60" t="s">
        <v>111</v>
      </c>
      <c r="B75" s="63" t="s">
        <v>103</v>
      </c>
      <c r="C75" s="61" t="str">
        <f t="shared" si="4"/>
        <v>Oil - ResidualPM10</v>
      </c>
      <c r="D75" s="65">
        <f>IF(Boiler_Sulfur_Content = 0, 7.17*(1.12*Oil_Residual_Actual_Sulfur_Content+0.37)+1.5, 7.17*(1.12*Boiler_Sulfur_Content+0.37)+1.5)</f>
        <v>12.183300000000001</v>
      </c>
      <c r="E75" s="62">
        <f>7.17*(1.12*Oil_Residual_Allowable_Sulfur_Content+0.37)+1.5</f>
        <v>18.206099999999999</v>
      </c>
      <c r="F75" s="63" t="s">
        <v>98</v>
      </c>
      <c r="G75" s="63" t="s">
        <v>110</v>
      </c>
      <c r="H75" s="64" t="s">
        <v>100</v>
      </c>
    </row>
    <row r="76" spans="1:8" s="48" customFormat="1" ht="15.6" x14ac:dyDescent="0.25">
      <c r="A76" s="60" t="s">
        <v>111</v>
      </c>
      <c r="B76" s="63" t="s">
        <v>104</v>
      </c>
      <c r="C76" s="61" t="str">
        <f t="shared" si="4"/>
        <v>Oil - ResidualPM2.5</v>
      </c>
      <c r="D76" s="65">
        <f>IF(Boiler_Sulfur_Content = 0, 4.67*(1.12*Oil_Residual_Actual_Sulfur_Content+0.37)+1.5, 4.67*(1.12*Boiler_Sulfur_Content+0.37)+1.5)</f>
        <v>8.4583000000000013</v>
      </c>
      <c r="E76" s="62">
        <f>4.67*(1.12*Oil_Residual_Allowable_Sulfur_Content+0.37)+1.5</f>
        <v>12.3811</v>
      </c>
      <c r="F76" s="63" t="s">
        <v>98</v>
      </c>
      <c r="G76" s="63" t="s">
        <v>110</v>
      </c>
      <c r="H76" s="64" t="s">
        <v>100</v>
      </c>
    </row>
    <row r="77" spans="1:8" s="48" customFormat="1" x14ac:dyDescent="0.25">
      <c r="A77" s="60" t="s">
        <v>112</v>
      </c>
      <c r="B77" s="61" t="s">
        <v>86</v>
      </c>
      <c r="C77" s="61" t="str">
        <f t="shared" si="4"/>
        <v>Natural GasVOC</v>
      </c>
      <c r="D77" s="62">
        <v>5.5</v>
      </c>
      <c r="E77" s="62">
        <f t="shared" si="5"/>
        <v>5.5</v>
      </c>
      <c r="F77" s="63" t="s">
        <v>98</v>
      </c>
      <c r="G77" s="63" t="s">
        <v>113</v>
      </c>
      <c r="H77" s="64" t="s">
        <v>100</v>
      </c>
    </row>
    <row r="78" spans="1:8" s="48" customFormat="1" ht="15.6" x14ac:dyDescent="0.25">
      <c r="A78" s="60" t="s">
        <v>112</v>
      </c>
      <c r="B78" s="63" t="s">
        <v>101</v>
      </c>
      <c r="C78" s="61" t="str">
        <f t="shared" si="4"/>
        <v>Natural GasNOx</v>
      </c>
      <c r="D78" s="62">
        <v>100</v>
      </c>
      <c r="E78" s="62">
        <f t="shared" si="5"/>
        <v>100</v>
      </c>
      <c r="F78" s="63" t="s">
        <v>98</v>
      </c>
      <c r="G78" s="63" t="s">
        <v>113</v>
      </c>
      <c r="H78" s="64" t="s">
        <v>100</v>
      </c>
    </row>
    <row r="79" spans="1:8" s="48" customFormat="1" x14ac:dyDescent="0.25">
      <c r="A79" s="60" t="s">
        <v>112</v>
      </c>
      <c r="B79" s="63" t="s">
        <v>85</v>
      </c>
      <c r="C79" s="61" t="str">
        <f t="shared" si="4"/>
        <v>Natural GasCO</v>
      </c>
      <c r="D79" s="62">
        <v>84</v>
      </c>
      <c r="E79" s="62">
        <f t="shared" si="5"/>
        <v>84</v>
      </c>
      <c r="F79" s="63" t="s">
        <v>98</v>
      </c>
      <c r="G79" s="63" t="s">
        <v>113</v>
      </c>
      <c r="H79" s="64" t="s">
        <v>100</v>
      </c>
    </row>
    <row r="80" spans="1:8" s="48" customFormat="1" ht="15.6" x14ac:dyDescent="0.25">
      <c r="A80" s="60" t="s">
        <v>112</v>
      </c>
      <c r="B80" s="63" t="s">
        <v>102</v>
      </c>
      <c r="C80" s="61" t="str">
        <f t="shared" si="4"/>
        <v>Natural GasSO2</v>
      </c>
      <c r="D80" s="62">
        <v>0.6</v>
      </c>
      <c r="E80" s="62">
        <f>D80*Natural_Gas_Allowable_Sulfur_Content/Natural_Gas_Actual_Sulfur_Content</f>
        <v>143.99999999999997</v>
      </c>
      <c r="F80" s="63" t="s">
        <v>98</v>
      </c>
      <c r="G80" s="63" t="s">
        <v>113</v>
      </c>
      <c r="H80" s="64" t="s">
        <v>100</v>
      </c>
    </row>
    <row r="81" spans="1:8" s="48" customFormat="1" x14ac:dyDescent="0.25">
      <c r="A81" s="60" t="s">
        <v>112</v>
      </c>
      <c r="B81" s="63" t="s">
        <v>58</v>
      </c>
      <c r="C81" s="61" t="str">
        <f t="shared" si="4"/>
        <v>Natural GasTotal PM</v>
      </c>
      <c r="D81" s="67">
        <v>0.52</v>
      </c>
      <c r="E81" s="62">
        <f t="shared" si="5"/>
        <v>0.52</v>
      </c>
      <c r="F81" s="63" t="s">
        <v>98</v>
      </c>
      <c r="G81" s="63" t="s">
        <v>113</v>
      </c>
      <c r="H81" s="64" t="s">
        <v>100</v>
      </c>
    </row>
    <row r="82" spans="1:8" s="49" customFormat="1" ht="15.6" x14ac:dyDescent="0.25">
      <c r="A82" s="60" t="s">
        <v>112</v>
      </c>
      <c r="B82" s="63" t="s">
        <v>103</v>
      </c>
      <c r="C82" s="61" t="str">
        <f t="shared" si="4"/>
        <v>Natural GasPM10</v>
      </c>
      <c r="D82" s="62">
        <v>0.52</v>
      </c>
      <c r="E82" s="62">
        <f t="shared" si="5"/>
        <v>0.52</v>
      </c>
      <c r="F82" s="63" t="s">
        <v>98</v>
      </c>
      <c r="G82" s="63" t="s">
        <v>113</v>
      </c>
      <c r="H82" s="64" t="s">
        <v>100</v>
      </c>
    </row>
    <row r="83" spans="1:8" s="48" customFormat="1" ht="15.6" x14ac:dyDescent="0.25">
      <c r="A83" s="60" t="s">
        <v>112</v>
      </c>
      <c r="B83" s="63" t="s">
        <v>104</v>
      </c>
      <c r="C83" s="61" t="str">
        <f t="shared" si="4"/>
        <v>Natural GasPM2.5</v>
      </c>
      <c r="D83" s="62">
        <v>0.43</v>
      </c>
      <c r="E83" s="62">
        <f t="shared" si="5"/>
        <v>0.43</v>
      </c>
      <c r="F83" s="63" t="s">
        <v>98</v>
      </c>
      <c r="G83" s="63" t="s">
        <v>113</v>
      </c>
      <c r="H83" s="64" t="s">
        <v>100</v>
      </c>
    </row>
    <row r="84" spans="1:8" s="48" customFormat="1" x14ac:dyDescent="0.25">
      <c r="A84" s="60" t="s">
        <v>114</v>
      </c>
      <c r="B84" s="61" t="s">
        <v>86</v>
      </c>
      <c r="C84" s="61" t="str">
        <f t="shared" si="4"/>
        <v>LPGVOC</v>
      </c>
      <c r="D84" s="62">
        <v>0.52</v>
      </c>
      <c r="E84" s="62">
        <f t="shared" si="5"/>
        <v>0.52</v>
      </c>
      <c r="F84" s="63" t="s">
        <v>98</v>
      </c>
      <c r="G84" s="63" t="s">
        <v>110</v>
      </c>
      <c r="H84" s="64" t="s">
        <v>100</v>
      </c>
    </row>
    <row r="85" spans="1:8" s="48" customFormat="1" ht="15.6" x14ac:dyDescent="0.25">
      <c r="A85" s="60" t="s">
        <v>114</v>
      </c>
      <c r="B85" s="63" t="s">
        <v>101</v>
      </c>
      <c r="C85" s="61" t="str">
        <f t="shared" si="4"/>
        <v>LPGNOx</v>
      </c>
      <c r="D85" s="62">
        <v>14.23</v>
      </c>
      <c r="E85" s="62">
        <f t="shared" si="5"/>
        <v>14.23</v>
      </c>
      <c r="F85" s="63" t="s">
        <v>98</v>
      </c>
      <c r="G85" s="63" t="s">
        <v>110</v>
      </c>
      <c r="H85" s="64" t="s">
        <v>100</v>
      </c>
    </row>
    <row r="86" spans="1:8" s="48" customFormat="1" x14ac:dyDescent="0.25">
      <c r="A86" s="60" t="s">
        <v>114</v>
      </c>
      <c r="B86" s="63" t="s">
        <v>85</v>
      </c>
      <c r="C86" s="61" t="str">
        <f t="shared" si="4"/>
        <v>LPGCO</v>
      </c>
      <c r="D86" s="62">
        <v>7.97</v>
      </c>
      <c r="E86" s="62">
        <f t="shared" si="5"/>
        <v>7.97</v>
      </c>
      <c r="F86" s="63" t="s">
        <v>98</v>
      </c>
      <c r="G86" s="63" t="s">
        <v>110</v>
      </c>
      <c r="H86" s="64" t="s">
        <v>100</v>
      </c>
    </row>
    <row r="87" spans="1:8" s="48" customFormat="1" ht="15.6" x14ac:dyDescent="0.25">
      <c r="A87" s="60" t="s">
        <v>114</v>
      </c>
      <c r="B87" s="63" t="s">
        <v>102</v>
      </c>
      <c r="C87" s="61" t="str">
        <f t="shared" si="4"/>
        <v>LPGSO2</v>
      </c>
      <c r="D87" s="62">
        <v>0.06</v>
      </c>
      <c r="E87" s="62">
        <f>D87*LPG_Allowable_Sulfur_Content/LPG_Actual_Sulfur_Content</f>
        <v>14.399999999999999</v>
      </c>
      <c r="F87" s="63" t="s">
        <v>98</v>
      </c>
      <c r="G87" s="63" t="s">
        <v>110</v>
      </c>
      <c r="H87" s="64" t="s">
        <v>100</v>
      </c>
    </row>
    <row r="88" spans="1:8" s="48" customFormat="1" x14ac:dyDescent="0.25">
      <c r="A88" s="60" t="s">
        <v>114</v>
      </c>
      <c r="B88" s="63" t="s">
        <v>58</v>
      </c>
      <c r="C88" s="61" t="str">
        <f t="shared" si="4"/>
        <v>LPGTotal PM</v>
      </c>
      <c r="D88" s="67">
        <v>0.05</v>
      </c>
      <c r="E88" s="62">
        <f t="shared" si="5"/>
        <v>0.05</v>
      </c>
      <c r="F88" s="63" t="s">
        <v>98</v>
      </c>
      <c r="G88" s="63" t="s">
        <v>110</v>
      </c>
      <c r="H88" s="64" t="s">
        <v>100</v>
      </c>
    </row>
    <row r="89" spans="1:8" s="48" customFormat="1" ht="15.6" x14ac:dyDescent="0.25">
      <c r="A89" s="60" t="s">
        <v>114</v>
      </c>
      <c r="B89" s="63" t="s">
        <v>103</v>
      </c>
      <c r="C89" s="61" t="str">
        <f t="shared" si="4"/>
        <v>LPGPM10</v>
      </c>
      <c r="D89" s="62">
        <v>0.05</v>
      </c>
      <c r="E89" s="62">
        <f t="shared" si="5"/>
        <v>0.05</v>
      </c>
      <c r="F89" s="63" t="s">
        <v>98</v>
      </c>
      <c r="G89" s="63" t="s">
        <v>110</v>
      </c>
      <c r="H89" s="64" t="s">
        <v>100</v>
      </c>
    </row>
    <row r="90" spans="1:8" ht="15.6" x14ac:dyDescent="0.25">
      <c r="A90" s="60" t="s">
        <v>114</v>
      </c>
      <c r="B90" s="63" t="s">
        <v>104</v>
      </c>
      <c r="C90" s="61" t="str">
        <f t="shared" si="4"/>
        <v>LPGPM2.5</v>
      </c>
      <c r="D90" s="62">
        <v>0.04</v>
      </c>
      <c r="E90" s="62">
        <f t="shared" si="5"/>
        <v>0.04</v>
      </c>
      <c r="F90" s="63" t="s">
        <v>98</v>
      </c>
      <c r="G90" s="63" t="s">
        <v>110</v>
      </c>
      <c r="H90" s="64" t="s">
        <v>100</v>
      </c>
    </row>
    <row r="91" spans="1:8" s="48" customFormat="1" x14ac:dyDescent="0.25">
      <c r="A91" s="60" t="s">
        <v>118</v>
      </c>
      <c r="B91" s="61" t="s">
        <v>86</v>
      </c>
      <c r="C91" s="61" t="str">
        <f t="shared" si="4"/>
        <v>Wood WasteWet WoodVOC</v>
      </c>
      <c r="D91" s="62">
        <v>1.7000000000000001E-2</v>
      </c>
      <c r="E91" s="62">
        <f>D91</f>
        <v>1.7000000000000001E-2</v>
      </c>
      <c r="F91" s="63" t="s">
        <v>98</v>
      </c>
      <c r="G91" s="63" t="s">
        <v>115</v>
      </c>
      <c r="H91" s="64" t="s">
        <v>120</v>
      </c>
    </row>
    <row r="92" spans="1:8" s="48" customFormat="1" ht="15.6" x14ac:dyDescent="0.25">
      <c r="A92" s="60" t="s">
        <v>118</v>
      </c>
      <c r="B92" s="63" t="s">
        <v>101</v>
      </c>
      <c r="C92" s="61" t="str">
        <f t="shared" si="4"/>
        <v>Wood WasteWet WoodNOx</v>
      </c>
      <c r="D92" s="62">
        <v>0.22</v>
      </c>
      <c r="E92" s="62">
        <f t="shared" ref="E92:E104" si="7">D92</f>
        <v>0.22</v>
      </c>
      <c r="F92" s="63" t="s">
        <v>98</v>
      </c>
      <c r="G92" s="63" t="s">
        <v>115</v>
      </c>
      <c r="H92" s="64" t="s">
        <v>120</v>
      </c>
    </row>
    <row r="93" spans="1:8" s="48" customFormat="1" x14ac:dyDescent="0.25">
      <c r="A93" s="60" t="s">
        <v>118</v>
      </c>
      <c r="B93" s="63" t="s">
        <v>85</v>
      </c>
      <c r="C93" s="61" t="str">
        <f t="shared" si="4"/>
        <v>Wood WasteWet WoodCO</v>
      </c>
      <c r="D93" s="62">
        <v>0.6</v>
      </c>
      <c r="E93" s="62">
        <f t="shared" si="7"/>
        <v>0.6</v>
      </c>
      <c r="F93" s="63" t="s">
        <v>98</v>
      </c>
      <c r="G93" s="63" t="s">
        <v>115</v>
      </c>
      <c r="H93" s="64" t="s">
        <v>120</v>
      </c>
    </row>
    <row r="94" spans="1:8" s="48" customFormat="1" ht="15.6" x14ac:dyDescent="0.25">
      <c r="A94" s="60" t="s">
        <v>118</v>
      </c>
      <c r="B94" s="63" t="s">
        <v>102</v>
      </c>
      <c r="C94" s="61" t="str">
        <f t="shared" si="4"/>
        <v>Wood WasteWet WoodSO2</v>
      </c>
      <c r="D94" s="62">
        <v>2.5000000000000001E-2</v>
      </c>
      <c r="E94" s="62">
        <f t="shared" si="7"/>
        <v>2.5000000000000001E-2</v>
      </c>
      <c r="F94" s="63" t="s">
        <v>98</v>
      </c>
      <c r="G94" s="63" t="s">
        <v>115</v>
      </c>
      <c r="H94" s="64" t="s">
        <v>120</v>
      </c>
    </row>
    <row r="95" spans="1:8" s="48" customFormat="1" x14ac:dyDescent="0.25">
      <c r="A95" s="60" t="s">
        <v>118</v>
      </c>
      <c r="B95" s="63" t="s">
        <v>58</v>
      </c>
      <c r="C95" s="61" t="str">
        <f t="shared" si="4"/>
        <v>Wood WasteWet WoodTotal PM</v>
      </c>
      <c r="D95" s="62">
        <v>0.57699999999999996</v>
      </c>
      <c r="E95" s="62">
        <f t="shared" si="7"/>
        <v>0.57699999999999996</v>
      </c>
      <c r="F95" s="63" t="s">
        <v>98</v>
      </c>
      <c r="G95" s="63" t="s">
        <v>115</v>
      </c>
      <c r="H95" s="64" t="s">
        <v>120</v>
      </c>
    </row>
    <row r="96" spans="1:8" s="48" customFormat="1" ht="15.6" x14ac:dyDescent="0.25">
      <c r="A96" s="60" t="s">
        <v>118</v>
      </c>
      <c r="B96" s="63" t="s">
        <v>103</v>
      </c>
      <c r="C96" s="61" t="str">
        <f t="shared" si="4"/>
        <v>Wood WasteWet WoodPM10</v>
      </c>
      <c r="D96" s="62">
        <v>0.5</v>
      </c>
      <c r="E96" s="62">
        <f t="shared" si="7"/>
        <v>0.5</v>
      </c>
      <c r="F96" s="63" t="s">
        <v>98</v>
      </c>
      <c r="G96" s="63" t="s">
        <v>115</v>
      </c>
      <c r="H96" s="64" t="s">
        <v>120</v>
      </c>
    </row>
    <row r="97" spans="1:8" s="48" customFormat="1" ht="15.6" x14ac:dyDescent="0.25">
      <c r="A97" s="60" t="s">
        <v>118</v>
      </c>
      <c r="B97" s="63" t="s">
        <v>104</v>
      </c>
      <c r="C97" s="61" t="str">
        <f t="shared" si="4"/>
        <v>Wood WasteWet WoodPM2.5</v>
      </c>
      <c r="D97" s="62">
        <v>0.43</v>
      </c>
      <c r="E97" s="62">
        <f t="shared" si="7"/>
        <v>0.43</v>
      </c>
      <c r="F97" s="63" t="s">
        <v>98</v>
      </c>
      <c r="G97" s="63" t="s">
        <v>115</v>
      </c>
      <c r="H97" s="64" t="s">
        <v>120</v>
      </c>
    </row>
    <row r="98" spans="1:8" s="48" customFormat="1" x14ac:dyDescent="0.25">
      <c r="A98" s="60" t="s">
        <v>119</v>
      </c>
      <c r="B98" s="61" t="s">
        <v>86</v>
      </c>
      <c r="C98" s="61" t="str">
        <f t="shared" ref="C98:C104" si="8">A98&amp;B98</f>
        <v>Wood WasteDry WoodVOC</v>
      </c>
      <c r="D98" s="62">
        <v>1.7000000000000001E-2</v>
      </c>
      <c r="E98" s="62">
        <f t="shared" si="7"/>
        <v>1.7000000000000001E-2</v>
      </c>
      <c r="F98" s="63" t="s">
        <v>98</v>
      </c>
      <c r="G98" s="63" t="s">
        <v>115</v>
      </c>
      <c r="H98" s="64" t="s">
        <v>120</v>
      </c>
    </row>
    <row r="99" spans="1:8" s="48" customFormat="1" ht="15.6" x14ac:dyDescent="0.25">
      <c r="A99" s="60" t="s">
        <v>119</v>
      </c>
      <c r="B99" s="63" t="s">
        <v>101</v>
      </c>
      <c r="C99" s="61" t="str">
        <f t="shared" si="8"/>
        <v>Wood WasteDry WoodNOx</v>
      </c>
      <c r="D99" s="62">
        <v>0.49</v>
      </c>
      <c r="E99" s="62">
        <f t="shared" si="7"/>
        <v>0.49</v>
      </c>
      <c r="F99" s="63" t="s">
        <v>98</v>
      </c>
      <c r="G99" s="63" t="s">
        <v>115</v>
      </c>
      <c r="H99" s="64" t="s">
        <v>120</v>
      </c>
    </row>
    <row r="100" spans="1:8" s="48" customFormat="1" x14ac:dyDescent="0.25">
      <c r="A100" s="60" t="s">
        <v>119</v>
      </c>
      <c r="B100" s="63" t="s">
        <v>85</v>
      </c>
      <c r="C100" s="61" t="str">
        <f t="shared" si="8"/>
        <v>Wood WasteDry WoodCO</v>
      </c>
      <c r="D100" s="62">
        <v>0.6</v>
      </c>
      <c r="E100" s="62">
        <f t="shared" si="7"/>
        <v>0.6</v>
      </c>
      <c r="F100" s="63" t="s">
        <v>98</v>
      </c>
      <c r="G100" s="63" t="s">
        <v>115</v>
      </c>
      <c r="H100" s="64" t="s">
        <v>120</v>
      </c>
    </row>
    <row r="101" spans="1:8" s="48" customFormat="1" ht="15.6" x14ac:dyDescent="0.25">
      <c r="A101" s="60" t="s">
        <v>119</v>
      </c>
      <c r="B101" s="63" t="s">
        <v>102</v>
      </c>
      <c r="C101" s="61" t="str">
        <f t="shared" si="8"/>
        <v>Wood WasteDry WoodSO2</v>
      </c>
      <c r="D101" s="62">
        <v>2.5000000000000001E-2</v>
      </c>
      <c r="E101" s="62">
        <f t="shared" si="7"/>
        <v>2.5000000000000001E-2</v>
      </c>
      <c r="F101" s="63" t="s">
        <v>98</v>
      </c>
      <c r="G101" s="63" t="s">
        <v>115</v>
      </c>
      <c r="H101" s="64" t="s">
        <v>120</v>
      </c>
    </row>
    <row r="102" spans="1:8" s="48" customFormat="1" x14ac:dyDescent="0.25">
      <c r="A102" s="60" t="s">
        <v>119</v>
      </c>
      <c r="B102" s="63" t="s">
        <v>58</v>
      </c>
      <c r="C102" s="61" t="str">
        <f t="shared" si="8"/>
        <v>Wood WasteDry WoodTotal PM</v>
      </c>
      <c r="D102" s="62">
        <v>0.41699999999999998</v>
      </c>
      <c r="E102" s="62">
        <f t="shared" si="7"/>
        <v>0.41699999999999998</v>
      </c>
      <c r="F102" s="63" t="s">
        <v>98</v>
      </c>
      <c r="G102" s="63" t="s">
        <v>115</v>
      </c>
      <c r="H102" s="64" t="s">
        <v>120</v>
      </c>
    </row>
    <row r="103" spans="1:8" s="48" customFormat="1" ht="15.6" x14ac:dyDescent="0.25">
      <c r="A103" s="60" t="s">
        <v>119</v>
      </c>
      <c r="B103" s="63" t="s">
        <v>103</v>
      </c>
      <c r="C103" s="61" t="str">
        <f t="shared" si="8"/>
        <v>Wood WasteDry WoodPM10</v>
      </c>
      <c r="D103" s="62">
        <v>0.36</v>
      </c>
      <c r="E103" s="62">
        <f t="shared" si="7"/>
        <v>0.36</v>
      </c>
      <c r="F103" s="63" t="s">
        <v>98</v>
      </c>
      <c r="G103" s="63" t="s">
        <v>115</v>
      </c>
      <c r="H103" s="64" t="s">
        <v>120</v>
      </c>
    </row>
    <row r="104" spans="1:8" s="48" customFormat="1" ht="15.6" x14ac:dyDescent="0.25">
      <c r="A104" s="60" t="s">
        <v>119</v>
      </c>
      <c r="B104" s="63" t="s">
        <v>104</v>
      </c>
      <c r="C104" s="61" t="str">
        <f t="shared" si="8"/>
        <v>Wood WasteDry WoodPM2.5</v>
      </c>
      <c r="D104" s="62">
        <v>0.31</v>
      </c>
      <c r="E104" s="62">
        <f t="shared" si="7"/>
        <v>0.31</v>
      </c>
      <c r="F104" s="63" t="s">
        <v>98</v>
      </c>
      <c r="G104" s="63" t="s">
        <v>115</v>
      </c>
      <c r="H104" s="64" t="s">
        <v>120</v>
      </c>
    </row>
    <row r="105" spans="1:8" s="48" customFormat="1" x14ac:dyDescent="0.25">
      <c r="A105" s="60" t="s">
        <v>116</v>
      </c>
      <c r="B105" s="61" t="s">
        <v>86</v>
      </c>
      <c r="C105" s="61" t="str">
        <f t="shared" si="4"/>
        <v>KeroseneVOC</v>
      </c>
      <c r="D105" s="62">
        <v>0.19</v>
      </c>
      <c r="E105" s="62">
        <f t="shared" si="5"/>
        <v>0.19</v>
      </c>
      <c r="F105" s="63" t="s">
        <v>98</v>
      </c>
      <c r="G105" s="63" t="s">
        <v>110</v>
      </c>
      <c r="H105" s="64" t="s">
        <v>100</v>
      </c>
    </row>
    <row r="106" spans="1:8" s="48" customFormat="1" ht="15.6" x14ac:dyDescent="0.25">
      <c r="A106" s="60" t="s">
        <v>116</v>
      </c>
      <c r="B106" s="63" t="s">
        <v>101</v>
      </c>
      <c r="C106" s="61" t="str">
        <f t="shared" si="4"/>
        <v>KeroseneNOx</v>
      </c>
      <c r="D106" s="62">
        <v>19.29</v>
      </c>
      <c r="E106" s="62">
        <f t="shared" si="5"/>
        <v>19.29</v>
      </c>
      <c r="F106" s="63" t="s">
        <v>98</v>
      </c>
      <c r="G106" s="63" t="s">
        <v>110</v>
      </c>
      <c r="H106" s="64" t="s">
        <v>100</v>
      </c>
    </row>
    <row r="107" spans="1:8" s="48" customFormat="1" x14ac:dyDescent="0.25">
      <c r="A107" s="60" t="s">
        <v>116</v>
      </c>
      <c r="B107" s="63" t="s">
        <v>85</v>
      </c>
      <c r="C107" s="61" t="str">
        <f t="shared" si="4"/>
        <v>KeroseneCO</v>
      </c>
      <c r="D107" s="62">
        <v>4.82</v>
      </c>
      <c r="E107" s="62">
        <f t="shared" si="5"/>
        <v>4.82</v>
      </c>
      <c r="F107" s="63" t="s">
        <v>98</v>
      </c>
      <c r="G107" s="63" t="s">
        <v>110</v>
      </c>
      <c r="H107" s="64" t="s">
        <v>100</v>
      </c>
    </row>
    <row r="108" spans="1:8" s="48" customFormat="1" ht="15.6" x14ac:dyDescent="0.25">
      <c r="A108" s="60" t="s">
        <v>116</v>
      </c>
      <c r="B108" s="63" t="s">
        <v>102</v>
      </c>
      <c r="C108" s="61" t="str">
        <f t="shared" si="4"/>
        <v>KeroseneSO2</v>
      </c>
      <c r="D108" s="65">
        <f>IF(Boiler_Sulfur_Content = 0, 142*Kerosene_Actual_Sulfur_Content, 142*Boiler_Sulfur_Content)</f>
        <v>34.08</v>
      </c>
      <c r="E108" s="62">
        <f>IF(D108&gt;142*Kerosene_Allowable_Sulfur_Content,D108,142*Kerosene_Allowable_Sulfur_Content)</f>
        <v>42.6</v>
      </c>
      <c r="F108" s="63" t="s">
        <v>98</v>
      </c>
      <c r="G108" s="63" t="s">
        <v>110</v>
      </c>
      <c r="H108" s="64" t="s">
        <v>100</v>
      </c>
    </row>
    <row r="109" spans="1:8" s="48" customFormat="1" x14ac:dyDescent="0.25">
      <c r="A109" s="60" t="s">
        <v>116</v>
      </c>
      <c r="B109" s="63" t="s">
        <v>58</v>
      </c>
      <c r="C109" s="61" t="str">
        <f t="shared" si="4"/>
        <v>KeroseneTotal PM</v>
      </c>
      <c r="D109" s="62">
        <f>D110/0.5</f>
        <v>4.42</v>
      </c>
      <c r="E109" s="62">
        <f t="shared" si="5"/>
        <v>4.42</v>
      </c>
      <c r="F109" s="63" t="s">
        <v>98</v>
      </c>
      <c r="G109" s="63" t="s">
        <v>110</v>
      </c>
      <c r="H109" s="64" t="s">
        <v>106</v>
      </c>
    </row>
    <row r="110" spans="1:8" s="48" customFormat="1" ht="15.6" x14ac:dyDescent="0.25">
      <c r="A110" s="60" t="s">
        <v>116</v>
      </c>
      <c r="B110" s="63" t="s">
        <v>103</v>
      </c>
      <c r="C110" s="61" t="str">
        <f t="shared" si="4"/>
        <v>KerosenePM10</v>
      </c>
      <c r="D110" s="62">
        <v>2.21</v>
      </c>
      <c r="E110" s="62">
        <f t="shared" si="5"/>
        <v>2.21</v>
      </c>
      <c r="F110" s="63" t="s">
        <v>98</v>
      </c>
      <c r="G110" s="63" t="s">
        <v>110</v>
      </c>
      <c r="H110" s="64" t="s">
        <v>100</v>
      </c>
    </row>
    <row r="111" spans="1:8" s="50" customFormat="1" ht="15.6" x14ac:dyDescent="0.25">
      <c r="A111" s="68" t="s">
        <v>116</v>
      </c>
      <c r="B111" s="69" t="s">
        <v>104</v>
      </c>
      <c r="C111" s="70" t="str">
        <f t="shared" si="4"/>
        <v>KerosenePM2.5</v>
      </c>
      <c r="D111" s="71">
        <v>1.49</v>
      </c>
      <c r="E111" s="71">
        <f t="shared" si="5"/>
        <v>1.49</v>
      </c>
      <c r="F111" s="69" t="s">
        <v>98</v>
      </c>
      <c r="G111" s="69" t="s">
        <v>110</v>
      </c>
      <c r="H111" s="72" t="s">
        <v>100</v>
      </c>
    </row>
    <row r="112" spans="1:8" s="50" customFormat="1" x14ac:dyDescent="0.25">
      <c r="A112" s="452" t="s">
        <v>139</v>
      </c>
      <c r="B112" s="452"/>
      <c r="C112" s="452"/>
      <c r="D112" s="452"/>
      <c r="E112" s="452"/>
      <c r="F112" s="452"/>
      <c r="G112" s="452"/>
      <c r="H112" s="452"/>
    </row>
    <row r="113" spans="1:8" s="50" customFormat="1" x14ac:dyDescent="0.25">
      <c r="A113" s="60" t="s">
        <v>105</v>
      </c>
      <c r="B113" s="61" t="s">
        <v>86</v>
      </c>
      <c r="C113" s="61" t="str">
        <f t="shared" ref="C113:C175" si="9">A113&amp;B113</f>
        <v>Coal - BituminousVOC</v>
      </c>
      <c r="D113" s="62">
        <v>0.05</v>
      </c>
      <c r="E113" s="62">
        <f t="shared" ref="E113:E115" si="10">D113</f>
        <v>0.05</v>
      </c>
      <c r="F113" s="63" t="s">
        <v>98</v>
      </c>
      <c r="G113" s="63" t="s">
        <v>99</v>
      </c>
      <c r="H113" s="64" t="s">
        <v>100</v>
      </c>
    </row>
    <row r="114" spans="1:8" s="50" customFormat="1" ht="15.6" x14ac:dyDescent="0.25">
      <c r="A114" s="60" t="s">
        <v>105</v>
      </c>
      <c r="B114" s="63" t="s">
        <v>101</v>
      </c>
      <c r="C114" s="61" t="str">
        <f t="shared" si="9"/>
        <v>Coal - BituminousNOx</v>
      </c>
      <c r="D114" s="62">
        <v>11</v>
      </c>
      <c r="E114" s="62">
        <f t="shared" si="10"/>
        <v>11</v>
      </c>
      <c r="F114" s="63" t="s">
        <v>98</v>
      </c>
      <c r="G114" s="63" t="s">
        <v>99</v>
      </c>
      <c r="H114" s="64" t="s">
        <v>100</v>
      </c>
    </row>
    <row r="115" spans="1:8" s="50" customFormat="1" x14ac:dyDescent="0.25">
      <c r="A115" s="60" t="s">
        <v>105</v>
      </c>
      <c r="B115" s="63" t="s">
        <v>85</v>
      </c>
      <c r="C115" s="61" t="str">
        <f t="shared" si="9"/>
        <v>Coal - BituminousCO</v>
      </c>
      <c r="D115" s="62">
        <v>5</v>
      </c>
      <c r="E115" s="62">
        <f t="shared" si="10"/>
        <v>5</v>
      </c>
      <c r="F115" s="63" t="s">
        <v>98</v>
      </c>
      <c r="G115" s="63" t="s">
        <v>99</v>
      </c>
      <c r="H115" s="64" t="s">
        <v>100</v>
      </c>
    </row>
    <row r="116" spans="1:8" s="50" customFormat="1" ht="15.6" x14ac:dyDescent="0.25">
      <c r="A116" s="60" t="s">
        <v>105</v>
      </c>
      <c r="B116" s="63" t="s">
        <v>102</v>
      </c>
      <c r="C116" s="61" t="str">
        <f t="shared" si="9"/>
        <v>Coal - BituminousSO2</v>
      </c>
      <c r="D116" s="65">
        <f>IF(Furnace_Sulfur_Content = 0, 38*Bituminous_Actual_Sulfur_Content,38*Furnace_Sulfur_Content)</f>
        <v>38</v>
      </c>
      <c r="E116" s="62">
        <f>IF(D116&gt;38*Bituminous_Allowable_Sulfur_Content,D116,38*Bituminous_Allowable_Sulfur_Content)</f>
        <v>38</v>
      </c>
      <c r="F116" s="63" t="s">
        <v>98</v>
      </c>
      <c r="G116" s="63" t="s">
        <v>99</v>
      </c>
      <c r="H116" s="64" t="s">
        <v>100</v>
      </c>
    </row>
    <row r="117" spans="1:8" s="50" customFormat="1" x14ac:dyDescent="0.25">
      <c r="A117" s="60" t="s">
        <v>105</v>
      </c>
      <c r="B117" s="63" t="s">
        <v>58</v>
      </c>
      <c r="C117" s="61" t="str">
        <f t="shared" si="9"/>
        <v>Coal - BituminousTotal PM</v>
      </c>
      <c r="D117" s="62">
        <f>D118/0.28</f>
        <v>46.571428571428562</v>
      </c>
      <c r="E117" s="62">
        <f t="shared" ref="E117:E122" si="11">D117</f>
        <v>46.571428571428562</v>
      </c>
      <c r="F117" s="63" t="s">
        <v>98</v>
      </c>
      <c r="G117" s="63" t="s">
        <v>99</v>
      </c>
      <c r="H117" s="64" t="s">
        <v>106</v>
      </c>
    </row>
    <row r="118" spans="1:8" s="50" customFormat="1" ht="15.6" x14ac:dyDescent="0.25">
      <c r="A118" s="60" t="s">
        <v>105</v>
      </c>
      <c r="B118" s="63" t="s">
        <v>103</v>
      </c>
      <c r="C118" s="61" t="str">
        <f t="shared" si="9"/>
        <v>Coal - BituminousPM10</v>
      </c>
      <c r="D118" s="62">
        <v>13.04</v>
      </c>
      <c r="E118" s="62">
        <f t="shared" si="11"/>
        <v>13.04</v>
      </c>
      <c r="F118" s="63" t="s">
        <v>98</v>
      </c>
      <c r="G118" s="63" t="s">
        <v>99</v>
      </c>
      <c r="H118" s="64" t="s">
        <v>100</v>
      </c>
    </row>
    <row r="119" spans="1:8" s="50" customFormat="1" ht="15.6" x14ac:dyDescent="0.25">
      <c r="A119" s="60" t="s">
        <v>105</v>
      </c>
      <c r="B119" s="63" t="s">
        <v>104</v>
      </c>
      <c r="C119" s="61" t="str">
        <f t="shared" si="9"/>
        <v>Coal - BituminousPM2.5</v>
      </c>
      <c r="D119" s="62">
        <v>2.44</v>
      </c>
      <c r="E119" s="62">
        <f t="shared" si="11"/>
        <v>2.44</v>
      </c>
      <c r="F119" s="63" t="s">
        <v>98</v>
      </c>
      <c r="G119" s="63" t="s">
        <v>99</v>
      </c>
      <c r="H119" s="64" t="s">
        <v>100</v>
      </c>
    </row>
    <row r="120" spans="1:8" s="50" customFormat="1" x14ac:dyDescent="0.25">
      <c r="A120" s="60" t="s">
        <v>107</v>
      </c>
      <c r="B120" s="61" t="s">
        <v>86</v>
      </c>
      <c r="C120" s="61" t="str">
        <f t="shared" si="9"/>
        <v>Coal - SubbituminousVOC</v>
      </c>
      <c r="D120" s="62">
        <v>0.05</v>
      </c>
      <c r="E120" s="62">
        <f t="shared" si="11"/>
        <v>0.05</v>
      </c>
      <c r="F120" s="63" t="s">
        <v>98</v>
      </c>
      <c r="G120" s="63" t="s">
        <v>99</v>
      </c>
      <c r="H120" s="64" t="s">
        <v>100</v>
      </c>
    </row>
    <row r="121" spans="1:8" s="50" customFormat="1" ht="15.6" x14ac:dyDescent="0.25">
      <c r="A121" s="60" t="s">
        <v>107</v>
      </c>
      <c r="B121" s="63" t="s">
        <v>101</v>
      </c>
      <c r="C121" s="61" t="str">
        <f t="shared" si="9"/>
        <v>Coal - SubbituminousNOx</v>
      </c>
      <c r="D121" s="62">
        <v>8.8000000000000007</v>
      </c>
      <c r="E121" s="62">
        <f t="shared" si="11"/>
        <v>8.8000000000000007</v>
      </c>
      <c r="F121" s="63" t="s">
        <v>98</v>
      </c>
      <c r="G121" s="63" t="s">
        <v>99</v>
      </c>
      <c r="H121" s="64" t="s">
        <v>108</v>
      </c>
    </row>
    <row r="122" spans="1:8" s="50" customFormat="1" x14ac:dyDescent="0.25">
      <c r="A122" s="60" t="s">
        <v>107</v>
      </c>
      <c r="B122" s="63" t="s">
        <v>85</v>
      </c>
      <c r="C122" s="61" t="str">
        <f t="shared" si="9"/>
        <v>Coal - SubbituminousCO</v>
      </c>
      <c r="D122" s="62">
        <v>5</v>
      </c>
      <c r="E122" s="62">
        <f t="shared" si="11"/>
        <v>5</v>
      </c>
      <c r="F122" s="63" t="s">
        <v>98</v>
      </c>
      <c r="G122" s="63" t="s">
        <v>99</v>
      </c>
      <c r="H122" s="64" t="s">
        <v>108</v>
      </c>
    </row>
    <row r="123" spans="1:8" s="50" customFormat="1" ht="15.6" x14ac:dyDescent="0.25">
      <c r="A123" s="60" t="s">
        <v>107</v>
      </c>
      <c r="B123" s="63" t="s">
        <v>102</v>
      </c>
      <c r="C123" s="61" t="str">
        <f t="shared" si="9"/>
        <v>Coal - SubbituminousSO2</v>
      </c>
      <c r="D123" s="65">
        <f>IF(Furnace_Sulfur_Content = 0, 35*Subbituminous_Actual_Sulfur_Content, 35*Furnace_Sulfur_Content)</f>
        <v>35</v>
      </c>
      <c r="E123" s="62">
        <f>IF(D123&gt;35*Subbituminous_Allowable_Sulfur_Content,D123,35*Subbituminous_Allowable_Sulfur_Content)</f>
        <v>35</v>
      </c>
      <c r="F123" s="63" t="s">
        <v>98</v>
      </c>
      <c r="G123" s="63" t="s">
        <v>99</v>
      </c>
      <c r="H123" s="64" t="s">
        <v>108</v>
      </c>
    </row>
    <row r="124" spans="1:8" s="50" customFormat="1" x14ac:dyDescent="0.25">
      <c r="A124" s="60" t="s">
        <v>107</v>
      </c>
      <c r="B124" s="63" t="s">
        <v>58</v>
      </c>
      <c r="C124" s="61" t="str">
        <f t="shared" si="9"/>
        <v>Coal - SubbituminousTotal PM</v>
      </c>
      <c r="D124" s="62">
        <f>D125/0.28</f>
        <v>46.571428571428562</v>
      </c>
      <c r="E124" s="62">
        <f t="shared" ref="E124:E129" si="12">D124</f>
        <v>46.571428571428562</v>
      </c>
      <c r="F124" s="63" t="s">
        <v>98</v>
      </c>
      <c r="G124" s="63" t="s">
        <v>99</v>
      </c>
      <c r="H124" s="64" t="s">
        <v>100</v>
      </c>
    </row>
    <row r="125" spans="1:8" s="50" customFormat="1" ht="15.6" x14ac:dyDescent="0.25">
      <c r="A125" s="60" t="s">
        <v>107</v>
      </c>
      <c r="B125" s="63" t="s">
        <v>103</v>
      </c>
      <c r="C125" s="61" t="str">
        <f t="shared" si="9"/>
        <v>Coal - SubbituminousPM10</v>
      </c>
      <c r="D125" s="62">
        <v>13.04</v>
      </c>
      <c r="E125" s="62">
        <f t="shared" si="12"/>
        <v>13.04</v>
      </c>
      <c r="F125" s="63" t="s">
        <v>98</v>
      </c>
      <c r="G125" s="63" t="s">
        <v>99</v>
      </c>
      <c r="H125" s="64" t="s">
        <v>100</v>
      </c>
    </row>
    <row r="126" spans="1:8" s="50" customFormat="1" ht="15.6" x14ac:dyDescent="0.25">
      <c r="A126" s="60" t="s">
        <v>107</v>
      </c>
      <c r="B126" s="63" t="s">
        <v>104</v>
      </c>
      <c r="C126" s="61" t="str">
        <f t="shared" si="9"/>
        <v>Coal - SubbituminousPM2.5</v>
      </c>
      <c r="D126" s="62">
        <v>2.44</v>
      </c>
      <c r="E126" s="62">
        <f t="shared" si="12"/>
        <v>2.44</v>
      </c>
      <c r="F126" s="63" t="s">
        <v>98</v>
      </c>
      <c r="G126" s="63" t="s">
        <v>99</v>
      </c>
      <c r="H126" s="64" t="s">
        <v>100</v>
      </c>
    </row>
    <row r="127" spans="1:8" s="50" customFormat="1" x14ac:dyDescent="0.25">
      <c r="A127" s="60" t="s">
        <v>109</v>
      </c>
      <c r="B127" s="61" t="s">
        <v>86</v>
      </c>
      <c r="C127" s="61" t="str">
        <f t="shared" si="9"/>
        <v>Oil - DistillateVOC</v>
      </c>
      <c r="D127" s="62">
        <v>0.2</v>
      </c>
      <c r="E127" s="62">
        <f t="shared" si="12"/>
        <v>0.2</v>
      </c>
      <c r="F127" s="63" t="s">
        <v>98</v>
      </c>
      <c r="G127" s="63" t="s">
        <v>110</v>
      </c>
      <c r="H127" s="64" t="s">
        <v>100</v>
      </c>
    </row>
    <row r="128" spans="1:8" s="50" customFormat="1" ht="15.6" x14ac:dyDescent="0.25">
      <c r="A128" s="60" t="s">
        <v>109</v>
      </c>
      <c r="B128" s="63" t="s">
        <v>101</v>
      </c>
      <c r="C128" s="61" t="str">
        <f t="shared" si="9"/>
        <v>Oil - DistillateNOx</v>
      </c>
      <c r="D128" s="62">
        <v>20</v>
      </c>
      <c r="E128" s="62">
        <f t="shared" si="12"/>
        <v>20</v>
      </c>
      <c r="F128" s="63" t="s">
        <v>98</v>
      </c>
      <c r="G128" s="63" t="s">
        <v>110</v>
      </c>
      <c r="H128" s="64" t="s">
        <v>100</v>
      </c>
    </row>
    <row r="129" spans="1:8" s="50" customFormat="1" x14ac:dyDescent="0.25">
      <c r="A129" s="60" t="s">
        <v>109</v>
      </c>
      <c r="B129" s="63" t="s">
        <v>85</v>
      </c>
      <c r="C129" s="61" t="str">
        <f t="shared" si="9"/>
        <v>Oil - DistillateCO</v>
      </c>
      <c r="D129" s="62">
        <v>5</v>
      </c>
      <c r="E129" s="62">
        <f t="shared" si="12"/>
        <v>5</v>
      </c>
      <c r="F129" s="63" t="s">
        <v>98</v>
      </c>
      <c r="G129" s="63" t="s">
        <v>110</v>
      </c>
      <c r="H129" s="64" t="s">
        <v>100</v>
      </c>
    </row>
    <row r="130" spans="1:8" s="50" customFormat="1" ht="15.6" x14ac:dyDescent="0.25">
      <c r="A130" s="60" t="s">
        <v>109</v>
      </c>
      <c r="B130" s="63" t="s">
        <v>102</v>
      </c>
      <c r="C130" s="61" t="str">
        <f t="shared" si="9"/>
        <v>Oil - DistillateSO2</v>
      </c>
      <c r="D130" s="65">
        <f>IF(Furnace_Sulfur_Content = 0, 142*Oil_Distillate_Actual_Sulfur_Content,142*Furnace_Sulfur_Content)</f>
        <v>34.08</v>
      </c>
      <c r="E130" s="62">
        <f>IF(D130&gt;142*Oil_Distillate_Allowable_Sulfur_Content,D130,142*Oil_Distillate_Allowable_Sulfur_Content)</f>
        <v>71</v>
      </c>
      <c r="F130" s="63" t="s">
        <v>98</v>
      </c>
      <c r="G130" s="63" t="s">
        <v>110</v>
      </c>
      <c r="H130" s="64" t="s">
        <v>100</v>
      </c>
    </row>
    <row r="131" spans="1:8" s="50" customFormat="1" x14ac:dyDescent="0.25">
      <c r="A131" s="60" t="s">
        <v>109</v>
      </c>
      <c r="B131" s="63" t="s">
        <v>58</v>
      </c>
      <c r="C131" s="61" t="str">
        <f t="shared" si="9"/>
        <v>Oil - DistillateTotal PM</v>
      </c>
      <c r="D131" s="62">
        <v>4.5999999999999996</v>
      </c>
      <c r="E131" s="62">
        <f t="shared" ref="E131:E136" si="13">D131</f>
        <v>4.5999999999999996</v>
      </c>
      <c r="F131" s="63" t="s">
        <v>98</v>
      </c>
      <c r="G131" s="63" t="s">
        <v>110</v>
      </c>
      <c r="H131" s="64" t="s">
        <v>100</v>
      </c>
    </row>
    <row r="132" spans="1:8" s="50" customFormat="1" ht="15.6" x14ac:dyDescent="0.25">
      <c r="A132" s="60" t="s">
        <v>109</v>
      </c>
      <c r="B132" s="63" t="s">
        <v>103</v>
      </c>
      <c r="C132" s="61" t="str">
        <f t="shared" si="9"/>
        <v>Oil - DistillatePM10</v>
      </c>
      <c r="D132" s="62">
        <v>2.2999999999999998</v>
      </c>
      <c r="E132" s="62">
        <f t="shared" si="13"/>
        <v>2.2999999999999998</v>
      </c>
      <c r="F132" s="63" t="s">
        <v>98</v>
      </c>
      <c r="G132" s="63" t="s">
        <v>110</v>
      </c>
      <c r="H132" s="64" t="s">
        <v>100</v>
      </c>
    </row>
    <row r="133" spans="1:8" s="50" customFormat="1" ht="15.6" x14ac:dyDescent="0.25">
      <c r="A133" s="60" t="s">
        <v>109</v>
      </c>
      <c r="B133" s="63" t="s">
        <v>104</v>
      </c>
      <c r="C133" s="61" t="str">
        <f t="shared" si="9"/>
        <v>Oil - DistillatePM2.5</v>
      </c>
      <c r="D133" s="62">
        <v>1.55</v>
      </c>
      <c r="E133" s="62">
        <f t="shared" si="13"/>
        <v>1.55</v>
      </c>
      <c r="F133" s="63" t="s">
        <v>98</v>
      </c>
      <c r="G133" s="63" t="s">
        <v>110</v>
      </c>
      <c r="H133" s="64" t="s">
        <v>100</v>
      </c>
    </row>
    <row r="134" spans="1:8" s="50" customFormat="1" x14ac:dyDescent="0.25">
      <c r="A134" s="60" t="s">
        <v>111</v>
      </c>
      <c r="B134" s="61" t="s">
        <v>86</v>
      </c>
      <c r="C134" s="61" t="str">
        <f t="shared" si="9"/>
        <v>Oil - ResidualVOC</v>
      </c>
      <c r="D134" s="62">
        <v>0.28000000000000003</v>
      </c>
      <c r="E134" s="62">
        <f t="shared" si="13"/>
        <v>0.28000000000000003</v>
      </c>
      <c r="F134" s="63" t="s">
        <v>98</v>
      </c>
      <c r="G134" s="63" t="s">
        <v>110</v>
      </c>
      <c r="H134" s="64" t="s">
        <v>100</v>
      </c>
    </row>
    <row r="135" spans="1:8" s="50" customFormat="1" ht="15.6" x14ac:dyDescent="0.25">
      <c r="A135" s="60" t="s">
        <v>111</v>
      </c>
      <c r="B135" s="63" t="s">
        <v>101</v>
      </c>
      <c r="C135" s="61" t="str">
        <f t="shared" si="9"/>
        <v>Oil - ResidualNOx</v>
      </c>
      <c r="D135" s="62">
        <v>55</v>
      </c>
      <c r="E135" s="62">
        <f t="shared" si="13"/>
        <v>55</v>
      </c>
      <c r="F135" s="63" t="s">
        <v>98</v>
      </c>
      <c r="G135" s="63" t="s">
        <v>110</v>
      </c>
      <c r="H135" s="64" t="s">
        <v>100</v>
      </c>
    </row>
    <row r="136" spans="1:8" s="50" customFormat="1" x14ac:dyDescent="0.25">
      <c r="A136" s="60" t="s">
        <v>111</v>
      </c>
      <c r="B136" s="63" t="s">
        <v>85</v>
      </c>
      <c r="C136" s="61" t="str">
        <f t="shared" si="9"/>
        <v>Oil - ResidualCO</v>
      </c>
      <c r="D136" s="62">
        <v>5</v>
      </c>
      <c r="E136" s="62">
        <f t="shared" si="13"/>
        <v>5</v>
      </c>
      <c r="F136" s="63" t="s">
        <v>98</v>
      </c>
      <c r="G136" s="63" t="s">
        <v>110</v>
      </c>
      <c r="H136" s="64" t="s">
        <v>100</v>
      </c>
    </row>
    <row r="137" spans="1:8" s="50" customFormat="1" ht="15.6" x14ac:dyDescent="0.25">
      <c r="A137" s="60" t="s">
        <v>111</v>
      </c>
      <c r="B137" s="63" t="s">
        <v>102</v>
      </c>
      <c r="C137" s="61" t="str">
        <f t="shared" si="9"/>
        <v>Oil - ResidualSO2</v>
      </c>
      <c r="D137" s="65">
        <f>IF(Furnace_Sulfur_Content = 0, 157*Oil_Residual_Actual_Sulfur_Content,157*Furnace_Sulfur_Content)</f>
        <v>157</v>
      </c>
      <c r="E137" s="62">
        <f>IF(D137&gt;157*Oil_Residual_Allowable_Sulfur_Content,D137,157*Oil_Residual_Allowable_Sulfur_Content)</f>
        <v>274.75</v>
      </c>
      <c r="F137" s="63" t="s">
        <v>98</v>
      </c>
      <c r="G137" s="63" t="s">
        <v>110</v>
      </c>
      <c r="H137" s="64" t="s">
        <v>100</v>
      </c>
    </row>
    <row r="138" spans="1:8" s="50" customFormat="1" x14ac:dyDescent="0.25">
      <c r="A138" s="60" t="s">
        <v>111</v>
      </c>
      <c r="B138" s="63" t="s">
        <v>58</v>
      </c>
      <c r="C138" s="61" t="str">
        <f t="shared" si="9"/>
        <v>Oil - ResidualTotal PM</v>
      </c>
      <c r="D138" s="66">
        <f>IF(Furnace_Sulfur_Content = 0, 8.34*(1.12*Oil_Residual_Actual_Sulfur_Content+0.37)+1.5,8.34*(1.12*Furnace_Sulfur_Content+0.37)+1.5)</f>
        <v>13.926600000000002</v>
      </c>
      <c r="E138" s="62">
        <f>8.34*(1.12*Oil_Residual_Allowable_Sulfur_Content+0.37)+1.5</f>
        <v>20.932200000000002</v>
      </c>
      <c r="F138" s="63" t="s">
        <v>98</v>
      </c>
      <c r="G138" s="63" t="s">
        <v>110</v>
      </c>
      <c r="H138" s="64" t="s">
        <v>100</v>
      </c>
    </row>
    <row r="139" spans="1:8" s="50" customFormat="1" ht="15.6" x14ac:dyDescent="0.25">
      <c r="A139" s="60" t="s">
        <v>111</v>
      </c>
      <c r="B139" s="63" t="s">
        <v>103</v>
      </c>
      <c r="C139" s="61" t="str">
        <f t="shared" si="9"/>
        <v>Oil - ResidualPM10</v>
      </c>
      <c r="D139" s="65">
        <f>IF(Furnace_Sulfur_Content = 0, 7.17*(1.12*Oil_Residual_Actual_Sulfur_Content+0.37)+1.5, 7.17*(1.12*Furnace_Sulfur_Content+0.37)+1.5)</f>
        <v>12.183300000000001</v>
      </c>
      <c r="E139" s="62">
        <f>7.17*(1.12*Oil_Residual_Allowable_Sulfur_Content+0.37)+1.5</f>
        <v>18.206099999999999</v>
      </c>
      <c r="F139" s="63" t="s">
        <v>98</v>
      </c>
      <c r="G139" s="63" t="s">
        <v>110</v>
      </c>
      <c r="H139" s="64" t="s">
        <v>100</v>
      </c>
    </row>
    <row r="140" spans="1:8" s="50" customFormat="1" ht="15.6" x14ac:dyDescent="0.25">
      <c r="A140" s="60" t="s">
        <v>111</v>
      </c>
      <c r="B140" s="63" t="s">
        <v>104</v>
      </c>
      <c r="C140" s="61" t="str">
        <f t="shared" si="9"/>
        <v>Oil - ResidualPM2.5</v>
      </c>
      <c r="D140" s="65">
        <f>IF(Furnace_Sulfur_Content = 0, 4.67*(1.12*Oil_Residual_Actual_Sulfur_Content+0.37)+1.5, 4.67*(1.12*Furnace_Sulfur_Content+0.37)+1.5)</f>
        <v>8.4583000000000013</v>
      </c>
      <c r="E140" s="62">
        <f>4.67*(1.12*Oil_Residual_Allowable_Sulfur_Content+0.37)+1.5</f>
        <v>12.3811</v>
      </c>
      <c r="F140" s="63" t="s">
        <v>98</v>
      </c>
      <c r="G140" s="63" t="s">
        <v>110</v>
      </c>
      <c r="H140" s="64" t="s">
        <v>100</v>
      </c>
    </row>
    <row r="141" spans="1:8" s="50" customFormat="1" x14ac:dyDescent="0.25">
      <c r="A141" s="60" t="s">
        <v>112</v>
      </c>
      <c r="B141" s="61" t="s">
        <v>86</v>
      </c>
      <c r="C141" s="61" t="str">
        <f t="shared" si="9"/>
        <v>Natural GasVOC</v>
      </c>
      <c r="D141" s="62">
        <v>5.5</v>
      </c>
      <c r="E141" s="62">
        <f t="shared" ref="E141:E143" si="14">D141</f>
        <v>5.5</v>
      </c>
      <c r="F141" s="63" t="s">
        <v>98</v>
      </c>
      <c r="G141" s="63" t="s">
        <v>486</v>
      </c>
      <c r="H141" s="64" t="s">
        <v>100</v>
      </c>
    </row>
    <row r="142" spans="1:8" s="50" customFormat="1" ht="15.6" x14ac:dyDescent="0.25">
      <c r="A142" s="60" t="s">
        <v>112</v>
      </c>
      <c r="B142" s="63" t="s">
        <v>101</v>
      </c>
      <c r="C142" s="61" t="str">
        <f t="shared" si="9"/>
        <v>Natural GasNOx</v>
      </c>
      <c r="D142" s="62">
        <v>100</v>
      </c>
      <c r="E142" s="62">
        <f t="shared" si="14"/>
        <v>100</v>
      </c>
      <c r="F142" s="63" t="s">
        <v>98</v>
      </c>
      <c r="G142" s="63" t="s">
        <v>486</v>
      </c>
      <c r="H142" s="64" t="s">
        <v>100</v>
      </c>
    </row>
    <row r="143" spans="1:8" s="50" customFormat="1" x14ac:dyDescent="0.25">
      <c r="A143" s="60" t="s">
        <v>112</v>
      </c>
      <c r="B143" s="63" t="s">
        <v>85</v>
      </c>
      <c r="C143" s="61" t="str">
        <f t="shared" si="9"/>
        <v>Natural GasCO</v>
      </c>
      <c r="D143" s="62">
        <v>84</v>
      </c>
      <c r="E143" s="62">
        <f t="shared" si="14"/>
        <v>84</v>
      </c>
      <c r="F143" s="63" t="s">
        <v>98</v>
      </c>
      <c r="G143" s="63" t="s">
        <v>486</v>
      </c>
      <c r="H143" s="64" t="s">
        <v>100</v>
      </c>
    </row>
    <row r="144" spans="1:8" s="50" customFormat="1" ht="15.6" x14ac:dyDescent="0.25">
      <c r="A144" s="60" t="s">
        <v>112</v>
      </c>
      <c r="B144" s="63" t="s">
        <v>102</v>
      </c>
      <c r="C144" s="61" t="str">
        <f t="shared" si="9"/>
        <v>Natural GasSO2</v>
      </c>
      <c r="D144" s="62">
        <v>0.6</v>
      </c>
      <c r="E144" s="62">
        <f>D144*Natural_Gas_Allowable_Sulfur_Content/Natural_Gas_Actual_Sulfur_Content</f>
        <v>143.99999999999997</v>
      </c>
      <c r="F144" s="63" t="s">
        <v>98</v>
      </c>
      <c r="G144" s="63" t="s">
        <v>486</v>
      </c>
      <c r="H144" s="64" t="s">
        <v>100</v>
      </c>
    </row>
    <row r="145" spans="1:8" s="50" customFormat="1" x14ac:dyDescent="0.25">
      <c r="A145" s="60" t="s">
        <v>112</v>
      </c>
      <c r="B145" s="63" t="s">
        <v>58</v>
      </c>
      <c r="C145" s="61" t="str">
        <f t="shared" si="9"/>
        <v>Natural GasTotal PM</v>
      </c>
      <c r="D145" s="67">
        <v>0.52</v>
      </c>
      <c r="E145" s="62">
        <f t="shared" ref="E145:E150" si="15">D145</f>
        <v>0.52</v>
      </c>
      <c r="F145" s="63" t="s">
        <v>98</v>
      </c>
      <c r="G145" s="63" t="s">
        <v>486</v>
      </c>
      <c r="H145" s="64" t="s">
        <v>100</v>
      </c>
    </row>
    <row r="146" spans="1:8" s="50" customFormat="1" ht="15.6" x14ac:dyDescent="0.25">
      <c r="A146" s="60" t="s">
        <v>112</v>
      </c>
      <c r="B146" s="63" t="s">
        <v>103</v>
      </c>
      <c r="C146" s="61" t="str">
        <f t="shared" si="9"/>
        <v>Natural GasPM10</v>
      </c>
      <c r="D146" s="62">
        <v>0.52</v>
      </c>
      <c r="E146" s="62">
        <f t="shared" si="15"/>
        <v>0.52</v>
      </c>
      <c r="F146" s="63" t="s">
        <v>98</v>
      </c>
      <c r="G146" s="63" t="s">
        <v>486</v>
      </c>
      <c r="H146" s="64" t="s">
        <v>100</v>
      </c>
    </row>
    <row r="147" spans="1:8" s="50" customFormat="1" ht="15.6" x14ac:dyDescent="0.25">
      <c r="A147" s="60" t="s">
        <v>112</v>
      </c>
      <c r="B147" s="63" t="s">
        <v>104</v>
      </c>
      <c r="C147" s="61" t="str">
        <f t="shared" si="9"/>
        <v>Natural GasPM2.5</v>
      </c>
      <c r="D147" s="62">
        <v>0.43</v>
      </c>
      <c r="E147" s="62">
        <f t="shared" si="15"/>
        <v>0.43</v>
      </c>
      <c r="F147" s="63" t="s">
        <v>98</v>
      </c>
      <c r="G147" s="63" t="s">
        <v>486</v>
      </c>
      <c r="H147" s="64" t="s">
        <v>100</v>
      </c>
    </row>
    <row r="148" spans="1:8" s="50" customFormat="1" x14ac:dyDescent="0.25">
      <c r="A148" s="60" t="s">
        <v>114</v>
      </c>
      <c r="B148" s="61" t="s">
        <v>86</v>
      </c>
      <c r="C148" s="61" t="str">
        <f t="shared" si="9"/>
        <v>LPGVOC</v>
      </c>
      <c r="D148" s="62">
        <v>0.52</v>
      </c>
      <c r="E148" s="62">
        <f t="shared" si="15"/>
        <v>0.52</v>
      </c>
      <c r="F148" s="63" t="s">
        <v>98</v>
      </c>
      <c r="G148" s="63" t="s">
        <v>110</v>
      </c>
      <c r="H148" s="64" t="s">
        <v>100</v>
      </c>
    </row>
    <row r="149" spans="1:8" s="50" customFormat="1" ht="15.6" x14ac:dyDescent="0.25">
      <c r="A149" s="60" t="s">
        <v>114</v>
      </c>
      <c r="B149" s="63" t="s">
        <v>101</v>
      </c>
      <c r="C149" s="61" t="str">
        <f t="shared" si="9"/>
        <v>LPGNOx</v>
      </c>
      <c r="D149" s="62">
        <v>14.23</v>
      </c>
      <c r="E149" s="62">
        <f t="shared" si="15"/>
        <v>14.23</v>
      </c>
      <c r="F149" s="63" t="s">
        <v>98</v>
      </c>
      <c r="G149" s="63" t="s">
        <v>110</v>
      </c>
      <c r="H149" s="64" t="s">
        <v>100</v>
      </c>
    </row>
    <row r="150" spans="1:8" s="50" customFormat="1" x14ac:dyDescent="0.25">
      <c r="A150" s="60" t="s">
        <v>114</v>
      </c>
      <c r="B150" s="63" t="s">
        <v>85</v>
      </c>
      <c r="C150" s="61" t="str">
        <f t="shared" si="9"/>
        <v>LPGCO</v>
      </c>
      <c r="D150" s="62">
        <v>7.97</v>
      </c>
      <c r="E150" s="62">
        <f t="shared" si="15"/>
        <v>7.97</v>
      </c>
      <c r="F150" s="63" t="s">
        <v>98</v>
      </c>
      <c r="G150" s="63" t="s">
        <v>110</v>
      </c>
      <c r="H150" s="64" t="s">
        <v>100</v>
      </c>
    </row>
    <row r="151" spans="1:8" s="50" customFormat="1" ht="15.6" x14ac:dyDescent="0.25">
      <c r="A151" s="60" t="s">
        <v>114</v>
      </c>
      <c r="B151" s="63" t="s">
        <v>102</v>
      </c>
      <c r="C151" s="61" t="str">
        <f t="shared" si="9"/>
        <v>LPGSO2</v>
      </c>
      <c r="D151" s="62">
        <v>0.06</v>
      </c>
      <c r="E151" s="62">
        <f>D151*LPG_Allowable_Sulfur_Content/LPG_Actual_Sulfur_Content</f>
        <v>14.399999999999999</v>
      </c>
      <c r="F151" s="63" t="s">
        <v>98</v>
      </c>
      <c r="G151" s="63" t="s">
        <v>110</v>
      </c>
      <c r="H151" s="64" t="s">
        <v>100</v>
      </c>
    </row>
    <row r="152" spans="1:8" s="50" customFormat="1" x14ac:dyDescent="0.25">
      <c r="A152" s="60" t="s">
        <v>114</v>
      </c>
      <c r="B152" s="63" t="s">
        <v>58</v>
      </c>
      <c r="C152" s="61" t="str">
        <f t="shared" si="9"/>
        <v>LPGTotal PM</v>
      </c>
      <c r="D152" s="67">
        <v>0.05</v>
      </c>
      <c r="E152" s="62">
        <f t="shared" ref="E152:E154" si="16">D152</f>
        <v>0.05</v>
      </c>
      <c r="F152" s="63" t="s">
        <v>98</v>
      </c>
      <c r="G152" s="63" t="s">
        <v>110</v>
      </c>
      <c r="H152" s="64" t="s">
        <v>100</v>
      </c>
    </row>
    <row r="153" spans="1:8" s="50" customFormat="1" ht="15.6" x14ac:dyDescent="0.25">
      <c r="A153" s="60" t="s">
        <v>114</v>
      </c>
      <c r="B153" s="63" t="s">
        <v>103</v>
      </c>
      <c r="C153" s="61" t="str">
        <f t="shared" si="9"/>
        <v>LPGPM10</v>
      </c>
      <c r="D153" s="62">
        <v>0.05</v>
      </c>
      <c r="E153" s="62">
        <f t="shared" si="16"/>
        <v>0.05</v>
      </c>
      <c r="F153" s="63" t="s">
        <v>98</v>
      </c>
      <c r="G153" s="63" t="s">
        <v>110</v>
      </c>
      <c r="H153" s="64" t="s">
        <v>100</v>
      </c>
    </row>
    <row r="154" spans="1:8" s="50" customFormat="1" ht="15.6" x14ac:dyDescent="0.25">
      <c r="A154" s="60" t="s">
        <v>114</v>
      </c>
      <c r="B154" s="63" t="s">
        <v>104</v>
      </c>
      <c r="C154" s="61" t="str">
        <f t="shared" si="9"/>
        <v>LPGPM2.5</v>
      </c>
      <c r="D154" s="62">
        <v>0.04</v>
      </c>
      <c r="E154" s="62">
        <f t="shared" si="16"/>
        <v>0.04</v>
      </c>
      <c r="F154" s="63" t="s">
        <v>98</v>
      </c>
      <c r="G154" s="63" t="s">
        <v>110</v>
      </c>
      <c r="H154" s="64" t="s">
        <v>100</v>
      </c>
    </row>
    <row r="155" spans="1:8" s="50" customFormat="1" x14ac:dyDescent="0.25">
      <c r="A155" s="60" t="s">
        <v>118</v>
      </c>
      <c r="B155" s="61" t="s">
        <v>86</v>
      </c>
      <c r="C155" s="61" t="str">
        <f t="shared" si="9"/>
        <v>Wood WasteWet WoodVOC</v>
      </c>
      <c r="D155" s="62">
        <v>1.7000000000000001E-2</v>
      </c>
      <c r="E155" s="62">
        <f>D155</f>
        <v>1.7000000000000001E-2</v>
      </c>
      <c r="F155" s="63" t="s">
        <v>98</v>
      </c>
      <c r="G155" s="63" t="s">
        <v>115</v>
      </c>
      <c r="H155" s="64" t="s">
        <v>120</v>
      </c>
    </row>
    <row r="156" spans="1:8" s="50" customFormat="1" ht="15.6" x14ac:dyDescent="0.25">
      <c r="A156" s="60" t="s">
        <v>118</v>
      </c>
      <c r="B156" s="63" t="s">
        <v>101</v>
      </c>
      <c r="C156" s="61" t="str">
        <f t="shared" si="9"/>
        <v>Wood WasteWet WoodNOx</v>
      </c>
      <c r="D156" s="62">
        <v>0.22</v>
      </c>
      <c r="E156" s="62">
        <f t="shared" ref="E156:E171" si="17">D156</f>
        <v>0.22</v>
      </c>
      <c r="F156" s="63" t="s">
        <v>98</v>
      </c>
      <c r="G156" s="63" t="s">
        <v>115</v>
      </c>
      <c r="H156" s="64" t="s">
        <v>120</v>
      </c>
    </row>
    <row r="157" spans="1:8" s="50" customFormat="1" x14ac:dyDescent="0.25">
      <c r="A157" s="60" t="s">
        <v>118</v>
      </c>
      <c r="B157" s="63" t="s">
        <v>85</v>
      </c>
      <c r="C157" s="61" t="str">
        <f t="shared" si="9"/>
        <v>Wood WasteWet WoodCO</v>
      </c>
      <c r="D157" s="62">
        <v>0.6</v>
      </c>
      <c r="E157" s="62">
        <f t="shared" si="17"/>
        <v>0.6</v>
      </c>
      <c r="F157" s="63" t="s">
        <v>98</v>
      </c>
      <c r="G157" s="63" t="s">
        <v>115</v>
      </c>
      <c r="H157" s="64" t="s">
        <v>120</v>
      </c>
    </row>
    <row r="158" spans="1:8" s="50" customFormat="1" ht="15.6" x14ac:dyDescent="0.25">
      <c r="A158" s="60" t="s">
        <v>118</v>
      </c>
      <c r="B158" s="63" t="s">
        <v>102</v>
      </c>
      <c r="C158" s="61" t="str">
        <f t="shared" si="9"/>
        <v>Wood WasteWet WoodSO2</v>
      </c>
      <c r="D158" s="62">
        <v>2.5000000000000001E-2</v>
      </c>
      <c r="E158" s="62">
        <f t="shared" si="17"/>
        <v>2.5000000000000001E-2</v>
      </c>
      <c r="F158" s="63" t="s">
        <v>98</v>
      </c>
      <c r="G158" s="63" t="s">
        <v>115</v>
      </c>
      <c r="H158" s="64" t="s">
        <v>120</v>
      </c>
    </row>
    <row r="159" spans="1:8" s="50" customFormat="1" x14ac:dyDescent="0.25">
      <c r="A159" s="60" t="s">
        <v>118</v>
      </c>
      <c r="B159" s="63" t="s">
        <v>58</v>
      </c>
      <c r="C159" s="61" t="str">
        <f t="shared" si="9"/>
        <v>Wood WasteWet WoodTotal PM</v>
      </c>
      <c r="D159" s="62">
        <v>0.57699999999999996</v>
      </c>
      <c r="E159" s="62">
        <f t="shared" si="17"/>
        <v>0.57699999999999996</v>
      </c>
      <c r="F159" s="63" t="s">
        <v>98</v>
      </c>
      <c r="G159" s="63" t="s">
        <v>115</v>
      </c>
      <c r="H159" s="64" t="s">
        <v>120</v>
      </c>
    </row>
    <row r="160" spans="1:8" s="50" customFormat="1" ht="15.6" x14ac:dyDescent="0.25">
      <c r="A160" s="60" t="s">
        <v>118</v>
      </c>
      <c r="B160" s="63" t="s">
        <v>103</v>
      </c>
      <c r="C160" s="61" t="str">
        <f t="shared" si="9"/>
        <v>Wood WasteWet WoodPM10</v>
      </c>
      <c r="D160" s="62">
        <v>0.5</v>
      </c>
      <c r="E160" s="62">
        <f t="shared" si="17"/>
        <v>0.5</v>
      </c>
      <c r="F160" s="63" t="s">
        <v>98</v>
      </c>
      <c r="G160" s="63" t="s">
        <v>115</v>
      </c>
      <c r="H160" s="64" t="s">
        <v>120</v>
      </c>
    </row>
    <row r="161" spans="1:8" s="50" customFormat="1" ht="15.6" x14ac:dyDescent="0.25">
      <c r="A161" s="60" t="s">
        <v>118</v>
      </c>
      <c r="B161" s="63" t="s">
        <v>104</v>
      </c>
      <c r="C161" s="61" t="str">
        <f t="shared" si="9"/>
        <v>Wood WasteWet WoodPM2.5</v>
      </c>
      <c r="D161" s="62">
        <v>0.43</v>
      </c>
      <c r="E161" s="62">
        <f t="shared" si="17"/>
        <v>0.43</v>
      </c>
      <c r="F161" s="63" t="s">
        <v>98</v>
      </c>
      <c r="G161" s="63" t="s">
        <v>115</v>
      </c>
      <c r="H161" s="64" t="s">
        <v>120</v>
      </c>
    </row>
    <row r="162" spans="1:8" s="50" customFormat="1" x14ac:dyDescent="0.25">
      <c r="A162" s="60" t="s">
        <v>119</v>
      </c>
      <c r="B162" s="61" t="s">
        <v>86</v>
      </c>
      <c r="C162" s="61" t="str">
        <f t="shared" si="9"/>
        <v>Wood WasteDry WoodVOC</v>
      </c>
      <c r="D162" s="62">
        <v>1.7000000000000001E-2</v>
      </c>
      <c r="E162" s="62">
        <f t="shared" si="17"/>
        <v>1.7000000000000001E-2</v>
      </c>
      <c r="F162" s="63" t="s">
        <v>98</v>
      </c>
      <c r="G162" s="63" t="s">
        <v>115</v>
      </c>
      <c r="H162" s="64" t="s">
        <v>120</v>
      </c>
    </row>
    <row r="163" spans="1:8" s="50" customFormat="1" ht="15.6" x14ac:dyDescent="0.25">
      <c r="A163" s="60" t="s">
        <v>119</v>
      </c>
      <c r="B163" s="63" t="s">
        <v>101</v>
      </c>
      <c r="C163" s="61" t="str">
        <f t="shared" si="9"/>
        <v>Wood WasteDry WoodNOx</v>
      </c>
      <c r="D163" s="62">
        <v>0.49</v>
      </c>
      <c r="E163" s="62">
        <f t="shared" si="17"/>
        <v>0.49</v>
      </c>
      <c r="F163" s="63" t="s">
        <v>98</v>
      </c>
      <c r="G163" s="63" t="s">
        <v>115</v>
      </c>
      <c r="H163" s="64" t="s">
        <v>120</v>
      </c>
    </row>
    <row r="164" spans="1:8" s="50" customFormat="1" x14ac:dyDescent="0.25">
      <c r="A164" s="60" t="s">
        <v>119</v>
      </c>
      <c r="B164" s="63" t="s">
        <v>85</v>
      </c>
      <c r="C164" s="61" t="str">
        <f t="shared" si="9"/>
        <v>Wood WasteDry WoodCO</v>
      </c>
      <c r="D164" s="62">
        <v>0.6</v>
      </c>
      <c r="E164" s="62">
        <f t="shared" si="17"/>
        <v>0.6</v>
      </c>
      <c r="F164" s="63" t="s">
        <v>98</v>
      </c>
      <c r="G164" s="63" t="s">
        <v>115</v>
      </c>
      <c r="H164" s="64" t="s">
        <v>120</v>
      </c>
    </row>
    <row r="165" spans="1:8" s="50" customFormat="1" ht="15.6" x14ac:dyDescent="0.25">
      <c r="A165" s="60" t="s">
        <v>119</v>
      </c>
      <c r="B165" s="63" t="s">
        <v>102</v>
      </c>
      <c r="C165" s="61" t="str">
        <f t="shared" si="9"/>
        <v>Wood WasteDry WoodSO2</v>
      </c>
      <c r="D165" s="62">
        <v>2.5000000000000001E-2</v>
      </c>
      <c r="E165" s="62">
        <f t="shared" si="17"/>
        <v>2.5000000000000001E-2</v>
      </c>
      <c r="F165" s="63" t="s">
        <v>98</v>
      </c>
      <c r="G165" s="63" t="s">
        <v>115</v>
      </c>
      <c r="H165" s="64" t="s">
        <v>120</v>
      </c>
    </row>
    <row r="166" spans="1:8" s="50" customFormat="1" x14ac:dyDescent="0.25">
      <c r="A166" s="60" t="s">
        <v>119</v>
      </c>
      <c r="B166" s="63" t="s">
        <v>58</v>
      </c>
      <c r="C166" s="61" t="str">
        <f t="shared" si="9"/>
        <v>Wood WasteDry WoodTotal PM</v>
      </c>
      <c r="D166" s="62">
        <v>0.41699999999999998</v>
      </c>
      <c r="E166" s="62">
        <f t="shared" si="17"/>
        <v>0.41699999999999998</v>
      </c>
      <c r="F166" s="63" t="s">
        <v>98</v>
      </c>
      <c r="G166" s="63" t="s">
        <v>115</v>
      </c>
      <c r="H166" s="64" t="s">
        <v>120</v>
      </c>
    </row>
    <row r="167" spans="1:8" s="50" customFormat="1" ht="15.6" x14ac:dyDescent="0.25">
      <c r="A167" s="60" t="s">
        <v>119</v>
      </c>
      <c r="B167" s="63" t="s">
        <v>103</v>
      </c>
      <c r="C167" s="61" t="str">
        <f t="shared" si="9"/>
        <v>Wood WasteDry WoodPM10</v>
      </c>
      <c r="D167" s="62">
        <v>0.36</v>
      </c>
      <c r="E167" s="62">
        <f t="shared" si="17"/>
        <v>0.36</v>
      </c>
      <c r="F167" s="63" t="s">
        <v>98</v>
      </c>
      <c r="G167" s="63" t="s">
        <v>115</v>
      </c>
      <c r="H167" s="64" t="s">
        <v>120</v>
      </c>
    </row>
    <row r="168" spans="1:8" s="50" customFormat="1" ht="15.6" x14ac:dyDescent="0.25">
      <c r="A168" s="60" t="s">
        <v>119</v>
      </c>
      <c r="B168" s="63" t="s">
        <v>104</v>
      </c>
      <c r="C168" s="61" t="str">
        <f t="shared" si="9"/>
        <v>Wood WasteDry WoodPM2.5</v>
      </c>
      <c r="D168" s="62">
        <v>0.31</v>
      </c>
      <c r="E168" s="62">
        <f t="shared" si="17"/>
        <v>0.31</v>
      </c>
      <c r="F168" s="63" t="s">
        <v>98</v>
      </c>
      <c r="G168" s="63" t="s">
        <v>115</v>
      </c>
      <c r="H168" s="64" t="s">
        <v>120</v>
      </c>
    </row>
    <row r="169" spans="1:8" s="50" customFormat="1" x14ac:dyDescent="0.25">
      <c r="A169" s="60" t="s">
        <v>116</v>
      </c>
      <c r="B169" s="61" t="s">
        <v>86</v>
      </c>
      <c r="C169" s="61" t="str">
        <f t="shared" si="9"/>
        <v>KeroseneVOC</v>
      </c>
      <c r="D169" s="62">
        <v>0.19</v>
      </c>
      <c r="E169" s="62">
        <f t="shared" si="17"/>
        <v>0.19</v>
      </c>
      <c r="F169" s="63" t="s">
        <v>98</v>
      </c>
      <c r="G169" s="63" t="s">
        <v>110</v>
      </c>
      <c r="H169" s="64" t="s">
        <v>100</v>
      </c>
    </row>
    <row r="170" spans="1:8" s="50" customFormat="1" ht="15.6" x14ac:dyDescent="0.25">
      <c r="A170" s="60" t="s">
        <v>116</v>
      </c>
      <c r="B170" s="63" t="s">
        <v>101</v>
      </c>
      <c r="C170" s="61" t="str">
        <f t="shared" si="9"/>
        <v>KeroseneNOx</v>
      </c>
      <c r="D170" s="62">
        <v>19.29</v>
      </c>
      <c r="E170" s="62">
        <f t="shared" si="17"/>
        <v>19.29</v>
      </c>
      <c r="F170" s="63" t="s">
        <v>98</v>
      </c>
      <c r="G170" s="63" t="s">
        <v>110</v>
      </c>
      <c r="H170" s="64" t="s">
        <v>100</v>
      </c>
    </row>
    <row r="171" spans="1:8" s="50" customFormat="1" x14ac:dyDescent="0.25">
      <c r="A171" s="60" t="s">
        <v>116</v>
      </c>
      <c r="B171" s="63" t="s">
        <v>85</v>
      </c>
      <c r="C171" s="61" t="str">
        <f t="shared" si="9"/>
        <v>KeroseneCO</v>
      </c>
      <c r="D171" s="62">
        <v>4.82</v>
      </c>
      <c r="E171" s="62">
        <f t="shared" si="17"/>
        <v>4.82</v>
      </c>
      <c r="F171" s="63" t="s">
        <v>98</v>
      </c>
      <c r="G171" s="63" t="s">
        <v>110</v>
      </c>
      <c r="H171" s="64" t="s">
        <v>100</v>
      </c>
    </row>
    <row r="172" spans="1:8" s="50" customFormat="1" ht="15.6" x14ac:dyDescent="0.25">
      <c r="A172" s="60" t="s">
        <v>116</v>
      </c>
      <c r="B172" s="63" t="s">
        <v>102</v>
      </c>
      <c r="C172" s="61" t="str">
        <f t="shared" si="9"/>
        <v>KeroseneSO2</v>
      </c>
      <c r="D172" s="65">
        <f>IF(Furnace_Sulfur_Content = 0, 142*Kerosene_Actual_Sulfur_Content, 142*Furnace_Sulfur_Content)</f>
        <v>34.08</v>
      </c>
      <c r="E172" s="62">
        <f>IF(D172&gt;142*Kerosene_Allowable_Sulfur_Content,D172,142*Kerosene_Allowable_Sulfur_Content)</f>
        <v>42.6</v>
      </c>
      <c r="F172" s="63" t="s">
        <v>98</v>
      </c>
      <c r="G172" s="63" t="s">
        <v>110</v>
      </c>
      <c r="H172" s="64" t="s">
        <v>100</v>
      </c>
    </row>
    <row r="173" spans="1:8" s="50" customFormat="1" x14ac:dyDescent="0.25">
      <c r="A173" s="60" t="s">
        <v>116</v>
      </c>
      <c r="B173" s="63" t="s">
        <v>58</v>
      </c>
      <c r="C173" s="61" t="str">
        <f t="shared" si="9"/>
        <v>KeroseneTotal PM</v>
      </c>
      <c r="D173" s="62">
        <f>D174/0.5</f>
        <v>4.42</v>
      </c>
      <c r="E173" s="62">
        <f t="shared" ref="E173:E175" si="18">D173</f>
        <v>4.42</v>
      </c>
      <c r="F173" s="63" t="s">
        <v>98</v>
      </c>
      <c r="G173" s="63" t="s">
        <v>110</v>
      </c>
      <c r="H173" s="64" t="s">
        <v>106</v>
      </c>
    </row>
    <row r="174" spans="1:8" s="50" customFormat="1" ht="15.6" x14ac:dyDescent="0.25">
      <c r="A174" s="60" t="s">
        <v>116</v>
      </c>
      <c r="B174" s="63" t="s">
        <v>103</v>
      </c>
      <c r="C174" s="61" t="str">
        <f t="shared" si="9"/>
        <v>KerosenePM10</v>
      </c>
      <c r="D174" s="62">
        <v>2.21</v>
      </c>
      <c r="E174" s="62">
        <f t="shared" si="18"/>
        <v>2.21</v>
      </c>
      <c r="F174" s="63" t="s">
        <v>98</v>
      </c>
      <c r="G174" s="63" t="s">
        <v>110</v>
      </c>
      <c r="H174" s="64" t="s">
        <v>100</v>
      </c>
    </row>
    <row r="175" spans="1:8" s="50" customFormat="1" ht="15.6" x14ac:dyDescent="0.25">
      <c r="A175" s="31" t="s">
        <v>116</v>
      </c>
      <c r="B175" s="63" t="s">
        <v>104</v>
      </c>
      <c r="C175" s="61" t="str">
        <f t="shared" si="9"/>
        <v>KerosenePM2.5</v>
      </c>
      <c r="D175" s="62">
        <v>1.49</v>
      </c>
      <c r="E175" s="62">
        <f t="shared" si="18"/>
        <v>1.49</v>
      </c>
      <c r="F175" s="63" t="s">
        <v>98</v>
      </c>
      <c r="G175" s="63" t="s">
        <v>110</v>
      </c>
      <c r="H175" s="277" t="s">
        <v>100</v>
      </c>
    </row>
    <row r="176" spans="1:8" x14ac:dyDescent="0.25">
      <c r="A176"/>
      <c r="D176"/>
      <c r="E176"/>
    </row>
    <row r="177" spans="1:5" x14ac:dyDescent="0.25">
      <c r="A177"/>
      <c r="D177"/>
      <c r="E177"/>
    </row>
    <row r="178" spans="1:5" x14ac:dyDescent="0.25">
      <c r="A178"/>
      <c r="D178"/>
      <c r="E178"/>
    </row>
    <row r="179" spans="1:5" x14ac:dyDescent="0.25">
      <c r="A179"/>
      <c r="D179"/>
      <c r="E179"/>
    </row>
    <row r="180" spans="1:5" x14ac:dyDescent="0.25">
      <c r="A180"/>
      <c r="D180"/>
      <c r="E180"/>
    </row>
    <row r="181" spans="1:5" x14ac:dyDescent="0.25">
      <c r="A181"/>
      <c r="D181"/>
      <c r="E181"/>
    </row>
    <row r="182" spans="1:5" x14ac:dyDescent="0.25">
      <c r="A182"/>
      <c r="D182"/>
      <c r="E182"/>
    </row>
    <row r="183" spans="1:5" x14ac:dyDescent="0.25">
      <c r="A183"/>
      <c r="D183"/>
      <c r="E183"/>
    </row>
    <row r="184" spans="1:5" x14ac:dyDescent="0.25">
      <c r="A184"/>
      <c r="D184"/>
      <c r="E184"/>
    </row>
    <row r="185" spans="1:5" x14ac:dyDescent="0.25">
      <c r="A185"/>
      <c r="D185"/>
      <c r="E185"/>
    </row>
  </sheetData>
  <mergeCells count="5">
    <mergeCell ref="A4:H4"/>
    <mergeCell ref="A26:H26"/>
    <mergeCell ref="A2:H2"/>
    <mergeCell ref="A48:H48"/>
    <mergeCell ref="A112:H112"/>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3"/>
  <sheetViews>
    <sheetView workbookViewId="0"/>
  </sheetViews>
  <sheetFormatPr defaultColWidth="9.109375" defaultRowHeight="13.2" x14ac:dyDescent="0.25"/>
  <cols>
    <col min="1" max="1" width="19.88671875" style="75" bestFit="1" customWidth="1"/>
    <col min="2" max="2" width="15" style="75" bestFit="1" customWidth="1"/>
    <col min="3" max="3" width="25.5546875" style="76" bestFit="1" customWidth="1"/>
    <col min="4" max="4" width="27.6640625" style="76" bestFit="1" customWidth="1"/>
    <col min="5" max="5" width="228.109375" style="75" bestFit="1" customWidth="1"/>
    <col min="6" max="16384" width="9.109375" style="75"/>
  </cols>
  <sheetData>
    <row r="1" spans="1:5" ht="17.399999999999999" x14ac:dyDescent="0.3">
      <c r="A1" s="74" t="s">
        <v>123</v>
      </c>
    </row>
    <row r="2" spans="1:5" ht="13.8" thickBot="1" x14ac:dyDescent="0.3"/>
    <row r="3" spans="1:5" x14ac:dyDescent="0.25">
      <c r="A3" s="453" t="s">
        <v>124</v>
      </c>
      <c r="B3" s="454"/>
      <c r="C3" s="454"/>
      <c r="D3" s="454"/>
      <c r="E3" s="455"/>
    </row>
    <row r="4" spans="1:5" x14ac:dyDescent="0.25">
      <c r="A4" s="77" t="s">
        <v>125</v>
      </c>
      <c r="B4" s="78" t="s">
        <v>126</v>
      </c>
      <c r="C4" s="79" t="s">
        <v>127</v>
      </c>
      <c r="D4" s="79" t="s">
        <v>128</v>
      </c>
      <c r="E4" s="80" t="s">
        <v>37</v>
      </c>
    </row>
    <row r="5" spans="1:5" x14ac:dyDescent="0.25">
      <c r="A5" s="81" t="s">
        <v>105</v>
      </c>
      <c r="B5" s="82">
        <v>19.832000000000001</v>
      </c>
      <c r="C5" s="83" t="s">
        <v>115</v>
      </c>
      <c r="D5" s="83" t="s">
        <v>129</v>
      </c>
      <c r="E5" s="84" t="s">
        <v>130</v>
      </c>
    </row>
    <row r="6" spans="1:5" x14ac:dyDescent="0.25">
      <c r="A6" s="81" t="s">
        <v>107</v>
      </c>
      <c r="B6" s="82">
        <v>19.832000000000001</v>
      </c>
      <c r="C6" s="83" t="s">
        <v>115</v>
      </c>
      <c r="D6" s="83" t="s">
        <v>129</v>
      </c>
      <c r="E6" s="84" t="s">
        <v>130</v>
      </c>
    </row>
    <row r="7" spans="1:5" x14ac:dyDescent="0.25">
      <c r="A7" s="81" t="s">
        <v>116</v>
      </c>
      <c r="B7" s="82">
        <v>5.67</v>
      </c>
      <c r="C7" s="83" t="s">
        <v>115</v>
      </c>
      <c r="D7" s="83" t="s">
        <v>131</v>
      </c>
      <c r="E7" s="84" t="s">
        <v>132</v>
      </c>
    </row>
    <row r="8" spans="1:5" x14ac:dyDescent="0.25">
      <c r="A8" s="81" t="s">
        <v>114</v>
      </c>
      <c r="B8" s="82">
        <v>3.8492000000000002</v>
      </c>
      <c r="C8" s="83" t="s">
        <v>115</v>
      </c>
      <c r="D8" s="83" t="s">
        <v>131</v>
      </c>
      <c r="E8" s="84" t="s">
        <v>133</v>
      </c>
    </row>
    <row r="9" spans="1:5" ht="15.6" x14ac:dyDescent="0.25">
      <c r="A9" s="81" t="s">
        <v>112</v>
      </c>
      <c r="B9" s="82">
        <v>1023</v>
      </c>
      <c r="C9" s="83" t="s">
        <v>134</v>
      </c>
      <c r="D9" s="83" t="s">
        <v>135</v>
      </c>
      <c r="E9" s="84" t="s">
        <v>136</v>
      </c>
    </row>
    <row r="10" spans="1:5" x14ac:dyDescent="0.25">
      <c r="A10" s="81" t="s">
        <v>109</v>
      </c>
      <c r="B10" s="82">
        <v>5.8250000000000002</v>
      </c>
      <c r="C10" s="83" t="s">
        <v>115</v>
      </c>
      <c r="D10" s="83" t="s">
        <v>131</v>
      </c>
      <c r="E10" s="84" t="s">
        <v>132</v>
      </c>
    </row>
    <row r="11" spans="1:5" x14ac:dyDescent="0.25">
      <c r="A11" s="81" t="s">
        <v>111</v>
      </c>
      <c r="B11" s="82">
        <v>6.2869999999999999</v>
      </c>
      <c r="C11" s="83" t="s">
        <v>115</v>
      </c>
      <c r="D11" s="83" t="s">
        <v>131</v>
      </c>
      <c r="E11" s="84" t="s">
        <v>132</v>
      </c>
    </row>
    <row r="12" spans="1:5" ht="13.8" thickBot="1" x14ac:dyDescent="0.3">
      <c r="A12" s="85" t="s">
        <v>488</v>
      </c>
      <c r="B12" s="86">
        <v>5200</v>
      </c>
      <c r="C12" s="87" t="s">
        <v>134</v>
      </c>
      <c r="D12" s="87" t="s">
        <v>98</v>
      </c>
      <c r="E12" s="295" t="s">
        <v>489</v>
      </c>
    </row>
    <row r="13" spans="1:5" ht="13.8" thickBot="1" x14ac:dyDescent="0.3">
      <c r="A13" s="88"/>
    </row>
    <row r="14" spans="1:5" x14ac:dyDescent="0.25">
      <c r="A14" s="453" t="s">
        <v>137</v>
      </c>
      <c r="B14" s="454"/>
      <c r="C14" s="454"/>
      <c r="D14" s="455"/>
    </row>
    <row r="15" spans="1:5" x14ac:dyDescent="0.25">
      <c r="A15" s="77" t="s">
        <v>125</v>
      </c>
      <c r="B15" s="78" t="s">
        <v>126</v>
      </c>
      <c r="C15" s="79" t="s">
        <v>127</v>
      </c>
      <c r="D15" s="89" t="s">
        <v>128</v>
      </c>
      <c r="E15" s="90"/>
    </row>
    <row r="16" spans="1:5" x14ac:dyDescent="0.25">
      <c r="A16" s="81" t="s">
        <v>105</v>
      </c>
      <c r="B16" s="82">
        <f>B5</f>
        <v>19.832000000000001</v>
      </c>
      <c r="C16" s="83" t="s">
        <v>115</v>
      </c>
      <c r="D16" s="91" t="s">
        <v>129</v>
      </c>
    </row>
    <row r="17" spans="1:4" x14ac:dyDescent="0.25">
      <c r="A17" s="81" t="s">
        <v>107</v>
      </c>
      <c r="B17" s="82">
        <f>B5</f>
        <v>19.832000000000001</v>
      </c>
      <c r="C17" s="83" t="s">
        <v>115</v>
      </c>
      <c r="D17" s="91" t="s">
        <v>129</v>
      </c>
    </row>
    <row r="18" spans="1:4" x14ac:dyDescent="0.25">
      <c r="A18" s="81" t="s">
        <v>116</v>
      </c>
      <c r="B18" s="82">
        <f>5.67*1000/42</f>
        <v>135</v>
      </c>
      <c r="C18" s="83" t="s">
        <v>115</v>
      </c>
      <c r="D18" s="91" t="s">
        <v>110</v>
      </c>
    </row>
    <row r="19" spans="1:4" x14ac:dyDescent="0.25">
      <c r="A19" s="81" t="s">
        <v>114</v>
      </c>
      <c r="B19" s="82">
        <f>3.86*1000/42</f>
        <v>91.904761904761898</v>
      </c>
      <c r="C19" s="83" t="s">
        <v>115</v>
      </c>
      <c r="D19" s="91" t="s">
        <v>110</v>
      </c>
    </row>
    <row r="20" spans="1:4" x14ac:dyDescent="0.25">
      <c r="A20" s="81" t="s">
        <v>112</v>
      </c>
      <c r="B20" s="82">
        <f>B9</f>
        <v>1023</v>
      </c>
      <c r="C20" s="83" t="s">
        <v>115</v>
      </c>
      <c r="D20" s="91" t="s">
        <v>486</v>
      </c>
    </row>
    <row r="21" spans="1:4" x14ac:dyDescent="0.25">
      <c r="A21" s="81" t="s">
        <v>109</v>
      </c>
      <c r="B21" s="82">
        <f>B10*1000/42</f>
        <v>138.6904761904762</v>
      </c>
      <c r="C21" s="83" t="s">
        <v>115</v>
      </c>
      <c r="D21" s="91" t="s">
        <v>110</v>
      </c>
    </row>
    <row r="22" spans="1:4" x14ac:dyDescent="0.25">
      <c r="A22" s="81" t="s">
        <v>111</v>
      </c>
      <c r="B22" s="82">
        <f>B11*1000/42</f>
        <v>149.6904761904762</v>
      </c>
      <c r="C22" s="83" t="s">
        <v>115</v>
      </c>
      <c r="D22" s="91" t="s">
        <v>110</v>
      </c>
    </row>
    <row r="23" spans="1:4" ht="13.8" thickBot="1" x14ac:dyDescent="0.3">
      <c r="A23" s="296" t="s">
        <v>117</v>
      </c>
      <c r="B23" s="86">
        <f>B12*2000/1000000</f>
        <v>10.4</v>
      </c>
      <c r="C23" s="297" t="s">
        <v>115</v>
      </c>
      <c r="D23" s="298" t="s">
        <v>129</v>
      </c>
    </row>
  </sheetData>
  <mergeCells count="2">
    <mergeCell ref="A3:E3"/>
    <mergeCell ref="A14:D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61</vt:i4>
      </vt:variant>
    </vt:vector>
  </HeadingPairs>
  <TitlesOfParts>
    <vt:vector size="72" baseType="lpstr">
      <vt:lpstr>Registration FAQs</vt:lpstr>
      <vt:lpstr>Instructions</vt:lpstr>
      <vt:lpstr>Inputs</vt:lpstr>
      <vt:lpstr>Controls and Restrictions</vt:lpstr>
      <vt:lpstr>Total Emissions</vt:lpstr>
      <vt:lpstr>Output-Summary Printout</vt:lpstr>
      <vt:lpstr>Change Log</vt:lpstr>
      <vt:lpstr>Emission Factors</vt:lpstr>
      <vt:lpstr>Fuel Energy Content</vt:lpstr>
      <vt:lpstr>Additional References</vt:lpstr>
      <vt:lpstr>EPA Regional Contact Info</vt:lpstr>
      <vt:lpstr>Actual_2012_Boiler_Energy_Consumption</vt:lpstr>
      <vt:lpstr>Actual_2012_Furnace_Energy_Consumption</vt:lpstr>
      <vt:lpstr>Actual_Hourly_Wood</vt:lpstr>
      <vt:lpstr>Bituminous_Actual_Sulfur_Content</vt:lpstr>
      <vt:lpstr>Bituminous_Allowable_Sulfur_Content</vt:lpstr>
      <vt:lpstr>Boiler_Capacity</vt:lpstr>
      <vt:lpstr>Boiler_Fuel</vt:lpstr>
      <vt:lpstr>Boiler_Fuel_Combusted_in_2012</vt:lpstr>
      <vt:lpstr>Boiler_Fuel_Types</vt:lpstr>
      <vt:lpstr>Boiler_Sulfur_Content</vt:lpstr>
      <vt:lpstr>Boiler_Used</vt:lpstr>
      <vt:lpstr>CO_PM10_Attainment_List</vt:lpstr>
      <vt:lpstr>Dry_Green_Wood</vt:lpstr>
      <vt:lpstr>Emission_Rate_Unit</vt:lpstr>
      <vt:lpstr>Fine_Sawing_Waste_Percent</vt:lpstr>
      <vt:lpstr>Furnace_Capacity</vt:lpstr>
      <vt:lpstr>Furnace_Fuel</vt:lpstr>
      <vt:lpstr>Furnace_Fuel_Combusted_in_2012</vt:lpstr>
      <vt:lpstr>Furnace_Fuel_Types</vt:lpstr>
      <vt:lpstr>Furnace_Sulfur_Content</vt:lpstr>
      <vt:lpstr>Furnace_Used</vt:lpstr>
      <vt:lpstr>Hard_Soft_Wood</vt:lpstr>
      <vt:lpstr>Kerosene_Actual_Sulfur_Content</vt:lpstr>
      <vt:lpstr>Kerosene_Allowable_Sulfur_Content</vt:lpstr>
      <vt:lpstr>Kiln_Used</vt:lpstr>
      <vt:lpstr>LPG_Actual_Sulfur_Content</vt:lpstr>
      <vt:lpstr>LPG_Allowable_Sulfur_Content</vt:lpstr>
      <vt:lpstr>Max_Hourly_Wood</vt:lpstr>
      <vt:lpstr>Milling_Waste_Percent</vt:lpstr>
      <vt:lpstr>Molding_Waste_Percent</vt:lpstr>
      <vt:lpstr>Natural_Gas_Actual_Sulfur_Content</vt:lpstr>
      <vt:lpstr>Natural_Gas_Allowable_Sulfur_Content</vt:lpstr>
      <vt:lpstr>Oil_Distillate_Actual_Sulfur_Content</vt:lpstr>
      <vt:lpstr>Oil_Distillate_Allowable_Sulfur_Content</vt:lpstr>
      <vt:lpstr>Oil_Residual_Actual_Sulfur_Content</vt:lpstr>
      <vt:lpstr>Oil_Residual_Allowable_Sulfur_Content</vt:lpstr>
      <vt:lpstr>Ozone_Attainment_List</vt:lpstr>
      <vt:lpstr>Planing_Waste_Percent</vt:lpstr>
      <vt:lpstr>PM_Control_List</vt:lpstr>
      <vt:lpstr>PM10_Control_Multiplier</vt:lpstr>
      <vt:lpstr>PM2.5_Control_Multiplier</vt:lpstr>
      <vt:lpstr>'Controls and Restrictions'!Print_Area</vt:lpstr>
      <vt:lpstr>Inputs!Print_Area</vt:lpstr>
      <vt:lpstr>Instructions!Print_Area</vt:lpstr>
      <vt:lpstr>'Output-Summary Printout'!Print_Area</vt:lpstr>
      <vt:lpstr>'Registration FAQs'!Print_Area</vt:lpstr>
      <vt:lpstr>Rough_Sawing_Waste_Percent</vt:lpstr>
      <vt:lpstr>Sanding_Waste_Percent</vt:lpstr>
      <vt:lpstr>Shaving_Waste_Percent</vt:lpstr>
      <vt:lpstr>SO2_PM25_Attainment_List</vt:lpstr>
      <vt:lpstr>State_List</vt:lpstr>
      <vt:lpstr>Subbituminous_Actual_Sulfur_Content</vt:lpstr>
      <vt:lpstr>Subbituminous_Allowable_Sulfur_Content</vt:lpstr>
      <vt:lpstr>Weekly_Operation_Hours</vt:lpstr>
      <vt:lpstr>Wood_Density</vt:lpstr>
      <vt:lpstr>Wood_Duct_Percent</vt:lpstr>
      <vt:lpstr>Wood_Type</vt:lpstr>
      <vt:lpstr>Wood_Type_2</vt:lpstr>
      <vt:lpstr>Wood_Waste_Energy_Content</vt:lpstr>
      <vt:lpstr>Wood_Waste_Percent</vt:lpstr>
      <vt:lpstr>Yes_No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2013-02-02T16:23:57Z</cp:lastPrinted>
  <dcterms:created xsi:type="dcterms:W3CDTF">1999-01-25T20:14:01Z</dcterms:created>
  <dcterms:modified xsi:type="dcterms:W3CDTF">2016-02-03T17:55:13Z</dcterms:modified>
</cp:coreProperties>
</file>