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120" yWindow="636" windowWidth="19440" windowHeight="11340" tabRatio="852"/>
  </bookViews>
  <sheets>
    <sheet name="Registration FAQs" sheetId="23" r:id="rId1"/>
    <sheet name="Instructions" sheetId="4" r:id="rId2"/>
    <sheet name="Inputs" sheetId="5" r:id="rId3"/>
    <sheet name="Engine 1" sheetId="6" r:id="rId4"/>
    <sheet name="Engine 2" sheetId="7" r:id="rId5"/>
    <sheet name="Engine 3" sheetId="8" r:id="rId6"/>
    <sheet name="Engine 4" sheetId="9" r:id="rId7"/>
    <sheet name="Engine 5" sheetId="10" r:id="rId8"/>
    <sheet name="Total Emissions" sheetId="11" r:id="rId9"/>
    <sheet name="Output-Summary Printout" sheetId="21" r:id="rId10"/>
    <sheet name="Change Log" sheetId="13" state="hidden" r:id="rId11"/>
    <sheet name="Emission Factors" sheetId="14" state="hidden" r:id="rId12"/>
    <sheet name="Fuel Energy Content" sheetId="24" state="hidden" r:id="rId13"/>
    <sheet name="Additional References" sheetId="17" state="hidden" r:id="rId14"/>
    <sheet name="EPA Regional Contact Info" sheetId="18" state="hidden" r:id="rId15"/>
  </sheets>
  <definedNames>
    <definedName name="_xlnm._FilterDatabase" localSheetId="14" hidden="1">'EPA Regional Contact Info'!$A$4:$N$55</definedName>
    <definedName name="Allowable_Hours_for_Engine_Operation">'Additional References'!$B$7</definedName>
    <definedName name="Brake_Specific_Fuel_Consumption">'Additional References'!$B$16</definedName>
    <definedName name="Btu_hr_to_hp_Conversion_Factor">'Additional References'!$B$12</definedName>
    <definedName name="CO_PM10_Attainment_List">Inputs!$F$3:$F$5</definedName>
    <definedName name="Cubic_Meter_to_Cubic_Foot_Conversion_Factor">'Additional References'!$B$15</definedName>
    <definedName name="Emission_Rate_Unit_1">'Engine 1'!$K$20:$K$21</definedName>
    <definedName name="Emission_Rate_Unit_2">'Engine 2'!$K$20:$K$21</definedName>
    <definedName name="Emission_Rate_Unit_3">'Engine 3'!$K$20:$K$21</definedName>
    <definedName name="Emission_Rate_Unit_4">'Engine 4'!$K$20:$K$21</definedName>
    <definedName name="Emission_Rate_Unit_5">'Engine 5'!$K$20:$K$21</definedName>
    <definedName name="Engine_Fuel_Type_1">'Engine 1'!$F$5</definedName>
    <definedName name="Engine_Fuel_Type_2">'Engine 2'!$F$5</definedName>
    <definedName name="Engine_Fuel_Type_3">'Engine 3'!$F$5</definedName>
    <definedName name="Engine_Fuel_Type_4">'Engine 4'!$F$5</definedName>
    <definedName name="Engine_Fuel_Type_5">'Engine 5'!$F$5</definedName>
    <definedName name="EngineFuelType1">'Engine 1'!$K$5:$K$10</definedName>
    <definedName name="EngineFuelType2">'Engine 2'!$K$5:$K$10</definedName>
    <definedName name="EngineFuelType3">'Engine 3'!$K$5:$K$10</definedName>
    <definedName name="EngineFuelType4">'Engine 4'!$K$5:$K$10</definedName>
    <definedName name="EngineFuelType5">'Engine 5'!$K$5:$K$10</definedName>
    <definedName name="EngineUse1">'Engine 1'!$K$16:$K$17</definedName>
    <definedName name="EngineUse2">'Engine 2'!$K$16:$K$17</definedName>
    <definedName name="EngineUse3">'Engine 3'!$K$16:$K$17</definedName>
    <definedName name="EngineUse4">'Engine 4'!$K$16:$K$17</definedName>
    <definedName name="EngineUse5">'Engine 5'!$K$16:$K$17</definedName>
    <definedName name="Fuel_Consumption_1">'Engine 1'!$F$10</definedName>
    <definedName name="Fuel_Consumption_2">'Engine 2'!$F$10</definedName>
    <definedName name="Fuel_Consumption_3">'Engine 3'!$F$10</definedName>
    <definedName name="Fuel_Consumption_4">'Engine 4'!$F$10</definedName>
    <definedName name="Fuel_Consumption_5">'Engine 5'!$F$10</definedName>
    <definedName name="Fuel_Energy_to_Output_Efficiency">'Additional References'!$B$17</definedName>
    <definedName name="g_hp_hr_1">'Engine 1'!$K$20</definedName>
    <definedName name="g_hp_hr_2">'Engine 2'!$K$20</definedName>
    <definedName name="g_hp_hr_3">'Engine 3'!$K$20</definedName>
    <definedName name="g_hp_hr_4">'Engine 4'!$K$20</definedName>
    <definedName name="g_hp_hr_5">'Engine 5'!$K$20</definedName>
    <definedName name="Gasoline_Energy_Content">'Fuel Energy Content'!$B$11</definedName>
    <definedName name="Grams_to_Pounds_Conversion_Factor">'Additional References'!$B$10</definedName>
    <definedName name="Hp_to_Btu_hr_Conversion_Factor">'Additional References'!$B$13</definedName>
    <definedName name="kW_to_Btu_hr_Conversion_Factor">'Additional References'!$B$14</definedName>
    <definedName name="kW_to_hp_Conversion_Factor">'Additional References'!$B$11</definedName>
    <definedName name="Mechanical_Output_1">'Engine 1'!$F$8</definedName>
    <definedName name="Mechanical_Output_2">'Engine 2'!$F$8</definedName>
    <definedName name="Mechanical_Output_3">'Engine 3'!$F$8</definedName>
    <definedName name="Mechanical_Output_4">'Engine 4'!$F$8</definedName>
    <definedName name="Mechanical_Output_5">'Engine 5'!$F$8</definedName>
    <definedName name="Natural_Gas_Energy_Content">'Fuel Energy Content'!$B$12</definedName>
    <definedName name="Oil_Distillate_Energy_Content">'Fuel Energy Content'!$B$13</definedName>
    <definedName name="Ozone_Attainment_List">Inputs!$F$8:$F$13</definedName>
    <definedName name="Power_Output_1">'Engine 1'!$F$9</definedName>
    <definedName name="Power_Output_2">'Engine 2'!$F$9</definedName>
    <definedName name="Power_Output_3">'Engine 3'!$F$9</definedName>
    <definedName name="Power_Output_4">'Engine 4'!$F$9</definedName>
    <definedName name="Power_Output_5">'Engine 5'!$F$9</definedName>
    <definedName name="_xlnm.Print_Area" localSheetId="2">Inputs!$A$1:$C$39</definedName>
    <definedName name="_xlnm.Print_Area" localSheetId="9">'Output-Summary Printout'!$A$1:$F$42</definedName>
    <definedName name="_xlnm.Print_Area" localSheetId="0">'Registration FAQs'!$B$1:$C$37</definedName>
    <definedName name="_xlnm.Print_Area" localSheetId="8">'Total Emissions'!$A$1:$H$21</definedName>
    <definedName name="SO2_PM25_Attainment_List">Inputs!$F$16:$F$17</definedName>
    <definedName name="State_List">Inputs!$F$33:$F$77</definedName>
  </definedNames>
  <calcPr calcId="152511"/>
</workbook>
</file>

<file path=xl/calcChain.xml><?xml version="1.0" encoding="utf-8"?>
<calcChain xmlns="http://schemas.openxmlformats.org/spreadsheetml/2006/main">
  <c r="G8" i="6" l="1"/>
  <c r="K4" i="10" l="1"/>
  <c r="K5" i="10"/>
  <c r="K6" i="10"/>
  <c r="G7" i="10"/>
  <c r="K7" i="10"/>
  <c r="G8" i="10"/>
  <c r="K8" i="10"/>
  <c r="G9" i="10"/>
  <c r="K9" i="10"/>
  <c r="B10" i="10"/>
  <c r="K10" i="10"/>
  <c r="K12" i="10"/>
  <c r="K15" i="10"/>
  <c r="G16" i="10"/>
  <c r="K16" i="10"/>
  <c r="K17" i="10"/>
  <c r="K21" i="10"/>
  <c r="C25" i="10"/>
  <c r="H26" i="10"/>
  <c r="H27" i="10"/>
  <c r="H28" i="10"/>
  <c r="H29" i="10"/>
  <c r="H30" i="10"/>
  <c r="H31" i="10"/>
  <c r="H31" i="9"/>
  <c r="H30" i="9"/>
  <c r="H29" i="9"/>
  <c r="H28" i="9"/>
  <c r="H27" i="9"/>
  <c r="H26" i="9"/>
  <c r="C25" i="9"/>
  <c r="K21" i="9"/>
  <c r="G16" i="9"/>
  <c r="K12" i="9"/>
  <c r="B10" i="9"/>
  <c r="G9" i="9"/>
  <c r="G8" i="9"/>
  <c r="G7" i="9"/>
  <c r="H31" i="8"/>
  <c r="H30" i="8"/>
  <c r="H29" i="8"/>
  <c r="H28" i="8"/>
  <c r="H27" i="8"/>
  <c r="H26" i="8"/>
  <c r="C25" i="8"/>
  <c r="K21" i="8"/>
  <c r="G16" i="8"/>
  <c r="K12" i="8"/>
  <c r="B10" i="8"/>
  <c r="G9" i="8"/>
  <c r="G8" i="8"/>
  <c r="G7" i="8"/>
  <c r="H31" i="7"/>
  <c r="H30" i="7"/>
  <c r="H29" i="7"/>
  <c r="H28" i="7"/>
  <c r="H27" i="7"/>
  <c r="H26" i="7"/>
  <c r="C25" i="7"/>
  <c r="K21" i="7"/>
  <c r="G16" i="7"/>
  <c r="K12" i="7"/>
  <c r="B10" i="7"/>
  <c r="G9" i="7"/>
  <c r="G8" i="7"/>
  <c r="G7" i="7"/>
  <c r="B17" i="17"/>
  <c r="B10" i="6"/>
  <c r="K21" i="6"/>
  <c r="G9" i="6" l="1"/>
  <c r="G20" i="6"/>
  <c r="G7" i="6"/>
  <c r="G16" i="6"/>
  <c r="B10" i="17"/>
  <c r="G21" i="6" s="1"/>
  <c r="K12" i="6"/>
  <c r="B11" i="24"/>
  <c r="B13" i="24"/>
  <c r="B12" i="24"/>
  <c r="G19" i="6" l="1"/>
  <c r="G18" i="6"/>
  <c r="G10" i="8"/>
  <c r="K13" i="8" s="1"/>
  <c r="B11" i="8" s="1"/>
  <c r="G10" i="7"/>
  <c r="K13" i="7" s="1"/>
  <c r="G10" i="9"/>
  <c r="K13" i="9" s="1"/>
  <c r="G10" i="10"/>
  <c r="K13" i="10" s="1"/>
  <c r="G10" i="6"/>
  <c r="K13" i="6" s="1"/>
  <c r="G19" i="10"/>
  <c r="G20" i="9"/>
  <c r="G18" i="8"/>
  <c r="G20" i="7"/>
  <c r="G18" i="7"/>
  <c r="G17" i="9"/>
  <c r="G21" i="7"/>
  <c r="G17" i="10"/>
  <c r="G20" i="10"/>
  <c r="G19" i="9"/>
  <c r="G21" i="8"/>
  <c r="G17" i="8"/>
  <c r="G19" i="7"/>
  <c r="G18" i="9"/>
  <c r="G20" i="8"/>
  <c r="G19" i="8"/>
  <c r="G17" i="7"/>
  <c r="G21" i="10"/>
  <c r="G18" i="10"/>
  <c r="G21" i="9"/>
  <c r="G17" i="6"/>
  <c r="C29" i="7"/>
  <c r="D29" i="7" s="1"/>
  <c r="I29" i="7" s="1"/>
  <c r="C27" i="7"/>
  <c r="D27" i="7" s="1"/>
  <c r="I27" i="7" s="1"/>
  <c r="C26" i="7"/>
  <c r="D26" i="7" s="1"/>
  <c r="I26" i="7" s="1"/>
  <c r="C28" i="7"/>
  <c r="D28" i="7" s="1"/>
  <c r="I28" i="7" s="1"/>
  <c r="C30" i="8"/>
  <c r="C26" i="8" l="1"/>
  <c r="C27" i="8"/>
  <c r="D27" i="8" s="1"/>
  <c r="C29" i="8"/>
  <c r="D29" i="8" s="1"/>
  <c r="I29" i="8" s="1"/>
  <c r="C31" i="8"/>
  <c r="D31" i="8" s="1"/>
  <c r="I31" i="8" s="1"/>
  <c r="C28" i="8"/>
  <c r="D28" i="8" s="1"/>
  <c r="I28" i="8" s="1"/>
  <c r="D26" i="8"/>
  <c r="I26" i="8" s="1"/>
  <c r="D30" i="8"/>
  <c r="I30" i="8" s="1"/>
  <c r="C30" i="9"/>
  <c r="D30" i="9" s="1"/>
  <c r="C29" i="9"/>
  <c r="D29" i="9" s="1"/>
  <c r="B11" i="9"/>
  <c r="C28" i="9"/>
  <c r="D28" i="9" s="1"/>
  <c r="C31" i="9"/>
  <c r="D31" i="9" s="1"/>
  <c r="C27" i="9"/>
  <c r="D27" i="9" s="1"/>
  <c r="C26" i="9"/>
  <c r="D26" i="9" s="1"/>
  <c r="B11" i="7"/>
  <c r="C30" i="7"/>
  <c r="D30" i="7" s="1"/>
  <c r="C31" i="7"/>
  <c r="D31" i="7" s="1"/>
  <c r="C29" i="10"/>
  <c r="D29" i="10" s="1"/>
  <c r="C26" i="10"/>
  <c r="D26" i="10" s="1"/>
  <c r="C27" i="10"/>
  <c r="D27" i="10" s="1"/>
  <c r="C31" i="10"/>
  <c r="D31" i="10" s="1"/>
  <c r="B11" i="10"/>
  <c r="C30" i="10"/>
  <c r="D30" i="10" s="1"/>
  <c r="C28" i="10"/>
  <c r="D28" i="10" s="1"/>
  <c r="I28" i="10" s="1"/>
  <c r="G8" i="11" s="1"/>
  <c r="I27" i="8"/>
  <c r="C31" i="6"/>
  <c r="C27" i="6"/>
  <c r="C30" i="6"/>
  <c r="C26" i="6"/>
  <c r="C29" i="6"/>
  <c r="C28" i="6"/>
  <c r="I30" i="10" l="1"/>
  <c r="G10" i="11" s="1"/>
  <c r="I29" i="10"/>
  <c r="G9" i="11" s="1"/>
  <c r="I26" i="9"/>
  <c r="I31" i="10"/>
  <c r="G11" i="11" s="1"/>
  <c r="I31" i="7"/>
  <c r="I27" i="9"/>
  <c r="I29" i="9"/>
  <c r="I26" i="10"/>
  <c r="G6" i="11" s="1"/>
  <c r="I28" i="9"/>
  <c r="I27" i="10"/>
  <c r="G7" i="11" s="1"/>
  <c r="I30" i="7"/>
  <c r="I31" i="9"/>
  <c r="I30" i="9"/>
  <c r="K17" i="9"/>
  <c r="K16" i="9"/>
  <c r="K15" i="9"/>
  <c r="K10" i="9"/>
  <c r="K9" i="9"/>
  <c r="K8" i="9"/>
  <c r="K7" i="9"/>
  <c r="K6" i="9"/>
  <c r="K5" i="9"/>
  <c r="K4" i="9"/>
  <c r="K17" i="8"/>
  <c r="K16" i="8"/>
  <c r="K15" i="8"/>
  <c r="K10" i="8"/>
  <c r="K9" i="8"/>
  <c r="K8" i="8"/>
  <c r="K7" i="8"/>
  <c r="K6" i="8"/>
  <c r="K5" i="8"/>
  <c r="K4" i="8"/>
  <c r="K17" i="7"/>
  <c r="K16" i="7"/>
  <c r="K15" i="7"/>
  <c r="K10" i="7"/>
  <c r="K9" i="7"/>
  <c r="K8" i="7"/>
  <c r="K7" i="7"/>
  <c r="K6" i="7"/>
  <c r="K5" i="7"/>
  <c r="K4" i="7"/>
  <c r="K16" i="6"/>
  <c r="K17" i="6"/>
  <c r="K5" i="6"/>
  <c r="K6" i="6"/>
  <c r="K7" i="6"/>
  <c r="K8" i="6"/>
  <c r="K9" i="6"/>
  <c r="K10" i="6"/>
  <c r="K15" i="6"/>
  <c r="K4" i="6"/>
  <c r="F34" i="5" l="1"/>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33" i="5"/>
  <c r="F22" i="21" l="1"/>
  <c r="F20" i="21"/>
  <c r="F18" i="21"/>
  <c r="F16" i="21"/>
  <c r="F14" i="21"/>
  <c r="F12" i="21"/>
  <c r="L22" i="21"/>
  <c r="L20" i="21"/>
  <c r="L18" i="21"/>
  <c r="L16" i="21"/>
  <c r="L14" i="21"/>
  <c r="L12" i="21"/>
  <c r="E5" i="21"/>
  <c r="E4" i="21"/>
  <c r="E3" i="21"/>
  <c r="A33" i="21"/>
  <c r="B5" i="21"/>
  <c r="B4" i="21"/>
  <c r="B3" i="21"/>
  <c r="B11" i="6" l="1"/>
  <c r="B15" i="5" l="1"/>
  <c r="C21" i="5" l="1"/>
  <c r="C20" i="5"/>
  <c r="C25" i="5"/>
  <c r="D38" i="21" s="1"/>
  <c r="C24" i="5"/>
  <c r="D37" i="21" s="1"/>
  <c r="C23" i="5"/>
  <c r="D36" i="21" s="1"/>
  <c r="C19" i="5"/>
  <c r="C18" i="5"/>
  <c r="D41" i="21" s="1"/>
  <c r="C17" i="5"/>
  <c r="D40" i="21" s="1"/>
  <c r="C16" i="5"/>
  <c r="D34" i="21" s="1"/>
  <c r="C22" i="5"/>
  <c r="D35" i="21" s="1"/>
  <c r="B2" i="4" l="1"/>
  <c r="C25" i="6" l="1"/>
  <c r="B7" i="17" l="1"/>
  <c r="E30" i="9" l="1"/>
  <c r="F30" i="9" s="1"/>
  <c r="E28" i="9"/>
  <c r="F28" i="9" s="1"/>
  <c r="E26" i="9"/>
  <c r="F26" i="9" s="1"/>
  <c r="E31" i="8"/>
  <c r="F31" i="8" s="1"/>
  <c r="E29" i="8"/>
  <c r="F29" i="8" s="1"/>
  <c r="E27" i="8"/>
  <c r="F27" i="8" s="1"/>
  <c r="E30" i="7"/>
  <c r="F30" i="7" s="1"/>
  <c r="E28" i="7"/>
  <c r="F28" i="7" s="1"/>
  <c r="E26" i="7"/>
  <c r="F26" i="7" s="1"/>
  <c r="E31" i="7"/>
  <c r="F31" i="7" s="1"/>
  <c r="E29" i="7"/>
  <c r="F29" i="7" s="1"/>
  <c r="E27" i="7"/>
  <c r="F27" i="7" s="1"/>
  <c r="E26" i="10"/>
  <c r="F26" i="10" s="1"/>
  <c r="E28" i="10"/>
  <c r="F28" i="10" s="1"/>
  <c r="E30" i="10"/>
  <c r="F30" i="10" s="1"/>
  <c r="E30" i="8"/>
  <c r="F30" i="8" s="1"/>
  <c r="E28" i="8"/>
  <c r="F28" i="8" s="1"/>
  <c r="E26" i="8"/>
  <c r="F26" i="8" s="1"/>
  <c r="E31" i="9"/>
  <c r="F31" i="9" s="1"/>
  <c r="E29" i="9"/>
  <c r="F29" i="9" s="1"/>
  <c r="E27" i="9"/>
  <c r="F27" i="9" s="1"/>
  <c r="E27" i="10"/>
  <c r="F27" i="10" s="1"/>
  <c r="E29" i="10"/>
  <c r="F29" i="10" s="1"/>
  <c r="E31" i="10"/>
  <c r="F31" i="10" s="1"/>
  <c r="E28" i="6"/>
  <c r="E31" i="6"/>
  <c r="E30" i="6"/>
  <c r="E27" i="6"/>
  <c r="E26" i="6"/>
  <c r="E29" i="6"/>
  <c r="H31" i="6" l="1"/>
  <c r="D31" i="6"/>
  <c r="H30" i="6"/>
  <c r="D30" i="6"/>
  <c r="H29" i="6"/>
  <c r="D29" i="6"/>
  <c r="H28" i="6"/>
  <c r="D28" i="6"/>
  <c r="F28" i="6" s="1"/>
  <c r="H27" i="6"/>
  <c r="D27" i="6"/>
  <c r="H26" i="6"/>
  <c r="D26" i="6"/>
  <c r="B1" i="4"/>
  <c r="G18" i="11" l="1"/>
  <c r="G17" i="11"/>
  <c r="G21" i="11"/>
  <c r="G16" i="11"/>
  <c r="G20" i="11"/>
  <c r="G19" i="11"/>
  <c r="F18" i="11"/>
  <c r="F17" i="11"/>
  <c r="F21" i="11"/>
  <c r="F16" i="11"/>
  <c r="F20" i="11"/>
  <c r="F19" i="11"/>
  <c r="E18" i="11"/>
  <c r="E8" i="11"/>
  <c r="E7" i="11"/>
  <c r="E17" i="11"/>
  <c r="E11" i="11"/>
  <c r="E21" i="11"/>
  <c r="E16" i="11"/>
  <c r="E6" i="11"/>
  <c r="E20" i="11"/>
  <c r="E10" i="11"/>
  <c r="E9" i="11"/>
  <c r="E19" i="11"/>
  <c r="D18" i="11"/>
  <c r="D8" i="11"/>
  <c r="D7" i="11"/>
  <c r="D17" i="11"/>
  <c r="D11" i="11"/>
  <c r="D21" i="11"/>
  <c r="D16" i="11"/>
  <c r="D6" i="11"/>
  <c r="D20" i="11"/>
  <c r="D10" i="11"/>
  <c r="D9" i="11"/>
  <c r="D19" i="11"/>
  <c r="C18" i="11"/>
  <c r="I28" i="6"/>
  <c r="C8" i="11" s="1"/>
  <c r="I27" i="6"/>
  <c r="C7" i="11" s="1"/>
  <c r="F27" i="6"/>
  <c r="C17" i="11" s="1"/>
  <c r="I31" i="6"/>
  <c r="C11" i="11" s="1"/>
  <c r="F31" i="6"/>
  <c r="C21" i="11" s="1"/>
  <c r="F26" i="6"/>
  <c r="C16" i="11" s="1"/>
  <c r="I26" i="6"/>
  <c r="C6" i="11" s="1"/>
  <c r="F30" i="6"/>
  <c r="C20" i="11" s="1"/>
  <c r="I30" i="6"/>
  <c r="C10" i="11" s="1"/>
  <c r="I29" i="6"/>
  <c r="C9" i="11" s="1"/>
  <c r="F29" i="6"/>
  <c r="C19" i="11" s="1"/>
  <c r="H20" i="11" l="1"/>
  <c r="E18" i="21" s="1"/>
  <c r="H18" i="11"/>
  <c r="E16" i="21" s="1"/>
  <c r="H19" i="11"/>
  <c r="E14" i="21" s="1"/>
  <c r="H21" i="11"/>
  <c r="E12" i="21" s="1"/>
  <c r="K12" i="21" s="1"/>
  <c r="H17" i="11"/>
  <c r="E22" i="21" s="1"/>
  <c r="H16" i="11"/>
  <c r="E20" i="21" s="1"/>
  <c r="F10" i="11"/>
  <c r="F6" i="11"/>
  <c r="H6" i="11" s="1"/>
  <c r="F8" i="11"/>
  <c r="F9" i="11"/>
  <c r="F11" i="11"/>
  <c r="F7" i="11"/>
  <c r="M12" i="21" l="1"/>
  <c r="M20" i="21"/>
  <c r="K20" i="21"/>
  <c r="M14" i="21"/>
  <c r="K14" i="21"/>
  <c r="M22" i="21"/>
  <c r="K22" i="21"/>
  <c r="K18" i="21"/>
  <c r="M18" i="21"/>
  <c r="K16" i="21"/>
  <c r="M16" i="21"/>
  <c r="C20" i="21"/>
  <c r="H7" i="11"/>
  <c r="C22" i="21" s="1"/>
  <c r="H11" i="11"/>
  <c r="C12" i="21" s="1"/>
  <c r="H9" i="11"/>
  <c r="C14" i="21" s="1"/>
  <c r="H8" i="11"/>
  <c r="C16" i="21" s="1"/>
  <c r="H10" i="11"/>
  <c r="C18" i="21" s="1"/>
  <c r="A30" i="21" l="1"/>
  <c r="A32" i="21" s="1"/>
</calcChain>
</file>

<file path=xl/sharedStrings.xml><?xml version="1.0" encoding="utf-8"?>
<sst xmlns="http://schemas.openxmlformats.org/spreadsheetml/2006/main" count="1190" uniqueCount="507">
  <si>
    <t>Purpose</t>
  </si>
  <si>
    <t>Source Category Description</t>
  </si>
  <si>
    <r>
      <t xml:space="preserve">There are two ignition methods used in stationary internal combustion engines, spark ignition and compression ignition. Spark ignition engines burn gasoline or natural gas, which have a relatively high ignition temperature and require an electrical discharge to initiate combustion. Compression ignition engines burn diesel fuel, which has a relatively low ignition temperature and can spontaneously ignite since the compressed air temperature is above the auto-ignition temperature of the fuel. Compression ignition engines are typically larger than spark ignition engines, but are limited to slower engine speeds. The primary air pollutants from internal combustion engines are oxides of nitrogen, volatile organic compounds, carbon monoxide, particulate matter, and, depending on the sulfur content of the fuel, sulfur dioxide.
</t>
    </r>
    <r>
      <rPr>
        <i/>
        <sz val="10"/>
        <rFont val="Arial"/>
        <family val="2"/>
      </rPr>
      <t>Gasoline and Diesel Engines</t>
    </r>
    <r>
      <rPr>
        <sz val="10"/>
        <rFont val="Arial"/>
        <family val="2"/>
      </rPr>
      <t xml:space="preserve"> – Gasoline and diesel engines are reciprocating internal combustion engines where ignition is achieved through electric discharge or compression as discussed above. Gasoline and diesel engines are used for a variety of applications, including refrigeration units, generators, pumps, conveyors, and well-drilling equipment.
</t>
    </r>
    <r>
      <rPr>
        <i/>
        <sz val="10"/>
        <rFont val="Arial"/>
        <family val="2"/>
      </rPr>
      <t xml:space="preserve">Natural Gas Turbines </t>
    </r>
    <r>
      <rPr>
        <sz val="10"/>
        <rFont val="Arial"/>
        <family val="2"/>
      </rPr>
      <t xml:space="preserve">- A natural gas turbine is an internal combustion engine that operates with rotary rather than reciprocating motion. Natural gas turbines are used in a broad scope of applications including electric power generation, cogeneration, natural gas transmission, and various industrial processes such as pulp and paper, chemical, and food processing.
</t>
    </r>
    <r>
      <rPr>
        <i/>
        <sz val="10"/>
        <rFont val="Arial"/>
        <family val="2"/>
      </rPr>
      <t>Natural Gas-Fired Reciprocating Engines</t>
    </r>
    <r>
      <rPr>
        <sz val="10"/>
        <rFont val="Arial"/>
        <family val="2"/>
      </rPr>
      <t xml:space="preserve"> - Most natural gas-fired reciprocating engines are used in the natural gas industry at pipeline compressor and storage stations and at gas processing plants. Natural gas-fired reciprocating engines are separated into three design classes: 2-cycle (stroke) lean-burn, 4-stroke lean-burn, and 4-stroke rich-burn. Two-stroke engines complete the power cycle in a single crankshaft revolution as compared to the two crankshaft revolutions required for 4-stroke engines. Lean- and rich-burn refers to the fuel-to-air ratio during the combustion process. Lean burn is when fuel is the limiting reactant and there is excess oxygen. This means that ideally, there will be complete combustion. Rich-burn is when there is an excess of fuel and air is the limiting reactant. Thus, there will be unburned hydrocarbons and CO that are exhausted due to incomplete combustion.
</t>
    </r>
  </si>
  <si>
    <t>Instructions - Please read prior to filling out workbook</t>
  </si>
  <si>
    <t>carbon monoxide</t>
  </si>
  <si>
    <t>nitrogen oxides</t>
  </si>
  <si>
    <t>new source review</t>
  </si>
  <si>
    <t>sulfur dioxide</t>
  </si>
  <si>
    <t>volatile organic compound</t>
  </si>
  <si>
    <t>Steps to Complete this Workbook</t>
  </si>
  <si>
    <t>1:  Facility Information</t>
  </si>
  <si>
    <t>2:  Facility Contact</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</si>
  <si>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</si>
  <si>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3:  Air Basin Attainment Status</t>
  </si>
  <si>
    <t>Facility Information</t>
  </si>
  <si>
    <t>Name</t>
  </si>
  <si>
    <t>Address</t>
  </si>
  <si>
    <t>101 Acme Way</t>
  </si>
  <si>
    <t>Nonattainment - serious</t>
  </si>
  <si>
    <t>Nonattainment - severe</t>
  </si>
  <si>
    <t>Nonattainment - extreme</t>
  </si>
  <si>
    <t>Facility Contact</t>
  </si>
  <si>
    <t>John Doe</t>
  </si>
  <si>
    <t>Telephone</t>
  </si>
  <si>
    <t>555-555-5555</t>
  </si>
  <si>
    <t>Email</t>
  </si>
  <si>
    <t>john.doe@acme.com</t>
  </si>
  <si>
    <t>Air Basin Attainment Status</t>
  </si>
  <si>
    <t>CO Attainment Status (select one):</t>
  </si>
  <si>
    <t>Attainment</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</si>
  <si>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</si>
  <si>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</si>
  <si>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t>Engine and Fuel Type</t>
  </si>
  <si>
    <t>reciprocating - diesel</t>
  </si>
  <si>
    <t>reciprocating - gasoline</t>
  </si>
  <si>
    <t>turbine - natural gas</t>
  </si>
  <si>
    <t>reciprocating - natural gas rich burn</t>
  </si>
  <si>
    <t>Engine Use</t>
  </si>
  <si>
    <t>routine</t>
  </si>
  <si>
    <t>emergency</t>
  </si>
  <si>
    <t>Internal Combustion Engine 1</t>
  </si>
  <si>
    <t>Emissions</t>
  </si>
  <si>
    <t>Pollutant</t>
  </si>
  <si>
    <t>Emission Factor</t>
  </si>
  <si>
    <t>Emission Rate</t>
  </si>
  <si>
    <t>(lb/hr)</t>
  </si>
  <si>
    <t>(hr/yr)</t>
  </si>
  <si>
    <t>(hour/yr)</t>
  </si>
  <si>
    <t>PM</t>
  </si>
  <si>
    <r>
      <t>PM</t>
    </r>
    <r>
      <rPr>
        <vertAlign val="subscript"/>
        <sz val="10"/>
        <rFont val="Arial"/>
        <family val="2"/>
      </rPr>
      <t>10</t>
    </r>
  </si>
  <si>
    <r>
      <t>PM</t>
    </r>
    <r>
      <rPr>
        <vertAlign val="subscript"/>
        <sz val="10"/>
        <rFont val="Arial"/>
        <family val="2"/>
      </rPr>
      <t>2.5</t>
    </r>
  </si>
  <si>
    <r>
      <t>SO</t>
    </r>
    <r>
      <rPr>
        <vertAlign val="subscript"/>
        <sz val="10"/>
        <rFont val="Arial"/>
        <family val="2"/>
      </rPr>
      <t>2</t>
    </r>
  </si>
  <si>
    <r>
      <t>NO</t>
    </r>
    <r>
      <rPr>
        <vertAlign val="subscript"/>
        <sz val="10"/>
        <rFont val="Arial"/>
        <family val="2"/>
      </rPr>
      <t>x</t>
    </r>
  </si>
  <si>
    <t>VOC</t>
  </si>
  <si>
    <t>CO</t>
  </si>
  <si>
    <t>Internal Combustion Engine 2</t>
  </si>
  <si>
    <t>Internal Combustion Engine 3</t>
  </si>
  <si>
    <t>Internal Combustion Engine 4</t>
  </si>
  <si>
    <t>Internal Combustion Engine 5</t>
  </si>
  <si>
    <t>Total Emissions</t>
  </si>
  <si>
    <t>Internal Combustion Engines</t>
  </si>
  <si>
    <t>Engine 1</t>
  </si>
  <si>
    <t>Engine 2</t>
  </si>
  <si>
    <t>Engine 3</t>
  </si>
  <si>
    <t>Engine 4</t>
  </si>
  <si>
    <t>Engine 5</t>
  </si>
  <si>
    <r>
      <t>PM</t>
    </r>
    <r>
      <rPr>
        <b/>
        <vertAlign val="subscript"/>
        <sz val="10"/>
        <rFont val="Arial"/>
        <family val="2"/>
      </rPr>
      <t>10</t>
    </r>
  </si>
  <si>
    <r>
      <t>PM</t>
    </r>
    <r>
      <rPr>
        <b/>
        <vertAlign val="subscript"/>
        <sz val="10"/>
        <rFont val="Arial"/>
        <family val="2"/>
      </rPr>
      <t>2.5</t>
    </r>
  </si>
  <si>
    <r>
      <t>SO</t>
    </r>
    <r>
      <rPr>
        <b/>
        <vertAlign val="subscript"/>
        <sz val="10"/>
        <rFont val="Arial"/>
        <family val="2"/>
      </rPr>
      <t>2</t>
    </r>
  </si>
  <si>
    <r>
      <t>NO</t>
    </r>
    <r>
      <rPr>
        <b/>
        <vertAlign val="subscript"/>
        <sz val="10"/>
        <rFont val="Arial"/>
        <family val="2"/>
      </rPr>
      <t>x</t>
    </r>
  </si>
  <si>
    <t xml:space="preserve"> </t>
  </si>
  <si>
    <t>Facility Name:</t>
  </si>
  <si>
    <t>Facility Address:</t>
  </si>
  <si>
    <t>Email:</t>
  </si>
  <si>
    <t>Major Source</t>
  </si>
  <si>
    <t>Minor Source</t>
  </si>
  <si>
    <t>(tons/yr)</t>
  </si>
  <si>
    <t>Icon Key</t>
  </si>
  <si>
    <t>Exceeds major source threshold.</t>
  </si>
  <si>
    <t>Exceeds minor source threshold.</t>
  </si>
  <si>
    <t>Below minor source threshold.</t>
  </si>
  <si>
    <t>Workbook Version</t>
  </si>
  <si>
    <t>Date</t>
  </si>
  <si>
    <t>Description</t>
  </si>
  <si>
    <t>Change made by:</t>
  </si>
  <si>
    <t>Affiliation:</t>
  </si>
  <si>
    <t>QA performed by:</t>
  </si>
  <si>
    <t>Contact Information</t>
  </si>
  <si>
    <t>Initial workbook version</t>
  </si>
  <si>
    <t>Jonathan Dorn</t>
  </si>
  <si>
    <t>Abt Associates</t>
  </si>
  <si>
    <t>RECIPROCATING ENGINES (&lt;600HP) DIESEL (lb/hp*hr)</t>
  </si>
  <si>
    <r>
      <t>RECIPROCATING ENGINES (&gt;=600HP) DIESEL (lb/hp*hr)</t>
    </r>
    <r>
      <rPr>
        <b/>
        <vertAlign val="superscript"/>
        <sz val="10"/>
        <rFont val="Arial"/>
        <family val="2"/>
      </rPr>
      <t>1</t>
    </r>
  </si>
  <si>
    <r>
      <t>TURBINE ENGINES (electrical generation) NATURAL GAS (lb/MMBtu fuel input)</t>
    </r>
    <r>
      <rPr>
        <b/>
        <vertAlign val="superscript"/>
        <sz val="10"/>
        <rFont val="Arial"/>
        <family val="2"/>
      </rPr>
      <t>1</t>
    </r>
  </si>
  <si>
    <t>RECIPROCATING GASOLINE (lb/hp*hr)</t>
  </si>
  <si>
    <t>RECIPROCATING Natural Gas 4-Stroke  Rich-Burn (lb/MMBtu)</t>
  </si>
  <si>
    <t>RECIPROCATING Natural Gas 4-Stroke Lean-Burn (lb/MMBtu)</t>
  </si>
  <si>
    <t>source</t>
  </si>
  <si>
    <t>horsepower</t>
  </si>
  <si>
    <t>million British thermal units</t>
  </si>
  <si>
    <t>Select engine use (routine operation or emergency generation)</t>
  </si>
  <si>
    <t>Engine and Fuel Parameters</t>
  </si>
  <si>
    <t>Sources:</t>
  </si>
  <si>
    <t>A</t>
  </si>
  <si>
    <t>B</t>
  </si>
  <si>
    <t>C</t>
  </si>
  <si>
    <t>D</t>
  </si>
  <si>
    <t>E</t>
  </si>
  <si>
    <t>F</t>
  </si>
  <si>
    <r>
      <t>SO</t>
    </r>
    <r>
      <rPr>
        <vertAlign val="subscript"/>
        <sz val="10"/>
        <rFont val="Arial"/>
        <family val="2"/>
      </rPr>
      <t>2</t>
    </r>
    <r>
      <rPr>
        <sz val="10"/>
        <rFont val="Arial"/>
        <family val="2"/>
      </rPr>
      <t xml:space="preserve"> emission factor given is multiplied by the sulfur content of the fuel (in percent) in the </t>
    </r>
    <r>
      <rPr>
        <b/>
        <i/>
        <sz val="10"/>
        <rFont val="Arial"/>
        <family val="2"/>
      </rPr>
      <t>Engine</t>
    </r>
    <r>
      <rPr>
        <sz val="10"/>
        <rFont val="Arial"/>
        <family val="2"/>
      </rPr>
      <t xml:space="preserve"> worksheets.</t>
    </r>
  </si>
  <si>
    <t>United States Environmental Protection Agency, 1996, AP 42 Compilation of Air Pollution Emissions Factors, Fifth Edition, Volume I, Chapter 3.3 - Gasoline and Diesel Industrial Engines, available at http://www.epa.gov/ttn/chief/ap42/ch03/index.html (accessed December 2012).</t>
  </si>
  <si>
    <t>United States Environmental Protection Agency, 1996, AP 42 Compilation of Air Pollution Emissions Factors, Fifth Edition, Volume I, Chapter 3.4 - Large Stationary Diesel and All Stationary Dual-fuel Engines , available at http://www.epa.gov/ttn/chief/ap42/ch03/final/c03s04.pdf (accessed December 2012).</t>
  </si>
  <si>
    <t>United States Environmental Protection Agency, 2000, AP 42 Compilation of Air Pollution Emissions Factors, Fifth Edition, Volume I, Chapter 3.1 - Stationary Gas Turbines, available at http://www.epa.gov/ttn/chief/ap42/ch03/final/c03s01.pdf (accessed December 2012).</t>
  </si>
  <si>
    <t>United States Environmental Protection Agency, 2000, AP 42 Compilation of Air Pollution Emissions Factors, Fifth Edition, Volume I, Chapter 3.2 - Natural Gas-fired Reciprocating Engines, available at http://www.epa.gov/ttn/chief/ap42/ch03/final/c03s02.pdf (accessed December 2012).</t>
  </si>
  <si>
    <t>Additional References</t>
  </si>
  <si>
    <t>Data Element</t>
  </si>
  <si>
    <t xml:space="preserve">Value </t>
  </si>
  <si>
    <t>Units</t>
  </si>
  <si>
    <t>Source</t>
  </si>
  <si>
    <t>Percent</t>
  </si>
  <si>
    <t>Hours</t>
  </si>
  <si>
    <t>Assuming continuous operation</t>
  </si>
  <si>
    <t>N/A</t>
  </si>
  <si>
    <t>United States Environmental Protection Agency, AP 42 Compilation of Air Pollution Emissions Factors, Fifth Edition, Volume I, Chapter 3, available at http://www.epa.gov/ttn/chief/ap42/ch03/index.html (accessed December 2012).</t>
  </si>
  <si>
    <t>"Calculating Potential to Emit (PTE) for Emergency Generators," Memorandum from John S. Seitz, Director of EPA's OAQPS, to EPA Regional Directors, September 6, 1995, available at http://www.epa.gov/region07/air/title5/t5memos/emgen.pdf (accessed December 2012).</t>
  </si>
  <si>
    <t>Emission Factors</t>
  </si>
  <si>
    <t>5:  Emissions Summaries</t>
  </si>
  <si>
    <t>RECIPROCATING Natural Gas 2-Stroke Lean-Burn (lb/MMBtu)</t>
  </si>
  <si>
    <t>G</t>
  </si>
  <si>
    <t>reciprocating - natural gas 2-stroke lean burn</t>
  </si>
  <si>
    <t>reciprocating - natural gas 4-stroke lean burn</t>
  </si>
  <si>
    <t>Engineering judgment, including odorant, based on United States Environmental Protection Agency, 2000, AP 42 Compilation of Air Pollution Emissions Factors, Fifth Edition, Volume I, Chapter 3.2 - Natural Gas-fired Reciprocating Engines, available at http://www.epa.gov/ttn/chief/ap42/ch03/final/c03s02.pdf (accessed December 2012).</t>
  </si>
  <si>
    <t>Frank Divita</t>
  </si>
  <si>
    <t xml:space="preserve">jonathan_dorn@abtassoc.com </t>
  </si>
  <si>
    <t>Acme Corporation</t>
  </si>
  <si>
    <t>12/06/2012</t>
  </si>
  <si>
    <t>Tracey Westfield</t>
  </si>
  <si>
    <t>Internal Combustion Engine Registration Calculator</t>
  </si>
  <si>
    <t>Registration Calculator Inputs</t>
  </si>
  <si>
    <t>Registration Summary</t>
  </si>
  <si>
    <t>Explanation of Text Colors and Cell Shading</t>
  </si>
  <si>
    <t>Cells shaded gray do not need to be completed.</t>
  </si>
  <si>
    <t>particulate matter less than or equal to 10 micrometers (µm) in size</t>
  </si>
  <si>
    <t>particulate matter less than or equal to 2.5 micrometers (µm) in size</t>
  </si>
  <si>
    <t>Acronyms/Definitions</t>
  </si>
  <si>
    <t>hp</t>
  </si>
  <si>
    <t>MMBtu</t>
  </si>
  <si>
    <t>NSR</t>
  </si>
  <si>
    <r>
      <t>PM</t>
    </r>
    <r>
      <rPr>
        <vertAlign val="subscript"/>
        <sz val="10"/>
        <rFont val="Arial"/>
        <family val="2"/>
      </rPr>
      <t>10</t>
    </r>
    <r>
      <rPr>
        <sz val="10"/>
        <rFont val="Arial"/>
        <family val="2"/>
      </rPr>
      <t xml:space="preserve"> </t>
    </r>
  </si>
  <si>
    <r>
      <t>PM</t>
    </r>
    <r>
      <rPr>
        <vertAlign val="subscript"/>
        <sz val="10"/>
        <rFont val="Arial"/>
        <family val="2"/>
      </rPr>
      <t>2.5</t>
    </r>
    <r>
      <rPr>
        <sz val="10"/>
        <rFont val="Arial"/>
        <family val="2"/>
      </rPr>
      <t xml:space="preserve"> </t>
    </r>
  </si>
  <si>
    <r>
      <t>SO</t>
    </r>
    <r>
      <rPr>
        <vertAlign val="subscript"/>
        <sz val="10"/>
        <rFont val="Arial"/>
        <family val="2"/>
      </rPr>
      <t xml:space="preserve">2 </t>
    </r>
  </si>
  <si>
    <t xml:space="preserve">VOC </t>
  </si>
  <si>
    <t>Threshold</t>
  </si>
  <si>
    <t>12/19/2012</t>
  </si>
  <si>
    <t xml:space="preserve">Corrected PTE hours so that PTE hours will always equal or exceed actual hours. Changed PTE to registration (i.e., registration calculator, registration emissions, etc.). </t>
  </si>
  <si>
    <r>
      <t xml:space="preserve">This workbook is designed to estimate emissions from up to five internal combustion engines. If your facility has more than five internal combustion engines, please contact your regional permitting authority. You will need to enter information on each engine used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</si>
  <si>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t>Regional Contact Information</t>
  </si>
  <si>
    <t>State</t>
  </si>
  <si>
    <t>State Abbreviation</t>
  </si>
  <si>
    <t>EPA Region</t>
  </si>
  <si>
    <t>City</t>
  </si>
  <si>
    <t>ZIP</t>
  </si>
  <si>
    <t>Connecticut</t>
  </si>
  <si>
    <t>CT</t>
  </si>
  <si>
    <t>Maine</t>
  </si>
  <si>
    <t>ME</t>
  </si>
  <si>
    <t>Massachusetts</t>
  </si>
  <si>
    <t>MA</t>
  </si>
  <si>
    <t>New Hampshire</t>
  </si>
  <si>
    <t>NH</t>
  </si>
  <si>
    <t>Rhode Island</t>
  </si>
  <si>
    <t>RI</t>
  </si>
  <si>
    <t>Vermont</t>
  </si>
  <si>
    <t>VT</t>
  </si>
  <si>
    <t>New Jersey</t>
  </si>
  <si>
    <t>NJ</t>
  </si>
  <si>
    <t>New York</t>
  </si>
  <si>
    <t>NY</t>
  </si>
  <si>
    <t>Delaware</t>
  </si>
  <si>
    <t>DE</t>
  </si>
  <si>
    <t>District of Columbia</t>
  </si>
  <si>
    <t>DC</t>
  </si>
  <si>
    <t>Maryland</t>
  </si>
  <si>
    <t>MD</t>
  </si>
  <si>
    <t>Pennsylvania</t>
  </si>
  <si>
    <t>PA</t>
  </si>
  <si>
    <t>Virginia</t>
  </si>
  <si>
    <t>VA</t>
  </si>
  <si>
    <t>West Virginia</t>
  </si>
  <si>
    <t>WV</t>
  </si>
  <si>
    <t>Alabama</t>
  </si>
  <si>
    <t>AL</t>
  </si>
  <si>
    <t>Florida</t>
  </si>
  <si>
    <t>FL</t>
  </si>
  <si>
    <t>GA</t>
  </si>
  <si>
    <t>Kentucky</t>
  </si>
  <si>
    <t>KY</t>
  </si>
  <si>
    <t>Mississippi</t>
  </si>
  <si>
    <t>MS</t>
  </si>
  <si>
    <t>North Carolina</t>
  </si>
  <si>
    <t>NC</t>
  </si>
  <si>
    <t>South Carolina</t>
  </si>
  <si>
    <t>SC</t>
  </si>
  <si>
    <t>Tennessee</t>
  </si>
  <si>
    <t>TN</t>
  </si>
  <si>
    <t>Illinois</t>
  </si>
  <si>
    <t>IL</t>
  </si>
  <si>
    <t>Indiana</t>
  </si>
  <si>
    <t>IN</t>
  </si>
  <si>
    <t>Michigan</t>
  </si>
  <si>
    <t>MI</t>
  </si>
  <si>
    <t>Minnesota</t>
  </si>
  <si>
    <t>MN</t>
  </si>
  <si>
    <t>Ohio</t>
  </si>
  <si>
    <t>OH</t>
  </si>
  <si>
    <t>Wisconsin</t>
  </si>
  <si>
    <t>WI</t>
  </si>
  <si>
    <t>Arkansas</t>
  </si>
  <si>
    <t>AR</t>
  </si>
  <si>
    <t>LA</t>
  </si>
  <si>
    <t>New Mexico</t>
  </si>
  <si>
    <t>NM</t>
  </si>
  <si>
    <t>Oklahoma</t>
  </si>
  <si>
    <t>OK</t>
  </si>
  <si>
    <t>Texas</t>
  </si>
  <si>
    <t>TX</t>
  </si>
  <si>
    <t>Iowa</t>
  </si>
  <si>
    <t>IA</t>
  </si>
  <si>
    <t>Kansas</t>
  </si>
  <si>
    <t>KS</t>
  </si>
  <si>
    <t>Missouri</t>
  </si>
  <si>
    <t>MO</t>
  </si>
  <si>
    <t>Nebraska</t>
  </si>
  <si>
    <t>NE</t>
  </si>
  <si>
    <t>Colorado</t>
  </si>
  <si>
    <t>Montana</t>
  </si>
  <si>
    <t>MT</t>
  </si>
  <si>
    <t>North Dakota</t>
  </si>
  <si>
    <t>ND</t>
  </si>
  <si>
    <t>South Dakota</t>
  </si>
  <si>
    <t>SD</t>
  </si>
  <si>
    <t>Utah</t>
  </si>
  <si>
    <t>UT</t>
  </si>
  <si>
    <t>Wyoming</t>
  </si>
  <si>
    <t>WY</t>
  </si>
  <si>
    <t>Arizona</t>
  </si>
  <si>
    <t>AZ</t>
  </si>
  <si>
    <t>California</t>
  </si>
  <si>
    <t>CA</t>
  </si>
  <si>
    <t>Hawaii</t>
  </si>
  <si>
    <t>HI</t>
  </si>
  <si>
    <t>Nevada</t>
  </si>
  <si>
    <t>NV</t>
  </si>
  <si>
    <t>Alaska</t>
  </si>
  <si>
    <t>AK</t>
  </si>
  <si>
    <t>Idaho</t>
  </si>
  <si>
    <t>ID</t>
  </si>
  <si>
    <t>Oregon</t>
  </si>
  <si>
    <t>OR</t>
  </si>
  <si>
    <t>Washington</t>
  </si>
  <si>
    <t>WA</t>
  </si>
  <si>
    <t>EPA Regional Contact Information</t>
  </si>
  <si>
    <t xml:space="preserve">Brendan McCahill </t>
  </si>
  <si>
    <t>Address 1</t>
  </si>
  <si>
    <t>Address 2</t>
  </si>
  <si>
    <t>Boston</t>
  </si>
  <si>
    <t>02109-3912</t>
  </si>
  <si>
    <t>617-918-1652</t>
  </si>
  <si>
    <t>McCahill.brendan@epa.gov</t>
  </si>
  <si>
    <t>Alternate Name</t>
  </si>
  <si>
    <t>Alt Telephone</t>
  </si>
  <si>
    <t>Alt Email</t>
  </si>
  <si>
    <t>Gavin Lau</t>
  </si>
  <si>
    <t>212-637-3708</t>
  </si>
  <si>
    <t>lau.gavin@epa.gov</t>
  </si>
  <si>
    <t>Umesh Dholakia</t>
  </si>
  <si>
    <t>212-637-4023</t>
  </si>
  <si>
    <t>Dholakia.umesh@epa.gov</t>
  </si>
  <si>
    <t>290 Broadway</t>
  </si>
  <si>
    <t>10007-1866</t>
  </si>
  <si>
    <t>Ana Oquendo</t>
  </si>
  <si>
    <t>404-562-9781</t>
  </si>
  <si>
    <t>oquendo.ana@epa.gov</t>
  </si>
  <si>
    <t>Lorinda Shepherd</t>
  </si>
  <si>
    <t>404-562-8435</t>
  </si>
  <si>
    <t>shepherd.lorinda@epa.gov</t>
  </si>
  <si>
    <t>61 Forsyth Street, S.W.</t>
  </si>
  <si>
    <t>Atlanta</t>
  </si>
  <si>
    <t>30303-8960</t>
  </si>
  <si>
    <t>Kaushal Gupta</t>
  </si>
  <si>
    <t>312-886-6803</t>
  </si>
  <si>
    <t>gupta.kaushal@epa.gov</t>
  </si>
  <si>
    <t>77 West Jackson Boulevard</t>
  </si>
  <si>
    <t>Chicago</t>
  </si>
  <si>
    <t>60604-3507</t>
  </si>
  <si>
    <t>Bob Webber</t>
  </si>
  <si>
    <t>913-551-7251</t>
  </si>
  <si>
    <t>webber.robert@epa.gov</t>
  </si>
  <si>
    <t xml:space="preserve">KS  </t>
  </si>
  <si>
    <t>Claudia Smith</t>
  </si>
  <si>
    <t>303-312-6520</t>
  </si>
  <si>
    <t>smith.claudia@epa.gov</t>
  </si>
  <si>
    <t>Kathleen Paser</t>
  </si>
  <si>
    <t>303-312-6526</t>
  </si>
  <si>
    <t>paser.kathleen@epa.gov</t>
  </si>
  <si>
    <t>1595 Wynkoop St.</t>
  </si>
  <si>
    <t>MC: 8P-AR</t>
  </si>
  <si>
    <t>Denver</t>
  </si>
  <si>
    <t>80202-1129</t>
  </si>
  <si>
    <t>Geoffrey Glass</t>
  </si>
  <si>
    <t>415-972-3498</t>
  </si>
  <si>
    <t>glass.geoffrey@epa.gov</t>
  </si>
  <si>
    <t>Roberto Gutierrez</t>
  </si>
  <si>
    <t>415-947-4276</t>
  </si>
  <si>
    <t>Gutierrez.roberto@epa.gov</t>
  </si>
  <si>
    <t xml:space="preserve">75 Hawthorne St. </t>
  </si>
  <si>
    <t>MC: AIR-3</t>
  </si>
  <si>
    <t>San Francisco</t>
  </si>
  <si>
    <t>Bill Todd</t>
  </si>
  <si>
    <t>206-553-6914</t>
  </si>
  <si>
    <t>todd.bill@epa.gov</t>
  </si>
  <si>
    <t>1200 Sixth Avenue</t>
  </si>
  <si>
    <t>MC: AWT-107</t>
  </si>
  <si>
    <t>Seattle</t>
  </si>
  <si>
    <t>None</t>
  </si>
  <si>
    <t>5 Post Office Square</t>
  </si>
  <si>
    <t>MC: OEP</t>
  </si>
  <si>
    <t>25th Floor</t>
  </si>
  <si>
    <t>12th Floor</t>
  </si>
  <si>
    <t>Rm#: 18130</t>
  </si>
  <si>
    <t>Primary Contact Email</t>
  </si>
  <si>
    <t>Alternate Contact Email</t>
  </si>
  <si>
    <t>Primary Contact Name</t>
  </si>
  <si>
    <t>Alternate Contact Name</t>
  </si>
  <si>
    <t>Primary Contact Telephone</t>
  </si>
  <si>
    <t>Alternate Contact Telephone</t>
  </si>
  <si>
    <t>Albuquerque</t>
  </si>
  <si>
    <t>Zip Code</t>
  </si>
  <si>
    <t>Nonattainment</t>
  </si>
  <si>
    <t>Nonattainment - marginal</t>
  </si>
  <si>
    <t>Nonattainment - moderate</t>
  </si>
  <si>
    <t>Ozone Attainment Status List</t>
  </si>
  <si>
    <r>
      <t>CO and PM</t>
    </r>
    <r>
      <rPr>
        <b/>
        <vertAlign val="subscript"/>
        <sz val="10"/>
        <rFont val="Arial"/>
        <family val="2"/>
      </rPr>
      <t>10</t>
    </r>
    <r>
      <rPr>
        <b/>
        <sz val="10"/>
        <rFont val="Arial"/>
        <family val="2"/>
      </rPr>
      <t xml:space="preserve"> Attainment Status List</t>
    </r>
  </si>
  <si>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</si>
  <si>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 xml:space="preserve">http://www.epa.gov/oar/oaqps/greenbk/ancl.html </t>
  </si>
  <si>
    <t>EPA</t>
  </si>
  <si>
    <t>U.S. Environmental Protection Agency</t>
  </si>
  <si>
    <t>Name:</t>
  </si>
  <si>
    <t>Address:</t>
  </si>
  <si>
    <t>Telephone:</t>
  </si>
  <si>
    <t>U.S. Environmental Protection Agency 1993. Emissions Factor Documentation for AP-42 Section 1.11 Waste Oil Combustion. Table 2-1. Available electronically at: http://www.epa.gov/ttnchie1/ap42/ch01/bgdocs/b01s11.pdf (accessed December 2012).</t>
  </si>
  <si>
    <t>Bonnie Braganza</t>
  </si>
  <si>
    <t>214-665-7340</t>
  </si>
  <si>
    <t>braganza.bonnie@epa.gov</t>
  </si>
  <si>
    <t>1445 Ross Avenue, Suite 1200</t>
  </si>
  <si>
    <t>MC: 6PD</t>
  </si>
  <si>
    <t>Dallas</t>
  </si>
  <si>
    <t>75202-2733</t>
  </si>
  <si>
    <t>1997 8-Hr Ozone Attainment Status (select one):</t>
  </si>
  <si>
    <t>scf</t>
  </si>
  <si>
    <t>standard cubic feet</t>
  </si>
  <si>
    <t>01/01/2013</t>
  </si>
  <si>
    <t>TRIBAL NEW SOURCE REVIEW PROGRAM</t>
  </si>
  <si>
    <t>Registration for Existing True Minor Sources of Air Pollution in Indian Country</t>
  </si>
  <si>
    <t>What is the Tribal New Source Review Rule?</t>
  </si>
  <si>
    <t>Do I need to register my minor source?</t>
  </si>
  <si>
    <r>
      <t xml:space="preserve">How do I determine if my source is a </t>
    </r>
    <r>
      <rPr>
        <b/>
        <i/>
        <sz val="10"/>
        <rFont val="Arial"/>
        <family val="2"/>
      </rPr>
      <t>true minor</t>
    </r>
    <r>
      <rPr>
        <b/>
        <sz val="10"/>
        <rFont val="Arial"/>
        <family val="2"/>
      </rPr>
      <t xml:space="preserve"> source?</t>
    </r>
  </si>
  <si>
    <t>How do I register my true minor source?</t>
  </si>
  <si>
    <t>1.</t>
  </si>
  <si>
    <t>2.</t>
  </si>
  <si>
    <t>How often must I register?</t>
  </si>
  <si>
    <t>This is a one-time registration for your true minor source.  However, after registration, you must notify your EPA Regional Office in writing if:</t>
  </si>
  <si>
    <t>3.</t>
  </si>
  <si>
    <t>May I register using my own emission information, rather than using the Registration Calculators?</t>
  </si>
  <si>
    <t>How does registration relate to obtaining a permit?</t>
  </si>
  <si>
    <t>Registration steps for existing true minor sources:</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</si>
  <si>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</si>
  <si>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</si>
  <si>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</si>
  <si>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</si>
  <si>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r>
      <t>PM</t>
    </r>
    <r>
      <rPr>
        <vertAlign val="subscript"/>
        <sz val="10"/>
        <rFont val="Arial"/>
        <family val="2"/>
      </rPr>
      <t>2.5</t>
    </r>
    <r>
      <rPr>
        <sz val="10"/>
        <rFont val="Arial"/>
        <family val="2"/>
      </rPr>
      <t xml:space="preserve"> Attainment Status (select one):</t>
    </r>
  </si>
  <si>
    <t>Estimated Actual Emissions</t>
  </si>
  <si>
    <t>Registration Determination</t>
  </si>
  <si>
    <t>Exceeds Major Source Threshold Determination</t>
  </si>
  <si>
    <t>Allowable Emissions</t>
  </si>
  <si>
    <r>
      <t xml:space="preserve">Text in </t>
    </r>
    <r>
      <rPr>
        <b/>
        <sz val="10"/>
        <color rgb="FFFF0000"/>
        <rFont val="Arial"/>
        <family val="2"/>
      </rPr>
      <t>red</t>
    </r>
    <r>
      <rPr>
        <sz val="10"/>
        <rFont val="Arial"/>
        <family val="2"/>
      </rPr>
      <t xml:space="preserve"> or </t>
    </r>
    <r>
      <rPr>
        <b/>
        <sz val="10"/>
        <color rgb="FFCC66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</si>
  <si>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</si>
  <si>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t>Allowable
Emissions</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</si>
  <si>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</si>
  <si>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CE</t>
  </si>
  <si>
    <t>control efficiency</t>
  </si>
  <si>
    <t>EF</t>
  </si>
  <si>
    <t>emission factor</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</si>
  <si>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</si>
  <si>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Engine</t>
    </r>
    <r>
      <rPr>
        <sz val="10"/>
        <rFont val="Arial"/>
        <family val="2"/>
      </rPr>
      <t xml:space="preserve"> worksheets.</t>
    </r>
  </si>
  <si>
    <r>
      <t xml:space="preserve">On the </t>
    </r>
    <r>
      <rPr>
        <b/>
        <i/>
        <sz val="10"/>
        <rFont val="Arial"/>
        <family val="2"/>
      </rPr>
      <t>Inputs</t>
    </r>
    <r>
      <rPr>
        <sz val="10"/>
        <rFont val="Arial"/>
        <family val="2"/>
      </rPr>
      <t xml:space="preserve"> worksheet, replace the default facility information with information specific to your facility. </t>
    </r>
  </si>
  <si>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</si>
  <si>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</si>
  <si>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r>
      <t xml:space="preserve">Owners/operators of facilities with internal combustion engines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to be used for permitting purposes.</t>
    </r>
  </si>
  <si>
    <t>Estimated Actual and Allowable Emissions Calculations</t>
  </si>
  <si>
    <t>Allowable Emissions (tons/yr)</t>
  </si>
  <si>
    <t xml:space="preserve">Total Allowable </t>
  </si>
  <si>
    <t>Total Estimated Actual</t>
  </si>
  <si>
    <t>40 CFR 49.130(d)(2)</t>
  </si>
  <si>
    <t>11201 Renner Blvd.</t>
  </si>
  <si>
    <t>MC: AWMD/APCO</t>
  </si>
  <si>
    <t>Lenexa</t>
  </si>
  <si>
    <t>Georgia</t>
  </si>
  <si>
    <t>Louisiana</t>
  </si>
  <si>
    <t>Estimated Actual Emissions for 2012</t>
  </si>
  <si>
    <t>Estimated Actual Emissions for 2012 (tons/yr)</t>
  </si>
  <si>
    <t>Enter the total number of hours operated in calendar year 2012</t>
  </si>
  <si>
    <t>Hours Operated in 2012</t>
  </si>
  <si>
    <t>Hours for Allowable Emissions Calculation</t>
  </si>
  <si>
    <t>Estimated Actual 
Emissions for 2012</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</si>
  <si>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</si>
  <si>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</si>
  <si>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</si>
  <si>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</si>
  <si>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</si>
  <si>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</si>
  <si>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</si>
  <si>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</si>
  <si>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</si>
  <si>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</si>
  <si>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</si>
  <si>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t>List of States with Federally Recognized Tribes</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</si>
  <si>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</si>
  <si>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</si>
  <si>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</si>
  <si>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Text in </t>
    </r>
    <r>
      <rPr>
        <b/>
        <sz val="10"/>
        <rFont val="Arial"/>
        <family val="2"/>
      </rPr>
      <t>black</t>
    </r>
    <r>
      <rPr>
        <sz val="10"/>
        <rFont val="Arial"/>
        <family val="2"/>
      </rPr>
      <t xml:space="preserve"> is a title, heading or calculated value and cannot be changed.</t>
    </r>
  </si>
  <si>
    <t>Distillate Oil Maximum Sulfur Content</t>
  </si>
  <si>
    <t>Natural Gas Maximum Sulfur Content</t>
  </si>
  <si>
    <t>Allowable Hours for Routine Operation</t>
  </si>
  <si>
    <t>Allowable Hours for Emergency Operation</t>
  </si>
  <si>
    <t>Modified Registration FAQs text and corrected compatibility issue with drop-down lists.  Added controls and restrictions. Added fields to display default values. Simplified language where possible. Removed formulas from instructions tab. Updated Region 7 contact information.</t>
  </si>
  <si>
    <t>Distillate Oil Actual Sulfur Content</t>
  </si>
  <si>
    <t>Emergency Generator</t>
  </si>
  <si>
    <t>A generator whose sole function is to provide back-up power when electric power from the local utility is interrupted.</t>
  </si>
  <si>
    <t>g/hp-hr</t>
  </si>
  <si>
    <t>g</t>
  </si>
  <si>
    <t>grams</t>
  </si>
  <si>
    <t>hp-hr</t>
  </si>
  <si>
    <t>horsepower-hour</t>
  </si>
  <si>
    <t>Select engine - fuel type combination</t>
  </si>
  <si>
    <t>Fuel Energy Content</t>
  </si>
  <si>
    <t>Units Same as Source</t>
  </si>
  <si>
    <t>Fuel</t>
  </si>
  <si>
    <t>Energy Content</t>
  </si>
  <si>
    <t>Energy Content Numerator</t>
  </si>
  <si>
    <t>Energy Content Denominator</t>
  </si>
  <si>
    <t>bbl</t>
  </si>
  <si>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</si>
  <si>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Natural Gas</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</si>
  <si>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</si>
  <si>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</si>
  <si>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</si>
  <si>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t>Oil - Distillate</t>
  </si>
  <si>
    <t>Units Converted to Match Emission Factors</t>
  </si>
  <si>
    <t>1000 gal</t>
  </si>
  <si>
    <t>Gasoline</t>
  </si>
  <si>
    <t>gal</t>
  </si>
  <si>
    <t>U.S. Environmental Protection Agency, AP 42 Compilation of Air Pollution Emissions Factors, Fifth Edition, Volume I, Appendix A: Miscellaneous Data and Conversion Factors, http://www.epa.gov/ttnchie1/ap42/appendix/appa.pdf.</t>
  </si>
  <si>
    <t>Rated mechanical output (hp)</t>
  </si>
  <si>
    <t>Using your engine spec sheet, enter a value for one of the following:</t>
  </si>
  <si>
    <t xml:space="preserve"> Pounds/Gram</t>
  </si>
  <si>
    <t>hp/kW</t>
  </si>
  <si>
    <t>hp-hr/Btu</t>
  </si>
  <si>
    <t>Hp to Btu/hr Conversion Factor</t>
  </si>
  <si>
    <t>Btu/hr to hp Conversion Factor</t>
  </si>
  <si>
    <t>kW to hp Conversion Factor</t>
  </si>
  <si>
    <t>Grams to Pounds Conversion Factor</t>
  </si>
  <si>
    <t>Btu/hp-hr</t>
  </si>
  <si>
    <t>kW to Btu/hr Conversion Factor</t>
  </si>
  <si>
    <t>Btu/kW-hr</t>
  </si>
  <si>
    <t>normal cubic meters per hour</t>
  </si>
  <si>
    <t>mg</t>
  </si>
  <si>
    <t>milligram</t>
  </si>
  <si>
    <t>Cubic Meter to Cubic Foot Conversion Factor</t>
  </si>
  <si>
    <r>
      <t>scf/m</t>
    </r>
    <r>
      <rPr>
        <vertAlign val="superscript"/>
        <sz val="10"/>
        <rFont val="Arial"/>
        <family val="2"/>
      </rPr>
      <t>3</t>
    </r>
  </si>
  <si>
    <t>Rated power output (ekW)</t>
  </si>
  <si>
    <r>
      <t>Nm</t>
    </r>
    <r>
      <rPr>
        <vertAlign val="superscript"/>
        <sz val="10"/>
        <rFont val="Arial"/>
        <family val="2"/>
      </rPr>
      <t>3</t>
    </r>
  </si>
  <si>
    <r>
      <t>Nm</t>
    </r>
    <r>
      <rPr>
        <vertAlign val="superscript"/>
        <sz val="10"/>
        <rFont val="Arial"/>
        <family val="2"/>
      </rPr>
      <t>3</t>
    </r>
    <r>
      <rPr>
        <sz val="10"/>
        <rFont val="Arial"/>
        <family val="2"/>
      </rPr>
      <t>/hr</t>
    </r>
  </si>
  <si>
    <t>normal cubic meters</t>
  </si>
  <si>
    <t>Fuel Energy to Output Efficiency</t>
  </si>
  <si>
    <t>This is the percent of energy in the fuel converted to useful work (e.g., fuel energy input minus heat rejection). Engineering judgment based on spec sheets from Caterpillar engines. See http://www.cat.com/cda/layout?m=206981&amp;x=7&amp;f=416505</t>
  </si>
  <si>
    <t>Brake Specific Fuel Consumption</t>
  </si>
  <si>
    <t>ekW</t>
  </si>
  <si>
    <t>electrical kilowatt</t>
  </si>
  <si>
    <t>Emission Rate Unit</t>
  </si>
  <si>
    <r>
      <t xml:space="preserve">This workbook is designed to estimate emissions from up to five internal combustion engines. On the </t>
    </r>
    <r>
      <rPr>
        <b/>
        <i/>
        <sz val="10"/>
        <rFont val="Arial"/>
        <family val="2"/>
      </rPr>
      <t>Engine</t>
    </r>
    <r>
      <rPr>
        <sz val="10"/>
        <rFont val="Arial"/>
        <family val="2"/>
      </rPr>
      <t xml:space="preserve"> worksheets, replace the default engine and fuel parameters with data specific to engines at your facility. Select the engine-fuel type from the drop-down list and indicate whether the engine is used in routine or emergency operations. An emergency generator is a generator whose sole function is to provide back-up power when electric power from the local utility is interrupted. Enter the rated mechanical output (hp), rated power output (ekW) or rated fuel consumption (gal/hr for diesel and gasoline or MMBtu/hr for natural gas) of the engine, the sulfur content of the fuel (where applicable), and the annual hours operated. 
40 CFR Part 60, Subpart JJJJ and 40 CFR Part 60, Subpart IIII provide standards of performance for stationary spark ignition internal combustion engines and stationary compression engine internal combustion engines. If the standards listed in these sections apply to your engine, please enter the emission standards or the actual emission rates of your engine from the manufacturer's spec sheet. Enter 0 if unknown or not applicable. For natural gas combustion, please select the appropriate units for the emission rate value that you entered (if applicable). </t>
    </r>
  </si>
  <si>
    <t>4:  Engine Information and Operational Restrictions</t>
  </si>
  <si>
    <t xml:space="preserve">Note: 40 CFR Part 60, Subpart JJJJ and 40 CFR Part 60, Subpart IIII provide standards of performance for stationary spark ignition internal combustion engines and stationary compression engine internal combustion engines. If the standards listed in these sections apply to your engine, please enter in the table below the emission standards or the actual emission rates of your engine from the manufacturer's spec sheet. Enter 0 if unknown or not applicable. Select the appropriate units for the emission rate from natural gas combustion. </t>
  </si>
  <si>
    <t>Emission Controls and Operational Restrictions</t>
  </si>
  <si>
    <t>02/02/2013</t>
  </si>
  <si>
    <t>MMscf</t>
  </si>
  <si>
    <t>02/15/2013</t>
  </si>
  <si>
    <t>Renamed several defined data names from 'boilers' to 'engines'</t>
  </si>
  <si>
    <t>02/21/2013</t>
  </si>
  <si>
    <t>Updated region 6 telephone number.</t>
  </si>
  <si>
    <t>02/26/2013</t>
  </si>
  <si>
    <t>Updated data validations to be compatible with Excel 2007.</t>
  </si>
  <si>
    <t>v1.6 (last updated 2013.02.26)</t>
  </si>
  <si>
    <r>
      <t>Updated disclaimer. Added definitions to instructions. Added regional contact information. Modified attainment status selection to include ozone instead of VOC and NO</t>
    </r>
    <r>
      <rPr>
        <vertAlign val="subscript"/>
        <sz val="10"/>
        <rFont val="Arial"/>
        <family val="2"/>
      </rPr>
      <t>x</t>
    </r>
    <r>
      <rPr>
        <sz val="10"/>
        <rFont val="Arial"/>
        <family val="2"/>
      </rPr>
      <t>. Corrected formulas for calculating registration SO</t>
    </r>
    <r>
      <rPr>
        <vertAlign val="subscript"/>
        <sz val="10"/>
        <rFont val="Arial"/>
        <family val="2"/>
      </rPr>
      <t>2</t>
    </r>
    <r>
      <rPr>
        <sz val="10"/>
        <rFont val="Arial"/>
        <family val="2"/>
      </rPr>
      <t xml:space="preserve"> emissions so that they were using the correct sulfur content of the fuels. Corrected EPA Regional contact list. Added Registration FAQs worksheet. Updated all terminology throughout to use "estimated actual emissions" and "allowable emissions."</t>
    </r>
  </si>
  <si>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</si>
  <si>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</si>
  <si>
    <t>generate the Output-Summary Printout that will indicate if you need to register. If registration is required, contact your EPA Regional Office for further guidance. The contact information for your Regional Office is located on the Output-Summary Printout.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</si>
</sst>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
    <numFmt numFmtId="167" formatCode="0.000000"/>
    <numFmt numFmtId="168" formatCode="0.0000000"/>
  </numFmts>
  <fonts count="34" x14ac:knownFonts="1">
    <font>
      <sz val="11"/>
      <color theme="1"/>
      <name val="Calibri"/>
      <family val="2"/>
      <scheme val="minor"/>
    </font>
    <font>
      <sz val="10"/>
      <name val="Arial"/>
      <family val="2"/>
    </font>
    <font>
      <b/>
      <sz val="14"/>
      <name val="Arial"/>
      <family val="2"/>
    </font>
    <font>
      <sz val="8"/>
      <name val="Arial"/>
      <family val="2"/>
    </font>
    <font>
      <b/>
      <u/>
      <sz val="10"/>
      <name val="Arial"/>
      <family val="2"/>
    </font>
    <font>
      <i/>
      <sz val="10"/>
      <name val="Arial"/>
      <family val="2"/>
    </font>
    <font>
      <b/>
      <sz val="10"/>
      <name val="Arial"/>
      <family val="2"/>
    </font>
    <font>
      <b/>
      <sz val="10"/>
      <color indexed="10"/>
      <name val="Arial"/>
      <family val="2"/>
    </font>
    <font>
      <b/>
      <sz val="10"/>
      <color indexed="12"/>
      <name val="Arial"/>
      <family val="2"/>
    </font>
    <font>
      <vertAlign val="subscript"/>
      <sz val="10"/>
      <name val="Arial"/>
      <family val="2"/>
    </font>
    <font>
      <b/>
      <i/>
      <sz val="10"/>
      <name val="Arial"/>
      <family val="2"/>
    </font>
    <font>
      <u/>
      <sz val="10"/>
      <color theme="10"/>
      <name val="Arial"/>
      <family val="2"/>
    </font>
    <font>
      <sz val="10"/>
      <color indexed="8"/>
      <name val="Arial"/>
      <family val="2"/>
    </font>
    <font>
      <sz val="10"/>
      <color theme="1"/>
      <name val="Arial"/>
      <family val="2"/>
    </font>
    <font>
      <sz val="10"/>
      <color rgb="FF0000FF"/>
      <name val="Arial"/>
      <family val="2"/>
    </font>
    <font>
      <b/>
      <vertAlign val="subscript"/>
      <sz val="10"/>
      <name val="Arial"/>
      <family val="2"/>
    </font>
    <font>
      <b/>
      <sz val="10"/>
      <color indexed="9"/>
      <name val="Arial"/>
      <family val="2"/>
    </font>
    <font>
      <b/>
      <vertAlign val="superscript"/>
      <sz val="10"/>
      <name val="Arial"/>
      <family val="2"/>
    </font>
    <font>
      <vertAlign val="superscript"/>
      <sz val="10"/>
      <name val="Arial"/>
      <family val="2"/>
    </font>
    <font>
      <i/>
      <sz val="10"/>
      <color rgb="FFFF0000"/>
      <name val="Arial"/>
      <family val="2"/>
    </font>
    <font>
      <b/>
      <i/>
      <sz val="10"/>
      <color rgb="FFFF0000"/>
      <name val="Arial"/>
      <family val="2"/>
    </font>
    <font>
      <b/>
      <sz val="11"/>
      <color theme="1"/>
      <name val="Calibri"/>
      <family val="2"/>
      <scheme val="minor"/>
    </font>
    <font>
      <u/>
      <sz val="11"/>
      <color theme="10"/>
      <name val="Calibri"/>
      <family val="2"/>
      <scheme val="minor"/>
    </font>
    <font>
      <b/>
      <sz val="10"/>
      <color rgb="FFCC6600"/>
      <name val="Arial"/>
      <family val="2"/>
    </font>
    <font>
      <sz val="10"/>
      <color rgb="FFCC6600"/>
      <name val="Arial"/>
      <family val="2"/>
    </font>
    <font>
      <b/>
      <sz val="11"/>
      <color rgb="FFFF0000"/>
      <name val="Arial"/>
      <family val="2"/>
    </font>
    <font>
      <b/>
      <sz val="11"/>
      <name val="Arial"/>
      <family val="2"/>
    </font>
    <font>
      <sz val="11"/>
      <color theme="1"/>
      <name val="Calibri"/>
      <family val="2"/>
      <scheme val="minor"/>
    </font>
    <font>
      <b/>
      <sz val="10"/>
      <color rgb="FFFF0000"/>
      <name val="Arial"/>
      <family val="2"/>
    </font>
    <font>
      <sz val="11"/>
      <name val="Arial"/>
      <family val="2"/>
    </font>
    <font>
      <sz val="10"/>
      <name val="Arial"/>
      <family val="2"/>
    </font>
    <font>
      <b/>
      <sz val="12"/>
      <name val="Arial"/>
      <family val="2"/>
    </font>
    <font>
      <sz val="10"/>
      <color indexed="10"/>
      <name val="Arial"/>
      <family val="2"/>
    </font>
    <font>
      <sz val="1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indexed="8"/>
        <bgColor indexed="64"/>
      </patternFill>
    </fill>
    <fill>
      <patternFill patternType="solid">
        <fgColor rgb="FFBFBFB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79998168889431442"/>
        <bgColor indexed="64"/>
      </patternFill>
    </fill>
  </fills>
  <borders count="7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right style="double">
        <color indexed="64"/>
      </right>
      <top/>
      <bottom/>
      <diagonal/>
    </border>
    <border>
      <left style="thin">
        <color theme="1" tint="0.499984740745262"/>
      </left>
      <right style="medium">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thin">
        <color theme="1" tint="0.499984740745262"/>
      </left>
      <right style="medium">
        <color indexed="64"/>
      </right>
      <top/>
      <bottom style="medium">
        <color indexed="64"/>
      </bottom>
      <diagonal/>
    </border>
    <border>
      <left style="thin">
        <color theme="1" tint="0.499984740745262"/>
      </left>
      <right style="medium">
        <color indexed="64"/>
      </right>
      <top style="medium">
        <color indexed="64"/>
      </top>
      <bottom/>
      <diagonal/>
    </border>
    <border>
      <left style="double">
        <color indexed="64"/>
      </left>
      <right/>
      <top/>
      <bottom style="thin">
        <color indexed="64"/>
      </bottom>
      <diagonal/>
    </border>
    <border>
      <left style="thin">
        <color theme="1" tint="0.499984740745262"/>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right/>
      <top style="medium">
        <color indexed="64"/>
      </top>
      <bottom style="thin">
        <color indexed="64"/>
      </bottom>
      <diagonal/>
    </border>
  </borders>
  <cellStyleXfs count="11">
    <xf numFmtId="0" fontId="0" fillId="0" borderId="0"/>
    <xf numFmtId="2" fontId="1" fillId="0" borderId="0"/>
    <xf numFmtId="0" fontId="11" fillId="0" borderId="0" applyNumberFormat="0" applyFill="0" applyBorder="0" applyAlignment="0" applyProtection="0">
      <alignment vertical="top"/>
      <protection locked="0"/>
    </xf>
    <xf numFmtId="0" fontId="12" fillId="0" borderId="0"/>
    <xf numFmtId="0" fontId="13" fillId="0" borderId="0"/>
    <xf numFmtId="9" fontId="1" fillId="0" borderId="0" applyFont="0" applyFill="0" applyBorder="0" applyAlignment="0" applyProtection="0"/>
    <xf numFmtId="0" fontId="1" fillId="0" borderId="0"/>
    <xf numFmtId="2" fontId="11" fillId="0" borderId="0" applyNumberFormat="0" applyFill="0" applyBorder="0" applyAlignment="0" applyProtection="0"/>
    <xf numFmtId="0" fontId="27" fillId="0" borderId="0"/>
    <xf numFmtId="2" fontId="30" fillId="0" borderId="0"/>
    <xf numFmtId="2" fontId="33" fillId="0" borderId="0"/>
  </cellStyleXfs>
  <cellXfs count="458">
    <xf numFmtId="0" fontId="0" fillId="0" borderId="0" xfId="0"/>
    <xf numFmtId="2" fontId="2" fillId="0" borderId="0" xfId="1" applyFont="1"/>
    <xf numFmtId="2" fontId="1" fillId="0" borderId="0" xfId="1"/>
    <xf numFmtId="2" fontId="1" fillId="0" borderId="0" xfId="1" applyFont="1"/>
    <xf numFmtId="2" fontId="2" fillId="0" borderId="0" xfId="1" applyFont="1" applyProtection="1"/>
    <xf numFmtId="2" fontId="1" fillId="0" borderId="0" xfId="1" applyProtection="1"/>
    <xf numFmtId="2" fontId="6" fillId="3" borderId="8" xfId="1" applyFont="1" applyFill="1" applyBorder="1" applyProtection="1"/>
    <xf numFmtId="2" fontId="1" fillId="0" borderId="4" xfId="1" applyBorder="1" applyAlignment="1" applyProtection="1">
      <alignment horizontal="left" indent="2"/>
    </xf>
    <xf numFmtId="2" fontId="14" fillId="0" borderId="6" xfId="1" applyFont="1" applyBorder="1" applyProtection="1">
      <protection locked="0"/>
    </xf>
    <xf numFmtId="2" fontId="1" fillId="2" borderId="8" xfId="1" applyFont="1" applyFill="1" applyBorder="1" applyAlignment="1" applyProtection="1">
      <alignment horizontal="left"/>
    </xf>
    <xf numFmtId="2" fontId="1" fillId="0" borderId="7" xfId="1" applyBorder="1" applyAlignment="1" applyProtection="1">
      <alignment horizontal="left" indent="2"/>
    </xf>
    <xf numFmtId="2" fontId="14" fillId="0" borderId="9" xfId="1" applyFont="1" applyBorder="1" applyProtection="1">
      <protection locked="0"/>
    </xf>
    <xf numFmtId="2" fontId="1" fillId="0" borderId="7" xfId="1" applyFont="1" applyBorder="1" applyAlignment="1" applyProtection="1">
      <alignment horizontal="left" indent="2"/>
    </xf>
    <xf numFmtId="2" fontId="1" fillId="0" borderId="10" xfId="1" applyFont="1" applyBorder="1" applyAlignment="1" applyProtection="1">
      <alignment horizontal="left" indent="2"/>
    </xf>
    <xf numFmtId="2" fontId="14" fillId="0" borderId="12" xfId="1" applyFont="1" applyBorder="1" applyProtection="1">
      <protection locked="0"/>
    </xf>
    <xf numFmtId="2" fontId="6" fillId="3" borderId="8" xfId="1" applyFont="1" applyFill="1" applyBorder="1" applyAlignment="1" applyProtection="1">
      <alignment horizontal="left"/>
    </xf>
    <xf numFmtId="2" fontId="1" fillId="0" borderId="10" xfId="1" applyBorder="1" applyAlignment="1" applyProtection="1">
      <alignment horizontal="left" indent="2"/>
    </xf>
    <xf numFmtId="2" fontId="1" fillId="2" borderId="8" xfId="1" applyFill="1" applyBorder="1" applyProtection="1"/>
    <xf numFmtId="2" fontId="1" fillId="2" borderId="8" xfId="1" applyFont="1" applyFill="1" applyBorder="1" applyProtection="1"/>
    <xf numFmtId="2" fontId="1" fillId="0" borderId="29" xfId="1" applyBorder="1" applyProtection="1"/>
    <xf numFmtId="2" fontId="1" fillId="0" borderId="14" xfId="1" applyBorder="1" applyProtection="1"/>
    <xf numFmtId="2" fontId="1" fillId="0" borderId="30" xfId="1" applyBorder="1" applyProtection="1"/>
    <xf numFmtId="2" fontId="1" fillId="0" borderId="32" xfId="1" applyBorder="1" applyProtection="1"/>
    <xf numFmtId="0" fontId="1" fillId="0" borderId="0" xfId="6" applyFont="1" applyFill="1" applyBorder="1"/>
    <xf numFmtId="2" fontId="1" fillId="0" borderId="23" xfId="1" applyBorder="1" applyProtection="1"/>
    <xf numFmtId="2" fontId="1" fillId="0" borderId="24" xfId="1" applyBorder="1" applyProtection="1"/>
    <xf numFmtId="2" fontId="1" fillId="0" borderId="0" xfId="1" applyBorder="1" applyProtection="1"/>
    <xf numFmtId="2" fontId="1" fillId="0" borderId="0" xfId="1" applyFont="1" applyProtection="1"/>
    <xf numFmtId="2" fontId="1" fillId="0" borderId="31" xfId="1" applyBorder="1" applyProtection="1"/>
    <xf numFmtId="166" fontId="6" fillId="2" borderId="8" xfId="1" applyNumberFormat="1" applyFont="1" applyFill="1" applyBorder="1" applyAlignment="1">
      <alignment horizontal="center"/>
    </xf>
    <xf numFmtId="2" fontId="6" fillId="2" borderId="8" xfId="1" applyFont="1" applyFill="1" applyBorder="1" applyAlignment="1">
      <alignment horizontal="center"/>
    </xf>
    <xf numFmtId="166" fontId="1" fillId="0" borderId="8" xfId="1" applyNumberFormat="1" applyBorder="1" applyAlignment="1">
      <alignment horizontal="center" vertical="center"/>
    </xf>
    <xf numFmtId="2" fontId="1" fillId="0" borderId="8" xfId="1" quotePrefix="1" applyFont="1" applyBorder="1" applyAlignment="1">
      <alignment horizontal="center" vertical="center"/>
    </xf>
    <xf numFmtId="2" fontId="1" fillId="0" borderId="8" xfId="1" applyFont="1" applyBorder="1" applyAlignment="1">
      <alignment horizontal="center" vertical="center"/>
    </xf>
    <xf numFmtId="2" fontId="1" fillId="0" borderId="8" xfId="1" applyBorder="1" applyAlignment="1">
      <alignment horizontal="center" vertical="center"/>
    </xf>
    <xf numFmtId="2" fontId="1" fillId="0" borderId="0" xfId="1" applyAlignment="1">
      <alignment horizontal="center" vertical="center"/>
    </xf>
    <xf numFmtId="166" fontId="1" fillId="0" borderId="8" xfId="1" applyNumberFormat="1" applyFont="1" applyBorder="1" applyAlignment="1" applyProtection="1">
      <alignment horizontal="center" vertical="center"/>
      <protection locked="0"/>
    </xf>
    <xf numFmtId="2" fontId="1" fillId="0" borderId="8" xfId="1" quotePrefix="1" applyFont="1" applyBorder="1" applyAlignment="1" applyProtection="1">
      <alignment horizontal="center" vertical="center"/>
      <protection locked="0"/>
    </xf>
    <xf numFmtId="2" fontId="1" fillId="0" borderId="8" xfId="1" applyBorder="1" applyAlignment="1" applyProtection="1">
      <alignment horizontal="center" vertical="center"/>
      <protection locked="0"/>
    </xf>
    <xf numFmtId="2" fontId="1" fillId="0" borderId="8" xfId="1" applyFont="1" applyBorder="1" applyAlignment="1" applyProtection="1">
      <alignment horizontal="center" vertical="center"/>
      <protection locked="0"/>
    </xf>
    <xf numFmtId="2" fontId="11" fillId="0" borderId="8" xfId="7" applyBorder="1" applyAlignment="1">
      <alignment horizontal="center" vertical="center"/>
    </xf>
    <xf numFmtId="166" fontId="1" fillId="0" borderId="8" xfId="1" applyNumberFormat="1" applyBorder="1" applyAlignment="1" applyProtection="1">
      <alignment horizontal="center" vertical="center"/>
      <protection locked="0"/>
    </xf>
    <xf numFmtId="2" fontId="1" fillId="0" borderId="8" xfId="1" applyBorder="1" applyAlignment="1" applyProtection="1">
      <alignment horizontal="center" vertical="center" wrapText="1"/>
      <protection locked="0"/>
    </xf>
    <xf numFmtId="166" fontId="1" fillId="0" borderId="0" xfId="1" applyNumberFormat="1" applyAlignment="1">
      <alignment horizontal="center"/>
    </xf>
    <xf numFmtId="2" fontId="1" fillId="0" borderId="0" xfId="1" applyAlignment="1">
      <alignment horizontal="center"/>
    </xf>
    <xf numFmtId="0" fontId="2" fillId="0" borderId="0" xfId="6" applyFont="1" applyFill="1" applyBorder="1"/>
    <xf numFmtId="0" fontId="1" fillId="0" borderId="8" xfId="6" applyFont="1" applyFill="1" applyBorder="1"/>
    <xf numFmtId="0" fontId="6" fillId="2" borderId="8" xfId="6" applyFont="1" applyFill="1" applyBorder="1" applyAlignment="1">
      <alignment horizontal="center" wrapText="1"/>
    </xf>
    <xf numFmtId="0" fontId="1" fillId="0" borderId="0" xfId="6" applyFont="1" applyFill="1"/>
    <xf numFmtId="0" fontId="6" fillId="0" borderId="54" xfId="6" applyFont="1" applyFill="1" applyBorder="1"/>
    <xf numFmtId="0" fontId="1" fillId="0" borderId="16" xfId="6" applyFont="1" applyFill="1" applyBorder="1" applyAlignment="1">
      <alignment horizontal="left"/>
    </xf>
    <xf numFmtId="0" fontId="1" fillId="0" borderId="55" xfId="6" applyFont="1" applyFill="1" applyBorder="1" applyAlignment="1">
      <alignment horizontal="left"/>
    </xf>
    <xf numFmtId="0" fontId="6" fillId="0" borderId="39" xfId="6" applyFont="1" applyFill="1" applyBorder="1"/>
    <xf numFmtId="0" fontId="1" fillId="0" borderId="0" xfId="6" applyFont="1" applyFill="1" applyBorder="1" applyAlignment="1">
      <alignment horizontal="left"/>
    </xf>
    <xf numFmtId="0" fontId="1" fillId="0" borderId="37" xfId="6" applyFont="1" applyFill="1" applyBorder="1" applyAlignment="1">
      <alignment horizontal="left"/>
    </xf>
    <xf numFmtId="0" fontId="6" fillId="0" borderId="41" xfId="6" applyFont="1" applyFill="1" applyBorder="1"/>
    <xf numFmtId="0" fontId="1" fillId="0" borderId="42" xfId="6" applyFont="1" applyFill="1" applyBorder="1" applyAlignment="1">
      <alignment horizontal="left"/>
    </xf>
    <xf numFmtId="0" fontId="1" fillId="0" borderId="38" xfId="6" applyFont="1" applyFill="1" applyBorder="1" applyAlignment="1">
      <alignment horizontal="left"/>
    </xf>
    <xf numFmtId="0" fontId="18" fillId="0" borderId="0" xfId="6" applyFont="1" applyFill="1"/>
    <xf numFmtId="0" fontId="1" fillId="0" borderId="0" xfId="6" applyFont="1" applyFill="1" applyAlignment="1">
      <alignment horizontal="left"/>
    </xf>
    <xf numFmtId="0" fontId="6" fillId="0" borderId="0" xfId="6" applyFont="1" applyFill="1"/>
    <xf numFmtId="0" fontId="10" fillId="0" borderId="40" xfId="6" applyFont="1" applyFill="1" applyBorder="1" applyAlignment="1">
      <alignment horizontal="right"/>
    </xf>
    <xf numFmtId="0" fontId="6" fillId="0" borderId="0" xfId="6" applyFont="1" applyFill="1" applyAlignment="1">
      <alignment horizontal="right" indent="1"/>
    </xf>
    <xf numFmtId="2" fontId="2" fillId="0" borderId="0" xfId="1" applyFont="1" applyAlignment="1">
      <alignment horizontal="center"/>
    </xf>
    <xf numFmtId="2" fontId="1" fillId="0" borderId="0" xfId="1" applyFont="1" applyAlignment="1">
      <alignment horizontal="center"/>
    </xf>
    <xf numFmtId="2" fontId="1" fillId="0" borderId="8" xfId="1" applyFont="1" applyBorder="1" applyAlignment="1">
      <alignment horizontal="center"/>
    </xf>
    <xf numFmtId="3" fontId="1" fillId="0" borderId="8" xfId="1" applyNumberFormat="1" applyBorder="1" applyAlignment="1">
      <alignment horizontal="center"/>
    </xf>
    <xf numFmtId="0" fontId="6" fillId="0" borderId="40" xfId="6" applyFont="1" applyFill="1" applyBorder="1" applyAlignment="1">
      <alignment horizontal="center"/>
    </xf>
    <xf numFmtId="0" fontId="2" fillId="0" borderId="0" xfId="6" applyFont="1" applyAlignment="1" applyProtection="1">
      <alignment horizontal="left"/>
    </xf>
    <xf numFmtId="0" fontId="1" fillId="0" borderId="0" xfId="6" applyProtection="1"/>
    <xf numFmtId="0" fontId="6" fillId="0" borderId="0" xfId="6" applyFont="1" applyAlignment="1" applyProtection="1">
      <alignment horizontal="left"/>
    </xf>
    <xf numFmtId="0" fontId="1" fillId="4" borderId="0" xfId="6" applyFill="1" applyBorder="1" applyProtection="1"/>
    <xf numFmtId="0" fontId="1" fillId="0" borderId="0" xfId="6" applyFill="1" applyProtection="1"/>
    <xf numFmtId="0" fontId="1" fillId="0" borderId="0" xfId="6" applyBorder="1" applyProtection="1"/>
    <xf numFmtId="9" fontId="6" fillId="0" borderId="0" xfId="5" applyFont="1" applyProtection="1"/>
    <xf numFmtId="0" fontId="1" fillId="0" borderId="0" xfId="6" applyFill="1" applyBorder="1" applyProtection="1"/>
    <xf numFmtId="0" fontId="6" fillId="4" borderId="36" xfId="6" applyFont="1" applyFill="1" applyBorder="1" applyAlignment="1" applyProtection="1">
      <alignment horizontal="center" vertical="center" wrapText="1"/>
    </xf>
    <xf numFmtId="0" fontId="6" fillId="0" borderId="37" xfId="6" applyFont="1" applyBorder="1" applyAlignment="1" applyProtection="1">
      <alignment horizontal="center" vertical="center" wrapText="1"/>
    </xf>
    <xf numFmtId="0" fontId="1" fillId="0" borderId="5" xfId="6" applyFont="1" applyBorder="1" applyAlignment="1" applyProtection="1">
      <alignment wrapText="1"/>
    </xf>
    <xf numFmtId="0" fontId="1" fillId="0" borderId="5" xfId="6" applyFont="1" applyBorder="1" applyAlignment="1" applyProtection="1">
      <alignment horizontal="center" wrapText="1"/>
    </xf>
    <xf numFmtId="0" fontId="1" fillId="0" borderId="38" xfId="6" applyFont="1" applyBorder="1" applyAlignment="1" applyProtection="1">
      <alignment horizontal="center" wrapText="1"/>
    </xf>
    <xf numFmtId="0" fontId="1" fillId="0" borderId="39" xfId="6" applyFont="1" applyBorder="1" applyProtection="1"/>
    <xf numFmtId="0" fontId="1" fillId="0" borderId="41" xfId="6" applyFont="1" applyBorder="1" applyProtection="1"/>
    <xf numFmtId="0" fontId="14" fillId="0" borderId="8" xfId="6" applyFont="1" applyFill="1" applyBorder="1" applyAlignment="1" applyProtection="1">
      <alignment horizontal="center"/>
      <protection locked="0"/>
    </xf>
    <xf numFmtId="1" fontId="14" fillId="0" borderId="8" xfId="6" applyNumberFormat="1" applyFont="1" applyFill="1" applyBorder="1" applyAlignment="1" applyProtection="1">
      <alignment horizontal="center"/>
      <protection locked="0"/>
    </xf>
    <xf numFmtId="0" fontId="2" fillId="0" borderId="0" xfId="6" applyFont="1" applyProtection="1"/>
    <xf numFmtId="0" fontId="3" fillId="0" borderId="0" xfId="6" applyFont="1" applyProtection="1"/>
    <xf numFmtId="0" fontId="6" fillId="0" borderId="28" xfId="6" applyFont="1" applyFill="1" applyBorder="1" applyProtection="1"/>
    <xf numFmtId="0" fontId="6" fillId="0" borderId="18" xfId="6" applyFont="1" applyFill="1" applyBorder="1" applyAlignment="1" applyProtection="1">
      <alignment horizontal="center"/>
    </xf>
    <xf numFmtId="0" fontId="6" fillId="0" borderId="35" xfId="6" applyFont="1" applyFill="1" applyBorder="1" applyAlignment="1" applyProtection="1">
      <alignment horizontal="center"/>
    </xf>
    <xf numFmtId="0" fontId="6" fillId="0" borderId="0" xfId="6" applyFont="1" applyProtection="1"/>
    <xf numFmtId="0" fontId="7" fillId="0" borderId="0" xfId="6" applyFont="1" applyProtection="1"/>
    <xf numFmtId="0" fontId="6" fillId="0" borderId="39" xfId="6" applyFont="1" applyFill="1" applyBorder="1" applyProtection="1"/>
    <xf numFmtId="0" fontId="1" fillId="0" borderId="0" xfId="6" applyFont="1" applyProtection="1"/>
    <xf numFmtId="0" fontId="6" fillId="0" borderId="41" xfId="6" applyFont="1" applyFill="1" applyBorder="1" applyProtection="1"/>
    <xf numFmtId="0" fontId="1" fillId="0" borderId="0" xfId="6" applyFont="1" applyFill="1" applyProtection="1"/>
    <xf numFmtId="0" fontId="1" fillId="0" borderId="0" xfId="6" applyFont="1" applyFill="1" applyAlignment="1" applyProtection="1">
      <alignment horizontal="center"/>
    </xf>
    <xf numFmtId="0" fontId="6" fillId="0" borderId="28" xfId="6" applyFont="1" applyFill="1" applyBorder="1" applyAlignment="1" applyProtection="1">
      <alignment wrapText="1"/>
    </xf>
    <xf numFmtId="0" fontId="6" fillId="0" borderId="18" xfId="6" applyFont="1" applyFill="1" applyBorder="1" applyAlignment="1" applyProtection="1">
      <alignment horizontal="center" wrapText="1"/>
    </xf>
    <xf numFmtId="0" fontId="6" fillId="0" borderId="35" xfId="6" applyFont="1" applyFill="1" applyBorder="1" applyAlignment="1" applyProtection="1">
      <alignment horizontal="center" wrapText="1"/>
    </xf>
    <xf numFmtId="0" fontId="1" fillId="0" borderId="0" xfId="6" applyFont="1" applyAlignment="1" applyProtection="1">
      <alignment wrapText="1"/>
    </xf>
    <xf numFmtId="0" fontId="1" fillId="0" borderId="0" xfId="6" applyAlignment="1" applyProtection="1">
      <alignment wrapText="1"/>
    </xf>
    <xf numFmtId="0" fontId="1" fillId="0" borderId="0" xfId="6" applyFont="1" applyFill="1" applyBorder="1" applyProtection="1"/>
    <xf numFmtId="0" fontId="1" fillId="0" borderId="0" xfId="6" applyFont="1" applyFill="1" applyBorder="1" applyAlignment="1" applyProtection="1">
      <alignment horizontal="center"/>
    </xf>
    <xf numFmtId="17" fontId="3" fillId="0" borderId="0" xfId="6" applyNumberFormat="1" applyFont="1" applyAlignment="1" applyProtection="1">
      <alignment horizontal="left"/>
    </xf>
    <xf numFmtId="0" fontId="14" fillId="0" borderId="8" xfId="6" applyFont="1" applyFill="1" applyBorder="1" applyAlignment="1" applyProtection="1">
      <alignment horizontal="center" vertical="center"/>
      <protection locked="0"/>
    </xf>
    <xf numFmtId="2" fontId="1" fillId="0" borderId="8" xfId="1" applyFont="1" applyBorder="1" applyAlignment="1">
      <alignment horizontal="left" vertical="center" wrapText="1"/>
    </xf>
    <xf numFmtId="2" fontId="1" fillId="0" borderId="8" xfId="1" applyFont="1" applyBorder="1" applyAlignment="1" applyProtection="1">
      <alignment horizontal="left" vertical="center" wrapText="1"/>
      <protection locked="0"/>
    </xf>
    <xf numFmtId="0" fontId="6" fillId="7" borderId="37" xfId="6" applyFont="1" applyFill="1" applyBorder="1" applyAlignment="1" applyProtection="1">
      <alignment horizontal="center" vertical="center" wrapText="1"/>
    </xf>
    <xf numFmtId="0" fontId="1" fillId="7" borderId="38" xfId="6" applyFont="1" applyFill="1" applyBorder="1" applyAlignment="1" applyProtection="1">
      <alignment horizontal="center" wrapText="1"/>
    </xf>
    <xf numFmtId="0" fontId="6" fillId="7" borderId="36" xfId="6" applyFont="1" applyFill="1" applyBorder="1" applyAlignment="1" applyProtection="1">
      <alignment horizontal="center" vertical="center" wrapText="1"/>
    </xf>
    <xf numFmtId="0" fontId="1" fillId="7" borderId="5" xfId="6" applyFont="1" applyFill="1" applyBorder="1" applyAlignment="1" applyProtection="1">
      <alignment horizontal="center" wrapText="1"/>
    </xf>
    <xf numFmtId="0" fontId="6" fillId="7" borderId="8" xfId="6" applyFont="1" applyFill="1" applyBorder="1" applyAlignment="1" applyProtection="1">
      <alignment horizontal="center"/>
    </xf>
    <xf numFmtId="0" fontId="6" fillId="7" borderId="8" xfId="6" applyFont="1" applyFill="1" applyBorder="1" applyAlignment="1" applyProtection="1">
      <alignment horizontal="center" wrapText="1"/>
    </xf>
    <xf numFmtId="0" fontId="0" fillId="0" borderId="0" xfId="0" applyProtection="1"/>
    <xf numFmtId="0" fontId="19" fillId="0" borderId="0" xfId="0" applyFont="1" applyAlignment="1" applyProtection="1">
      <alignment horizontal="left" vertical="center" wrapText="1"/>
    </xf>
    <xf numFmtId="2" fontId="4" fillId="0" borderId="0" xfId="1" applyFont="1" applyProtection="1"/>
    <xf numFmtId="2" fontId="1" fillId="0" borderId="13" xfId="1" applyBorder="1" applyAlignment="1" applyProtection="1"/>
    <xf numFmtId="2" fontId="1" fillId="0" borderId="0" xfId="1" applyBorder="1" applyAlignment="1" applyProtection="1"/>
    <xf numFmtId="2" fontId="1" fillId="0" borderId="56" xfId="1" applyFont="1" applyBorder="1" applyAlignment="1" applyProtection="1">
      <alignment horizontal="left" vertical="center" wrapText="1"/>
    </xf>
    <xf numFmtId="2" fontId="1" fillId="0" borderId="57" xfId="1" applyFont="1" applyBorder="1" applyAlignment="1" applyProtection="1">
      <alignment horizontal="left" vertical="center"/>
    </xf>
    <xf numFmtId="2" fontId="1" fillId="0" borderId="60" xfId="1" applyFont="1" applyBorder="1" applyAlignment="1" applyProtection="1">
      <alignment horizontal="left" vertical="center"/>
    </xf>
    <xf numFmtId="2" fontId="1" fillId="0" borderId="58" xfId="1" applyBorder="1" applyAlignment="1" applyProtection="1">
      <alignment horizontal="left" vertical="center"/>
    </xf>
    <xf numFmtId="2" fontId="1" fillId="0" borderId="15" xfId="1" applyFont="1" applyBorder="1" applyAlignment="1" applyProtection="1">
      <alignment horizontal="left" vertical="center"/>
    </xf>
    <xf numFmtId="2" fontId="1" fillId="0" borderId="61" xfId="1" applyFont="1" applyBorder="1" applyAlignment="1" applyProtection="1">
      <alignment horizontal="left" vertical="center"/>
    </xf>
    <xf numFmtId="2" fontId="1" fillId="0" borderId="19" xfId="1" applyBorder="1" applyAlignment="1" applyProtection="1">
      <alignment horizontal="left" vertical="center"/>
    </xf>
    <xf numFmtId="2" fontId="1" fillId="0" borderId="62" xfId="1" applyFont="1" applyBorder="1" applyAlignment="1" applyProtection="1">
      <alignment horizontal="left" vertical="center"/>
    </xf>
    <xf numFmtId="2" fontId="1" fillId="0" borderId="17" xfId="1" applyBorder="1" applyAlignment="1" applyProtection="1">
      <alignment horizontal="left" vertical="center"/>
    </xf>
    <xf numFmtId="2" fontId="1" fillId="0" borderId="15" xfId="1" applyBorder="1" applyAlignment="1" applyProtection="1">
      <alignment horizontal="left" vertical="center"/>
    </xf>
    <xf numFmtId="2" fontId="1" fillId="0" borderId="62" xfId="1" applyBorder="1" applyAlignment="1" applyProtection="1">
      <alignment horizontal="left" vertical="center"/>
    </xf>
    <xf numFmtId="2" fontId="1" fillId="0" borderId="20" xfId="1" applyFont="1" applyBorder="1" applyAlignment="1" applyProtection="1">
      <alignment horizontal="left" vertical="center"/>
    </xf>
    <xf numFmtId="2" fontId="1" fillId="0" borderId="62" xfId="1" applyFont="1" applyBorder="1" applyAlignment="1" applyProtection="1">
      <alignment horizontal="left" vertical="center" wrapText="1"/>
    </xf>
    <xf numFmtId="2" fontId="1" fillId="0" borderId="17" xfId="1" applyBorder="1" applyAlignment="1" applyProtection="1">
      <alignment horizontal="left" vertical="center" wrapText="1"/>
    </xf>
    <xf numFmtId="2" fontId="1" fillId="0" borderId="21" xfId="1" applyBorder="1" applyAlignment="1" applyProtection="1">
      <alignment horizontal="left" vertical="center"/>
    </xf>
    <xf numFmtId="49" fontId="1" fillId="0" borderId="0" xfId="1" applyNumberFormat="1" applyBorder="1" applyAlignment="1" applyProtection="1">
      <alignment horizontal="left" vertical="top"/>
    </xf>
    <xf numFmtId="2" fontId="1" fillId="0" borderId="0" xfId="1" applyBorder="1" applyAlignment="1" applyProtection="1">
      <alignment horizontal="left" vertical="top" wrapText="1"/>
    </xf>
    <xf numFmtId="2" fontId="1" fillId="0" borderId="8" xfId="1" quotePrefix="1" applyBorder="1" applyAlignment="1" applyProtection="1">
      <alignment horizontal="center" vertical="center"/>
      <protection locked="0"/>
    </xf>
    <xf numFmtId="2" fontId="1" fillId="0" borderId="8" xfId="1" applyBorder="1" applyAlignment="1" applyProtection="1">
      <alignment horizontal="left" vertical="center" wrapText="1"/>
      <protection locked="0"/>
    </xf>
    <xf numFmtId="2" fontId="11" fillId="0" borderId="8" xfId="7" applyBorder="1" applyAlignment="1" applyProtection="1">
      <alignment horizontal="center" vertical="center"/>
      <protection locked="0"/>
    </xf>
    <xf numFmtId="2" fontId="2" fillId="0" borderId="0" xfId="1" applyFont="1" applyAlignment="1"/>
    <xf numFmtId="0" fontId="22" fillId="0" borderId="0" xfId="7" applyNumberFormat="1" applyFont="1" applyAlignment="1"/>
    <xf numFmtId="0" fontId="22" fillId="0" borderId="0" xfId="7" applyNumberFormat="1" applyFont="1" applyAlignment="1">
      <alignment horizontal="left" vertical="center"/>
    </xf>
    <xf numFmtId="4" fontId="23" fillId="7" borderId="37" xfId="6" applyNumberFormat="1" applyFont="1" applyFill="1" applyBorder="1" applyProtection="1"/>
    <xf numFmtId="0" fontId="24" fillId="0" borderId="37" xfId="6" applyFont="1" applyBorder="1" applyAlignment="1" applyProtection="1">
      <alignment horizontal="center"/>
    </xf>
    <xf numFmtId="4" fontId="23" fillId="7" borderId="36" xfId="6" applyNumberFormat="1" applyFont="1" applyFill="1" applyBorder="1" applyProtection="1"/>
    <xf numFmtId="0" fontId="24" fillId="0" borderId="36" xfId="6" applyFont="1" applyBorder="1" applyProtection="1"/>
    <xf numFmtId="164" fontId="24" fillId="0" borderId="36" xfId="6" applyNumberFormat="1" applyFont="1" applyBorder="1" applyProtection="1"/>
    <xf numFmtId="3" fontId="24" fillId="0" borderId="36" xfId="6" applyNumberFormat="1" applyFont="1" applyBorder="1" applyAlignment="1" applyProtection="1">
      <alignment horizontal="center"/>
    </xf>
    <xf numFmtId="0" fontId="24" fillId="0" borderId="5" xfId="6" applyFont="1" applyBorder="1" applyProtection="1"/>
    <xf numFmtId="164" fontId="24" fillId="0" borderId="5" xfId="6" applyNumberFormat="1" applyFont="1" applyBorder="1" applyProtection="1"/>
    <xf numFmtId="3" fontId="24" fillId="0" borderId="5" xfId="6" applyNumberFormat="1" applyFont="1" applyBorder="1" applyAlignment="1" applyProtection="1">
      <alignment horizontal="center"/>
    </xf>
    <xf numFmtId="4" fontId="23" fillId="7" borderId="38" xfId="6" applyNumberFormat="1" applyFont="1" applyFill="1" applyBorder="1" applyProtection="1"/>
    <xf numFmtId="0" fontId="24" fillId="0" borderId="38" xfId="6" applyFont="1" applyBorder="1" applyAlignment="1" applyProtection="1">
      <alignment horizontal="center"/>
    </xf>
    <xf numFmtId="4" fontId="23" fillId="7" borderId="5" xfId="6" applyNumberFormat="1" applyFont="1" applyFill="1" applyBorder="1" applyProtection="1"/>
    <xf numFmtId="2" fontId="24" fillId="0" borderId="0" xfId="6" applyNumberFormat="1" applyFont="1" applyFill="1" applyBorder="1" applyAlignment="1" applyProtection="1">
      <alignment horizontal="center"/>
    </xf>
    <xf numFmtId="4" fontId="23" fillId="7" borderId="36" xfId="6" applyNumberFormat="1" applyFont="1" applyFill="1" applyBorder="1" applyAlignment="1" applyProtection="1">
      <alignment horizontal="center"/>
    </xf>
    <xf numFmtId="2" fontId="24" fillId="0" borderId="42" xfId="6" applyNumberFormat="1" applyFont="1" applyFill="1" applyBorder="1" applyAlignment="1" applyProtection="1">
      <alignment horizontal="center"/>
    </xf>
    <xf numFmtId="4" fontId="23" fillId="7" borderId="5" xfId="6" applyNumberFormat="1" applyFont="1" applyFill="1" applyBorder="1" applyAlignment="1" applyProtection="1">
      <alignment horizontal="center"/>
    </xf>
    <xf numFmtId="2" fontId="6" fillId="2" borderId="8" xfId="1" applyFont="1" applyFill="1" applyBorder="1"/>
    <xf numFmtId="0" fontId="27" fillId="0" borderId="0" xfId="8" applyAlignment="1">
      <alignment horizontal="center"/>
    </xf>
    <xf numFmtId="0" fontId="27" fillId="0" borderId="0" xfId="8" applyAlignment="1"/>
    <xf numFmtId="0" fontId="21" fillId="2" borderId="8" xfId="8" applyFont="1" applyFill="1" applyBorder="1" applyAlignment="1"/>
    <xf numFmtId="0" fontId="21" fillId="2" borderId="8" xfId="8" applyFont="1" applyFill="1" applyBorder="1" applyAlignment="1">
      <alignment horizontal="center"/>
    </xf>
    <xf numFmtId="0" fontId="27" fillId="0" borderId="0" xfId="8" applyFont="1" applyAlignment="1">
      <alignment horizontal="left" vertical="center"/>
    </xf>
    <xf numFmtId="0" fontId="27" fillId="0" borderId="0" xfId="8" applyFont="1" applyAlignment="1"/>
    <xf numFmtId="0" fontId="27" fillId="0" borderId="0" xfId="8" applyFont="1" applyAlignment="1">
      <alignment horizontal="center"/>
    </xf>
    <xf numFmtId="0" fontId="11" fillId="0" borderId="0" xfId="7" applyNumberFormat="1" applyAlignment="1">
      <alignment horizontal="left" vertical="center"/>
    </xf>
    <xf numFmtId="2" fontId="1" fillId="0" borderId="25" xfId="1" applyBorder="1" applyAlignment="1" applyProtection="1">
      <alignment horizontal="left" indent="2"/>
    </xf>
    <xf numFmtId="2" fontId="24" fillId="0" borderId="27" xfId="1" applyFont="1" applyBorder="1" applyProtection="1"/>
    <xf numFmtId="2" fontId="24" fillId="0" borderId="9" xfId="1" applyFont="1" applyBorder="1" applyProtection="1"/>
    <xf numFmtId="2" fontId="1" fillId="0" borderId="7" xfId="1" applyBorder="1" applyProtection="1"/>
    <xf numFmtId="2" fontId="1" fillId="0" borderId="10" xfId="1" applyBorder="1" applyProtection="1"/>
    <xf numFmtId="2" fontId="1" fillId="0" borderId="25" xfId="1" applyFont="1" applyBorder="1" applyProtection="1"/>
    <xf numFmtId="2" fontId="1" fillId="0" borderId="7" xfId="1" applyFont="1" applyBorder="1" applyProtection="1"/>
    <xf numFmtId="2" fontId="29" fillId="0" borderId="13" xfId="1" applyFont="1" applyBorder="1" applyProtection="1"/>
    <xf numFmtId="2" fontId="26" fillId="0" borderId="13" xfId="1" applyFont="1" applyBorder="1" applyProtection="1"/>
    <xf numFmtId="2" fontId="29" fillId="0" borderId="0" xfId="1" applyFont="1" applyBorder="1" applyProtection="1"/>
    <xf numFmtId="2" fontId="26" fillId="0" borderId="0" xfId="1" applyFont="1" applyBorder="1" applyProtection="1"/>
    <xf numFmtId="2" fontId="14" fillId="0" borderId="27" xfId="1" applyFont="1" applyBorder="1" applyAlignment="1" applyProtection="1">
      <alignment horizontal="center"/>
      <protection locked="0"/>
    </xf>
    <xf numFmtId="2" fontId="14" fillId="0" borderId="9" xfId="1" applyFont="1" applyBorder="1" applyAlignment="1" applyProtection="1">
      <alignment horizontal="center"/>
    </xf>
    <xf numFmtId="2" fontId="14" fillId="0" borderId="9" xfId="1" applyFont="1" applyBorder="1" applyAlignment="1" applyProtection="1">
      <alignment horizontal="center"/>
      <protection locked="0"/>
    </xf>
    <xf numFmtId="2" fontId="1" fillId="0" borderId="9" xfId="1" applyBorder="1" applyAlignment="1" applyProtection="1">
      <alignment horizontal="center"/>
    </xf>
    <xf numFmtId="2" fontId="1" fillId="0" borderId="12" xfId="1" applyBorder="1" applyAlignment="1" applyProtection="1">
      <alignment horizontal="center"/>
    </xf>
    <xf numFmtId="2" fontId="1" fillId="0" borderId="20" xfId="1" applyBorder="1" applyAlignment="1" applyProtection="1">
      <alignment horizontal="left" vertical="center" wrapText="1"/>
    </xf>
    <xf numFmtId="2" fontId="1" fillId="0" borderId="62" xfId="1" applyBorder="1" applyAlignment="1" applyProtection="1">
      <alignment horizontal="left" vertical="center" wrapText="1"/>
    </xf>
    <xf numFmtId="2" fontId="11" fillId="0" borderId="0" xfId="7" applyFont="1" applyAlignment="1" applyProtection="1">
      <alignment vertical="center" wrapText="1"/>
    </xf>
    <xf numFmtId="2" fontId="30" fillId="0" borderId="0" xfId="9" applyProtection="1"/>
    <xf numFmtId="2" fontId="30" fillId="0" borderId="0" xfId="9" applyAlignment="1" applyProtection="1">
      <alignment horizontal="center" vertical="center"/>
    </xf>
    <xf numFmtId="2" fontId="30" fillId="0" borderId="0" xfId="9" applyAlignment="1" applyProtection="1">
      <alignment horizontal="center"/>
    </xf>
    <xf numFmtId="2" fontId="30" fillId="0" borderId="23" xfId="9" applyBorder="1" applyProtection="1"/>
    <xf numFmtId="2" fontId="30" fillId="0" borderId="13" xfId="9" applyBorder="1" applyProtection="1"/>
    <xf numFmtId="2" fontId="30" fillId="0" borderId="24" xfId="9" applyBorder="1" applyProtection="1"/>
    <xf numFmtId="2" fontId="6" fillId="0" borderId="29" xfId="9" applyFont="1" applyBorder="1" applyAlignment="1" applyProtection="1">
      <alignment horizontal="right"/>
    </xf>
    <xf numFmtId="2" fontId="6" fillId="0" borderId="0" xfId="9" applyFont="1" applyBorder="1" applyAlignment="1" applyProtection="1">
      <alignment horizontal="left"/>
    </xf>
    <xf numFmtId="2" fontId="6" fillId="0" borderId="0" xfId="9" applyFont="1" applyBorder="1" applyProtection="1"/>
    <xf numFmtId="2" fontId="30" fillId="0" borderId="14" xfId="9" applyBorder="1" applyProtection="1"/>
    <xf numFmtId="2" fontId="30" fillId="0" borderId="29" xfId="9" applyBorder="1" applyProtection="1"/>
    <xf numFmtId="2" fontId="30" fillId="0" borderId="30" xfId="9" applyBorder="1" applyProtection="1"/>
    <xf numFmtId="2" fontId="30" fillId="0" borderId="31" xfId="9" applyBorder="1" applyProtection="1"/>
    <xf numFmtId="2" fontId="30" fillId="0" borderId="32" xfId="9" applyBorder="1" applyProtection="1"/>
    <xf numFmtId="2" fontId="6" fillId="0" borderId="0" xfId="9" applyFont="1" applyBorder="1" applyAlignment="1" applyProtection="1">
      <alignment horizontal="center" wrapText="1"/>
    </xf>
    <xf numFmtId="2" fontId="6" fillId="0" borderId="46" xfId="9" applyFont="1" applyBorder="1" applyAlignment="1" applyProtection="1">
      <alignment horizontal="center"/>
    </xf>
    <xf numFmtId="2" fontId="6" fillId="0" borderId="47" xfId="9" applyFont="1" applyBorder="1" applyAlignment="1" applyProtection="1">
      <alignment horizontal="center"/>
    </xf>
    <xf numFmtId="2" fontId="6" fillId="0" borderId="0" xfId="9" applyFont="1" applyBorder="1" applyAlignment="1" applyProtection="1">
      <alignment horizontal="center"/>
    </xf>
    <xf numFmtId="2" fontId="1" fillId="0" borderId="50" xfId="9" applyFont="1" applyFill="1" applyBorder="1" applyAlignment="1" applyProtection="1">
      <alignment horizontal="center"/>
    </xf>
    <xf numFmtId="2" fontId="30" fillId="0" borderId="0" xfId="9" applyFill="1" applyBorder="1" applyAlignment="1" applyProtection="1">
      <alignment horizontal="center"/>
    </xf>
    <xf numFmtId="2" fontId="30" fillId="0" borderId="23" xfId="9" applyNumberFormat="1" applyBorder="1" applyAlignment="1" applyProtection="1">
      <alignment horizontal="left" indent="1"/>
    </xf>
    <xf numFmtId="2" fontId="30" fillId="0" borderId="43" xfId="9" applyNumberFormat="1" applyBorder="1" applyAlignment="1" applyProtection="1">
      <alignment horizontal="left" indent="1"/>
    </xf>
    <xf numFmtId="164" fontId="32" fillId="0" borderId="44" xfId="9" applyNumberFormat="1" applyFont="1" applyBorder="1" applyAlignment="1" applyProtection="1">
      <alignment horizontal="right" indent="3"/>
    </xf>
    <xf numFmtId="2" fontId="30" fillId="0" borderId="13" xfId="9" applyNumberFormat="1" applyBorder="1" applyProtection="1"/>
    <xf numFmtId="165" fontId="32" fillId="0" borderId="44" xfId="9" applyNumberFormat="1" applyFont="1" applyBorder="1" applyAlignment="1" applyProtection="1">
      <alignment horizontal="right" indent="3"/>
    </xf>
    <xf numFmtId="2" fontId="30" fillId="0" borderId="51" xfId="9" applyBorder="1" applyProtection="1"/>
    <xf numFmtId="2" fontId="30" fillId="0" borderId="0" xfId="9" applyBorder="1" applyAlignment="1" applyProtection="1">
      <alignment horizontal="center"/>
    </xf>
    <xf numFmtId="2" fontId="6" fillId="0" borderId="29" xfId="9" applyNumberFormat="1" applyFont="1" applyBorder="1" applyAlignment="1" applyProtection="1">
      <alignment horizontal="left" indent="3"/>
    </xf>
    <xf numFmtId="2" fontId="6" fillId="0" borderId="45" xfId="9" applyNumberFormat="1" applyFont="1" applyBorder="1" applyAlignment="1" applyProtection="1">
      <alignment horizontal="left" indent="1"/>
    </xf>
    <xf numFmtId="4" fontId="6" fillId="0" borderId="46" xfId="9" applyNumberFormat="1" applyFont="1" applyBorder="1" applyAlignment="1" applyProtection="1">
      <alignment horizontal="right" indent="7"/>
    </xf>
    <xf numFmtId="2" fontId="30" fillId="0" borderId="0" xfId="9" applyBorder="1" applyProtection="1"/>
    <xf numFmtId="166" fontId="6" fillId="0" borderId="46" xfId="9" applyNumberFormat="1" applyFont="1" applyBorder="1" applyAlignment="1" applyProtection="1">
      <alignment horizontal="right" indent="7"/>
    </xf>
    <xf numFmtId="166" fontId="6" fillId="0" borderId="14" xfId="1" applyNumberFormat="1" applyFont="1" applyFill="1" applyBorder="1" applyAlignment="1" applyProtection="1">
      <alignment horizontal="right" indent="8"/>
    </xf>
    <xf numFmtId="166" fontId="6" fillId="0" borderId="0" xfId="1" applyNumberFormat="1" applyFont="1" applyFill="1" applyBorder="1" applyAlignment="1" applyProtection="1">
      <alignment horizontal="right" indent="3"/>
    </xf>
    <xf numFmtId="2" fontId="30" fillId="0" borderId="29" xfId="9" applyBorder="1" applyAlignment="1" applyProtection="1">
      <alignment horizontal="left" indent="3"/>
    </xf>
    <xf numFmtId="2" fontId="30" fillId="0" borderId="45" xfId="9" applyBorder="1" applyAlignment="1" applyProtection="1">
      <alignment horizontal="left" indent="1"/>
    </xf>
    <xf numFmtId="164" fontId="6" fillId="0" borderId="0" xfId="9" applyNumberFormat="1" applyFont="1" applyBorder="1" applyAlignment="1" applyProtection="1">
      <alignment horizontal="right" indent="8"/>
    </xf>
    <xf numFmtId="166" fontId="6" fillId="0" borderId="46" xfId="9" applyNumberFormat="1" applyFont="1" applyBorder="1" applyAlignment="1" applyProtection="1">
      <alignment horizontal="right" indent="8"/>
    </xf>
    <xf numFmtId="164" fontId="6" fillId="0" borderId="46" xfId="9" applyNumberFormat="1" applyFont="1" applyBorder="1" applyAlignment="1" applyProtection="1">
      <alignment horizontal="right" indent="7"/>
    </xf>
    <xf numFmtId="2" fontId="30" fillId="0" borderId="29" xfId="9" applyNumberFormat="1" applyBorder="1" applyAlignment="1" applyProtection="1">
      <alignment horizontal="left" indent="3"/>
    </xf>
    <xf numFmtId="2" fontId="30" fillId="0" borderId="45" xfId="9" applyNumberFormat="1" applyBorder="1" applyAlignment="1" applyProtection="1">
      <alignment horizontal="left" indent="1"/>
    </xf>
    <xf numFmtId="2" fontId="1" fillId="0" borderId="29" xfId="9" applyNumberFormat="1" applyFont="1" applyBorder="1" applyAlignment="1" applyProtection="1">
      <alignment horizontal="left" indent="3"/>
    </xf>
    <xf numFmtId="2" fontId="1" fillId="0" borderId="45" xfId="9" applyNumberFormat="1" applyFont="1" applyBorder="1" applyAlignment="1" applyProtection="1">
      <alignment horizontal="left" indent="1"/>
    </xf>
    <xf numFmtId="166" fontId="1" fillId="0" borderId="14" xfId="1" applyNumberFormat="1" applyFont="1" applyFill="1" applyBorder="1" applyAlignment="1" applyProtection="1">
      <alignment horizontal="right" indent="8"/>
    </xf>
    <xf numFmtId="166" fontId="1" fillId="0" borderId="0" xfId="1" applyNumberFormat="1" applyFont="1" applyFill="1" applyBorder="1" applyAlignment="1" applyProtection="1">
      <alignment horizontal="right" indent="3"/>
    </xf>
    <xf numFmtId="2" fontId="6" fillId="0" borderId="29" xfId="9" applyFont="1" applyBorder="1" applyAlignment="1" applyProtection="1">
      <alignment horizontal="left" indent="3"/>
    </xf>
    <xf numFmtId="2" fontId="6" fillId="0" borderId="45" xfId="9" applyFont="1" applyBorder="1" applyAlignment="1" applyProtection="1">
      <alignment horizontal="left" indent="1"/>
    </xf>
    <xf numFmtId="2" fontId="30" fillId="0" borderId="29" xfId="9" applyBorder="1" applyAlignment="1" applyProtection="1">
      <alignment horizontal="left" indent="1"/>
    </xf>
    <xf numFmtId="2" fontId="30" fillId="0" borderId="52" xfId="9" applyBorder="1" applyAlignment="1" applyProtection="1">
      <alignment horizontal="left" indent="1"/>
    </xf>
    <xf numFmtId="164" fontId="32" fillId="0" borderId="46" xfId="9" applyNumberFormat="1" applyFont="1" applyBorder="1" applyAlignment="1" applyProtection="1">
      <alignment horizontal="right" indent="6"/>
    </xf>
    <xf numFmtId="165" fontId="32" fillId="0" borderId="46" xfId="9" applyNumberFormat="1" applyFont="1" applyBorder="1" applyAlignment="1" applyProtection="1">
      <alignment horizontal="right" indent="3"/>
    </xf>
    <xf numFmtId="2" fontId="30" fillId="0" borderId="53" xfId="9" applyBorder="1" applyProtection="1"/>
    <xf numFmtId="166" fontId="1" fillId="0" borderId="0"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2" fontId="6" fillId="0" borderId="29" xfId="9" applyFont="1" applyBorder="1" applyAlignment="1" applyProtection="1">
      <alignment horizontal="center"/>
    </xf>
    <xf numFmtId="2" fontId="6" fillId="0" borderId="14" xfId="9" applyFont="1" applyBorder="1" applyAlignment="1" applyProtection="1">
      <alignment horizontal="center"/>
    </xf>
    <xf numFmtId="2" fontId="6" fillId="0" borderId="0" xfId="9" applyFont="1" applyFill="1" applyBorder="1" applyAlignment="1" applyProtection="1">
      <alignment horizontal="right" vertical="center"/>
    </xf>
    <xf numFmtId="2" fontId="1" fillId="0" borderId="0" xfId="9" applyFont="1" applyBorder="1" applyProtection="1"/>
    <xf numFmtId="2" fontId="30" fillId="0" borderId="0" xfId="9" applyFill="1" applyBorder="1" applyAlignment="1" applyProtection="1">
      <alignment horizontal="right" vertical="center"/>
    </xf>
    <xf numFmtId="2" fontId="31" fillId="0" borderId="13" xfId="1" applyFont="1" applyBorder="1" applyAlignment="1" applyProtection="1">
      <alignment horizontal="left" indent="3"/>
    </xf>
    <xf numFmtId="2" fontId="31" fillId="0" borderId="0" xfId="1" applyFont="1" applyBorder="1" applyAlignment="1" applyProtection="1">
      <alignment horizontal="left" indent="3"/>
    </xf>
    <xf numFmtId="2" fontId="14" fillId="0" borderId="27" xfId="1" applyFont="1" applyBorder="1" applyProtection="1">
      <protection locked="0"/>
    </xf>
    <xf numFmtId="1" fontId="14" fillId="0" borderId="12" xfId="1" applyNumberFormat="1" applyFont="1" applyBorder="1" applyAlignment="1" applyProtection="1">
      <alignment horizontal="left"/>
      <protection locked="0"/>
    </xf>
    <xf numFmtId="2" fontId="1" fillId="0" borderId="57" xfId="1" applyFont="1" applyBorder="1" applyAlignment="1" applyProtection="1">
      <alignment horizontal="left" vertical="center" wrapText="1"/>
    </xf>
    <xf numFmtId="2" fontId="1" fillId="0" borderId="60" xfId="1" applyFont="1" applyBorder="1" applyAlignment="1" applyProtection="1">
      <alignment horizontal="left" vertical="center" wrapText="1"/>
    </xf>
    <xf numFmtId="2" fontId="1" fillId="0" borderId="58" xfId="1" applyFont="1" applyBorder="1" applyAlignment="1" applyProtection="1">
      <alignment horizontal="left" vertical="center" wrapText="1"/>
    </xf>
    <xf numFmtId="2" fontId="1" fillId="0" borderId="29" xfId="1" applyFont="1" applyBorder="1" applyAlignment="1" applyProtection="1">
      <alignment horizontal="left" vertical="center" wrapText="1"/>
    </xf>
    <xf numFmtId="2" fontId="1" fillId="0" borderId="8" xfId="1" applyBorder="1" applyAlignment="1" applyProtection="1">
      <alignment horizontal="left" vertical="top" wrapText="1"/>
      <protection locked="0"/>
    </xf>
    <xf numFmtId="0" fontId="0" fillId="0" borderId="0" xfId="8" applyFont="1" applyAlignment="1">
      <alignment horizontal="left" vertical="center"/>
    </xf>
    <xf numFmtId="0" fontId="0" fillId="0" borderId="0" xfId="8" applyFont="1" applyAlignment="1"/>
    <xf numFmtId="2" fontId="1" fillId="0" borderId="0" xfId="10" applyFont="1" applyProtection="1"/>
    <xf numFmtId="2" fontId="6" fillId="0" borderId="0" xfId="10" applyFont="1" applyAlignment="1" applyProtection="1">
      <alignment vertical="center" wrapText="1"/>
    </xf>
    <xf numFmtId="2" fontId="11" fillId="0" borderId="0" xfId="7" applyProtection="1"/>
    <xf numFmtId="2" fontId="1" fillId="0" borderId="0" xfId="10" applyFont="1" applyAlignment="1" applyProtection="1">
      <alignment vertical="center" wrapText="1"/>
    </xf>
    <xf numFmtId="2" fontId="1" fillId="0" borderId="0" xfId="10" quotePrefix="1" applyFont="1" applyAlignment="1" applyProtection="1">
      <alignment horizontal="right" vertical="top"/>
    </xf>
    <xf numFmtId="2" fontId="1" fillId="0" borderId="0" xfId="10" applyFont="1" applyAlignment="1" applyProtection="1">
      <alignment horizontal="left" vertical="top" wrapText="1" indent="1"/>
    </xf>
    <xf numFmtId="2" fontId="1" fillId="0" borderId="0" xfId="10" applyFont="1" applyAlignment="1" applyProtection="1">
      <alignment horizontal="left" vertical="center" wrapText="1"/>
    </xf>
    <xf numFmtId="2" fontId="1" fillId="0" borderId="0" xfId="10" applyFont="1" applyAlignment="1" applyProtection="1">
      <alignment horizontal="left" vertical="center" wrapText="1" indent="1"/>
    </xf>
    <xf numFmtId="2" fontId="1" fillId="0" borderId="0" xfId="10" applyFont="1" applyAlignment="1" applyProtection="1">
      <alignment wrapText="1"/>
    </xf>
    <xf numFmtId="2" fontId="33" fillId="0" borderId="0" xfId="10" applyProtection="1"/>
    <xf numFmtId="0" fontId="6" fillId="3" borderId="8" xfId="0" applyFont="1" applyFill="1" applyBorder="1" applyProtection="1"/>
    <xf numFmtId="0" fontId="0" fillId="2" borderId="8" xfId="0" applyFill="1" applyBorder="1" applyAlignment="1" applyProtection="1">
      <alignment horizontal="left"/>
    </xf>
    <xf numFmtId="2" fontId="1" fillId="0" borderId="64" xfId="1" applyBorder="1" applyAlignment="1" applyProtection="1">
      <alignment horizontal="left" indent="2"/>
    </xf>
    <xf numFmtId="2" fontId="24" fillId="0" borderId="14" xfId="1" applyFont="1" applyBorder="1" applyProtection="1"/>
    <xf numFmtId="2" fontId="1" fillId="0" borderId="70" xfId="1" applyBorder="1" applyProtection="1"/>
    <xf numFmtId="2" fontId="1" fillId="0" borderId="71" xfId="1" applyBorder="1" applyProtection="1"/>
    <xf numFmtId="2" fontId="24" fillId="0" borderId="32" xfId="1" applyFont="1" applyBorder="1" applyAlignment="1" applyProtection="1">
      <alignment vertical="top"/>
    </xf>
    <xf numFmtId="2" fontId="1" fillId="0" borderId="17" xfId="1" applyBorder="1" applyAlignment="1" applyProtection="1">
      <alignment horizontal="left" vertical="center"/>
    </xf>
    <xf numFmtId="2" fontId="1" fillId="0" borderId="77" xfId="1" applyFont="1" applyBorder="1" applyAlignment="1" applyProtection="1">
      <alignment horizontal="left" vertical="center" wrapText="1"/>
    </xf>
    <xf numFmtId="2" fontId="1" fillId="0" borderId="15" xfId="1" applyFont="1" applyBorder="1" applyAlignment="1" applyProtection="1">
      <alignment horizontal="left" vertical="center" wrapText="1"/>
    </xf>
    <xf numFmtId="2" fontId="1" fillId="0" borderId="61" xfId="1" applyFont="1" applyBorder="1" applyAlignment="1" applyProtection="1">
      <alignment horizontal="left" vertical="center" wrapText="1"/>
    </xf>
    <xf numFmtId="2" fontId="1" fillId="0" borderId="19" xfId="1" applyFont="1" applyBorder="1" applyAlignment="1" applyProtection="1">
      <alignment horizontal="left" vertical="center" wrapText="1"/>
    </xf>
    <xf numFmtId="2" fontId="2" fillId="0" borderId="0" xfId="10" applyFont="1"/>
    <xf numFmtId="2" fontId="33" fillId="0" borderId="0" xfId="10"/>
    <xf numFmtId="2" fontId="33" fillId="0" borderId="0" xfId="10" applyAlignment="1">
      <alignment horizontal="center"/>
    </xf>
    <xf numFmtId="2" fontId="6" fillId="2" borderId="7" xfId="10" applyFont="1" applyFill="1" applyBorder="1"/>
    <xf numFmtId="2" fontId="6" fillId="2" borderId="8" xfId="10" applyFont="1" applyFill="1" applyBorder="1"/>
    <xf numFmtId="2" fontId="6" fillId="2" borderId="8" xfId="10" applyFont="1" applyFill="1" applyBorder="1" applyAlignment="1">
      <alignment horizontal="center"/>
    </xf>
    <xf numFmtId="2" fontId="6" fillId="2" borderId="9" xfId="10" applyFont="1" applyFill="1" applyBorder="1"/>
    <xf numFmtId="2" fontId="1" fillId="0" borderId="7" xfId="10" applyFont="1" applyBorder="1"/>
    <xf numFmtId="2" fontId="33" fillId="0" borderId="8" xfId="10" applyBorder="1"/>
    <xf numFmtId="2" fontId="1" fillId="0" borderId="8" xfId="10" applyFont="1" applyBorder="1" applyAlignment="1">
      <alignment horizontal="center"/>
    </xf>
    <xf numFmtId="2" fontId="1" fillId="0" borderId="9" xfId="10" applyFont="1" applyBorder="1"/>
    <xf numFmtId="2" fontId="1" fillId="0" borderId="0" xfId="10" applyFont="1"/>
    <xf numFmtId="2" fontId="6" fillId="2" borderId="9" xfId="10" applyFont="1" applyFill="1" applyBorder="1" applyAlignment="1">
      <alignment horizontal="center"/>
    </xf>
    <xf numFmtId="2" fontId="6" fillId="0" borderId="0" xfId="10" applyFont="1" applyFill="1" applyBorder="1"/>
    <xf numFmtId="2" fontId="1" fillId="0" borderId="9" xfId="10" applyFont="1" applyBorder="1" applyAlignment="1">
      <alignment horizontal="center"/>
    </xf>
    <xf numFmtId="0" fontId="6" fillId="0" borderId="0" xfId="6" applyFont="1" applyFill="1" applyBorder="1" applyAlignment="1" applyProtection="1">
      <alignment horizontal="left"/>
    </xf>
    <xf numFmtId="0" fontId="1" fillId="0" borderId="0" xfId="6" applyFill="1" applyBorder="1" applyAlignment="1" applyProtection="1">
      <alignment horizontal="left" wrapText="1"/>
    </xf>
    <xf numFmtId="167" fontId="1" fillId="0" borderId="8" xfId="1" applyNumberFormat="1" applyFill="1" applyBorder="1" applyAlignment="1" applyProtection="1">
      <alignment horizontal="center"/>
    </xf>
    <xf numFmtId="2" fontId="1" fillId="0" borderId="8" xfId="1" applyFont="1" applyFill="1" applyBorder="1" applyAlignment="1" applyProtection="1">
      <alignment horizontal="left"/>
    </xf>
    <xf numFmtId="2" fontId="1" fillId="0" borderId="8" xfId="1" applyBorder="1" applyAlignment="1">
      <alignment horizontal="center"/>
    </xf>
    <xf numFmtId="2" fontId="1" fillId="0" borderId="8" xfId="1" applyBorder="1"/>
    <xf numFmtId="168" fontId="1" fillId="0" borderId="8" xfId="1" applyNumberFormat="1" applyBorder="1" applyAlignment="1" applyProtection="1">
      <alignment horizontal="center"/>
    </xf>
    <xf numFmtId="0" fontId="1" fillId="0" borderId="8" xfId="1" applyNumberFormat="1" applyBorder="1" applyAlignment="1">
      <alignment horizontal="center"/>
    </xf>
    <xf numFmtId="2" fontId="1" fillId="0" borderId="8" xfId="1" applyFont="1" applyBorder="1"/>
    <xf numFmtId="0" fontId="13" fillId="0" borderId="8" xfId="0" applyFont="1" applyBorder="1"/>
    <xf numFmtId="2" fontId="1" fillId="0" borderId="8" xfId="1" applyFont="1" applyFill="1" applyBorder="1"/>
    <xf numFmtId="2" fontId="1" fillId="0" borderId="8" xfId="10" applyFont="1" applyBorder="1"/>
    <xf numFmtId="2" fontId="1" fillId="4" borderId="0" xfId="6" applyNumberFormat="1" applyFill="1" applyBorder="1" applyProtection="1"/>
    <xf numFmtId="2" fontId="1" fillId="2" borderId="8" xfId="1" applyFill="1" applyBorder="1" applyAlignment="1" applyProtection="1">
      <alignment horizontal="center"/>
    </xf>
    <xf numFmtId="2" fontId="1" fillId="2" borderId="8" xfId="1" applyFont="1" applyFill="1" applyBorder="1" applyAlignment="1" applyProtection="1">
      <alignment horizontal="center"/>
    </xf>
    <xf numFmtId="2" fontId="6" fillId="3" borderId="8" xfId="1" applyFont="1" applyFill="1" applyBorder="1" applyAlignment="1" applyProtection="1">
      <alignment horizontal="center"/>
    </xf>
    <xf numFmtId="167" fontId="1" fillId="0" borderId="0" xfId="1" applyNumberFormat="1" applyAlignment="1">
      <alignment horizontal="center"/>
    </xf>
    <xf numFmtId="0" fontId="6" fillId="2" borderId="8" xfId="6" applyFont="1" applyFill="1" applyBorder="1" applyAlignment="1" applyProtection="1">
      <alignment horizontal="center" vertical="center"/>
    </xf>
    <xf numFmtId="0" fontId="14" fillId="0" borderId="0" xfId="6" applyFont="1" applyFill="1" applyBorder="1" applyAlignment="1" applyProtection="1">
      <alignment horizontal="center"/>
    </xf>
    <xf numFmtId="1" fontId="14" fillId="0" borderId="0" xfId="6" applyNumberFormat="1" applyFont="1" applyFill="1" applyBorder="1" applyAlignment="1" applyProtection="1">
      <alignment horizontal="center"/>
    </xf>
    <xf numFmtId="0" fontId="14" fillId="0" borderId="0" xfId="6" applyFont="1" applyFill="1" applyBorder="1" applyAlignment="1" applyProtection="1">
      <alignment horizontal="center" vertical="center"/>
    </xf>
    <xf numFmtId="2" fontId="1" fillId="0" borderId="8" xfId="6" applyNumberFormat="1" applyFont="1" applyFill="1" applyBorder="1" applyAlignment="1" applyProtection="1">
      <alignment horizontal="center"/>
    </xf>
    <xf numFmtId="2" fontId="14" fillId="0" borderId="8" xfId="1" applyFont="1" applyBorder="1" applyAlignment="1" applyProtection="1">
      <alignment horizontal="center"/>
      <protection locked="0"/>
    </xf>
    <xf numFmtId="0" fontId="14" fillId="0" borderId="8" xfId="6" applyFont="1" applyBorder="1" applyAlignment="1" applyProtection="1">
      <alignment horizontal="center" vertical="center"/>
      <protection locked="0"/>
    </xf>
    <xf numFmtId="2" fontId="6" fillId="0" borderId="0" xfId="10" applyFont="1" applyAlignment="1" applyProtection="1">
      <alignment horizontal="left" vertical="center" wrapText="1"/>
    </xf>
    <xf numFmtId="2" fontId="2" fillId="0" borderId="0" xfId="10" applyFont="1" applyAlignment="1" applyProtection="1">
      <alignment horizontal="left" vertical="center" wrapText="1"/>
    </xf>
    <xf numFmtId="2" fontId="31" fillId="0" borderId="0" xfId="10" applyFont="1" applyAlignment="1" applyProtection="1">
      <alignment horizontal="left" vertical="center" wrapText="1"/>
    </xf>
    <xf numFmtId="2" fontId="1" fillId="0" borderId="0" xfId="10" applyFont="1" applyAlignment="1" applyProtection="1">
      <alignment horizontal="left" vertical="center" wrapText="1"/>
    </xf>
    <xf numFmtId="2" fontId="11" fillId="0" borderId="0" xfId="7" applyAlignment="1" applyProtection="1">
      <alignment horizontal="left" vertical="center" wrapText="1"/>
    </xf>
    <xf numFmtId="2" fontId="1" fillId="0" borderId="0" xfId="10" applyFont="1" applyAlignment="1" applyProtection="1">
      <alignment horizontal="left" wrapText="1"/>
    </xf>
    <xf numFmtId="2" fontId="1" fillId="0" borderId="73" xfId="1" applyFont="1" applyBorder="1" applyAlignment="1" applyProtection="1">
      <alignment horizontal="left" vertical="top" wrapText="1"/>
    </xf>
    <xf numFmtId="2" fontId="1" fillId="0" borderId="74" xfId="1" applyFont="1" applyBorder="1" applyAlignment="1" applyProtection="1">
      <alignment horizontal="left" vertical="top" wrapText="1"/>
    </xf>
    <xf numFmtId="49" fontId="1" fillId="0" borderId="4" xfId="1" applyNumberFormat="1" applyFont="1" applyBorder="1" applyAlignment="1" applyProtection="1">
      <alignment horizontal="left" vertical="top"/>
    </xf>
    <xf numFmtId="49" fontId="1" fillId="0" borderId="5" xfId="1" applyNumberFormat="1" applyFont="1" applyBorder="1" applyAlignment="1" applyProtection="1">
      <alignment horizontal="left" vertical="top"/>
    </xf>
    <xf numFmtId="2" fontId="1" fillId="0" borderId="28" xfId="1" applyFont="1" applyBorder="1" applyAlignment="1" applyProtection="1">
      <alignment horizontal="left" vertical="top" wrapText="1"/>
    </xf>
    <xf numFmtId="2" fontId="1" fillId="0" borderId="19" xfId="1" applyFont="1" applyBorder="1" applyAlignment="1" applyProtection="1">
      <alignment horizontal="left" vertical="top" wrapText="1"/>
    </xf>
    <xf numFmtId="49" fontId="1" fillId="0" borderId="10" xfId="1" applyNumberFormat="1" applyFont="1" applyBorder="1" applyAlignment="1" applyProtection="1">
      <alignment horizontal="left" vertical="top"/>
    </xf>
    <xf numFmtId="49" fontId="1" fillId="0" borderId="11" xfId="1" applyNumberFormat="1" applyFont="1" applyBorder="1" applyAlignment="1" applyProtection="1">
      <alignment horizontal="left" vertical="top"/>
    </xf>
    <xf numFmtId="2" fontId="1" fillId="0" borderId="72" xfId="1" applyFont="1" applyBorder="1" applyAlignment="1" applyProtection="1">
      <alignment horizontal="left" vertical="top" wrapText="1"/>
    </xf>
    <xf numFmtId="2" fontId="1" fillId="0" borderId="22" xfId="1" applyFont="1" applyBorder="1" applyAlignment="1" applyProtection="1">
      <alignment horizontal="left" vertical="top" wrapText="1"/>
    </xf>
    <xf numFmtId="2" fontId="11" fillId="0" borderId="65" xfId="7" applyBorder="1" applyAlignment="1" applyProtection="1">
      <alignment horizontal="center" vertical="center" wrapText="1"/>
    </xf>
    <xf numFmtId="2" fontId="11" fillId="0" borderId="66" xfId="7" applyBorder="1" applyAlignment="1" applyProtection="1">
      <alignment horizontal="center" vertical="center" wrapText="1"/>
    </xf>
    <xf numFmtId="49" fontId="1" fillId="0" borderId="20" xfId="1" applyNumberFormat="1" applyFont="1" applyBorder="1" applyAlignment="1" applyProtection="1">
      <alignment horizontal="left" vertical="top"/>
    </xf>
    <xf numFmtId="49" fontId="1" fillId="0" borderId="55" xfId="1" applyNumberFormat="1" applyFont="1" applyBorder="1" applyAlignment="1" applyProtection="1">
      <alignment horizontal="left" vertical="top"/>
    </xf>
    <xf numFmtId="49" fontId="1" fillId="0" borderId="57" xfId="1" applyNumberFormat="1" applyFont="1" applyBorder="1" applyAlignment="1" applyProtection="1">
      <alignment horizontal="left" vertical="top"/>
    </xf>
    <xf numFmtId="49" fontId="1" fillId="0" borderId="38" xfId="1" applyNumberFormat="1" applyFont="1" applyBorder="1" applyAlignment="1" applyProtection="1">
      <alignment horizontal="left" vertical="top"/>
    </xf>
    <xf numFmtId="2" fontId="6" fillId="2" borderId="1" xfId="1" applyFont="1" applyFill="1" applyBorder="1" applyAlignment="1" applyProtection="1"/>
    <xf numFmtId="2" fontId="6" fillId="2" borderId="2" xfId="1" applyFont="1" applyFill="1" applyBorder="1" applyAlignment="1" applyProtection="1"/>
    <xf numFmtId="2" fontId="6" fillId="2" borderId="3" xfId="1" applyFont="1" applyFill="1" applyBorder="1" applyAlignment="1" applyProtection="1"/>
    <xf numFmtId="2" fontId="1" fillId="2" borderId="1" xfId="1" applyFont="1" applyFill="1" applyBorder="1" applyAlignment="1" applyProtection="1">
      <alignment horizontal="left" vertical="center"/>
    </xf>
    <xf numFmtId="2" fontId="1" fillId="2" borderId="2" xfId="1" applyFont="1" applyFill="1" applyBorder="1" applyAlignment="1" applyProtection="1">
      <alignment horizontal="left" vertical="center"/>
    </xf>
    <xf numFmtId="2" fontId="1" fillId="2" borderId="3" xfId="1" applyFont="1" applyFill="1" applyBorder="1" applyAlignment="1" applyProtection="1">
      <alignment horizontal="left" vertical="center"/>
    </xf>
    <xf numFmtId="49" fontId="1" fillId="0" borderId="25" xfId="1" applyNumberFormat="1" applyFont="1" applyBorder="1" applyAlignment="1" applyProtection="1">
      <alignment horizontal="left" vertical="top"/>
    </xf>
    <xf numFmtId="49" fontId="1" fillId="0" borderId="26" xfId="1" applyNumberFormat="1" applyFont="1" applyBorder="1" applyAlignment="1" applyProtection="1">
      <alignment horizontal="left" vertical="top"/>
    </xf>
    <xf numFmtId="2" fontId="1" fillId="0" borderId="75" xfId="1" applyFont="1" applyBorder="1" applyAlignment="1" applyProtection="1">
      <alignment horizontal="left" vertical="top" wrapText="1"/>
    </xf>
    <xf numFmtId="2" fontId="1" fillId="0" borderId="76" xfId="1" applyFont="1" applyBorder="1" applyAlignment="1" applyProtection="1">
      <alignment horizontal="left" vertical="top" wrapText="1"/>
    </xf>
    <xf numFmtId="49" fontId="1" fillId="0" borderId="64" xfId="1" applyNumberFormat="1" applyFont="1" applyBorder="1" applyAlignment="1" applyProtection="1">
      <alignment horizontal="left" vertical="top"/>
    </xf>
    <xf numFmtId="49" fontId="1" fillId="0" borderId="40" xfId="1" applyNumberFormat="1" applyFont="1" applyBorder="1" applyAlignment="1" applyProtection="1">
      <alignment horizontal="left" vertical="top"/>
    </xf>
    <xf numFmtId="2" fontId="1" fillId="0" borderId="28" xfId="1" applyFont="1" applyBorder="1" applyAlignment="1" applyProtection="1">
      <alignment horizontal="left" vertical="top"/>
    </xf>
    <xf numFmtId="2" fontId="1" fillId="0" borderId="19" xfId="1" applyFont="1" applyBorder="1" applyAlignment="1" applyProtection="1">
      <alignment horizontal="left" vertical="top"/>
    </xf>
    <xf numFmtId="2" fontId="1" fillId="0" borderId="61" xfId="1" applyFont="1" applyBorder="1" applyAlignment="1" applyProtection="1">
      <alignment horizontal="left" vertical="center" wrapText="1"/>
    </xf>
    <xf numFmtId="2" fontId="1" fillId="0" borderId="19" xfId="1" applyFont="1" applyBorder="1" applyAlignment="1" applyProtection="1">
      <alignment horizontal="left" vertical="center" wrapText="1"/>
    </xf>
    <xf numFmtId="2" fontId="1" fillId="0" borderId="63" xfId="1" applyBorder="1" applyAlignment="1" applyProtection="1">
      <alignment horizontal="left" vertical="center"/>
    </xf>
    <xf numFmtId="2" fontId="1" fillId="0" borderId="22" xfId="1" applyBorder="1" applyAlignment="1" applyProtection="1">
      <alignment horizontal="left" vertical="center"/>
    </xf>
    <xf numFmtId="2" fontId="3" fillId="0" borderId="0" xfId="1" applyFont="1" applyAlignment="1" applyProtection="1">
      <alignment horizontal="left" vertical="top"/>
    </xf>
    <xf numFmtId="2" fontId="1" fillId="0" borderId="0" xfId="1" applyFont="1" applyAlignment="1" applyProtection="1">
      <alignment horizontal="left" vertical="center" wrapText="1"/>
    </xf>
    <xf numFmtId="2" fontId="1" fillId="0" borderId="0" xfId="1" applyFont="1" applyAlignment="1" applyProtection="1">
      <alignment horizontal="left" vertical="top" wrapText="1"/>
    </xf>
    <xf numFmtId="2" fontId="6" fillId="2" borderId="1" xfId="1" applyFont="1" applyFill="1" applyBorder="1" applyAlignment="1" applyProtection="1">
      <alignment horizontal="left"/>
    </xf>
    <xf numFmtId="2" fontId="6" fillId="2" borderId="2" xfId="1" applyFont="1" applyFill="1" applyBorder="1" applyAlignment="1" applyProtection="1">
      <alignment horizontal="left"/>
    </xf>
    <xf numFmtId="2" fontId="6" fillId="2" borderId="3" xfId="1" applyFont="1" applyFill="1" applyBorder="1" applyAlignment="1" applyProtection="1">
      <alignment horizontal="left"/>
    </xf>
    <xf numFmtId="2" fontId="1" fillId="0" borderId="4" xfId="1" applyFont="1" applyBorder="1" applyAlignment="1" applyProtection="1"/>
    <xf numFmtId="2" fontId="1" fillId="0" borderId="5" xfId="1" applyBorder="1" applyAlignment="1" applyProtection="1"/>
    <xf numFmtId="2" fontId="1" fillId="0" borderId="6" xfId="1" applyBorder="1" applyAlignment="1" applyProtection="1"/>
    <xf numFmtId="2" fontId="1" fillId="0" borderId="7" xfId="1" applyFont="1" applyBorder="1" applyAlignment="1" applyProtection="1"/>
    <xf numFmtId="2" fontId="1" fillId="0" borderId="8" xfId="1" applyBorder="1" applyAlignment="1" applyProtection="1"/>
    <xf numFmtId="2" fontId="1" fillId="0" borderId="9" xfId="1" applyBorder="1" applyAlignment="1" applyProtection="1"/>
    <xf numFmtId="2" fontId="1" fillId="6" borderId="10" xfId="1" applyFill="1" applyBorder="1" applyAlignment="1" applyProtection="1"/>
    <xf numFmtId="2" fontId="1" fillId="6" borderId="11" xfId="1" applyFill="1" applyBorder="1" applyAlignment="1" applyProtection="1"/>
    <xf numFmtId="2" fontId="1" fillId="6" borderId="12" xfId="1" applyFill="1" applyBorder="1" applyAlignment="1" applyProtection="1"/>
    <xf numFmtId="2" fontId="6" fillId="2" borderId="23" xfId="1" applyFont="1" applyFill="1" applyBorder="1" applyAlignment="1" applyProtection="1">
      <alignment horizontal="left"/>
    </xf>
    <xf numFmtId="2" fontId="6" fillId="2" borderId="13" xfId="1" applyFont="1" applyFill="1" applyBorder="1" applyAlignment="1" applyProtection="1">
      <alignment horizontal="left"/>
    </xf>
    <xf numFmtId="2" fontId="6" fillId="2" borderId="24" xfId="1" applyFont="1" applyFill="1" applyBorder="1" applyAlignment="1" applyProtection="1">
      <alignment horizontal="left"/>
    </xf>
    <xf numFmtId="2" fontId="1" fillId="0" borderId="62" xfId="1" applyBorder="1" applyAlignment="1" applyProtection="1">
      <alignment horizontal="left" vertical="center"/>
    </xf>
    <xf numFmtId="2" fontId="1" fillId="0" borderId="17" xfId="1" applyBorder="1" applyAlignment="1" applyProtection="1">
      <alignment horizontal="left" vertical="center"/>
    </xf>
    <xf numFmtId="0" fontId="19" fillId="0" borderId="0" xfId="0" applyFont="1" applyAlignment="1" applyProtection="1">
      <alignment horizontal="left" vertical="center" wrapText="1"/>
    </xf>
    <xf numFmtId="2" fontId="1" fillId="0" borderId="15" xfId="1" applyFont="1" applyBorder="1" applyAlignment="1" applyProtection="1"/>
    <xf numFmtId="0" fontId="0" fillId="0" borderId="18" xfId="0" applyBorder="1" applyAlignment="1" applyProtection="1"/>
    <xf numFmtId="0" fontId="0" fillId="0" borderId="19" xfId="0" applyBorder="1" applyAlignment="1" applyProtection="1"/>
    <xf numFmtId="2" fontId="1" fillId="0" borderId="59" xfId="1" applyFont="1" applyBorder="1" applyAlignment="1" applyProtection="1">
      <alignment horizontal="left" vertical="center" wrapText="1"/>
    </xf>
    <xf numFmtId="2" fontId="1" fillId="0" borderId="27" xfId="1" applyFont="1" applyBorder="1" applyAlignment="1" applyProtection="1">
      <alignment horizontal="left" vertical="center" wrapText="1"/>
    </xf>
    <xf numFmtId="2" fontId="1" fillId="0" borderId="62" xfId="1" applyFont="1" applyBorder="1" applyAlignment="1" applyProtection="1">
      <alignment horizontal="left" vertical="center" wrapText="1"/>
    </xf>
    <xf numFmtId="0" fontId="0" fillId="0" borderId="17" xfId="0" applyBorder="1" applyAlignment="1">
      <alignment horizontal="left" vertical="center" wrapText="1"/>
    </xf>
    <xf numFmtId="2" fontId="6" fillId="2" borderId="33" xfId="1" applyFont="1" applyFill="1" applyBorder="1" applyAlignment="1" applyProtection="1">
      <alignment horizontal="left"/>
    </xf>
    <xf numFmtId="2" fontId="6" fillId="2" borderId="34" xfId="1" applyFont="1" applyFill="1" applyBorder="1" applyAlignment="1" applyProtection="1">
      <alignment horizontal="left"/>
    </xf>
    <xf numFmtId="0" fontId="6" fillId="2" borderId="28" xfId="6" applyFont="1" applyFill="1" applyBorder="1" applyAlignment="1" applyProtection="1">
      <alignment horizontal="left"/>
    </xf>
    <xf numFmtId="0" fontId="6" fillId="2" borderId="18" xfId="6" applyFont="1" applyFill="1" applyBorder="1" applyAlignment="1" applyProtection="1">
      <alignment horizontal="left"/>
    </xf>
    <xf numFmtId="0" fontId="6" fillId="2" borderId="35" xfId="6" applyFont="1" applyFill="1" applyBorder="1" applyAlignment="1" applyProtection="1">
      <alignment horizontal="left"/>
    </xf>
    <xf numFmtId="0" fontId="1" fillId="0" borderId="28" xfId="6" applyFont="1" applyBorder="1" applyAlignment="1" applyProtection="1">
      <alignment horizontal="left"/>
    </xf>
    <xf numFmtId="0" fontId="1" fillId="0" borderId="18" xfId="6" applyFont="1" applyBorder="1" applyAlignment="1" applyProtection="1">
      <alignment horizontal="left"/>
    </xf>
    <xf numFmtId="0" fontId="1" fillId="0" borderId="35" xfId="6" applyFont="1" applyBorder="1" applyAlignment="1" applyProtection="1">
      <alignment horizontal="left"/>
    </xf>
    <xf numFmtId="0" fontId="1" fillId="0" borderId="28" xfId="6" applyFont="1" applyBorder="1" applyAlignment="1" applyProtection="1">
      <alignment horizontal="left" wrapText="1"/>
    </xf>
    <xf numFmtId="0" fontId="1" fillId="0" borderId="18" xfId="6" applyFont="1" applyBorder="1" applyAlignment="1" applyProtection="1">
      <alignment horizontal="left" wrapText="1"/>
    </xf>
    <xf numFmtId="0" fontId="1" fillId="0" borderId="35" xfId="6" applyFont="1" applyBorder="1" applyAlignment="1" applyProtection="1">
      <alignment horizontal="left" wrapText="1"/>
    </xf>
    <xf numFmtId="0" fontId="1" fillId="2" borderId="28" xfId="6" applyFill="1" applyBorder="1" applyAlignment="1" applyProtection="1">
      <alignment horizontal="left" vertical="center" wrapText="1"/>
    </xf>
    <xf numFmtId="0" fontId="1" fillId="2" borderId="18" xfId="6" applyFill="1" applyBorder="1" applyAlignment="1" applyProtection="1">
      <alignment horizontal="left" vertical="center" wrapText="1"/>
    </xf>
    <xf numFmtId="0" fontId="1" fillId="2" borderId="35" xfId="6" applyFill="1" applyBorder="1" applyAlignment="1" applyProtection="1">
      <alignment horizontal="left" vertical="center" wrapText="1"/>
    </xf>
    <xf numFmtId="0" fontId="6" fillId="2" borderId="8" xfId="6" applyFont="1" applyFill="1" applyBorder="1" applyAlignment="1" applyProtection="1">
      <alignment horizontal="left"/>
    </xf>
    <xf numFmtId="0" fontId="6" fillId="2" borderId="8" xfId="6" applyFont="1" applyFill="1" applyBorder="1" applyAlignment="1" applyProtection="1">
      <alignment horizontal="center" vertical="center"/>
    </xf>
    <xf numFmtId="2" fontId="6" fillId="2" borderId="8" xfId="1" applyFont="1" applyFill="1" applyBorder="1" applyAlignment="1" applyProtection="1">
      <alignment horizontal="center" vertical="center"/>
    </xf>
    <xf numFmtId="0" fontId="1" fillId="0" borderId="8" xfId="6" applyBorder="1" applyAlignment="1" applyProtection="1">
      <alignment horizontal="center" vertical="center"/>
    </xf>
    <xf numFmtId="2" fontId="1" fillId="0" borderId="8" xfId="1" applyBorder="1" applyAlignment="1" applyProtection="1">
      <alignment horizontal="center" vertical="center"/>
    </xf>
    <xf numFmtId="166" fontId="14" fillId="0" borderId="8" xfId="1" applyNumberFormat="1" applyFont="1" applyBorder="1" applyAlignment="1" applyProtection="1">
      <alignment horizontal="center" vertical="center"/>
      <protection locked="0"/>
    </xf>
    <xf numFmtId="166" fontId="14" fillId="0" borderId="8" xfId="6" applyNumberFormat="1" applyFont="1" applyBorder="1" applyAlignment="1" applyProtection="1">
      <alignment horizontal="center" vertical="center"/>
      <protection locked="0"/>
    </xf>
    <xf numFmtId="0" fontId="1" fillId="0" borderId="28" xfId="6" applyFont="1" applyBorder="1" applyAlignment="1" applyProtection="1">
      <alignment horizontal="left" vertical="center" indent="2"/>
    </xf>
    <xf numFmtId="0" fontId="1" fillId="0" borderId="18" xfId="6" applyFont="1" applyBorder="1" applyAlignment="1" applyProtection="1">
      <alignment horizontal="left" vertical="center" indent="2"/>
    </xf>
    <xf numFmtId="0" fontId="1" fillId="0" borderId="35" xfId="6" applyFont="1" applyBorder="1" applyAlignment="1" applyProtection="1">
      <alignment horizontal="left" vertical="center" indent="2"/>
    </xf>
    <xf numFmtId="0" fontId="1" fillId="0" borderId="28" xfId="6" applyBorder="1" applyAlignment="1" applyProtection="1">
      <alignment horizontal="center" vertical="center"/>
    </xf>
    <xf numFmtId="0" fontId="1" fillId="0" borderId="35" xfId="6" applyBorder="1" applyAlignment="1" applyProtection="1">
      <alignment horizontal="center" vertical="center"/>
    </xf>
    <xf numFmtId="166" fontId="14" fillId="0" borderId="28" xfId="6" applyNumberFormat="1" applyFont="1" applyBorder="1" applyAlignment="1" applyProtection="1">
      <alignment horizontal="center" vertical="center"/>
      <protection locked="0"/>
    </xf>
    <xf numFmtId="166" fontId="14" fillId="0" borderId="35" xfId="6" applyNumberFormat="1" applyFont="1" applyBorder="1" applyAlignment="1" applyProtection="1">
      <alignment horizontal="center" vertical="center"/>
      <protection locked="0"/>
    </xf>
    <xf numFmtId="166" fontId="14" fillId="0" borderId="28" xfId="1" applyNumberFormat="1" applyFont="1" applyBorder="1" applyAlignment="1" applyProtection="1">
      <alignment horizontal="center" vertical="center"/>
      <protection locked="0"/>
    </xf>
    <xf numFmtId="166" fontId="14" fillId="0" borderId="35" xfId="1" applyNumberFormat="1" applyFont="1" applyBorder="1" applyAlignment="1" applyProtection="1">
      <alignment horizontal="center" vertical="center"/>
      <protection locked="0"/>
    </xf>
    <xf numFmtId="2" fontId="6" fillId="2" borderId="28" xfId="1" applyFont="1" applyFill="1" applyBorder="1" applyAlignment="1" applyProtection="1">
      <alignment horizontal="center" vertical="center"/>
    </xf>
    <xf numFmtId="2" fontId="6" fillId="2" borderId="35" xfId="1" applyFont="1" applyFill="1" applyBorder="1" applyAlignment="1" applyProtection="1">
      <alignment horizontal="center" vertical="center"/>
    </xf>
    <xf numFmtId="0" fontId="6" fillId="2" borderId="28" xfId="6" applyFont="1" applyFill="1" applyBorder="1" applyAlignment="1" applyProtection="1">
      <alignment horizontal="center" vertical="center"/>
    </xf>
    <xf numFmtId="0" fontId="6" fillId="2" borderId="35" xfId="6" applyFont="1" applyFill="1" applyBorder="1" applyAlignment="1" applyProtection="1">
      <alignment horizontal="center" vertical="center"/>
    </xf>
    <xf numFmtId="2" fontId="1" fillId="0" borderId="28" xfId="1" applyBorder="1" applyAlignment="1" applyProtection="1">
      <alignment horizontal="center" vertical="center"/>
    </xf>
    <xf numFmtId="2" fontId="1" fillId="0" borderId="35" xfId="1" applyBorder="1" applyAlignment="1" applyProtection="1">
      <alignment horizontal="center" vertical="center"/>
    </xf>
    <xf numFmtId="0" fontId="2" fillId="2" borderId="28" xfId="6" applyFont="1" applyFill="1" applyBorder="1" applyAlignment="1" applyProtection="1">
      <alignment horizontal="left"/>
    </xf>
    <xf numFmtId="0" fontId="2" fillId="2" borderId="18" xfId="6" applyFont="1" applyFill="1" applyBorder="1" applyAlignment="1" applyProtection="1">
      <alignment horizontal="left"/>
    </xf>
    <xf numFmtId="0" fontId="2" fillId="2" borderId="35" xfId="6" applyFont="1" applyFill="1" applyBorder="1" applyAlignment="1" applyProtection="1">
      <alignment horizontal="left"/>
    </xf>
    <xf numFmtId="2" fontId="6" fillId="0" borderId="0" xfId="9" applyFont="1" applyAlignment="1" applyProtection="1">
      <alignment horizontal="center" vertical="center" wrapText="1"/>
    </xf>
    <xf numFmtId="2" fontId="6" fillId="0" borderId="0" xfId="9" applyFont="1" applyAlignment="1" applyProtection="1">
      <alignment horizontal="center" wrapText="1"/>
    </xf>
    <xf numFmtId="2" fontId="6" fillId="0" borderId="45" xfId="9" applyFont="1" applyBorder="1" applyAlignment="1" applyProtection="1">
      <alignment horizontal="center"/>
    </xf>
    <xf numFmtId="2" fontId="6" fillId="0" borderId="46" xfId="9" applyFont="1" applyBorder="1" applyAlignment="1" applyProtection="1">
      <alignment horizontal="center"/>
    </xf>
    <xf numFmtId="2" fontId="1" fillId="0" borderId="48" xfId="9" applyFont="1" applyBorder="1" applyAlignment="1" applyProtection="1">
      <alignment horizontal="center"/>
    </xf>
    <xf numFmtId="2" fontId="1" fillId="0" borderId="49" xfId="9" applyFont="1" applyBorder="1" applyAlignment="1" applyProtection="1">
      <alignment horizontal="center"/>
    </xf>
    <xf numFmtId="2" fontId="30" fillId="0" borderId="48" xfId="9" applyBorder="1" applyAlignment="1" applyProtection="1">
      <alignment horizontal="center"/>
    </xf>
    <xf numFmtId="2" fontId="30" fillId="0" borderId="49" xfId="9" applyBorder="1" applyAlignment="1" applyProtection="1">
      <alignment horizontal="center"/>
    </xf>
    <xf numFmtId="2" fontId="6" fillId="0" borderId="15" xfId="9" applyFont="1" applyBorder="1" applyAlignment="1" applyProtection="1">
      <alignment horizontal="center" vertical="center"/>
    </xf>
    <xf numFmtId="2" fontId="6" fillId="0" borderId="18" xfId="9" applyFont="1" applyBorder="1" applyAlignment="1" applyProtection="1">
      <alignment horizontal="center" vertical="center"/>
    </xf>
    <xf numFmtId="2" fontId="6" fillId="0" borderId="19" xfId="9" applyFont="1" applyBorder="1" applyAlignment="1" applyProtection="1">
      <alignment horizontal="center" vertical="center"/>
    </xf>
    <xf numFmtId="2" fontId="25" fillId="9" borderId="1" xfId="1" applyFont="1" applyFill="1" applyBorder="1" applyAlignment="1" applyProtection="1">
      <alignment horizontal="center" vertical="center"/>
    </xf>
    <xf numFmtId="2" fontId="25" fillId="9" borderId="2" xfId="1" applyFont="1" applyFill="1" applyBorder="1" applyAlignment="1" applyProtection="1">
      <alignment horizontal="center" vertical="center"/>
    </xf>
    <xf numFmtId="2" fontId="25" fillId="9" borderId="3" xfId="1" applyFont="1" applyFill="1" applyBorder="1" applyAlignment="1" applyProtection="1">
      <alignment horizontal="center" vertical="center"/>
    </xf>
    <xf numFmtId="2" fontId="25" fillId="0" borderId="30" xfId="1" applyFont="1" applyBorder="1" applyAlignment="1" applyProtection="1">
      <alignment horizontal="justify" vertical="top" wrapText="1"/>
    </xf>
    <xf numFmtId="2" fontId="25" fillId="0" borderId="31" xfId="1" applyFont="1" applyBorder="1" applyAlignment="1" applyProtection="1">
      <alignment horizontal="justify" vertical="top" wrapText="1"/>
    </xf>
    <xf numFmtId="2" fontId="25" fillId="0" borderId="32" xfId="1" applyFont="1" applyBorder="1" applyAlignment="1" applyProtection="1">
      <alignment horizontal="justify" vertical="top" wrapText="1"/>
    </xf>
    <xf numFmtId="2" fontId="26" fillId="8" borderId="1" xfId="1" applyFont="1" applyFill="1" applyBorder="1" applyAlignment="1" applyProtection="1">
      <alignment horizontal="center" vertical="top" wrapText="1"/>
    </xf>
    <xf numFmtId="2" fontId="26" fillId="8" borderId="2" xfId="1" applyFont="1" applyFill="1" applyBorder="1" applyAlignment="1" applyProtection="1">
      <alignment horizontal="center" vertical="top" wrapText="1"/>
    </xf>
    <xf numFmtId="2" fontId="26" fillId="8" borderId="3" xfId="1" applyFont="1" applyFill="1" applyBorder="1" applyAlignment="1" applyProtection="1">
      <alignment horizontal="center" vertical="top" wrapText="1"/>
    </xf>
    <xf numFmtId="2" fontId="16" fillId="5" borderId="30" xfId="9" applyFont="1" applyFill="1" applyBorder="1" applyAlignment="1" applyProtection="1">
      <alignment horizontal="center" vertical="center"/>
    </xf>
    <xf numFmtId="2" fontId="16" fillId="5" borderId="31" xfId="9" applyFont="1" applyFill="1" applyBorder="1" applyAlignment="1" applyProtection="1">
      <alignment horizontal="center" vertical="center"/>
    </xf>
    <xf numFmtId="2" fontId="16" fillId="5" borderId="32" xfId="9" applyFont="1" applyFill="1" applyBorder="1" applyAlignment="1" applyProtection="1">
      <alignment horizontal="center" vertical="center"/>
    </xf>
    <xf numFmtId="2" fontId="6" fillId="0" borderId="67" xfId="9" applyFont="1" applyBorder="1" applyAlignment="1" applyProtection="1">
      <alignment horizontal="center" vertical="center"/>
    </xf>
    <xf numFmtId="2" fontId="6" fillId="0" borderId="68" xfId="9" applyFont="1" applyBorder="1" applyAlignment="1" applyProtection="1">
      <alignment horizontal="center" vertical="center"/>
    </xf>
    <xf numFmtId="2" fontId="6" fillId="0" borderId="69" xfId="9" applyFont="1" applyBorder="1" applyAlignment="1" applyProtection="1">
      <alignment horizontal="center" vertical="center"/>
    </xf>
    <xf numFmtId="2" fontId="6" fillId="0" borderId="45" xfId="9" applyFont="1" applyBorder="1" applyAlignment="1" applyProtection="1">
      <alignment horizontal="center" wrapText="1"/>
    </xf>
    <xf numFmtId="2" fontId="6" fillId="0" borderId="46" xfId="9" applyFont="1" applyBorder="1" applyAlignment="1" applyProtection="1">
      <alignment horizontal="center" wrapText="1"/>
    </xf>
    <xf numFmtId="2" fontId="2" fillId="0" borderId="0" xfId="1" applyFont="1" applyAlignment="1">
      <alignment horizontal="left"/>
    </xf>
    <xf numFmtId="2" fontId="3" fillId="0" borderId="0" xfId="1" applyFont="1" applyAlignment="1">
      <alignment horizontal="left" vertical="top"/>
    </xf>
    <xf numFmtId="2" fontId="6" fillId="10" borderId="56" xfId="10" applyFont="1" applyFill="1" applyBorder="1" applyAlignment="1">
      <alignment horizontal="left"/>
    </xf>
    <xf numFmtId="2" fontId="6" fillId="10" borderId="78" xfId="10" applyFont="1" applyFill="1" applyBorder="1" applyAlignment="1">
      <alignment horizontal="left"/>
    </xf>
    <xf numFmtId="2" fontId="6" fillId="10" borderId="76" xfId="10" applyFont="1" applyFill="1" applyBorder="1" applyAlignment="1">
      <alignment horizontal="left"/>
    </xf>
    <xf numFmtId="0" fontId="21" fillId="2" borderId="8" xfId="8" applyFont="1" applyFill="1" applyBorder="1" applyAlignment="1">
      <alignment horizontal="center"/>
    </xf>
  </cellXfs>
  <cellStyles count="11">
    <cellStyle name="Hyperlink" xfId="7" builtinId="8"/>
    <cellStyle name="Hyperlink 2" xfId="2"/>
    <cellStyle name="Normal" xfId="0" builtinId="0"/>
    <cellStyle name="Normal 2" xfId="1"/>
    <cellStyle name="Normal 2 2" xfId="3"/>
    <cellStyle name="Normal 2 3" xfId="6"/>
    <cellStyle name="Normal 3" xfId="8"/>
    <cellStyle name="Normal 4" xfId="4"/>
    <cellStyle name="Normal 5" xfId="9"/>
    <cellStyle name="Normal 6" xfId="10"/>
    <cellStyle name="Percent 2" xfId="5"/>
  </cellStyles>
  <dxfs count="13">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0000FF"/>
      <color rgb="FFBFBFBF"/>
      <color rgb="FFCC6600"/>
      <color rgb="FFFFFF99"/>
      <color rgb="FFCC3300"/>
      <color rgb="FF663300"/>
      <color rgb="FF9966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mailto:jonathan_dorn@abtassoc.com" TargetMode="External"/><Relationship Id="rId7"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6" Type="http://schemas.openxmlformats.org/officeDocument/2006/relationships/hyperlink" Target="mailto:jonathan_dorn@abtassoc.com" TargetMode="External"/><Relationship Id="rId5" Type="http://schemas.openxmlformats.org/officeDocument/2006/relationships/hyperlink" Target="mailto:jonathan_dorn@abtassoc.com" TargetMode="External"/><Relationship Id="rId4" Type="http://schemas.openxmlformats.org/officeDocument/2006/relationships/hyperlink" Target="mailto:jonathan_dorn@abtassoc.co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oquendo.ana@epa.gov" TargetMode="External"/><Relationship Id="rId21" Type="http://schemas.openxmlformats.org/officeDocument/2006/relationships/hyperlink" Target="mailto:smith.claudia@epa.gov" TargetMode="External"/><Relationship Id="rId34" Type="http://schemas.openxmlformats.org/officeDocument/2006/relationships/hyperlink" Target="mailto:gupta.kaushal@epa.gov" TargetMode="External"/><Relationship Id="rId42" Type="http://schemas.openxmlformats.org/officeDocument/2006/relationships/hyperlink" Target="mailto:shepherd.lorinda@epa.gov" TargetMode="External"/><Relationship Id="rId47" Type="http://schemas.openxmlformats.org/officeDocument/2006/relationships/hyperlink" Target="mailto:shepherd.lorinda@epa.gov" TargetMode="External"/><Relationship Id="rId50" Type="http://schemas.openxmlformats.org/officeDocument/2006/relationships/hyperlink" Target="mailto:Gutierrez.roberto@epa.gov" TargetMode="External"/><Relationship Id="rId55" Type="http://schemas.openxmlformats.org/officeDocument/2006/relationships/hyperlink" Target="mailto:Gutierrez.roberto@epa.gov" TargetMode="External"/><Relationship Id="rId63" Type="http://schemas.openxmlformats.org/officeDocument/2006/relationships/hyperlink" Target="mailto:braganza.bonnie@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webber.robert@epa.gov" TargetMode="External"/><Relationship Id="rId41" Type="http://schemas.openxmlformats.org/officeDocument/2006/relationships/hyperlink" Target="mailto:oquendo.ana@epa.gov" TargetMode="External"/><Relationship Id="rId54" Type="http://schemas.openxmlformats.org/officeDocument/2006/relationships/hyperlink" Target="mailto:Gutierrez.roberto@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gupta.kaushal@epa.gov" TargetMode="External"/><Relationship Id="rId37" Type="http://schemas.openxmlformats.org/officeDocument/2006/relationships/hyperlink" Target="mailto:oquendo.ana@epa.gov" TargetMode="External"/><Relationship Id="rId40" Type="http://schemas.openxmlformats.org/officeDocument/2006/relationships/hyperlink" Target="mailto:oquendo.ana@epa.gov" TargetMode="External"/><Relationship Id="rId45" Type="http://schemas.openxmlformats.org/officeDocument/2006/relationships/hyperlink" Target="mailto:shepherd.lorinda@epa.gov" TargetMode="External"/><Relationship Id="rId53" Type="http://schemas.openxmlformats.org/officeDocument/2006/relationships/hyperlink" Target="mailto:glass.geoffrey@epa.gov" TargetMode="External"/><Relationship Id="rId58" Type="http://schemas.openxmlformats.org/officeDocument/2006/relationships/hyperlink" Target="mailto:todd.bill@epa.gov" TargetMode="External"/><Relationship Id="rId66" Type="http://schemas.openxmlformats.org/officeDocument/2006/relationships/printerSettings" Target="../printerSettings/printerSettings15.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webber.robert@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lass.geoffrey@epa.gov" TargetMode="External"/><Relationship Id="rId60" Type="http://schemas.openxmlformats.org/officeDocument/2006/relationships/hyperlink" Target="mailto:todd.bill@epa.gov" TargetMode="External"/><Relationship Id="rId65" Type="http://schemas.openxmlformats.org/officeDocument/2006/relationships/hyperlink" Target="mailto:braganza.bonnie@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webber.robert@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shepherd.lorinda@epa.gov" TargetMode="External"/><Relationship Id="rId56" Type="http://schemas.openxmlformats.org/officeDocument/2006/relationships/hyperlink" Target="mailto:Gutierrez.roberto@epa.gov" TargetMode="External"/><Relationship Id="rId64" Type="http://schemas.openxmlformats.org/officeDocument/2006/relationships/hyperlink" Target="mailto:braganza.bonnie@epa.gov" TargetMode="External"/><Relationship Id="rId8" Type="http://schemas.openxmlformats.org/officeDocument/2006/relationships/hyperlink" Target="mailto:Dholakia.umesh@epa.gov" TargetMode="External"/><Relationship Id="rId51" Type="http://schemas.openxmlformats.org/officeDocument/2006/relationships/hyperlink" Target="mailto:glass.geoffrey@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gupta.kaushal@epa.gov" TargetMode="External"/><Relationship Id="rId38" Type="http://schemas.openxmlformats.org/officeDocument/2006/relationships/hyperlink" Target="mailto:oquendo.ana@epa.gov" TargetMode="External"/><Relationship Id="rId46" Type="http://schemas.openxmlformats.org/officeDocument/2006/relationships/hyperlink" Target="mailto:shepherd.lorinda@epa.gov" TargetMode="External"/><Relationship Id="rId59" Type="http://schemas.openxmlformats.org/officeDocument/2006/relationships/hyperlink" Target="mailto:todd.bill@epa.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pa.gov/oar/oaqps/greenbk/ancl.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showGridLines="0" tabSelected="1" zoomScaleNormal="100" workbookViewId="0">
      <selection sqref="A1:XFD1"/>
    </sheetView>
  </sheetViews>
  <sheetFormatPr defaultColWidth="9.109375" defaultRowHeight="13.2" x14ac:dyDescent="0.25"/>
  <cols>
    <col min="1" max="1" width="2.109375" style="256" customWidth="1"/>
    <col min="2" max="2" width="5.88671875" style="264" customWidth="1"/>
    <col min="3" max="3" width="120.88671875" style="265" customWidth="1"/>
    <col min="4" max="16384" width="9.109375" style="256"/>
  </cols>
  <sheetData>
    <row r="1" spans="2:6" ht="17.399999999999999" x14ac:dyDescent="0.25">
      <c r="B1" s="318" t="s">
        <v>362</v>
      </c>
      <c r="C1" s="318"/>
    </row>
    <row r="2" spans="2:6" ht="15.6" x14ac:dyDescent="0.25">
      <c r="B2" s="319" t="s">
        <v>363</v>
      </c>
      <c r="C2" s="319"/>
    </row>
    <row r="3" spans="2:6" x14ac:dyDescent="0.25">
      <c r="B3" s="257"/>
      <c r="C3" s="256"/>
    </row>
    <row r="4" spans="2:6" x14ac:dyDescent="0.25">
      <c r="B4" s="317" t="s">
        <v>364</v>
      </c>
      <c r="C4" s="317"/>
    </row>
    <row r="5" spans="2:6" ht="75" customHeight="1" x14ac:dyDescent="0.25">
      <c r="B5" s="320" t="s">
        <v>415</v>
      </c>
      <c r="C5" s="320"/>
      <c r="F5" s="258"/>
    </row>
    <row r="6" spans="2:6" ht="18" customHeight="1" x14ac:dyDescent="0.25">
      <c r="B6" s="321" t="s">
        <v>416</v>
      </c>
      <c r="C6" s="321"/>
      <c r="F6" s="258"/>
    </row>
    <row r="7" spans="2:6" ht="15" customHeight="1" x14ac:dyDescent="0.25">
      <c r="B7" s="259"/>
      <c r="C7" s="256"/>
    </row>
    <row r="8" spans="2:6" x14ac:dyDescent="0.25">
      <c r="B8" s="317" t="s">
        <v>365</v>
      </c>
      <c r="C8" s="317"/>
    </row>
    <row r="9" spans="2:6" ht="97.5" customHeight="1" x14ac:dyDescent="0.25">
      <c r="B9" s="320" t="s">
        <v>417</v>
      </c>
      <c r="C9" s="320"/>
    </row>
    <row r="10" spans="2:6" ht="15" customHeight="1" x14ac:dyDescent="0.25">
      <c r="B10" s="259"/>
      <c r="C10" s="256"/>
    </row>
    <row r="11" spans="2:6" x14ac:dyDescent="0.25">
      <c r="B11" s="317" t="s">
        <v>366</v>
      </c>
      <c r="C11" s="317"/>
    </row>
    <row r="12" spans="2:6" ht="84" customHeight="1" x14ac:dyDescent="0.25">
      <c r="B12" s="320" t="s">
        <v>418</v>
      </c>
      <c r="C12" s="320"/>
    </row>
    <row r="13" spans="2:6" ht="15" customHeight="1" x14ac:dyDescent="0.25">
      <c r="B13" s="259"/>
      <c r="C13" s="256"/>
    </row>
    <row r="14" spans="2:6" x14ac:dyDescent="0.25">
      <c r="B14" s="317" t="s">
        <v>367</v>
      </c>
      <c r="C14" s="317"/>
    </row>
    <row r="15" spans="2:6" ht="18.75" customHeight="1" x14ac:dyDescent="0.25">
      <c r="B15" s="320" t="s">
        <v>419</v>
      </c>
      <c r="C15" s="320"/>
    </row>
    <row r="16" spans="2:6" ht="15.75" customHeight="1" x14ac:dyDescent="0.25">
      <c r="B16" s="260" t="s">
        <v>368</v>
      </c>
      <c r="C16" s="261" t="s">
        <v>420</v>
      </c>
    </row>
    <row r="17" spans="2:3" ht="27.75" customHeight="1" x14ac:dyDescent="0.25">
      <c r="B17" s="260" t="s">
        <v>369</v>
      </c>
      <c r="C17" s="261" t="s">
        <v>506</v>
      </c>
    </row>
    <row r="18" spans="2:3" ht="9" customHeight="1" x14ac:dyDescent="0.25">
      <c r="B18" s="262"/>
      <c r="C18" s="256"/>
    </row>
    <row r="19" spans="2:3" x14ac:dyDescent="0.25">
      <c r="B19" s="317" t="s">
        <v>370</v>
      </c>
      <c r="C19" s="317"/>
    </row>
    <row r="20" spans="2:3" ht="18" customHeight="1" x14ac:dyDescent="0.25">
      <c r="B20" s="320" t="s">
        <v>371</v>
      </c>
      <c r="C20" s="320"/>
    </row>
    <row r="21" spans="2:3" x14ac:dyDescent="0.25">
      <c r="B21" s="260" t="s">
        <v>368</v>
      </c>
      <c r="C21" s="263" t="s">
        <v>421</v>
      </c>
    </row>
    <row r="22" spans="2:3" x14ac:dyDescent="0.25">
      <c r="B22" s="260" t="s">
        <v>369</v>
      </c>
      <c r="C22" s="263" t="s">
        <v>422</v>
      </c>
    </row>
    <row r="23" spans="2:3" x14ac:dyDescent="0.25">
      <c r="B23" s="260" t="s">
        <v>372</v>
      </c>
      <c r="C23" s="263" t="s">
        <v>423</v>
      </c>
    </row>
    <row r="24" spans="2:3" x14ac:dyDescent="0.25">
      <c r="B24" s="256"/>
      <c r="C24" s="262"/>
    </row>
    <row r="25" spans="2:3" x14ac:dyDescent="0.25">
      <c r="B25" s="317" t="s">
        <v>373</v>
      </c>
      <c r="C25" s="317"/>
    </row>
    <row r="26" spans="2:3" ht="51" customHeight="1" x14ac:dyDescent="0.25">
      <c r="B26" s="322" t="s">
        <v>427</v>
      </c>
      <c r="C26" s="322"/>
    </row>
    <row r="27" spans="2:3" ht="24" customHeight="1" x14ac:dyDescent="0.25">
      <c r="B27" s="321" t="s">
        <v>428</v>
      </c>
      <c r="C27" s="320"/>
    </row>
    <row r="28" spans="2:3" x14ac:dyDescent="0.25">
      <c r="B28" s="185"/>
      <c r="C28" s="256"/>
    </row>
    <row r="29" spans="2:3" x14ac:dyDescent="0.25">
      <c r="B29" s="317" t="s">
        <v>374</v>
      </c>
      <c r="C29" s="317"/>
    </row>
    <row r="30" spans="2:3" ht="53.25" customHeight="1" x14ac:dyDescent="0.25">
      <c r="B30" s="320" t="s">
        <v>424</v>
      </c>
      <c r="C30" s="320"/>
    </row>
    <row r="31" spans="2:3" x14ac:dyDescent="0.25">
      <c r="B31" s="259"/>
      <c r="C31" s="256"/>
    </row>
    <row r="32" spans="2:3" x14ac:dyDescent="0.25">
      <c r="B32" s="317" t="s">
        <v>375</v>
      </c>
      <c r="C32" s="317"/>
    </row>
    <row r="33" spans="2:3" x14ac:dyDescent="0.25">
      <c r="B33" s="260" t="s">
        <v>368</v>
      </c>
      <c r="C33" s="261" t="s">
        <v>425</v>
      </c>
    </row>
    <row r="34" spans="2:3" x14ac:dyDescent="0.25">
      <c r="B34" s="260" t="s">
        <v>369</v>
      </c>
      <c r="C34" s="261" t="s">
        <v>376</v>
      </c>
    </row>
    <row r="35" spans="2:3" ht="26.4" x14ac:dyDescent="0.25">
      <c r="B35" s="260" t="s">
        <v>372</v>
      </c>
      <c r="C35" s="261" t="s">
        <v>505</v>
      </c>
    </row>
    <row r="36" spans="2:3" ht="26.4" x14ac:dyDescent="0.25">
      <c r="B36" s="260" t="s">
        <v>377</v>
      </c>
      <c r="C36" s="261" t="s">
        <v>504</v>
      </c>
    </row>
    <row r="37" spans="2:3" x14ac:dyDescent="0.25">
      <c r="B37" s="260" t="s">
        <v>378</v>
      </c>
      <c r="C37" s="261" t="s">
        <v>379</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1"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91" zoomScaleNormal="91" workbookViewId="0">
      <selection sqref="A1:XFD1"/>
    </sheetView>
  </sheetViews>
  <sheetFormatPr defaultColWidth="3.33203125" defaultRowHeight="13.2" x14ac:dyDescent="0.25"/>
  <cols>
    <col min="1" max="1" width="16.109375" style="186" customWidth="1"/>
    <col min="2" max="2" width="4.6640625" style="186" customWidth="1"/>
    <col min="3" max="3" width="24.6640625" style="186" customWidth="1"/>
    <col min="4" max="4" width="5.5546875" style="186" customWidth="1"/>
    <col min="5" max="5" width="25.44140625" style="186" customWidth="1"/>
    <col min="6" max="6" width="32.44140625" style="186" customWidth="1"/>
    <col min="7" max="9" width="1.88671875" style="186" customWidth="1"/>
    <col min="10" max="10" width="3.109375" style="186" customWidth="1"/>
    <col min="11" max="11" width="16.6640625" style="187" hidden="1" customWidth="1"/>
    <col min="12" max="12" width="16.6640625" style="188" hidden="1" customWidth="1"/>
    <col min="13" max="13" width="18" style="188" hidden="1" customWidth="1"/>
    <col min="14" max="14" width="20.44140625" style="186" customWidth="1"/>
    <col min="15" max="58" width="1.88671875" style="186" customWidth="1"/>
    <col min="59" max="16384" width="3.33203125" style="186"/>
  </cols>
  <sheetData>
    <row r="1" spans="1:13" ht="24.75" customHeight="1" thickBot="1" x14ac:dyDescent="0.3"/>
    <row r="2" spans="1:13" ht="14.25" customHeight="1" x14ac:dyDescent="0.25">
      <c r="A2" s="189"/>
      <c r="B2" s="190"/>
      <c r="C2" s="190"/>
      <c r="D2" s="190"/>
      <c r="E2" s="190"/>
      <c r="F2" s="191"/>
    </row>
    <row r="3" spans="1:13" x14ac:dyDescent="0.25">
      <c r="A3" s="192" t="s">
        <v>71</v>
      </c>
      <c r="B3" s="193" t="str">
        <f>"  "&amp;Inputs!C4</f>
        <v xml:space="preserve">  Acme Corporation</v>
      </c>
      <c r="C3" s="193"/>
      <c r="E3" s="194" t="str">
        <f>"Facility Contact:"&amp;"  "&amp;Inputs!C11</f>
        <v>Facility Contact:  John Doe</v>
      </c>
      <c r="F3" s="195"/>
    </row>
    <row r="4" spans="1:13" ht="14.25" customHeight="1" x14ac:dyDescent="0.25">
      <c r="A4" s="192" t="s">
        <v>72</v>
      </c>
      <c r="B4" s="193" t="str">
        <f>"  "&amp;Inputs!C5</f>
        <v xml:space="preserve">  101 Acme Way</v>
      </c>
      <c r="C4" s="193"/>
      <c r="E4" s="194" t="str">
        <f>"              Phone:"&amp;"  "&amp;Inputs!C12</f>
        <v xml:space="preserve">              Phone:  555-555-5555</v>
      </c>
      <c r="F4" s="195"/>
    </row>
    <row r="5" spans="1:13" x14ac:dyDescent="0.25">
      <c r="A5" s="196"/>
      <c r="B5" s="193" t="str">
        <f>"  "&amp;Inputs!C6&amp;", "&amp;VLOOKUP(Inputs!C7,'EPA Regional Contact Info'!$A$5:$B$45,2,FALSE)&amp;" "&amp;Inputs!C8</f>
        <v xml:space="preserve">  Albuquerque, NM 87101</v>
      </c>
      <c r="C5" s="193"/>
      <c r="E5" s="194" t="str">
        <f>"               Email:"&amp;"  "&amp;Inputs!C13</f>
        <v xml:space="preserve">               Email:  john.doe@acme.com</v>
      </c>
      <c r="F5" s="195"/>
    </row>
    <row r="6" spans="1:13" ht="13.8" thickBot="1" x14ac:dyDescent="0.3">
      <c r="A6" s="197"/>
      <c r="B6" s="198"/>
      <c r="C6" s="198"/>
      <c r="D6" s="198"/>
      <c r="E6" s="198"/>
      <c r="F6" s="199"/>
    </row>
    <row r="7" spans="1:13" ht="18" customHeight="1" thickBot="1" x14ac:dyDescent="0.3">
      <c r="A7" s="444" t="s">
        <v>139</v>
      </c>
      <c r="B7" s="445"/>
      <c r="C7" s="445"/>
      <c r="D7" s="445"/>
      <c r="E7" s="445"/>
      <c r="F7" s="446"/>
    </row>
    <row r="8" spans="1:13" ht="15.75" customHeight="1" x14ac:dyDescent="0.25">
      <c r="A8" s="447" t="s">
        <v>42</v>
      </c>
      <c r="B8" s="450" t="s">
        <v>414</v>
      </c>
      <c r="C8" s="451"/>
      <c r="D8" s="200"/>
      <c r="E8" s="201"/>
      <c r="F8" s="202" t="s">
        <v>75</v>
      </c>
      <c r="K8" s="424" t="s">
        <v>382</v>
      </c>
      <c r="L8" s="203" t="s">
        <v>74</v>
      </c>
      <c r="M8" s="425" t="s">
        <v>383</v>
      </c>
    </row>
    <row r="9" spans="1:13" x14ac:dyDescent="0.25">
      <c r="A9" s="448"/>
      <c r="B9" s="450"/>
      <c r="C9" s="451"/>
      <c r="D9" s="426" t="s">
        <v>384</v>
      </c>
      <c r="E9" s="427"/>
      <c r="F9" s="202" t="s">
        <v>152</v>
      </c>
      <c r="K9" s="424"/>
      <c r="L9" s="203" t="s">
        <v>152</v>
      </c>
      <c r="M9" s="425"/>
    </row>
    <row r="10" spans="1:13" ht="13.8" thickBot="1" x14ac:dyDescent="0.3">
      <c r="A10" s="449"/>
      <c r="B10" s="428" t="s">
        <v>76</v>
      </c>
      <c r="C10" s="429"/>
      <c r="D10" s="430" t="s">
        <v>76</v>
      </c>
      <c r="E10" s="431"/>
      <c r="F10" s="204" t="s">
        <v>76</v>
      </c>
      <c r="K10" s="424"/>
      <c r="L10" s="205" t="s">
        <v>76</v>
      </c>
      <c r="M10" s="425"/>
    </row>
    <row r="11" spans="1:13" ht="5.25" customHeight="1" x14ac:dyDescent="0.25">
      <c r="A11" s="206"/>
      <c r="B11" s="207"/>
      <c r="C11" s="208"/>
      <c r="D11" s="209"/>
      <c r="E11" s="210"/>
      <c r="F11" s="211"/>
      <c r="L11" s="212"/>
    </row>
    <row r="12" spans="1:13" x14ac:dyDescent="0.25">
      <c r="A12" s="213" t="s">
        <v>54</v>
      </c>
      <c r="B12" s="214"/>
      <c r="C12" s="215">
        <f>'Total Emissions'!H11</f>
        <v>0</v>
      </c>
      <c r="D12" s="216"/>
      <c r="E12" s="217">
        <f>'Total Emissions'!H21</f>
        <v>0</v>
      </c>
      <c r="F12" s="218">
        <f>IF(Inputs!$C$28="Attainment",10,5)</f>
        <v>10</v>
      </c>
      <c r="K12" s="187">
        <f>IF(E12&gt;=F12,1,0)</f>
        <v>0</v>
      </c>
      <c r="L12" s="219">
        <f>IF(Inputs!$C$28="Attainment",250,IF(Inputs!$C$28="Nonattainment - moderate",100,50))</f>
        <v>250</v>
      </c>
      <c r="M12" s="188">
        <f>IF(E12&gt;=L12,1,0)</f>
        <v>0</v>
      </c>
    </row>
    <row r="13" spans="1:13" ht="5.25" customHeight="1" x14ac:dyDescent="0.25">
      <c r="A13" s="220"/>
      <c r="B13" s="221"/>
      <c r="C13" s="215"/>
      <c r="D13" s="222"/>
      <c r="E13" s="223"/>
      <c r="F13" s="218"/>
      <c r="L13" s="219"/>
    </row>
    <row r="14" spans="1:13" ht="15.75" customHeight="1" x14ac:dyDescent="0.35">
      <c r="A14" s="213" t="s">
        <v>69</v>
      </c>
      <c r="B14" s="214"/>
      <c r="C14" s="215">
        <f>'Total Emissions'!H9</f>
        <v>0</v>
      </c>
      <c r="D14" s="216"/>
      <c r="E14" s="217">
        <f>'Total Emissions'!H19</f>
        <v>0</v>
      </c>
      <c r="F14" s="218">
        <f>IF(Inputs!$C$30="Attainment",10,5)</f>
        <v>10</v>
      </c>
      <c r="K14" s="187">
        <f t="shared" ref="K14:K22" si="0">IF(E14&gt;=F14,1,0)</f>
        <v>0</v>
      </c>
      <c r="L14" s="219">
        <f>IF(Inputs!$C$30="Attainment",250,IF(Inputs!$C$30="Nonattainment - marginal",100,IF(Inputs!$C$30="Nonattainment - moderate",100,IF(Inputs!$C$30="Nonattainment - serious",50,IF(Inputs!$C$30="Nonattainment - severe",25,10)))))</f>
        <v>250</v>
      </c>
      <c r="M14" s="188">
        <f t="shared" ref="M14:M22" si="1">IF(E14&gt;=L14,1,0)</f>
        <v>0</v>
      </c>
    </row>
    <row r="15" spans="1:13" ht="5.25" customHeight="1" x14ac:dyDescent="0.25">
      <c r="A15" s="220"/>
      <c r="B15" s="221"/>
      <c r="C15" s="215"/>
      <c r="D15" s="216"/>
      <c r="E15" s="224"/>
      <c r="F15" s="218"/>
      <c r="L15" s="219"/>
    </row>
    <row r="16" spans="1:13" ht="15.6" x14ac:dyDescent="0.35">
      <c r="A16" s="213" t="s">
        <v>68</v>
      </c>
      <c r="B16" s="214"/>
      <c r="C16" s="215">
        <f>'Total Emissions'!H8</f>
        <v>0</v>
      </c>
      <c r="D16" s="216"/>
      <c r="E16" s="217">
        <f>'Total Emissions'!H18</f>
        <v>0</v>
      </c>
      <c r="F16" s="218">
        <f>IF(Inputs!$C$32="Attainment",10,5)</f>
        <v>10</v>
      </c>
      <c r="K16" s="187">
        <f t="shared" si="0"/>
        <v>0</v>
      </c>
      <c r="L16" s="219">
        <f>IF(Inputs!$C$32="Attainment",250,100)</f>
        <v>250</v>
      </c>
      <c r="M16" s="188">
        <f t="shared" si="1"/>
        <v>0</v>
      </c>
    </row>
    <row r="17" spans="1:13" ht="5.25" customHeight="1" x14ac:dyDescent="0.25">
      <c r="A17" s="225"/>
      <c r="B17" s="226"/>
      <c r="C17" s="215"/>
      <c r="D17" s="216"/>
      <c r="E17" s="224"/>
      <c r="F17" s="218"/>
      <c r="L17" s="219"/>
    </row>
    <row r="18" spans="1:13" x14ac:dyDescent="0.25">
      <c r="A18" s="213" t="s">
        <v>53</v>
      </c>
      <c r="B18" s="214"/>
      <c r="C18" s="215">
        <f>'Total Emissions'!H10</f>
        <v>0</v>
      </c>
      <c r="D18" s="216"/>
      <c r="E18" s="217">
        <f>'Total Emissions'!H20</f>
        <v>0</v>
      </c>
      <c r="F18" s="218">
        <f>IF(Inputs!$C$30="Attainment",5,2)</f>
        <v>5</v>
      </c>
      <c r="K18" s="187">
        <f t="shared" si="0"/>
        <v>0</v>
      </c>
      <c r="L18" s="219">
        <f>IF(Inputs!$C$30="Attainment",250,IF(Inputs!$C$30="Nonattainment - marginal",100,IF(Inputs!$C$30="Nonattainment - moderate",100,IF(Inputs!$C$30="Nonattainment - serious",50,IF(Inputs!$C$30="Nonattainment - severe",25,10)))))</f>
        <v>250</v>
      </c>
      <c r="M18" s="188">
        <f t="shared" si="1"/>
        <v>0</v>
      </c>
    </row>
    <row r="19" spans="1:13" ht="5.25" customHeight="1" x14ac:dyDescent="0.25">
      <c r="A19" s="227"/>
      <c r="B19" s="228"/>
      <c r="C19" s="215"/>
      <c r="D19" s="216"/>
      <c r="E19" s="224"/>
      <c r="F19" s="218"/>
      <c r="L19" s="219"/>
    </row>
    <row r="20" spans="1:13" ht="15.6" x14ac:dyDescent="0.35">
      <c r="A20" s="213" t="s">
        <v>66</v>
      </c>
      <c r="B20" s="214"/>
      <c r="C20" s="215">
        <f>'Total Emissions'!H6</f>
        <v>0</v>
      </c>
      <c r="D20" s="216"/>
      <c r="E20" s="217">
        <f>'Total Emissions'!H16</f>
        <v>0</v>
      </c>
      <c r="F20" s="218">
        <f>IF(Inputs!$C$34="Attainment",5,1)</f>
        <v>5</v>
      </c>
      <c r="K20" s="187">
        <f t="shared" si="0"/>
        <v>0</v>
      </c>
      <c r="L20" s="219">
        <f>IF(Inputs!$C$34="Attainment",250,IF(Inputs!$C$34="Nonattainment - moderate",100,70))</f>
        <v>250</v>
      </c>
      <c r="M20" s="188">
        <f t="shared" si="1"/>
        <v>0</v>
      </c>
    </row>
    <row r="21" spans="1:13" ht="5.25" customHeight="1" x14ac:dyDescent="0.25">
      <c r="A21" s="220"/>
      <c r="B21" s="221"/>
      <c r="C21" s="215"/>
      <c r="D21" s="216"/>
      <c r="E21" s="224"/>
      <c r="F21" s="229"/>
      <c r="L21" s="230"/>
    </row>
    <row r="22" spans="1:13" ht="15.6" x14ac:dyDescent="0.35">
      <c r="A22" s="231" t="s">
        <v>67</v>
      </c>
      <c r="B22" s="232"/>
      <c r="C22" s="215">
        <f>'Total Emissions'!H7</f>
        <v>0</v>
      </c>
      <c r="D22" s="216"/>
      <c r="E22" s="217">
        <f>'Total Emissions'!H17</f>
        <v>0</v>
      </c>
      <c r="F22" s="218">
        <f>IF(Inputs!$C$36="Attainment",3,0.6)</f>
        <v>3</v>
      </c>
      <c r="K22" s="187">
        <f t="shared" si="0"/>
        <v>0</v>
      </c>
      <c r="L22" s="219">
        <f>IF(Inputs!$C$36="Attainment",250,100)</f>
        <v>250</v>
      </c>
      <c r="M22" s="188">
        <f t="shared" si="1"/>
        <v>0</v>
      </c>
    </row>
    <row r="23" spans="1:13" ht="5.25" customHeight="1" x14ac:dyDescent="0.25">
      <c r="A23" s="233"/>
      <c r="B23" s="234"/>
      <c r="C23" s="235"/>
      <c r="D23" s="216"/>
      <c r="E23" s="236"/>
      <c r="F23" s="237"/>
      <c r="L23" s="238"/>
    </row>
    <row r="24" spans="1:13" x14ac:dyDescent="0.25">
      <c r="A24" s="432" t="s">
        <v>77</v>
      </c>
      <c r="B24" s="433"/>
      <c r="C24" s="433"/>
      <c r="D24" s="433"/>
      <c r="E24" s="433"/>
      <c r="F24" s="434"/>
      <c r="L24" s="239"/>
    </row>
    <row r="25" spans="1:13" x14ac:dyDescent="0.25">
      <c r="A25" s="240"/>
      <c r="B25" s="203"/>
      <c r="C25" s="203"/>
      <c r="D25" s="203"/>
      <c r="E25" s="203"/>
      <c r="F25" s="241"/>
      <c r="L25" s="212"/>
    </row>
    <row r="26" spans="1:13" x14ac:dyDescent="0.25">
      <c r="A26" s="196"/>
      <c r="B26" s="216"/>
      <c r="C26" s="242">
        <v>100</v>
      </c>
      <c r="D26" s="243" t="s">
        <v>78</v>
      </c>
      <c r="E26" s="216"/>
      <c r="F26" s="241"/>
      <c r="G26" s="203"/>
      <c r="K26" s="186"/>
      <c r="L26" s="187"/>
    </row>
    <row r="27" spans="1:13" x14ac:dyDescent="0.25">
      <c r="A27" s="196"/>
      <c r="B27" s="216"/>
      <c r="C27" s="244">
        <v>50</v>
      </c>
      <c r="D27" s="243" t="s">
        <v>79</v>
      </c>
      <c r="E27" s="216"/>
      <c r="F27" s="195"/>
      <c r="L27" s="212"/>
    </row>
    <row r="28" spans="1:13" x14ac:dyDescent="0.25">
      <c r="A28" s="196"/>
      <c r="B28" s="216"/>
      <c r="C28" s="244">
        <v>0</v>
      </c>
      <c r="D28" s="243" t="s">
        <v>80</v>
      </c>
      <c r="E28" s="216"/>
      <c r="F28" s="195"/>
    </row>
    <row r="29" spans="1:13" ht="13.8" thickBot="1" x14ac:dyDescent="0.3">
      <c r="A29" s="197"/>
      <c r="B29" s="198"/>
      <c r="C29" s="198"/>
      <c r="D29" s="198"/>
      <c r="E29" s="198"/>
      <c r="F29" s="199"/>
    </row>
    <row r="30" spans="1:13" ht="22.5" customHeight="1" thickBot="1" x14ac:dyDescent="0.3">
      <c r="A30" s="435" t="str">
        <f>IF(OR($M$12=1,$M$14=1,$M$16=1,$M$18=1,$M$20=1,$M$22=1),"PLEASE CONSULT WITH YOUR EPA REGIONAL CONTACT LISTED BELOW",IF(OR(K12=1,K14=1,K16=1,K18=1,K20=1,K22=1),"YOU ARE REQUIRED TO REGISTER YOUR FACILITY UNDER THE TRIBAL NEW SOURCE REVIEW RULE","PLEASE SEE NOTE BELOW"))</f>
        <v>PLEASE SEE NOTE BELOW</v>
      </c>
      <c r="B30" s="436"/>
      <c r="C30" s="436"/>
      <c r="D30" s="436"/>
      <c r="E30" s="436"/>
      <c r="F30" s="437"/>
    </row>
    <row r="31" spans="1:13" x14ac:dyDescent="0.25">
      <c r="A31" s="189"/>
      <c r="B31" s="190"/>
      <c r="C31" s="190"/>
      <c r="D31" s="190"/>
      <c r="E31" s="190"/>
      <c r="F31" s="191"/>
    </row>
    <row r="32" spans="1:13" ht="164.25" customHeight="1" thickBot="1" x14ac:dyDescent="0.3">
      <c r="A32" s="438"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industrial boilers,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industrial boilers,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439"/>
      <c r="C32" s="439"/>
      <c r="D32" s="439"/>
      <c r="E32" s="439"/>
      <c r="F32" s="440"/>
    </row>
    <row r="33" spans="1:6" ht="15.75" customHeight="1" thickBot="1" x14ac:dyDescent="0.3">
      <c r="A33" s="441" t="str">
        <f>"U.S. Environmental Protection Agency Region "&amp;VLOOKUP(Inputs!$C$7,'EPA Regional Contact Info'!$A$5:$C$45,3,FALSE)&amp;" Contact"</f>
        <v>U.S. Environmental Protection Agency Region 6 Contact</v>
      </c>
      <c r="B33" s="442"/>
      <c r="C33" s="442"/>
      <c r="D33" s="442"/>
      <c r="E33" s="442"/>
      <c r="F33" s="443"/>
    </row>
    <row r="34" spans="1:6" ht="15.6" x14ac:dyDescent="0.3">
      <c r="A34" s="24"/>
      <c r="B34" s="245" t="s">
        <v>347</v>
      </c>
      <c r="C34" s="174"/>
      <c r="D34" s="175" t="str">
        <f>Inputs!C16</f>
        <v>Bonnie Braganza</v>
      </c>
      <c r="E34" s="174"/>
      <c r="F34" s="25"/>
    </row>
    <row r="35" spans="1:6" ht="15.6" x14ac:dyDescent="0.3">
      <c r="A35" s="19"/>
      <c r="B35" s="246" t="s">
        <v>348</v>
      </c>
      <c r="C35" s="176"/>
      <c r="D35" s="177" t="str">
        <f>Inputs!C22</f>
        <v>U.S. Environmental Protection Agency Region 6</v>
      </c>
      <c r="E35" s="176"/>
      <c r="F35" s="20"/>
    </row>
    <row r="36" spans="1:6" ht="15.6" x14ac:dyDescent="0.3">
      <c r="A36" s="19"/>
      <c r="B36" s="246"/>
      <c r="C36" s="176"/>
      <c r="D36" s="177" t="str">
        <f>Inputs!C23</f>
        <v>1445 Ross Avenue, Suite 1200</v>
      </c>
      <c r="E36" s="176"/>
      <c r="F36" s="20"/>
    </row>
    <row r="37" spans="1:6" ht="15.6" x14ac:dyDescent="0.3">
      <c r="A37" s="19"/>
      <c r="B37" s="246"/>
      <c r="C37" s="176"/>
      <c r="D37" s="177" t="str">
        <f>Inputs!C24</f>
        <v>MC: 6PD</v>
      </c>
      <c r="E37" s="176"/>
      <c r="F37" s="20"/>
    </row>
    <row r="38" spans="1:6" ht="15.6" x14ac:dyDescent="0.3">
      <c r="A38" s="19"/>
      <c r="B38" s="246"/>
      <c r="C38" s="176"/>
      <c r="D38" s="177" t="str">
        <f>Inputs!C25</f>
        <v>Dallas, TX 75202-2733</v>
      </c>
      <c r="E38" s="176"/>
      <c r="F38" s="20"/>
    </row>
    <row r="39" spans="1:6" ht="15.6" x14ac:dyDescent="0.3">
      <c r="A39" s="19"/>
      <c r="B39" s="246"/>
      <c r="C39" s="176"/>
      <c r="D39" s="177"/>
      <c r="E39" s="176"/>
      <c r="F39" s="20"/>
    </row>
    <row r="40" spans="1:6" ht="15.6" x14ac:dyDescent="0.3">
      <c r="A40" s="19"/>
      <c r="B40" s="246" t="s">
        <v>349</v>
      </c>
      <c r="C40" s="176"/>
      <c r="D40" s="177" t="str">
        <f>Inputs!C17</f>
        <v>214-665-7340</v>
      </c>
      <c r="E40" s="176"/>
      <c r="F40" s="20"/>
    </row>
    <row r="41" spans="1:6" ht="15.6" x14ac:dyDescent="0.3">
      <c r="A41" s="19"/>
      <c r="B41" s="246" t="s">
        <v>73</v>
      </c>
      <c r="C41" s="176"/>
      <c r="D41" s="177" t="str">
        <f>Inputs!C18</f>
        <v>braganza.bonnie@epa.gov</v>
      </c>
      <c r="E41" s="176"/>
      <c r="F41" s="20"/>
    </row>
    <row r="42" spans="1:6" ht="13.8" thickBot="1" x14ac:dyDescent="0.3">
      <c r="A42" s="21"/>
      <c r="B42" s="28"/>
      <c r="C42" s="28"/>
      <c r="D42" s="28"/>
      <c r="E42" s="28"/>
      <c r="F42" s="22"/>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7" priority="3">
      <formula>$A$30="PLEASE SEE NOTE BELOW"</formula>
    </cfRule>
  </conditionalFormatting>
  <conditionalFormatting sqref="A30:F30">
    <cfRule type="expression" dxfId="6" priority="2">
      <formula>$A$30="You are required to register your facility under the tribal new source review rule"</formula>
    </cfRule>
  </conditionalFormatting>
  <conditionalFormatting sqref="C27:C28">
    <cfRule type="iconSet" priority="4">
      <iconSet iconSet="3Symbols" showValue="0" reverse="1">
        <cfvo type="percent" val="0"/>
        <cfvo type="num" val="0" gte="0"/>
        <cfvo type="num" val="100"/>
      </iconSet>
    </cfRule>
  </conditionalFormatting>
  <conditionalFormatting sqref="C12 E12">
    <cfRule type="cellIs" dxfId="5" priority="5" operator="greaterThanOrEqual">
      <formula>$F$12</formula>
    </cfRule>
  </conditionalFormatting>
  <conditionalFormatting sqref="C14 E14">
    <cfRule type="cellIs" dxfId="4" priority="7" operator="greaterThanOrEqual">
      <formula>$F$14</formula>
    </cfRule>
  </conditionalFormatting>
  <conditionalFormatting sqref="C16 E16">
    <cfRule type="cellIs" dxfId="3" priority="9" operator="greaterThanOrEqual">
      <formula>$F$16</formula>
    </cfRule>
  </conditionalFormatting>
  <conditionalFormatting sqref="C18 E18">
    <cfRule type="cellIs" dxfId="2" priority="11" operator="greaterThanOrEqual">
      <formula>$F$18</formula>
    </cfRule>
  </conditionalFormatting>
  <conditionalFormatting sqref="C20 E20">
    <cfRule type="cellIs" dxfId="1" priority="13" operator="greaterThanOrEqual">
      <formula>$F$20</formula>
    </cfRule>
  </conditionalFormatting>
  <conditionalFormatting sqref="C22 E22">
    <cfRule type="cellIs" dxfId="0" priority="15" operator="greaterThanOrEqual">
      <formula>$F$22</formula>
    </cfRule>
  </conditionalFormatting>
  <conditionalFormatting sqref="C26">
    <cfRule type="iconSet" priority="1">
      <iconSet iconSet="3Symbols" showValue="0" reverse="1">
        <cfvo type="percent" val="0"/>
        <cfvo type="num" val="0" gte="0"/>
        <cfvo type="num" val="100"/>
      </iconSet>
    </cfRule>
  </conditionalFormatting>
  <conditionalFormatting sqref="E12">
    <cfRule type="iconSet" priority="6">
      <iconSet iconSet="3Symbols" reverse="1">
        <cfvo type="percent" val="0"/>
        <cfvo type="formula" val="$F$12"/>
        <cfvo type="formula" val="$L$12"/>
      </iconSet>
    </cfRule>
  </conditionalFormatting>
  <conditionalFormatting sqref="E14">
    <cfRule type="iconSet" priority="8">
      <iconSet iconSet="3Symbols" reverse="1">
        <cfvo type="percent" val="0"/>
        <cfvo type="formula" val="$F$14"/>
        <cfvo type="formula" val="$L$14"/>
      </iconSet>
    </cfRule>
  </conditionalFormatting>
  <conditionalFormatting sqref="E16">
    <cfRule type="iconSet" priority="10">
      <iconSet iconSet="3Symbols" reverse="1">
        <cfvo type="percent" val="0"/>
        <cfvo type="formula" val="$F$16"/>
        <cfvo type="formula" val="$L$16"/>
      </iconSet>
    </cfRule>
  </conditionalFormatting>
  <conditionalFormatting sqref="E18">
    <cfRule type="iconSet" priority="12">
      <iconSet iconSet="3Symbols" reverse="1">
        <cfvo type="percent" val="0"/>
        <cfvo type="formula" val="$F$18"/>
        <cfvo type="formula" val="$L$18"/>
      </iconSet>
    </cfRule>
  </conditionalFormatting>
  <conditionalFormatting sqref="E20">
    <cfRule type="iconSet" priority="14">
      <iconSet iconSet="3Symbols" reverse="1">
        <cfvo type="percent" val="0"/>
        <cfvo type="formula" val="$F$20"/>
        <cfvo type="formula" val="$L$20"/>
      </iconSet>
    </cfRule>
  </conditionalFormatting>
  <conditionalFormatting sqref="E22">
    <cfRule type="iconSet" priority="16">
      <iconSet iconSet="3Symbols" reverse="1">
        <cfvo type="percent" val="0"/>
        <cfvo type="formula" val="$F$22"/>
        <cfvo type="formula" val="$L$22"/>
      </iconSet>
    </cfRule>
  </conditionalFormatting>
  <printOptions horizontalCentered="1" gridLinesSet="0"/>
  <pageMargins left="0.4" right="0.4" top="0.7" bottom="0.3" header="0.25" footer="0.25"/>
  <pageSetup scale="75" orientation="portrait" horizontalDpi="1200" verticalDpi="1200" r:id="rId1"/>
  <headerFooter alignWithMargins="0">
    <oddHeader xml:space="preserve">&amp;C&amp;"Arial,Bold"&amp;14
Internal Combustion Engine Registration&amp;"Arial,Regular"&amp;10
Summary Printout
</oddHeader>
    <oddFooter>&amp;L&amp;F&amp;RPrinted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G26"/>
  <sheetViews>
    <sheetView showGridLines="0" zoomScale="90" zoomScaleNormal="90" workbookViewId="0">
      <selection sqref="A1:F1"/>
    </sheetView>
  </sheetViews>
  <sheetFormatPr defaultColWidth="9.109375" defaultRowHeight="13.2" x14ac:dyDescent="0.25"/>
  <cols>
    <col min="1" max="1" width="17.88671875" style="43" bestFit="1" customWidth="1"/>
    <col min="2" max="2" width="17.5546875" style="44" customWidth="1"/>
    <col min="3" max="3" width="30.109375" style="2" customWidth="1"/>
    <col min="4" max="5" width="20" style="44" customWidth="1"/>
    <col min="6" max="6" width="25" style="44" customWidth="1"/>
    <col min="7" max="7" width="28.33203125" style="2" customWidth="1"/>
    <col min="8" max="16384" width="9.109375" style="2"/>
  </cols>
  <sheetData>
    <row r="1" spans="1:7" ht="17.399999999999999" x14ac:dyDescent="0.3">
      <c r="A1" s="452" t="s">
        <v>137</v>
      </c>
      <c r="B1" s="452"/>
      <c r="C1" s="452"/>
      <c r="D1" s="452"/>
      <c r="E1" s="452"/>
      <c r="F1" s="452"/>
    </row>
    <row r="2" spans="1:7" x14ac:dyDescent="0.25">
      <c r="A2" s="453" t="s">
        <v>502</v>
      </c>
      <c r="B2" s="453"/>
      <c r="C2" s="453"/>
      <c r="D2" s="453"/>
      <c r="E2" s="453"/>
      <c r="F2" s="453"/>
    </row>
    <row r="4" spans="1:7" ht="16.350000000000001" customHeight="1" x14ac:dyDescent="0.25">
      <c r="A4" s="29" t="s">
        <v>81</v>
      </c>
      <c r="B4" s="30" t="s">
        <v>82</v>
      </c>
      <c r="C4" s="30" t="s">
        <v>83</v>
      </c>
      <c r="D4" s="30" t="s">
        <v>84</v>
      </c>
      <c r="E4" s="30" t="s">
        <v>85</v>
      </c>
      <c r="F4" s="30" t="s">
        <v>86</v>
      </c>
      <c r="G4" s="30" t="s">
        <v>87</v>
      </c>
    </row>
    <row r="5" spans="1:7" s="35" customFormat="1" ht="16.350000000000001" customHeight="1" x14ac:dyDescent="0.3">
      <c r="A5" s="31">
        <v>1</v>
      </c>
      <c r="B5" s="32" t="s">
        <v>135</v>
      </c>
      <c r="C5" s="106" t="s">
        <v>88</v>
      </c>
      <c r="D5" s="33" t="s">
        <v>89</v>
      </c>
      <c r="E5" s="33" t="s">
        <v>90</v>
      </c>
      <c r="F5" s="34" t="s">
        <v>132</v>
      </c>
      <c r="G5" s="40" t="s">
        <v>133</v>
      </c>
    </row>
    <row r="6" spans="1:7" s="35" customFormat="1" ht="79.2" x14ac:dyDescent="0.3">
      <c r="A6" s="36">
        <v>1.1000000000000001</v>
      </c>
      <c r="B6" s="37" t="s">
        <v>153</v>
      </c>
      <c r="C6" s="107" t="s">
        <v>154</v>
      </c>
      <c r="D6" s="38" t="s">
        <v>89</v>
      </c>
      <c r="E6" s="38" t="s">
        <v>90</v>
      </c>
      <c r="F6" s="39" t="s">
        <v>136</v>
      </c>
      <c r="G6" s="40" t="s">
        <v>133</v>
      </c>
    </row>
    <row r="7" spans="1:7" s="35" customFormat="1" ht="252.75" customHeight="1" x14ac:dyDescent="0.3">
      <c r="A7" s="41">
        <v>1.2</v>
      </c>
      <c r="B7" s="136" t="s">
        <v>361</v>
      </c>
      <c r="C7" s="137" t="s">
        <v>503</v>
      </c>
      <c r="D7" s="42" t="s">
        <v>89</v>
      </c>
      <c r="E7" s="38" t="s">
        <v>90</v>
      </c>
      <c r="F7" s="38" t="s">
        <v>136</v>
      </c>
      <c r="G7" s="138" t="s">
        <v>133</v>
      </c>
    </row>
    <row r="8" spans="1:7" s="35" customFormat="1" ht="125.25" customHeight="1" x14ac:dyDescent="0.3">
      <c r="A8" s="41">
        <v>1.3</v>
      </c>
      <c r="B8" s="136" t="s">
        <v>494</v>
      </c>
      <c r="C8" s="253" t="s">
        <v>435</v>
      </c>
      <c r="D8" s="42" t="s">
        <v>89</v>
      </c>
      <c r="E8" s="38" t="s">
        <v>90</v>
      </c>
      <c r="F8" s="38" t="s">
        <v>136</v>
      </c>
      <c r="G8" s="138" t="s">
        <v>133</v>
      </c>
    </row>
    <row r="9" spans="1:7" s="35" customFormat="1" ht="29.25" customHeight="1" x14ac:dyDescent="0.3">
      <c r="A9" s="41">
        <v>1.4</v>
      </c>
      <c r="B9" s="136" t="s">
        <v>496</v>
      </c>
      <c r="C9" s="137" t="s">
        <v>497</v>
      </c>
      <c r="D9" s="38" t="s">
        <v>89</v>
      </c>
      <c r="E9" s="38" t="s">
        <v>90</v>
      </c>
      <c r="F9" s="38" t="s">
        <v>136</v>
      </c>
      <c r="G9" s="138" t="s">
        <v>133</v>
      </c>
    </row>
    <row r="10" spans="1:7" s="35" customFormat="1" ht="31.5" customHeight="1" x14ac:dyDescent="0.3">
      <c r="A10" s="41">
        <v>1.5</v>
      </c>
      <c r="B10" s="136" t="s">
        <v>498</v>
      </c>
      <c r="C10" s="137" t="s">
        <v>499</v>
      </c>
      <c r="D10" s="38" t="s">
        <v>89</v>
      </c>
      <c r="E10" s="38" t="s">
        <v>90</v>
      </c>
      <c r="F10" s="38" t="s">
        <v>136</v>
      </c>
      <c r="G10" s="138" t="s">
        <v>133</v>
      </c>
    </row>
    <row r="11" spans="1:7" s="35" customFormat="1" ht="32.25" customHeight="1" x14ac:dyDescent="0.3">
      <c r="A11" s="41">
        <v>1.6</v>
      </c>
      <c r="B11" s="136" t="s">
        <v>500</v>
      </c>
      <c r="C11" s="42" t="s">
        <v>501</v>
      </c>
      <c r="D11" s="38" t="s">
        <v>89</v>
      </c>
      <c r="E11" s="38" t="s">
        <v>90</v>
      </c>
      <c r="F11" s="38" t="s">
        <v>136</v>
      </c>
      <c r="G11" s="138" t="s">
        <v>133</v>
      </c>
    </row>
    <row r="12" spans="1:7" s="35" customFormat="1" ht="16.350000000000001" customHeight="1" x14ac:dyDescent="0.3">
      <c r="A12" s="41"/>
      <c r="B12" s="38"/>
      <c r="C12" s="42"/>
      <c r="D12" s="38"/>
      <c r="E12" s="38"/>
      <c r="F12" s="38"/>
      <c r="G12" s="38"/>
    </row>
    <row r="13" spans="1:7" s="35" customFormat="1" ht="16.350000000000001" customHeight="1" x14ac:dyDescent="0.3">
      <c r="A13" s="41"/>
      <c r="B13" s="38"/>
      <c r="C13" s="42"/>
      <c r="D13" s="38"/>
      <c r="E13" s="38"/>
      <c r="F13" s="38"/>
      <c r="G13" s="38"/>
    </row>
    <row r="14" spans="1:7" s="35" customFormat="1" ht="16.350000000000001" customHeight="1" x14ac:dyDescent="0.3">
      <c r="A14" s="41"/>
      <c r="B14" s="38"/>
      <c r="C14" s="42"/>
      <c r="D14" s="38"/>
      <c r="E14" s="38"/>
      <c r="F14" s="38"/>
      <c r="G14" s="38"/>
    </row>
    <row r="15" spans="1:7" s="35" customFormat="1" ht="16.350000000000001" customHeight="1" x14ac:dyDescent="0.3">
      <c r="A15" s="41"/>
      <c r="B15" s="38"/>
      <c r="C15" s="42"/>
      <c r="D15" s="38"/>
      <c r="E15" s="38"/>
      <c r="F15" s="38"/>
      <c r="G15" s="38"/>
    </row>
    <row r="16" spans="1:7" s="35" customFormat="1" ht="16.350000000000001" customHeight="1" x14ac:dyDescent="0.3">
      <c r="A16" s="41"/>
      <c r="B16" s="38"/>
      <c r="C16" s="42"/>
      <c r="D16" s="38"/>
      <c r="E16" s="38"/>
      <c r="F16" s="38"/>
      <c r="G16" s="38"/>
    </row>
    <row r="17" spans="1:7" s="35" customFormat="1" ht="16.350000000000001" customHeight="1" x14ac:dyDescent="0.3">
      <c r="A17" s="41"/>
      <c r="B17" s="38"/>
      <c r="C17" s="42"/>
      <c r="D17" s="38"/>
      <c r="E17" s="38"/>
      <c r="F17" s="38"/>
      <c r="G17" s="38"/>
    </row>
    <row r="18" spans="1:7" s="35" customFormat="1" ht="16.350000000000001" customHeight="1" x14ac:dyDescent="0.3">
      <c r="A18" s="41"/>
      <c r="B18" s="38"/>
      <c r="C18" s="42"/>
      <c r="D18" s="38"/>
      <c r="E18" s="38"/>
      <c r="F18" s="38"/>
      <c r="G18" s="38"/>
    </row>
    <row r="19" spans="1:7" s="35" customFormat="1" ht="16.350000000000001" customHeight="1" x14ac:dyDescent="0.3">
      <c r="A19" s="41"/>
      <c r="B19" s="38"/>
      <c r="C19" s="42"/>
      <c r="D19" s="38"/>
      <c r="E19" s="38"/>
      <c r="F19" s="38"/>
      <c r="G19" s="38"/>
    </row>
    <row r="20" spans="1:7" s="35" customFormat="1" ht="16.350000000000001" customHeight="1" x14ac:dyDescent="0.3">
      <c r="A20" s="41"/>
      <c r="B20" s="38"/>
      <c r="C20" s="42"/>
      <c r="D20" s="38"/>
      <c r="E20" s="38"/>
      <c r="F20" s="38"/>
      <c r="G20" s="38"/>
    </row>
    <row r="21" spans="1:7" s="35" customFormat="1" ht="16.350000000000001" customHeight="1" x14ac:dyDescent="0.3">
      <c r="A21" s="41"/>
      <c r="B21" s="38"/>
      <c r="C21" s="42"/>
      <c r="D21" s="38"/>
      <c r="E21" s="38"/>
      <c r="F21" s="38"/>
      <c r="G21" s="38"/>
    </row>
    <row r="22" spans="1:7" s="35" customFormat="1" ht="16.350000000000001" customHeight="1" x14ac:dyDescent="0.3">
      <c r="A22" s="41"/>
      <c r="B22" s="38"/>
      <c r="C22" s="42"/>
      <c r="D22" s="38"/>
      <c r="E22" s="38"/>
      <c r="F22" s="38"/>
      <c r="G22" s="38"/>
    </row>
    <row r="23" spans="1:7" s="35" customFormat="1" ht="16.350000000000001" customHeight="1" x14ac:dyDescent="0.3">
      <c r="A23" s="41"/>
      <c r="B23" s="38"/>
      <c r="C23" s="42"/>
      <c r="D23" s="38"/>
      <c r="E23" s="38"/>
      <c r="F23" s="38"/>
      <c r="G23" s="38"/>
    </row>
    <row r="24" spans="1:7" s="35" customFormat="1" ht="16.350000000000001" customHeight="1" x14ac:dyDescent="0.3">
      <c r="A24" s="41"/>
      <c r="B24" s="38"/>
      <c r="C24" s="42"/>
      <c r="D24" s="38"/>
      <c r="E24" s="38"/>
      <c r="F24" s="38"/>
      <c r="G24" s="38"/>
    </row>
    <row r="25" spans="1:7" s="35" customFormat="1" ht="16.350000000000001" customHeight="1" x14ac:dyDescent="0.3">
      <c r="A25" s="41"/>
      <c r="B25" s="38"/>
      <c r="C25" s="42"/>
      <c r="D25" s="38"/>
      <c r="E25" s="38"/>
      <c r="F25" s="38"/>
      <c r="G25" s="38"/>
    </row>
    <row r="26" spans="1:7" s="35" customFormat="1" ht="16.350000000000001" customHeight="1" x14ac:dyDescent="0.3">
      <c r="A26" s="41"/>
      <c r="B26" s="38"/>
      <c r="C26" s="42"/>
      <c r="D26" s="38"/>
      <c r="E26" s="38"/>
      <c r="F26" s="38"/>
      <c r="G26" s="38"/>
    </row>
  </sheetData>
  <mergeCells count="2">
    <mergeCell ref="A1:F1"/>
    <mergeCell ref="A2:F2"/>
  </mergeCells>
  <hyperlinks>
    <hyperlink ref="G5" r:id="rId1"/>
    <hyperlink ref="G6" r:id="rId2"/>
    <hyperlink ref="G7" r:id="rId3"/>
    <hyperlink ref="G8" r:id="rId4"/>
    <hyperlink ref="G9" r:id="rId5"/>
    <hyperlink ref="G10" r:id="rId6"/>
    <hyperlink ref="G11" r:id="rId7"/>
  </hyperlinks>
  <pageMargins left="0.7" right="0.7" top="0.75" bottom="0.75" header="0.3" footer="0.3"/>
  <pageSetup orientation="portrait"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O30"/>
  <sheetViews>
    <sheetView showGridLines="0" zoomScale="90" zoomScaleNormal="90" workbookViewId="0"/>
  </sheetViews>
  <sheetFormatPr defaultRowHeight="13.2" x14ac:dyDescent="0.25"/>
  <cols>
    <col min="1" max="1" width="17.44140625" style="48" customWidth="1"/>
    <col min="2" max="3" width="20.88671875" style="48" customWidth="1"/>
    <col min="4" max="4" width="26" style="48" bestFit="1" customWidth="1"/>
    <col min="5" max="5" width="21.33203125" style="48" bestFit="1" customWidth="1"/>
    <col min="6" max="6" width="20.109375" style="48" bestFit="1" customWidth="1"/>
    <col min="7" max="7" width="22.44140625" style="48" bestFit="1" customWidth="1"/>
    <col min="8" max="8" width="25.44140625" style="48" customWidth="1"/>
    <col min="9" max="9" width="14.5546875" style="48" customWidth="1"/>
    <col min="10" max="10" width="11.6640625" style="48" customWidth="1"/>
    <col min="11" max="11" width="12.5546875" style="48" customWidth="1"/>
    <col min="12" max="12" width="13" style="48" customWidth="1"/>
    <col min="13" max="256" width="9.109375" style="48"/>
    <col min="257" max="257" width="17.44140625" style="48" customWidth="1"/>
    <col min="258" max="259" width="20.88671875" style="48" customWidth="1"/>
    <col min="260" max="260" width="26" style="48" bestFit="1" customWidth="1"/>
    <col min="261" max="261" width="21.33203125" style="48" bestFit="1" customWidth="1"/>
    <col min="262" max="262" width="20.109375" style="48" bestFit="1" customWidth="1"/>
    <col min="263" max="263" width="22.44140625" style="48" bestFit="1" customWidth="1"/>
    <col min="264" max="264" width="25.44140625" style="48" customWidth="1"/>
    <col min="265" max="265" width="14.5546875" style="48" customWidth="1"/>
    <col min="266" max="266" width="11.6640625" style="48" customWidth="1"/>
    <col min="267" max="267" width="12.5546875" style="48" customWidth="1"/>
    <col min="268" max="268" width="13" style="48" customWidth="1"/>
    <col min="269" max="512" width="9.109375" style="48"/>
    <col min="513" max="513" width="17.44140625" style="48" customWidth="1"/>
    <col min="514" max="515" width="20.88671875" style="48" customWidth="1"/>
    <col min="516" max="516" width="26" style="48" bestFit="1" customWidth="1"/>
    <col min="517" max="517" width="21.33203125" style="48" bestFit="1" customWidth="1"/>
    <col min="518" max="518" width="20.109375" style="48" bestFit="1" customWidth="1"/>
    <col min="519" max="519" width="22.44140625" style="48" bestFit="1" customWidth="1"/>
    <col min="520" max="520" width="25.44140625" style="48" customWidth="1"/>
    <col min="521" max="521" width="14.5546875" style="48" customWidth="1"/>
    <col min="522" max="522" width="11.6640625" style="48" customWidth="1"/>
    <col min="523" max="523" width="12.5546875" style="48" customWidth="1"/>
    <col min="524" max="524" width="13" style="48" customWidth="1"/>
    <col min="525" max="768" width="9.109375" style="48"/>
    <col min="769" max="769" width="17.44140625" style="48" customWidth="1"/>
    <col min="770" max="771" width="20.88671875" style="48" customWidth="1"/>
    <col min="772" max="772" width="26" style="48" bestFit="1" customWidth="1"/>
    <col min="773" max="773" width="21.33203125" style="48" bestFit="1" customWidth="1"/>
    <col min="774" max="774" width="20.109375" style="48" bestFit="1" customWidth="1"/>
    <col min="775" max="775" width="22.44140625" style="48" bestFit="1" customWidth="1"/>
    <col min="776" max="776" width="25.44140625" style="48" customWidth="1"/>
    <col min="777" max="777" width="14.5546875" style="48" customWidth="1"/>
    <col min="778" max="778" width="11.6640625" style="48" customWidth="1"/>
    <col min="779" max="779" width="12.5546875" style="48" customWidth="1"/>
    <col min="780" max="780" width="13" style="48" customWidth="1"/>
    <col min="781" max="1024" width="9.109375" style="48"/>
    <col min="1025" max="1025" width="17.44140625" style="48" customWidth="1"/>
    <col min="1026" max="1027" width="20.88671875" style="48" customWidth="1"/>
    <col min="1028" max="1028" width="26" style="48" bestFit="1" customWidth="1"/>
    <col min="1029" max="1029" width="21.33203125" style="48" bestFit="1" customWidth="1"/>
    <col min="1030" max="1030" width="20.109375" style="48" bestFit="1" customWidth="1"/>
    <col min="1031" max="1031" width="22.44140625" style="48" bestFit="1" customWidth="1"/>
    <col min="1032" max="1032" width="25.44140625" style="48" customWidth="1"/>
    <col min="1033" max="1033" width="14.5546875" style="48" customWidth="1"/>
    <col min="1034" max="1034" width="11.6640625" style="48" customWidth="1"/>
    <col min="1035" max="1035" width="12.5546875" style="48" customWidth="1"/>
    <col min="1036" max="1036" width="13" style="48" customWidth="1"/>
    <col min="1037" max="1280" width="9.109375" style="48"/>
    <col min="1281" max="1281" width="17.44140625" style="48" customWidth="1"/>
    <col min="1282" max="1283" width="20.88671875" style="48" customWidth="1"/>
    <col min="1284" max="1284" width="26" style="48" bestFit="1" customWidth="1"/>
    <col min="1285" max="1285" width="21.33203125" style="48" bestFit="1" customWidth="1"/>
    <col min="1286" max="1286" width="20.109375" style="48" bestFit="1" customWidth="1"/>
    <col min="1287" max="1287" width="22.44140625" style="48" bestFit="1" customWidth="1"/>
    <col min="1288" max="1288" width="25.44140625" style="48" customWidth="1"/>
    <col min="1289" max="1289" width="14.5546875" style="48" customWidth="1"/>
    <col min="1290" max="1290" width="11.6640625" style="48" customWidth="1"/>
    <col min="1291" max="1291" width="12.5546875" style="48" customWidth="1"/>
    <col min="1292" max="1292" width="13" style="48" customWidth="1"/>
    <col min="1293" max="1536" width="9.109375" style="48"/>
    <col min="1537" max="1537" width="17.44140625" style="48" customWidth="1"/>
    <col min="1538" max="1539" width="20.88671875" style="48" customWidth="1"/>
    <col min="1540" max="1540" width="26" style="48" bestFit="1" customWidth="1"/>
    <col min="1541" max="1541" width="21.33203125" style="48" bestFit="1" customWidth="1"/>
    <col min="1542" max="1542" width="20.109375" style="48" bestFit="1" customWidth="1"/>
    <col min="1543" max="1543" width="22.44140625" style="48" bestFit="1" customWidth="1"/>
    <col min="1544" max="1544" width="25.44140625" style="48" customWidth="1"/>
    <col min="1545" max="1545" width="14.5546875" style="48" customWidth="1"/>
    <col min="1546" max="1546" width="11.6640625" style="48" customWidth="1"/>
    <col min="1547" max="1547" width="12.5546875" style="48" customWidth="1"/>
    <col min="1548" max="1548" width="13" style="48" customWidth="1"/>
    <col min="1549" max="1792" width="9.109375" style="48"/>
    <col min="1793" max="1793" width="17.44140625" style="48" customWidth="1"/>
    <col min="1794" max="1795" width="20.88671875" style="48" customWidth="1"/>
    <col min="1796" max="1796" width="26" style="48" bestFit="1" customWidth="1"/>
    <col min="1797" max="1797" width="21.33203125" style="48" bestFit="1" customWidth="1"/>
    <col min="1798" max="1798" width="20.109375" style="48" bestFit="1" customWidth="1"/>
    <col min="1799" max="1799" width="22.44140625" style="48" bestFit="1" customWidth="1"/>
    <col min="1800" max="1800" width="25.44140625" style="48" customWidth="1"/>
    <col min="1801" max="1801" width="14.5546875" style="48" customWidth="1"/>
    <col min="1802" max="1802" width="11.6640625" style="48" customWidth="1"/>
    <col min="1803" max="1803" width="12.5546875" style="48" customWidth="1"/>
    <col min="1804" max="1804" width="13" style="48" customWidth="1"/>
    <col min="1805" max="2048" width="9.109375" style="48"/>
    <col min="2049" max="2049" width="17.44140625" style="48" customWidth="1"/>
    <col min="2050" max="2051" width="20.88671875" style="48" customWidth="1"/>
    <col min="2052" max="2052" width="26" style="48" bestFit="1" customWidth="1"/>
    <col min="2053" max="2053" width="21.33203125" style="48" bestFit="1" customWidth="1"/>
    <col min="2054" max="2054" width="20.109375" style="48" bestFit="1" customWidth="1"/>
    <col min="2055" max="2055" width="22.44140625" style="48" bestFit="1" customWidth="1"/>
    <col min="2056" max="2056" width="25.44140625" style="48" customWidth="1"/>
    <col min="2057" max="2057" width="14.5546875" style="48" customWidth="1"/>
    <col min="2058" max="2058" width="11.6640625" style="48" customWidth="1"/>
    <col min="2059" max="2059" width="12.5546875" style="48" customWidth="1"/>
    <col min="2060" max="2060" width="13" style="48" customWidth="1"/>
    <col min="2061" max="2304" width="9.109375" style="48"/>
    <col min="2305" max="2305" width="17.44140625" style="48" customWidth="1"/>
    <col min="2306" max="2307" width="20.88671875" style="48" customWidth="1"/>
    <col min="2308" max="2308" width="26" style="48" bestFit="1" customWidth="1"/>
    <col min="2309" max="2309" width="21.33203125" style="48" bestFit="1" customWidth="1"/>
    <col min="2310" max="2310" width="20.109375" style="48" bestFit="1" customWidth="1"/>
    <col min="2311" max="2311" width="22.44140625" style="48" bestFit="1" customWidth="1"/>
    <col min="2312" max="2312" width="25.44140625" style="48" customWidth="1"/>
    <col min="2313" max="2313" width="14.5546875" style="48" customWidth="1"/>
    <col min="2314" max="2314" width="11.6640625" style="48" customWidth="1"/>
    <col min="2315" max="2315" width="12.5546875" style="48" customWidth="1"/>
    <col min="2316" max="2316" width="13" style="48" customWidth="1"/>
    <col min="2317" max="2560" width="9.109375" style="48"/>
    <col min="2561" max="2561" width="17.44140625" style="48" customWidth="1"/>
    <col min="2562" max="2563" width="20.88671875" style="48" customWidth="1"/>
    <col min="2564" max="2564" width="26" style="48" bestFit="1" customWidth="1"/>
    <col min="2565" max="2565" width="21.33203125" style="48" bestFit="1" customWidth="1"/>
    <col min="2566" max="2566" width="20.109375" style="48" bestFit="1" customWidth="1"/>
    <col min="2567" max="2567" width="22.44140625" style="48" bestFit="1" customWidth="1"/>
    <col min="2568" max="2568" width="25.44140625" style="48" customWidth="1"/>
    <col min="2569" max="2569" width="14.5546875" style="48" customWidth="1"/>
    <col min="2570" max="2570" width="11.6640625" style="48" customWidth="1"/>
    <col min="2571" max="2571" width="12.5546875" style="48" customWidth="1"/>
    <col min="2572" max="2572" width="13" style="48" customWidth="1"/>
    <col min="2573" max="2816" width="9.109375" style="48"/>
    <col min="2817" max="2817" width="17.44140625" style="48" customWidth="1"/>
    <col min="2818" max="2819" width="20.88671875" style="48" customWidth="1"/>
    <col min="2820" max="2820" width="26" style="48" bestFit="1" customWidth="1"/>
    <col min="2821" max="2821" width="21.33203125" style="48" bestFit="1" customWidth="1"/>
    <col min="2822" max="2822" width="20.109375" style="48" bestFit="1" customWidth="1"/>
    <col min="2823" max="2823" width="22.44140625" style="48" bestFit="1" customWidth="1"/>
    <col min="2824" max="2824" width="25.44140625" style="48" customWidth="1"/>
    <col min="2825" max="2825" width="14.5546875" style="48" customWidth="1"/>
    <col min="2826" max="2826" width="11.6640625" style="48" customWidth="1"/>
    <col min="2827" max="2827" width="12.5546875" style="48" customWidth="1"/>
    <col min="2828" max="2828" width="13" style="48" customWidth="1"/>
    <col min="2829" max="3072" width="9.109375" style="48"/>
    <col min="3073" max="3073" width="17.44140625" style="48" customWidth="1"/>
    <col min="3074" max="3075" width="20.88671875" style="48" customWidth="1"/>
    <col min="3076" max="3076" width="26" style="48" bestFit="1" customWidth="1"/>
    <col min="3077" max="3077" width="21.33203125" style="48" bestFit="1" customWidth="1"/>
    <col min="3078" max="3078" width="20.109375" style="48" bestFit="1" customWidth="1"/>
    <col min="3079" max="3079" width="22.44140625" style="48" bestFit="1" customWidth="1"/>
    <col min="3080" max="3080" width="25.44140625" style="48" customWidth="1"/>
    <col min="3081" max="3081" width="14.5546875" style="48" customWidth="1"/>
    <col min="3082" max="3082" width="11.6640625" style="48" customWidth="1"/>
    <col min="3083" max="3083" width="12.5546875" style="48" customWidth="1"/>
    <col min="3084" max="3084" width="13" style="48" customWidth="1"/>
    <col min="3085" max="3328" width="9.109375" style="48"/>
    <col min="3329" max="3329" width="17.44140625" style="48" customWidth="1"/>
    <col min="3330" max="3331" width="20.88671875" style="48" customWidth="1"/>
    <col min="3332" max="3332" width="26" style="48" bestFit="1" customWidth="1"/>
    <col min="3333" max="3333" width="21.33203125" style="48" bestFit="1" customWidth="1"/>
    <col min="3334" max="3334" width="20.109375" style="48" bestFit="1" customWidth="1"/>
    <col min="3335" max="3335" width="22.44140625" style="48" bestFit="1" customWidth="1"/>
    <col min="3336" max="3336" width="25.44140625" style="48" customWidth="1"/>
    <col min="3337" max="3337" width="14.5546875" style="48" customWidth="1"/>
    <col min="3338" max="3338" width="11.6640625" style="48" customWidth="1"/>
    <col min="3339" max="3339" width="12.5546875" style="48" customWidth="1"/>
    <col min="3340" max="3340" width="13" style="48" customWidth="1"/>
    <col min="3341" max="3584" width="9.109375" style="48"/>
    <col min="3585" max="3585" width="17.44140625" style="48" customWidth="1"/>
    <col min="3586" max="3587" width="20.88671875" style="48" customWidth="1"/>
    <col min="3588" max="3588" width="26" style="48" bestFit="1" customWidth="1"/>
    <col min="3589" max="3589" width="21.33203125" style="48" bestFit="1" customWidth="1"/>
    <col min="3590" max="3590" width="20.109375" style="48" bestFit="1" customWidth="1"/>
    <col min="3591" max="3591" width="22.44140625" style="48" bestFit="1" customWidth="1"/>
    <col min="3592" max="3592" width="25.44140625" style="48" customWidth="1"/>
    <col min="3593" max="3593" width="14.5546875" style="48" customWidth="1"/>
    <col min="3594" max="3594" width="11.6640625" style="48" customWidth="1"/>
    <col min="3595" max="3595" width="12.5546875" style="48" customWidth="1"/>
    <col min="3596" max="3596" width="13" style="48" customWidth="1"/>
    <col min="3597" max="3840" width="9.109375" style="48"/>
    <col min="3841" max="3841" width="17.44140625" style="48" customWidth="1"/>
    <col min="3842" max="3843" width="20.88671875" style="48" customWidth="1"/>
    <col min="3844" max="3844" width="26" style="48" bestFit="1" customWidth="1"/>
    <col min="3845" max="3845" width="21.33203125" style="48" bestFit="1" customWidth="1"/>
    <col min="3846" max="3846" width="20.109375" style="48" bestFit="1" customWidth="1"/>
    <col min="3847" max="3847" width="22.44140625" style="48" bestFit="1" customWidth="1"/>
    <col min="3848" max="3848" width="25.44140625" style="48" customWidth="1"/>
    <col min="3849" max="3849" width="14.5546875" style="48" customWidth="1"/>
    <col min="3850" max="3850" width="11.6640625" style="48" customWidth="1"/>
    <col min="3851" max="3851" width="12.5546875" style="48" customWidth="1"/>
    <col min="3852" max="3852" width="13" style="48" customWidth="1"/>
    <col min="3853" max="4096" width="9.109375" style="48"/>
    <col min="4097" max="4097" width="17.44140625" style="48" customWidth="1"/>
    <col min="4098" max="4099" width="20.88671875" style="48" customWidth="1"/>
    <col min="4100" max="4100" width="26" style="48" bestFit="1" customWidth="1"/>
    <col min="4101" max="4101" width="21.33203125" style="48" bestFit="1" customWidth="1"/>
    <col min="4102" max="4102" width="20.109375" style="48" bestFit="1" customWidth="1"/>
    <col min="4103" max="4103" width="22.44140625" style="48" bestFit="1" customWidth="1"/>
    <col min="4104" max="4104" width="25.44140625" style="48" customWidth="1"/>
    <col min="4105" max="4105" width="14.5546875" style="48" customWidth="1"/>
    <col min="4106" max="4106" width="11.6640625" style="48" customWidth="1"/>
    <col min="4107" max="4107" width="12.5546875" style="48" customWidth="1"/>
    <col min="4108" max="4108" width="13" style="48" customWidth="1"/>
    <col min="4109" max="4352" width="9.109375" style="48"/>
    <col min="4353" max="4353" width="17.44140625" style="48" customWidth="1"/>
    <col min="4354" max="4355" width="20.88671875" style="48" customWidth="1"/>
    <col min="4356" max="4356" width="26" style="48" bestFit="1" customWidth="1"/>
    <col min="4357" max="4357" width="21.33203125" style="48" bestFit="1" customWidth="1"/>
    <col min="4358" max="4358" width="20.109375" style="48" bestFit="1" customWidth="1"/>
    <col min="4359" max="4359" width="22.44140625" style="48" bestFit="1" customWidth="1"/>
    <col min="4360" max="4360" width="25.44140625" style="48" customWidth="1"/>
    <col min="4361" max="4361" width="14.5546875" style="48" customWidth="1"/>
    <col min="4362" max="4362" width="11.6640625" style="48" customWidth="1"/>
    <col min="4363" max="4363" width="12.5546875" style="48" customWidth="1"/>
    <col min="4364" max="4364" width="13" style="48" customWidth="1"/>
    <col min="4365" max="4608" width="9.109375" style="48"/>
    <col min="4609" max="4609" width="17.44140625" style="48" customWidth="1"/>
    <col min="4610" max="4611" width="20.88671875" style="48" customWidth="1"/>
    <col min="4612" max="4612" width="26" style="48" bestFit="1" customWidth="1"/>
    <col min="4613" max="4613" width="21.33203125" style="48" bestFit="1" customWidth="1"/>
    <col min="4614" max="4614" width="20.109375" style="48" bestFit="1" customWidth="1"/>
    <col min="4615" max="4615" width="22.44140625" style="48" bestFit="1" customWidth="1"/>
    <col min="4616" max="4616" width="25.44140625" style="48" customWidth="1"/>
    <col min="4617" max="4617" width="14.5546875" style="48" customWidth="1"/>
    <col min="4618" max="4618" width="11.6640625" style="48" customWidth="1"/>
    <col min="4619" max="4619" width="12.5546875" style="48" customWidth="1"/>
    <col min="4620" max="4620" width="13" style="48" customWidth="1"/>
    <col min="4621" max="4864" width="9.109375" style="48"/>
    <col min="4865" max="4865" width="17.44140625" style="48" customWidth="1"/>
    <col min="4866" max="4867" width="20.88671875" style="48" customWidth="1"/>
    <col min="4868" max="4868" width="26" style="48" bestFit="1" customWidth="1"/>
    <col min="4869" max="4869" width="21.33203125" style="48" bestFit="1" customWidth="1"/>
    <col min="4870" max="4870" width="20.109375" style="48" bestFit="1" customWidth="1"/>
    <col min="4871" max="4871" width="22.44140625" style="48" bestFit="1" customWidth="1"/>
    <col min="4872" max="4872" width="25.44140625" style="48" customWidth="1"/>
    <col min="4873" max="4873" width="14.5546875" style="48" customWidth="1"/>
    <col min="4874" max="4874" width="11.6640625" style="48" customWidth="1"/>
    <col min="4875" max="4875" width="12.5546875" style="48" customWidth="1"/>
    <col min="4876" max="4876" width="13" style="48" customWidth="1"/>
    <col min="4877" max="5120" width="9.109375" style="48"/>
    <col min="5121" max="5121" width="17.44140625" style="48" customWidth="1"/>
    <col min="5122" max="5123" width="20.88671875" style="48" customWidth="1"/>
    <col min="5124" max="5124" width="26" style="48" bestFit="1" customWidth="1"/>
    <col min="5125" max="5125" width="21.33203125" style="48" bestFit="1" customWidth="1"/>
    <col min="5126" max="5126" width="20.109375" style="48" bestFit="1" customWidth="1"/>
    <col min="5127" max="5127" width="22.44140625" style="48" bestFit="1" customWidth="1"/>
    <col min="5128" max="5128" width="25.44140625" style="48" customWidth="1"/>
    <col min="5129" max="5129" width="14.5546875" style="48" customWidth="1"/>
    <col min="5130" max="5130" width="11.6640625" style="48" customWidth="1"/>
    <col min="5131" max="5131" width="12.5546875" style="48" customWidth="1"/>
    <col min="5132" max="5132" width="13" style="48" customWidth="1"/>
    <col min="5133" max="5376" width="9.109375" style="48"/>
    <col min="5377" max="5377" width="17.44140625" style="48" customWidth="1"/>
    <col min="5378" max="5379" width="20.88671875" style="48" customWidth="1"/>
    <col min="5380" max="5380" width="26" style="48" bestFit="1" customWidth="1"/>
    <col min="5381" max="5381" width="21.33203125" style="48" bestFit="1" customWidth="1"/>
    <col min="5382" max="5382" width="20.109375" style="48" bestFit="1" customWidth="1"/>
    <col min="5383" max="5383" width="22.44140625" style="48" bestFit="1" customWidth="1"/>
    <col min="5384" max="5384" width="25.44140625" style="48" customWidth="1"/>
    <col min="5385" max="5385" width="14.5546875" style="48" customWidth="1"/>
    <col min="5386" max="5386" width="11.6640625" style="48" customWidth="1"/>
    <col min="5387" max="5387" width="12.5546875" style="48" customWidth="1"/>
    <col min="5388" max="5388" width="13" style="48" customWidth="1"/>
    <col min="5389" max="5632" width="9.109375" style="48"/>
    <col min="5633" max="5633" width="17.44140625" style="48" customWidth="1"/>
    <col min="5634" max="5635" width="20.88671875" style="48" customWidth="1"/>
    <col min="5636" max="5636" width="26" style="48" bestFit="1" customWidth="1"/>
    <col min="5637" max="5637" width="21.33203125" style="48" bestFit="1" customWidth="1"/>
    <col min="5638" max="5638" width="20.109375" style="48" bestFit="1" customWidth="1"/>
    <col min="5639" max="5639" width="22.44140625" style="48" bestFit="1" customWidth="1"/>
    <col min="5640" max="5640" width="25.44140625" style="48" customWidth="1"/>
    <col min="5641" max="5641" width="14.5546875" style="48" customWidth="1"/>
    <col min="5642" max="5642" width="11.6640625" style="48" customWidth="1"/>
    <col min="5643" max="5643" width="12.5546875" style="48" customWidth="1"/>
    <col min="5644" max="5644" width="13" style="48" customWidth="1"/>
    <col min="5645" max="5888" width="9.109375" style="48"/>
    <col min="5889" max="5889" width="17.44140625" style="48" customWidth="1"/>
    <col min="5890" max="5891" width="20.88671875" style="48" customWidth="1"/>
    <col min="5892" max="5892" width="26" style="48" bestFit="1" customWidth="1"/>
    <col min="5893" max="5893" width="21.33203125" style="48" bestFit="1" customWidth="1"/>
    <col min="5894" max="5894" width="20.109375" style="48" bestFit="1" customWidth="1"/>
    <col min="5895" max="5895" width="22.44140625" style="48" bestFit="1" customWidth="1"/>
    <col min="5896" max="5896" width="25.44140625" style="48" customWidth="1"/>
    <col min="5897" max="5897" width="14.5546875" style="48" customWidth="1"/>
    <col min="5898" max="5898" width="11.6640625" style="48" customWidth="1"/>
    <col min="5899" max="5899" width="12.5546875" style="48" customWidth="1"/>
    <col min="5900" max="5900" width="13" style="48" customWidth="1"/>
    <col min="5901" max="6144" width="9.109375" style="48"/>
    <col min="6145" max="6145" width="17.44140625" style="48" customWidth="1"/>
    <col min="6146" max="6147" width="20.88671875" style="48" customWidth="1"/>
    <col min="6148" max="6148" width="26" style="48" bestFit="1" customWidth="1"/>
    <col min="6149" max="6149" width="21.33203125" style="48" bestFit="1" customWidth="1"/>
    <col min="6150" max="6150" width="20.109375" style="48" bestFit="1" customWidth="1"/>
    <col min="6151" max="6151" width="22.44140625" style="48" bestFit="1" customWidth="1"/>
    <col min="6152" max="6152" width="25.44140625" style="48" customWidth="1"/>
    <col min="6153" max="6153" width="14.5546875" style="48" customWidth="1"/>
    <col min="6154" max="6154" width="11.6640625" style="48" customWidth="1"/>
    <col min="6155" max="6155" width="12.5546875" style="48" customWidth="1"/>
    <col min="6156" max="6156" width="13" style="48" customWidth="1"/>
    <col min="6157" max="6400" width="9.109375" style="48"/>
    <col min="6401" max="6401" width="17.44140625" style="48" customWidth="1"/>
    <col min="6402" max="6403" width="20.88671875" style="48" customWidth="1"/>
    <col min="6404" max="6404" width="26" style="48" bestFit="1" customWidth="1"/>
    <col min="6405" max="6405" width="21.33203125" style="48" bestFit="1" customWidth="1"/>
    <col min="6406" max="6406" width="20.109375" style="48" bestFit="1" customWidth="1"/>
    <col min="6407" max="6407" width="22.44140625" style="48" bestFit="1" customWidth="1"/>
    <col min="6408" max="6408" width="25.44140625" style="48" customWidth="1"/>
    <col min="6409" max="6409" width="14.5546875" style="48" customWidth="1"/>
    <col min="6410" max="6410" width="11.6640625" style="48" customWidth="1"/>
    <col min="6411" max="6411" width="12.5546875" style="48" customWidth="1"/>
    <col min="6412" max="6412" width="13" style="48" customWidth="1"/>
    <col min="6413" max="6656" width="9.109375" style="48"/>
    <col min="6657" max="6657" width="17.44140625" style="48" customWidth="1"/>
    <col min="6658" max="6659" width="20.88671875" style="48" customWidth="1"/>
    <col min="6660" max="6660" width="26" style="48" bestFit="1" customWidth="1"/>
    <col min="6661" max="6661" width="21.33203125" style="48" bestFit="1" customWidth="1"/>
    <col min="6662" max="6662" width="20.109375" style="48" bestFit="1" customWidth="1"/>
    <col min="6663" max="6663" width="22.44140625" style="48" bestFit="1" customWidth="1"/>
    <col min="6664" max="6664" width="25.44140625" style="48" customWidth="1"/>
    <col min="6665" max="6665" width="14.5546875" style="48" customWidth="1"/>
    <col min="6666" max="6666" width="11.6640625" style="48" customWidth="1"/>
    <col min="6667" max="6667" width="12.5546875" style="48" customWidth="1"/>
    <col min="6668" max="6668" width="13" style="48" customWidth="1"/>
    <col min="6669" max="6912" width="9.109375" style="48"/>
    <col min="6913" max="6913" width="17.44140625" style="48" customWidth="1"/>
    <col min="6914" max="6915" width="20.88671875" style="48" customWidth="1"/>
    <col min="6916" max="6916" width="26" style="48" bestFit="1" customWidth="1"/>
    <col min="6917" max="6917" width="21.33203125" style="48" bestFit="1" customWidth="1"/>
    <col min="6918" max="6918" width="20.109375" style="48" bestFit="1" customWidth="1"/>
    <col min="6919" max="6919" width="22.44140625" style="48" bestFit="1" customWidth="1"/>
    <col min="6920" max="6920" width="25.44140625" style="48" customWidth="1"/>
    <col min="6921" max="6921" width="14.5546875" style="48" customWidth="1"/>
    <col min="6922" max="6922" width="11.6640625" style="48" customWidth="1"/>
    <col min="6923" max="6923" width="12.5546875" style="48" customWidth="1"/>
    <col min="6924" max="6924" width="13" style="48" customWidth="1"/>
    <col min="6925" max="7168" width="9.109375" style="48"/>
    <col min="7169" max="7169" width="17.44140625" style="48" customWidth="1"/>
    <col min="7170" max="7171" width="20.88671875" style="48" customWidth="1"/>
    <col min="7172" max="7172" width="26" style="48" bestFit="1" customWidth="1"/>
    <col min="7173" max="7173" width="21.33203125" style="48" bestFit="1" customWidth="1"/>
    <col min="7174" max="7174" width="20.109375" style="48" bestFit="1" customWidth="1"/>
    <col min="7175" max="7175" width="22.44140625" style="48" bestFit="1" customWidth="1"/>
    <col min="7176" max="7176" width="25.44140625" style="48" customWidth="1"/>
    <col min="7177" max="7177" width="14.5546875" style="48" customWidth="1"/>
    <col min="7178" max="7178" width="11.6640625" style="48" customWidth="1"/>
    <col min="7179" max="7179" width="12.5546875" style="48" customWidth="1"/>
    <col min="7180" max="7180" width="13" style="48" customWidth="1"/>
    <col min="7181" max="7424" width="9.109375" style="48"/>
    <col min="7425" max="7425" width="17.44140625" style="48" customWidth="1"/>
    <col min="7426" max="7427" width="20.88671875" style="48" customWidth="1"/>
    <col min="7428" max="7428" width="26" style="48" bestFit="1" customWidth="1"/>
    <col min="7429" max="7429" width="21.33203125" style="48" bestFit="1" customWidth="1"/>
    <col min="7430" max="7430" width="20.109375" style="48" bestFit="1" customWidth="1"/>
    <col min="7431" max="7431" width="22.44140625" style="48" bestFit="1" customWidth="1"/>
    <col min="7432" max="7432" width="25.44140625" style="48" customWidth="1"/>
    <col min="7433" max="7433" width="14.5546875" style="48" customWidth="1"/>
    <col min="7434" max="7434" width="11.6640625" style="48" customWidth="1"/>
    <col min="7435" max="7435" width="12.5546875" style="48" customWidth="1"/>
    <col min="7436" max="7436" width="13" style="48" customWidth="1"/>
    <col min="7437" max="7680" width="9.109375" style="48"/>
    <col min="7681" max="7681" width="17.44140625" style="48" customWidth="1"/>
    <col min="7682" max="7683" width="20.88671875" style="48" customWidth="1"/>
    <col min="7684" max="7684" width="26" style="48" bestFit="1" customWidth="1"/>
    <col min="7685" max="7685" width="21.33203125" style="48" bestFit="1" customWidth="1"/>
    <col min="7686" max="7686" width="20.109375" style="48" bestFit="1" customWidth="1"/>
    <col min="7687" max="7687" width="22.44140625" style="48" bestFit="1" customWidth="1"/>
    <col min="7688" max="7688" width="25.44140625" style="48" customWidth="1"/>
    <col min="7689" max="7689" width="14.5546875" style="48" customWidth="1"/>
    <col min="7690" max="7690" width="11.6640625" style="48" customWidth="1"/>
    <col min="7691" max="7691" width="12.5546875" style="48" customWidth="1"/>
    <col min="7692" max="7692" width="13" style="48" customWidth="1"/>
    <col min="7693" max="7936" width="9.109375" style="48"/>
    <col min="7937" max="7937" width="17.44140625" style="48" customWidth="1"/>
    <col min="7938" max="7939" width="20.88671875" style="48" customWidth="1"/>
    <col min="7940" max="7940" width="26" style="48" bestFit="1" customWidth="1"/>
    <col min="7941" max="7941" width="21.33203125" style="48" bestFit="1" customWidth="1"/>
    <col min="7942" max="7942" width="20.109375" style="48" bestFit="1" customWidth="1"/>
    <col min="7943" max="7943" width="22.44140625" style="48" bestFit="1" customWidth="1"/>
    <col min="7944" max="7944" width="25.44140625" style="48" customWidth="1"/>
    <col min="7945" max="7945" width="14.5546875" style="48" customWidth="1"/>
    <col min="7946" max="7946" width="11.6640625" style="48" customWidth="1"/>
    <col min="7947" max="7947" width="12.5546875" style="48" customWidth="1"/>
    <col min="7948" max="7948" width="13" style="48" customWidth="1"/>
    <col min="7949" max="8192" width="9.109375" style="48"/>
    <col min="8193" max="8193" width="17.44140625" style="48" customWidth="1"/>
    <col min="8194" max="8195" width="20.88671875" style="48" customWidth="1"/>
    <col min="8196" max="8196" width="26" style="48" bestFit="1" customWidth="1"/>
    <col min="8197" max="8197" width="21.33203125" style="48" bestFit="1" customWidth="1"/>
    <col min="8198" max="8198" width="20.109375" style="48" bestFit="1" customWidth="1"/>
    <col min="8199" max="8199" width="22.44140625" style="48" bestFit="1" customWidth="1"/>
    <col min="8200" max="8200" width="25.44140625" style="48" customWidth="1"/>
    <col min="8201" max="8201" width="14.5546875" style="48" customWidth="1"/>
    <col min="8202" max="8202" width="11.6640625" style="48" customWidth="1"/>
    <col min="8203" max="8203" width="12.5546875" style="48" customWidth="1"/>
    <col min="8204" max="8204" width="13" style="48" customWidth="1"/>
    <col min="8205" max="8448" width="9.109375" style="48"/>
    <col min="8449" max="8449" width="17.44140625" style="48" customWidth="1"/>
    <col min="8450" max="8451" width="20.88671875" style="48" customWidth="1"/>
    <col min="8452" max="8452" width="26" style="48" bestFit="1" customWidth="1"/>
    <col min="8453" max="8453" width="21.33203125" style="48" bestFit="1" customWidth="1"/>
    <col min="8454" max="8454" width="20.109375" style="48" bestFit="1" customWidth="1"/>
    <col min="8455" max="8455" width="22.44140625" style="48" bestFit="1" customWidth="1"/>
    <col min="8456" max="8456" width="25.44140625" style="48" customWidth="1"/>
    <col min="8457" max="8457" width="14.5546875" style="48" customWidth="1"/>
    <col min="8458" max="8458" width="11.6640625" style="48" customWidth="1"/>
    <col min="8459" max="8459" width="12.5546875" style="48" customWidth="1"/>
    <col min="8460" max="8460" width="13" style="48" customWidth="1"/>
    <col min="8461" max="8704" width="9.109375" style="48"/>
    <col min="8705" max="8705" width="17.44140625" style="48" customWidth="1"/>
    <col min="8706" max="8707" width="20.88671875" style="48" customWidth="1"/>
    <col min="8708" max="8708" width="26" style="48" bestFit="1" customWidth="1"/>
    <col min="8709" max="8709" width="21.33203125" style="48" bestFit="1" customWidth="1"/>
    <col min="8710" max="8710" width="20.109375" style="48" bestFit="1" customWidth="1"/>
    <col min="8711" max="8711" width="22.44140625" style="48" bestFit="1" customWidth="1"/>
    <col min="8712" max="8712" width="25.44140625" style="48" customWidth="1"/>
    <col min="8713" max="8713" width="14.5546875" style="48" customWidth="1"/>
    <col min="8714" max="8714" width="11.6640625" style="48" customWidth="1"/>
    <col min="8715" max="8715" width="12.5546875" style="48" customWidth="1"/>
    <col min="8716" max="8716" width="13" style="48" customWidth="1"/>
    <col min="8717" max="8960" width="9.109375" style="48"/>
    <col min="8961" max="8961" width="17.44140625" style="48" customWidth="1"/>
    <col min="8962" max="8963" width="20.88671875" style="48" customWidth="1"/>
    <col min="8964" max="8964" width="26" style="48" bestFit="1" customWidth="1"/>
    <col min="8965" max="8965" width="21.33203125" style="48" bestFit="1" customWidth="1"/>
    <col min="8966" max="8966" width="20.109375" style="48" bestFit="1" customWidth="1"/>
    <col min="8967" max="8967" width="22.44140625" style="48" bestFit="1" customWidth="1"/>
    <col min="8968" max="8968" width="25.44140625" style="48" customWidth="1"/>
    <col min="8969" max="8969" width="14.5546875" style="48" customWidth="1"/>
    <col min="8970" max="8970" width="11.6640625" style="48" customWidth="1"/>
    <col min="8971" max="8971" width="12.5546875" style="48" customWidth="1"/>
    <col min="8972" max="8972" width="13" style="48" customWidth="1"/>
    <col min="8973" max="9216" width="9.109375" style="48"/>
    <col min="9217" max="9217" width="17.44140625" style="48" customWidth="1"/>
    <col min="9218" max="9219" width="20.88671875" style="48" customWidth="1"/>
    <col min="9220" max="9220" width="26" style="48" bestFit="1" customWidth="1"/>
    <col min="9221" max="9221" width="21.33203125" style="48" bestFit="1" customWidth="1"/>
    <col min="9222" max="9222" width="20.109375" style="48" bestFit="1" customWidth="1"/>
    <col min="9223" max="9223" width="22.44140625" style="48" bestFit="1" customWidth="1"/>
    <col min="9224" max="9224" width="25.44140625" style="48" customWidth="1"/>
    <col min="9225" max="9225" width="14.5546875" style="48" customWidth="1"/>
    <col min="9226" max="9226" width="11.6640625" style="48" customWidth="1"/>
    <col min="9227" max="9227" width="12.5546875" style="48" customWidth="1"/>
    <col min="9228" max="9228" width="13" style="48" customWidth="1"/>
    <col min="9229" max="9472" width="9.109375" style="48"/>
    <col min="9473" max="9473" width="17.44140625" style="48" customWidth="1"/>
    <col min="9474" max="9475" width="20.88671875" style="48" customWidth="1"/>
    <col min="9476" max="9476" width="26" style="48" bestFit="1" customWidth="1"/>
    <col min="9477" max="9477" width="21.33203125" style="48" bestFit="1" customWidth="1"/>
    <col min="9478" max="9478" width="20.109375" style="48" bestFit="1" customWidth="1"/>
    <col min="9479" max="9479" width="22.44140625" style="48" bestFit="1" customWidth="1"/>
    <col min="9480" max="9480" width="25.44140625" style="48" customWidth="1"/>
    <col min="9481" max="9481" width="14.5546875" style="48" customWidth="1"/>
    <col min="9482" max="9482" width="11.6640625" style="48" customWidth="1"/>
    <col min="9483" max="9483" width="12.5546875" style="48" customWidth="1"/>
    <col min="9484" max="9484" width="13" style="48" customWidth="1"/>
    <col min="9485" max="9728" width="9.109375" style="48"/>
    <col min="9729" max="9729" width="17.44140625" style="48" customWidth="1"/>
    <col min="9730" max="9731" width="20.88671875" style="48" customWidth="1"/>
    <col min="9732" max="9732" width="26" style="48" bestFit="1" customWidth="1"/>
    <col min="9733" max="9733" width="21.33203125" style="48" bestFit="1" customWidth="1"/>
    <col min="9734" max="9734" width="20.109375" style="48" bestFit="1" customWidth="1"/>
    <col min="9735" max="9735" width="22.44140625" style="48" bestFit="1" customWidth="1"/>
    <col min="9736" max="9736" width="25.44140625" style="48" customWidth="1"/>
    <col min="9737" max="9737" width="14.5546875" style="48" customWidth="1"/>
    <col min="9738" max="9738" width="11.6640625" style="48" customWidth="1"/>
    <col min="9739" max="9739" width="12.5546875" style="48" customWidth="1"/>
    <col min="9740" max="9740" width="13" style="48" customWidth="1"/>
    <col min="9741" max="9984" width="9.109375" style="48"/>
    <col min="9985" max="9985" width="17.44140625" style="48" customWidth="1"/>
    <col min="9986" max="9987" width="20.88671875" style="48" customWidth="1"/>
    <col min="9988" max="9988" width="26" style="48" bestFit="1" customWidth="1"/>
    <col min="9989" max="9989" width="21.33203125" style="48" bestFit="1" customWidth="1"/>
    <col min="9990" max="9990" width="20.109375" style="48" bestFit="1" customWidth="1"/>
    <col min="9991" max="9991" width="22.44140625" style="48" bestFit="1" customWidth="1"/>
    <col min="9992" max="9992" width="25.44140625" style="48" customWidth="1"/>
    <col min="9993" max="9993" width="14.5546875" style="48" customWidth="1"/>
    <col min="9994" max="9994" width="11.6640625" style="48" customWidth="1"/>
    <col min="9995" max="9995" width="12.5546875" style="48" customWidth="1"/>
    <col min="9996" max="9996" width="13" style="48" customWidth="1"/>
    <col min="9997" max="10240" width="9.109375" style="48"/>
    <col min="10241" max="10241" width="17.44140625" style="48" customWidth="1"/>
    <col min="10242" max="10243" width="20.88671875" style="48" customWidth="1"/>
    <col min="10244" max="10244" width="26" style="48" bestFit="1" customWidth="1"/>
    <col min="10245" max="10245" width="21.33203125" style="48" bestFit="1" customWidth="1"/>
    <col min="10246" max="10246" width="20.109375" style="48" bestFit="1" customWidth="1"/>
    <col min="10247" max="10247" width="22.44140625" style="48" bestFit="1" customWidth="1"/>
    <col min="10248" max="10248" width="25.44140625" style="48" customWidth="1"/>
    <col min="10249" max="10249" width="14.5546875" style="48" customWidth="1"/>
    <col min="10250" max="10250" width="11.6640625" style="48" customWidth="1"/>
    <col min="10251" max="10251" width="12.5546875" style="48" customWidth="1"/>
    <col min="10252" max="10252" width="13" style="48" customWidth="1"/>
    <col min="10253" max="10496" width="9.109375" style="48"/>
    <col min="10497" max="10497" width="17.44140625" style="48" customWidth="1"/>
    <col min="10498" max="10499" width="20.88671875" style="48" customWidth="1"/>
    <col min="10500" max="10500" width="26" style="48" bestFit="1" customWidth="1"/>
    <col min="10501" max="10501" width="21.33203125" style="48" bestFit="1" customWidth="1"/>
    <col min="10502" max="10502" width="20.109375" style="48" bestFit="1" customWidth="1"/>
    <col min="10503" max="10503" width="22.44140625" style="48" bestFit="1" customWidth="1"/>
    <col min="10504" max="10504" width="25.44140625" style="48" customWidth="1"/>
    <col min="10505" max="10505" width="14.5546875" style="48" customWidth="1"/>
    <col min="10506" max="10506" width="11.6640625" style="48" customWidth="1"/>
    <col min="10507" max="10507" width="12.5546875" style="48" customWidth="1"/>
    <col min="10508" max="10508" width="13" style="48" customWidth="1"/>
    <col min="10509" max="10752" width="9.109375" style="48"/>
    <col min="10753" max="10753" width="17.44140625" style="48" customWidth="1"/>
    <col min="10754" max="10755" width="20.88671875" style="48" customWidth="1"/>
    <col min="10756" max="10756" width="26" style="48" bestFit="1" customWidth="1"/>
    <col min="10757" max="10757" width="21.33203125" style="48" bestFit="1" customWidth="1"/>
    <col min="10758" max="10758" width="20.109375" style="48" bestFit="1" customWidth="1"/>
    <col min="10759" max="10759" width="22.44140625" style="48" bestFit="1" customWidth="1"/>
    <col min="10760" max="10760" width="25.44140625" style="48" customWidth="1"/>
    <col min="10761" max="10761" width="14.5546875" style="48" customWidth="1"/>
    <col min="10762" max="10762" width="11.6640625" style="48" customWidth="1"/>
    <col min="10763" max="10763" width="12.5546875" style="48" customWidth="1"/>
    <col min="10764" max="10764" width="13" style="48" customWidth="1"/>
    <col min="10765" max="11008" width="9.109375" style="48"/>
    <col min="11009" max="11009" width="17.44140625" style="48" customWidth="1"/>
    <col min="11010" max="11011" width="20.88671875" style="48" customWidth="1"/>
    <col min="11012" max="11012" width="26" style="48" bestFit="1" customWidth="1"/>
    <col min="11013" max="11013" width="21.33203125" style="48" bestFit="1" customWidth="1"/>
    <col min="11014" max="11014" width="20.109375" style="48" bestFit="1" customWidth="1"/>
    <col min="11015" max="11015" width="22.44140625" style="48" bestFit="1" customWidth="1"/>
    <col min="11016" max="11016" width="25.44140625" style="48" customWidth="1"/>
    <col min="11017" max="11017" width="14.5546875" style="48" customWidth="1"/>
    <col min="11018" max="11018" width="11.6640625" style="48" customWidth="1"/>
    <col min="11019" max="11019" width="12.5546875" style="48" customWidth="1"/>
    <col min="11020" max="11020" width="13" style="48" customWidth="1"/>
    <col min="11021" max="11264" width="9.109375" style="48"/>
    <col min="11265" max="11265" width="17.44140625" style="48" customWidth="1"/>
    <col min="11266" max="11267" width="20.88671875" style="48" customWidth="1"/>
    <col min="11268" max="11268" width="26" style="48" bestFit="1" customWidth="1"/>
    <col min="11269" max="11269" width="21.33203125" style="48" bestFit="1" customWidth="1"/>
    <col min="11270" max="11270" width="20.109375" style="48" bestFit="1" customWidth="1"/>
    <col min="11271" max="11271" width="22.44140625" style="48" bestFit="1" customWidth="1"/>
    <col min="11272" max="11272" width="25.44140625" style="48" customWidth="1"/>
    <col min="11273" max="11273" width="14.5546875" style="48" customWidth="1"/>
    <col min="11274" max="11274" width="11.6640625" style="48" customWidth="1"/>
    <col min="11275" max="11275" width="12.5546875" style="48" customWidth="1"/>
    <col min="11276" max="11276" width="13" style="48" customWidth="1"/>
    <col min="11277" max="11520" width="9.109375" style="48"/>
    <col min="11521" max="11521" width="17.44140625" style="48" customWidth="1"/>
    <col min="11522" max="11523" width="20.88671875" style="48" customWidth="1"/>
    <col min="11524" max="11524" width="26" style="48" bestFit="1" customWidth="1"/>
    <col min="11525" max="11525" width="21.33203125" style="48" bestFit="1" customWidth="1"/>
    <col min="11526" max="11526" width="20.109375" style="48" bestFit="1" customWidth="1"/>
    <col min="11527" max="11527" width="22.44140625" style="48" bestFit="1" customWidth="1"/>
    <col min="11528" max="11528" width="25.44140625" style="48" customWidth="1"/>
    <col min="11529" max="11529" width="14.5546875" style="48" customWidth="1"/>
    <col min="11530" max="11530" width="11.6640625" style="48" customWidth="1"/>
    <col min="11531" max="11531" width="12.5546875" style="48" customWidth="1"/>
    <col min="11532" max="11532" width="13" style="48" customWidth="1"/>
    <col min="11533" max="11776" width="9.109375" style="48"/>
    <col min="11777" max="11777" width="17.44140625" style="48" customWidth="1"/>
    <col min="11778" max="11779" width="20.88671875" style="48" customWidth="1"/>
    <col min="11780" max="11780" width="26" style="48" bestFit="1" customWidth="1"/>
    <col min="11781" max="11781" width="21.33203125" style="48" bestFit="1" customWidth="1"/>
    <col min="11782" max="11782" width="20.109375" style="48" bestFit="1" customWidth="1"/>
    <col min="11783" max="11783" width="22.44140625" style="48" bestFit="1" customWidth="1"/>
    <col min="11784" max="11784" width="25.44140625" style="48" customWidth="1"/>
    <col min="11785" max="11785" width="14.5546875" style="48" customWidth="1"/>
    <col min="11786" max="11786" width="11.6640625" style="48" customWidth="1"/>
    <col min="11787" max="11787" width="12.5546875" style="48" customWidth="1"/>
    <col min="11788" max="11788" width="13" style="48" customWidth="1"/>
    <col min="11789" max="12032" width="9.109375" style="48"/>
    <col min="12033" max="12033" width="17.44140625" style="48" customWidth="1"/>
    <col min="12034" max="12035" width="20.88671875" style="48" customWidth="1"/>
    <col min="12036" max="12036" width="26" style="48" bestFit="1" customWidth="1"/>
    <col min="12037" max="12037" width="21.33203125" style="48" bestFit="1" customWidth="1"/>
    <col min="12038" max="12038" width="20.109375" style="48" bestFit="1" customWidth="1"/>
    <col min="12039" max="12039" width="22.44140625" style="48" bestFit="1" customWidth="1"/>
    <col min="12040" max="12040" width="25.44140625" style="48" customWidth="1"/>
    <col min="12041" max="12041" width="14.5546875" style="48" customWidth="1"/>
    <col min="12042" max="12042" width="11.6640625" style="48" customWidth="1"/>
    <col min="12043" max="12043" width="12.5546875" style="48" customWidth="1"/>
    <col min="12044" max="12044" width="13" style="48" customWidth="1"/>
    <col min="12045" max="12288" width="9.109375" style="48"/>
    <col min="12289" max="12289" width="17.44140625" style="48" customWidth="1"/>
    <col min="12290" max="12291" width="20.88671875" style="48" customWidth="1"/>
    <col min="12292" max="12292" width="26" style="48" bestFit="1" customWidth="1"/>
    <col min="12293" max="12293" width="21.33203125" style="48" bestFit="1" customWidth="1"/>
    <col min="12294" max="12294" width="20.109375" style="48" bestFit="1" customWidth="1"/>
    <col min="12295" max="12295" width="22.44140625" style="48" bestFit="1" customWidth="1"/>
    <col min="12296" max="12296" width="25.44140625" style="48" customWidth="1"/>
    <col min="12297" max="12297" width="14.5546875" style="48" customWidth="1"/>
    <col min="12298" max="12298" width="11.6640625" style="48" customWidth="1"/>
    <col min="12299" max="12299" width="12.5546875" style="48" customWidth="1"/>
    <col min="12300" max="12300" width="13" style="48" customWidth="1"/>
    <col min="12301" max="12544" width="9.109375" style="48"/>
    <col min="12545" max="12545" width="17.44140625" style="48" customWidth="1"/>
    <col min="12546" max="12547" width="20.88671875" style="48" customWidth="1"/>
    <col min="12548" max="12548" width="26" style="48" bestFit="1" customWidth="1"/>
    <col min="12549" max="12549" width="21.33203125" style="48" bestFit="1" customWidth="1"/>
    <col min="12550" max="12550" width="20.109375" style="48" bestFit="1" customWidth="1"/>
    <col min="12551" max="12551" width="22.44140625" style="48" bestFit="1" customWidth="1"/>
    <col min="12552" max="12552" width="25.44140625" style="48" customWidth="1"/>
    <col min="12553" max="12553" width="14.5546875" style="48" customWidth="1"/>
    <col min="12554" max="12554" width="11.6640625" style="48" customWidth="1"/>
    <col min="12555" max="12555" width="12.5546875" style="48" customWidth="1"/>
    <col min="12556" max="12556" width="13" style="48" customWidth="1"/>
    <col min="12557" max="12800" width="9.109375" style="48"/>
    <col min="12801" max="12801" width="17.44140625" style="48" customWidth="1"/>
    <col min="12802" max="12803" width="20.88671875" style="48" customWidth="1"/>
    <col min="12804" max="12804" width="26" style="48" bestFit="1" customWidth="1"/>
    <col min="12805" max="12805" width="21.33203125" style="48" bestFit="1" customWidth="1"/>
    <col min="12806" max="12806" width="20.109375" style="48" bestFit="1" customWidth="1"/>
    <col min="12807" max="12807" width="22.44140625" style="48" bestFit="1" customWidth="1"/>
    <col min="12808" max="12808" width="25.44140625" style="48" customWidth="1"/>
    <col min="12809" max="12809" width="14.5546875" style="48" customWidth="1"/>
    <col min="12810" max="12810" width="11.6640625" style="48" customWidth="1"/>
    <col min="12811" max="12811" width="12.5546875" style="48" customWidth="1"/>
    <col min="12812" max="12812" width="13" style="48" customWidth="1"/>
    <col min="12813" max="13056" width="9.109375" style="48"/>
    <col min="13057" max="13057" width="17.44140625" style="48" customWidth="1"/>
    <col min="13058" max="13059" width="20.88671875" style="48" customWidth="1"/>
    <col min="13060" max="13060" width="26" style="48" bestFit="1" customWidth="1"/>
    <col min="13061" max="13061" width="21.33203125" style="48" bestFit="1" customWidth="1"/>
    <col min="13062" max="13062" width="20.109375" style="48" bestFit="1" customWidth="1"/>
    <col min="13063" max="13063" width="22.44140625" style="48" bestFit="1" customWidth="1"/>
    <col min="13064" max="13064" width="25.44140625" style="48" customWidth="1"/>
    <col min="13065" max="13065" width="14.5546875" style="48" customWidth="1"/>
    <col min="13066" max="13066" width="11.6640625" style="48" customWidth="1"/>
    <col min="13067" max="13067" width="12.5546875" style="48" customWidth="1"/>
    <col min="13068" max="13068" width="13" style="48" customWidth="1"/>
    <col min="13069" max="13312" width="9.109375" style="48"/>
    <col min="13313" max="13313" width="17.44140625" style="48" customWidth="1"/>
    <col min="13314" max="13315" width="20.88671875" style="48" customWidth="1"/>
    <col min="13316" max="13316" width="26" style="48" bestFit="1" customWidth="1"/>
    <col min="13317" max="13317" width="21.33203125" style="48" bestFit="1" customWidth="1"/>
    <col min="13318" max="13318" width="20.109375" style="48" bestFit="1" customWidth="1"/>
    <col min="13319" max="13319" width="22.44140625" style="48" bestFit="1" customWidth="1"/>
    <col min="13320" max="13320" width="25.44140625" style="48" customWidth="1"/>
    <col min="13321" max="13321" width="14.5546875" style="48" customWidth="1"/>
    <col min="13322" max="13322" width="11.6640625" style="48" customWidth="1"/>
    <col min="13323" max="13323" width="12.5546875" style="48" customWidth="1"/>
    <col min="13324" max="13324" width="13" style="48" customWidth="1"/>
    <col min="13325" max="13568" width="9.109375" style="48"/>
    <col min="13569" max="13569" width="17.44140625" style="48" customWidth="1"/>
    <col min="13570" max="13571" width="20.88671875" style="48" customWidth="1"/>
    <col min="13572" max="13572" width="26" style="48" bestFit="1" customWidth="1"/>
    <col min="13573" max="13573" width="21.33203125" style="48" bestFit="1" customWidth="1"/>
    <col min="13574" max="13574" width="20.109375" style="48" bestFit="1" customWidth="1"/>
    <col min="13575" max="13575" width="22.44140625" style="48" bestFit="1" customWidth="1"/>
    <col min="13576" max="13576" width="25.44140625" style="48" customWidth="1"/>
    <col min="13577" max="13577" width="14.5546875" style="48" customWidth="1"/>
    <col min="13578" max="13578" width="11.6640625" style="48" customWidth="1"/>
    <col min="13579" max="13579" width="12.5546875" style="48" customWidth="1"/>
    <col min="13580" max="13580" width="13" style="48" customWidth="1"/>
    <col min="13581" max="13824" width="9.109375" style="48"/>
    <col min="13825" max="13825" width="17.44140625" style="48" customWidth="1"/>
    <col min="13826" max="13827" width="20.88671875" style="48" customWidth="1"/>
    <col min="13828" max="13828" width="26" style="48" bestFit="1" customWidth="1"/>
    <col min="13829" max="13829" width="21.33203125" style="48" bestFit="1" customWidth="1"/>
    <col min="13830" max="13830" width="20.109375" style="48" bestFit="1" customWidth="1"/>
    <col min="13831" max="13831" width="22.44140625" style="48" bestFit="1" customWidth="1"/>
    <col min="13832" max="13832" width="25.44140625" style="48" customWidth="1"/>
    <col min="13833" max="13833" width="14.5546875" style="48" customWidth="1"/>
    <col min="13834" max="13834" width="11.6640625" style="48" customWidth="1"/>
    <col min="13835" max="13835" width="12.5546875" style="48" customWidth="1"/>
    <col min="13836" max="13836" width="13" style="48" customWidth="1"/>
    <col min="13837" max="14080" width="9.109375" style="48"/>
    <col min="14081" max="14081" width="17.44140625" style="48" customWidth="1"/>
    <col min="14082" max="14083" width="20.88671875" style="48" customWidth="1"/>
    <col min="14084" max="14084" width="26" style="48" bestFit="1" customWidth="1"/>
    <col min="14085" max="14085" width="21.33203125" style="48" bestFit="1" customWidth="1"/>
    <col min="14086" max="14086" width="20.109375" style="48" bestFit="1" customWidth="1"/>
    <col min="14087" max="14087" width="22.44140625" style="48" bestFit="1" customWidth="1"/>
    <col min="14088" max="14088" width="25.44140625" style="48" customWidth="1"/>
    <col min="14089" max="14089" width="14.5546875" style="48" customWidth="1"/>
    <col min="14090" max="14090" width="11.6640625" style="48" customWidth="1"/>
    <col min="14091" max="14091" width="12.5546875" style="48" customWidth="1"/>
    <col min="14092" max="14092" width="13" style="48" customWidth="1"/>
    <col min="14093" max="14336" width="9.109375" style="48"/>
    <col min="14337" max="14337" width="17.44140625" style="48" customWidth="1"/>
    <col min="14338" max="14339" width="20.88671875" style="48" customWidth="1"/>
    <col min="14340" max="14340" width="26" style="48" bestFit="1" customWidth="1"/>
    <col min="14341" max="14341" width="21.33203125" style="48" bestFit="1" customWidth="1"/>
    <col min="14342" max="14342" width="20.109375" style="48" bestFit="1" customWidth="1"/>
    <col min="14343" max="14343" width="22.44140625" style="48" bestFit="1" customWidth="1"/>
    <col min="14344" max="14344" width="25.44140625" style="48" customWidth="1"/>
    <col min="14345" max="14345" width="14.5546875" style="48" customWidth="1"/>
    <col min="14346" max="14346" width="11.6640625" style="48" customWidth="1"/>
    <col min="14347" max="14347" width="12.5546875" style="48" customWidth="1"/>
    <col min="14348" max="14348" width="13" style="48" customWidth="1"/>
    <col min="14349" max="14592" width="9.109375" style="48"/>
    <col min="14593" max="14593" width="17.44140625" style="48" customWidth="1"/>
    <col min="14594" max="14595" width="20.88671875" style="48" customWidth="1"/>
    <col min="14596" max="14596" width="26" style="48" bestFit="1" customWidth="1"/>
    <col min="14597" max="14597" width="21.33203125" style="48" bestFit="1" customWidth="1"/>
    <col min="14598" max="14598" width="20.109375" style="48" bestFit="1" customWidth="1"/>
    <col min="14599" max="14599" width="22.44140625" style="48" bestFit="1" customWidth="1"/>
    <col min="14600" max="14600" width="25.44140625" style="48" customWidth="1"/>
    <col min="14601" max="14601" width="14.5546875" style="48" customWidth="1"/>
    <col min="14602" max="14602" width="11.6640625" style="48" customWidth="1"/>
    <col min="14603" max="14603" width="12.5546875" style="48" customWidth="1"/>
    <col min="14604" max="14604" width="13" style="48" customWidth="1"/>
    <col min="14605" max="14848" width="9.109375" style="48"/>
    <col min="14849" max="14849" width="17.44140625" style="48" customWidth="1"/>
    <col min="14850" max="14851" width="20.88671875" style="48" customWidth="1"/>
    <col min="14852" max="14852" width="26" style="48" bestFit="1" customWidth="1"/>
    <col min="14853" max="14853" width="21.33203125" style="48" bestFit="1" customWidth="1"/>
    <col min="14854" max="14854" width="20.109375" style="48" bestFit="1" customWidth="1"/>
    <col min="14855" max="14855" width="22.44140625" style="48" bestFit="1" customWidth="1"/>
    <col min="14856" max="14856" width="25.44140625" style="48" customWidth="1"/>
    <col min="14857" max="14857" width="14.5546875" style="48" customWidth="1"/>
    <col min="14858" max="14858" width="11.6640625" style="48" customWidth="1"/>
    <col min="14859" max="14859" width="12.5546875" style="48" customWidth="1"/>
    <col min="14860" max="14860" width="13" style="48" customWidth="1"/>
    <col min="14861" max="15104" width="9.109375" style="48"/>
    <col min="15105" max="15105" width="17.44140625" style="48" customWidth="1"/>
    <col min="15106" max="15107" width="20.88671875" style="48" customWidth="1"/>
    <col min="15108" max="15108" width="26" style="48" bestFit="1" customWidth="1"/>
    <col min="15109" max="15109" width="21.33203125" style="48" bestFit="1" customWidth="1"/>
    <col min="15110" max="15110" width="20.109375" style="48" bestFit="1" customWidth="1"/>
    <col min="15111" max="15111" width="22.44140625" style="48" bestFit="1" customWidth="1"/>
    <col min="15112" max="15112" width="25.44140625" style="48" customWidth="1"/>
    <col min="15113" max="15113" width="14.5546875" style="48" customWidth="1"/>
    <col min="15114" max="15114" width="11.6640625" style="48" customWidth="1"/>
    <col min="15115" max="15115" width="12.5546875" style="48" customWidth="1"/>
    <col min="15116" max="15116" width="13" style="48" customWidth="1"/>
    <col min="15117" max="15360" width="9.109375" style="48"/>
    <col min="15361" max="15361" width="17.44140625" style="48" customWidth="1"/>
    <col min="15362" max="15363" width="20.88671875" style="48" customWidth="1"/>
    <col min="15364" max="15364" width="26" style="48" bestFit="1" customWidth="1"/>
    <col min="15365" max="15365" width="21.33203125" style="48" bestFit="1" customWidth="1"/>
    <col min="15366" max="15366" width="20.109375" style="48" bestFit="1" customWidth="1"/>
    <col min="15367" max="15367" width="22.44140625" style="48" bestFit="1" customWidth="1"/>
    <col min="15368" max="15368" width="25.44140625" style="48" customWidth="1"/>
    <col min="15369" max="15369" width="14.5546875" style="48" customWidth="1"/>
    <col min="15370" max="15370" width="11.6640625" style="48" customWidth="1"/>
    <col min="15371" max="15371" width="12.5546875" style="48" customWidth="1"/>
    <col min="15372" max="15372" width="13" style="48" customWidth="1"/>
    <col min="15373" max="15616" width="9.109375" style="48"/>
    <col min="15617" max="15617" width="17.44140625" style="48" customWidth="1"/>
    <col min="15618" max="15619" width="20.88671875" style="48" customWidth="1"/>
    <col min="15620" max="15620" width="26" style="48" bestFit="1" customWidth="1"/>
    <col min="15621" max="15621" width="21.33203125" style="48" bestFit="1" customWidth="1"/>
    <col min="15622" max="15622" width="20.109375" style="48" bestFit="1" customWidth="1"/>
    <col min="15623" max="15623" width="22.44140625" style="48" bestFit="1" customWidth="1"/>
    <col min="15624" max="15624" width="25.44140625" style="48" customWidth="1"/>
    <col min="15625" max="15625" width="14.5546875" style="48" customWidth="1"/>
    <col min="15626" max="15626" width="11.6640625" style="48" customWidth="1"/>
    <col min="15627" max="15627" width="12.5546875" style="48" customWidth="1"/>
    <col min="15628" max="15628" width="13" style="48" customWidth="1"/>
    <col min="15629" max="15872" width="9.109375" style="48"/>
    <col min="15873" max="15873" width="17.44140625" style="48" customWidth="1"/>
    <col min="15874" max="15875" width="20.88671875" style="48" customWidth="1"/>
    <col min="15876" max="15876" width="26" style="48" bestFit="1" customWidth="1"/>
    <col min="15877" max="15877" width="21.33203125" style="48" bestFit="1" customWidth="1"/>
    <col min="15878" max="15878" width="20.109375" style="48" bestFit="1" customWidth="1"/>
    <col min="15879" max="15879" width="22.44140625" style="48" bestFit="1" customWidth="1"/>
    <col min="15880" max="15880" width="25.44140625" style="48" customWidth="1"/>
    <col min="15881" max="15881" width="14.5546875" style="48" customWidth="1"/>
    <col min="15882" max="15882" width="11.6640625" style="48" customWidth="1"/>
    <col min="15883" max="15883" width="12.5546875" style="48" customWidth="1"/>
    <col min="15884" max="15884" width="13" style="48" customWidth="1"/>
    <col min="15885" max="16128" width="9.109375" style="48"/>
    <col min="16129" max="16129" width="17.44140625" style="48" customWidth="1"/>
    <col min="16130" max="16131" width="20.88671875" style="48" customWidth="1"/>
    <col min="16132" max="16132" width="26" style="48" bestFit="1" customWidth="1"/>
    <col min="16133" max="16133" width="21.33203125" style="48" bestFit="1" customWidth="1"/>
    <col min="16134" max="16134" width="20.109375" style="48" bestFit="1" customWidth="1"/>
    <col min="16135" max="16135" width="22.44140625" style="48" bestFit="1" customWidth="1"/>
    <col min="16136" max="16136" width="25.44140625" style="48" customWidth="1"/>
    <col min="16137" max="16137" width="14.5546875" style="48" customWidth="1"/>
    <col min="16138" max="16138" width="11.6640625" style="48" customWidth="1"/>
    <col min="16139" max="16139" width="12.5546875" style="48" customWidth="1"/>
    <col min="16140" max="16140" width="13" style="48" customWidth="1"/>
    <col min="16141" max="16384" width="9.109375" style="48"/>
  </cols>
  <sheetData>
    <row r="1" spans="1:8" s="23" customFormat="1" ht="17.399999999999999" x14ac:dyDescent="0.3">
      <c r="A1" s="45" t="s">
        <v>125</v>
      </c>
    </row>
    <row r="2" spans="1:8" ht="60" customHeight="1" x14ac:dyDescent="0.25">
      <c r="A2" s="46"/>
      <c r="B2" s="47" t="s">
        <v>91</v>
      </c>
      <c r="C2" s="47" t="s">
        <v>92</v>
      </c>
      <c r="D2" s="47" t="s">
        <v>93</v>
      </c>
      <c r="E2" s="47" t="s">
        <v>94</v>
      </c>
      <c r="F2" s="47" t="s">
        <v>95</v>
      </c>
      <c r="G2" s="47" t="s">
        <v>96</v>
      </c>
      <c r="H2" s="47" t="s">
        <v>127</v>
      </c>
    </row>
    <row r="3" spans="1:8" x14ac:dyDescent="0.25">
      <c r="A3" s="61" t="s">
        <v>97</v>
      </c>
      <c r="B3" s="67" t="s">
        <v>103</v>
      </c>
      <c r="C3" s="67" t="s">
        <v>104</v>
      </c>
      <c r="D3" s="67" t="s">
        <v>105</v>
      </c>
      <c r="E3" s="67" t="s">
        <v>106</v>
      </c>
      <c r="F3" s="67" t="s">
        <v>107</v>
      </c>
      <c r="G3" s="67" t="s">
        <v>108</v>
      </c>
      <c r="H3" s="67" t="s">
        <v>128</v>
      </c>
    </row>
    <row r="4" spans="1:8" x14ac:dyDescent="0.25">
      <c r="A4" s="49" t="s">
        <v>48</v>
      </c>
      <c r="B4" s="50">
        <v>2.2000000000000001E-3</v>
      </c>
      <c r="C4" s="50">
        <v>6.9999999999999999E-4</v>
      </c>
      <c r="D4" s="50">
        <v>6.6E-3</v>
      </c>
      <c r="E4" s="50">
        <v>7.2099999999999996E-4</v>
      </c>
      <c r="F4" s="50">
        <v>1.941E-2</v>
      </c>
      <c r="G4" s="50">
        <v>9.9871000000000005E-3</v>
      </c>
      <c r="H4" s="51">
        <v>4.8309999999999999E-2</v>
      </c>
    </row>
    <row r="5" spans="1:8" ht="15.6" x14ac:dyDescent="0.35">
      <c r="A5" s="52" t="s">
        <v>66</v>
      </c>
      <c r="B5" s="53">
        <v>2.2000000000000001E-3</v>
      </c>
      <c r="C5" s="53">
        <v>6.9999999999999999E-4</v>
      </c>
      <c r="D5" s="53">
        <v>6.6E-3</v>
      </c>
      <c r="E5" s="53">
        <v>7.2099999999999996E-4</v>
      </c>
      <c r="F5" s="53">
        <v>1.941E-2</v>
      </c>
      <c r="G5" s="53">
        <v>9.9871000000000005E-3</v>
      </c>
      <c r="H5" s="54">
        <v>4.8309999999999999E-2</v>
      </c>
    </row>
    <row r="6" spans="1:8" ht="15.6" x14ac:dyDescent="0.35">
      <c r="A6" s="52" t="s">
        <v>67</v>
      </c>
      <c r="B6" s="53">
        <v>2.2000000000000001E-3</v>
      </c>
      <c r="C6" s="53">
        <v>6.9999999999999999E-4</v>
      </c>
      <c r="D6" s="53">
        <v>6.6E-3</v>
      </c>
      <c r="E6" s="53">
        <v>7.2099999999999996E-4</v>
      </c>
      <c r="F6" s="53">
        <v>1.941E-2</v>
      </c>
      <c r="G6" s="53">
        <v>9.9871000000000005E-3</v>
      </c>
      <c r="H6" s="54">
        <v>4.8309999999999999E-2</v>
      </c>
    </row>
    <row r="7" spans="1:8" ht="15.6" x14ac:dyDescent="0.35">
      <c r="A7" s="52" t="s">
        <v>68</v>
      </c>
      <c r="B7" s="53">
        <v>2.0500000000000002E-3</v>
      </c>
      <c r="C7" s="53">
        <v>8.09E-3</v>
      </c>
      <c r="D7" s="53">
        <v>0.94</v>
      </c>
      <c r="E7" s="53">
        <v>5.9100000000000005E-4</v>
      </c>
      <c r="F7" s="53">
        <v>5.8799999999999998E-4</v>
      </c>
      <c r="G7" s="53">
        <v>5.8799999999999998E-4</v>
      </c>
      <c r="H7" s="54">
        <v>5.8799999999999998E-4</v>
      </c>
    </row>
    <row r="8" spans="1:8" ht="15.6" x14ac:dyDescent="0.35">
      <c r="A8" s="52" t="s">
        <v>69</v>
      </c>
      <c r="B8" s="53">
        <v>3.1E-2</v>
      </c>
      <c r="C8" s="53">
        <v>2.4E-2</v>
      </c>
      <c r="D8" s="53">
        <v>0.32</v>
      </c>
      <c r="E8" s="53">
        <v>1.0999999999999999E-2</v>
      </c>
      <c r="F8" s="53">
        <v>2.21</v>
      </c>
      <c r="G8" s="53">
        <v>4.08</v>
      </c>
      <c r="H8" s="54">
        <v>3.17</v>
      </c>
    </row>
    <row r="9" spans="1:8" x14ac:dyDescent="0.25">
      <c r="A9" s="52" t="s">
        <v>53</v>
      </c>
      <c r="B9" s="53">
        <v>2.5140000000000002E-3</v>
      </c>
      <c r="C9" s="53">
        <v>7.0500000000000001E-4</v>
      </c>
      <c r="D9" s="53">
        <v>2.0999999999999999E-3</v>
      </c>
      <c r="E9" s="53">
        <v>2.1590999999999999E-2</v>
      </c>
      <c r="F9" s="53">
        <v>2.9600000000000001E-2</v>
      </c>
      <c r="G9" s="53">
        <v>0.11799999999999999</v>
      </c>
      <c r="H9" s="54">
        <v>0.12</v>
      </c>
    </row>
    <row r="10" spans="1:8" x14ac:dyDescent="0.25">
      <c r="A10" s="55" t="s">
        <v>54</v>
      </c>
      <c r="B10" s="56">
        <v>6.6800000000000002E-3</v>
      </c>
      <c r="C10" s="56">
        <v>5.4999999999999997E-3</v>
      </c>
      <c r="D10" s="56">
        <v>8.2000000000000003E-2</v>
      </c>
      <c r="E10" s="56">
        <v>6.96E-3</v>
      </c>
      <c r="F10" s="56">
        <v>3.72</v>
      </c>
      <c r="G10" s="56">
        <v>0.317</v>
      </c>
      <c r="H10" s="57">
        <v>0.38600000000000001</v>
      </c>
    </row>
    <row r="11" spans="1:8" ht="16.8" x14ac:dyDescent="0.35">
      <c r="A11" s="58">
        <v>1</v>
      </c>
      <c r="B11" s="48" t="s">
        <v>109</v>
      </c>
    </row>
    <row r="12" spans="1:8" s="23" customFormat="1" x14ac:dyDescent="0.25"/>
    <row r="13" spans="1:8" x14ac:dyDescent="0.25">
      <c r="A13" s="60" t="s">
        <v>102</v>
      </c>
    </row>
    <row r="14" spans="1:8" x14ac:dyDescent="0.25">
      <c r="A14" s="62" t="s">
        <v>103</v>
      </c>
      <c r="B14" s="48" t="s">
        <v>110</v>
      </c>
    </row>
    <row r="15" spans="1:8" x14ac:dyDescent="0.25">
      <c r="A15" s="62" t="s">
        <v>104</v>
      </c>
      <c r="B15" s="48" t="s">
        <v>111</v>
      </c>
    </row>
    <row r="16" spans="1:8" x14ac:dyDescent="0.25">
      <c r="A16" s="62" t="s">
        <v>105</v>
      </c>
      <c r="B16" s="48" t="s">
        <v>112</v>
      </c>
    </row>
    <row r="17" spans="1:15" x14ac:dyDescent="0.25">
      <c r="A17" s="62" t="s">
        <v>106</v>
      </c>
      <c r="B17" s="48" t="s">
        <v>110</v>
      </c>
    </row>
    <row r="18" spans="1:15" x14ac:dyDescent="0.25">
      <c r="A18" s="62" t="s">
        <v>107</v>
      </c>
      <c r="B18" s="48" t="s">
        <v>113</v>
      </c>
    </row>
    <row r="19" spans="1:15" x14ac:dyDescent="0.25">
      <c r="A19" s="62" t="s">
        <v>108</v>
      </c>
      <c r="B19" s="48" t="s">
        <v>113</v>
      </c>
    </row>
    <row r="20" spans="1:15" x14ac:dyDescent="0.25">
      <c r="A20" s="62" t="s">
        <v>128</v>
      </c>
      <c r="B20" s="48" t="s">
        <v>113</v>
      </c>
    </row>
    <row r="21" spans="1:15" x14ac:dyDescent="0.25">
      <c r="A21" s="23"/>
      <c r="B21" s="23"/>
      <c r="C21" s="23"/>
    </row>
    <row r="22" spans="1:15" x14ac:dyDescent="0.25">
      <c r="B22" s="23"/>
    </row>
    <row r="23" spans="1:15" x14ac:dyDescent="0.25">
      <c r="B23" s="23"/>
    </row>
    <row r="24" spans="1:15" x14ac:dyDescent="0.25">
      <c r="B24" s="23"/>
      <c r="E24" s="23"/>
      <c r="O24" s="23"/>
    </row>
    <row r="30" spans="1:15" x14ac:dyDescent="0.25">
      <c r="F30" s="59"/>
    </row>
  </sheetData>
  <pageMargins left="0.75" right="0.75" top="1" bottom="1" header="0.5" footer="0.5"/>
  <pageSetup scale="4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3"/>
  <sheetViews>
    <sheetView workbookViewId="0"/>
  </sheetViews>
  <sheetFormatPr defaultColWidth="9.109375" defaultRowHeight="13.2" x14ac:dyDescent="0.25"/>
  <cols>
    <col min="1" max="1" width="19.88671875" style="279" bestFit="1" customWidth="1"/>
    <col min="2" max="2" width="15" style="279" bestFit="1" customWidth="1"/>
    <col min="3" max="3" width="25.5546875" style="280" bestFit="1" customWidth="1"/>
    <col min="4" max="4" width="27.6640625" style="280" bestFit="1" customWidth="1"/>
    <col min="5" max="5" width="228.109375" style="279" bestFit="1" customWidth="1"/>
    <col min="6" max="16384" width="9.109375" style="279"/>
  </cols>
  <sheetData>
    <row r="1" spans="1:5" ht="17.399999999999999" x14ac:dyDescent="0.3">
      <c r="A1" s="278" t="s">
        <v>445</v>
      </c>
    </row>
    <row r="2" spans="1:5" ht="13.8" thickBot="1" x14ac:dyDescent="0.3"/>
    <row r="3" spans="1:5" x14ac:dyDescent="0.25">
      <c r="A3" s="454" t="s">
        <v>446</v>
      </c>
      <c r="B3" s="455"/>
      <c r="C3" s="455"/>
      <c r="D3" s="455"/>
      <c r="E3" s="456"/>
    </row>
    <row r="4" spans="1:5" x14ac:dyDescent="0.25">
      <c r="A4" s="281" t="s">
        <v>447</v>
      </c>
      <c r="B4" s="282" t="s">
        <v>448</v>
      </c>
      <c r="C4" s="283" t="s">
        <v>449</v>
      </c>
      <c r="D4" s="283" t="s">
        <v>450</v>
      </c>
      <c r="E4" s="284" t="s">
        <v>118</v>
      </c>
    </row>
    <row r="5" spans="1:5" x14ac:dyDescent="0.25">
      <c r="A5" s="285" t="s">
        <v>460</v>
      </c>
      <c r="B5" s="286">
        <v>130000</v>
      </c>
      <c r="C5" s="287" t="s">
        <v>454</v>
      </c>
      <c r="D5" s="287" t="s">
        <v>461</v>
      </c>
      <c r="E5" s="288" t="s">
        <v>462</v>
      </c>
    </row>
    <row r="6" spans="1:5" ht="15.6" x14ac:dyDescent="0.25">
      <c r="A6" s="285" t="s">
        <v>453</v>
      </c>
      <c r="B6" s="286">
        <v>1023</v>
      </c>
      <c r="C6" s="287" t="s">
        <v>454</v>
      </c>
      <c r="D6" s="287" t="s">
        <v>455</v>
      </c>
      <c r="E6" s="288" t="s">
        <v>456</v>
      </c>
    </row>
    <row r="7" spans="1:5" x14ac:dyDescent="0.25">
      <c r="A7" s="285" t="s">
        <v>457</v>
      </c>
      <c r="B7" s="286">
        <v>5.8250000000000002</v>
      </c>
      <c r="C7" s="287" t="s">
        <v>146</v>
      </c>
      <c r="D7" s="287" t="s">
        <v>451</v>
      </c>
      <c r="E7" s="288" t="s">
        <v>452</v>
      </c>
    </row>
    <row r="8" spans="1:5" ht="13.8" thickBot="1" x14ac:dyDescent="0.3">
      <c r="A8" s="289"/>
    </row>
    <row r="9" spans="1:5" x14ac:dyDescent="0.25">
      <c r="A9" s="454" t="s">
        <v>458</v>
      </c>
      <c r="B9" s="455"/>
      <c r="C9" s="455"/>
      <c r="D9" s="456"/>
    </row>
    <row r="10" spans="1:5" x14ac:dyDescent="0.25">
      <c r="A10" s="281" t="s">
        <v>447</v>
      </c>
      <c r="B10" s="282" t="s">
        <v>448</v>
      </c>
      <c r="C10" s="283" t="s">
        <v>449</v>
      </c>
      <c r="D10" s="290" t="s">
        <v>450</v>
      </c>
      <c r="E10" s="291"/>
    </row>
    <row r="11" spans="1:5" x14ac:dyDescent="0.25">
      <c r="A11" s="285" t="s">
        <v>460</v>
      </c>
      <c r="B11" s="286">
        <f>B5*1000/1000000</f>
        <v>130</v>
      </c>
      <c r="C11" s="287" t="s">
        <v>146</v>
      </c>
      <c r="D11" s="292" t="s">
        <v>459</v>
      </c>
    </row>
    <row r="12" spans="1:5" x14ac:dyDescent="0.25">
      <c r="A12" s="285" t="s">
        <v>453</v>
      </c>
      <c r="B12" s="286">
        <f>B6</f>
        <v>1023</v>
      </c>
      <c r="C12" s="287" t="s">
        <v>146</v>
      </c>
      <c r="D12" s="292" t="s">
        <v>495</v>
      </c>
    </row>
    <row r="13" spans="1:5" x14ac:dyDescent="0.25">
      <c r="A13" s="285" t="s">
        <v>457</v>
      </c>
      <c r="B13" s="286">
        <f>B7*1000/42</f>
        <v>138.6904761904762</v>
      </c>
      <c r="C13" s="287" t="s">
        <v>146</v>
      </c>
      <c r="D13" s="292" t="s">
        <v>459</v>
      </c>
    </row>
  </sheetData>
  <mergeCells count="2">
    <mergeCell ref="A3:E3"/>
    <mergeCell ref="A9:D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
  <sheetViews>
    <sheetView showGridLines="0" zoomScale="90" zoomScaleNormal="90" workbookViewId="0"/>
  </sheetViews>
  <sheetFormatPr defaultColWidth="9.109375" defaultRowHeight="13.2" x14ac:dyDescent="0.25"/>
  <cols>
    <col min="1" max="1" width="40.5546875" style="2" bestFit="1" customWidth="1"/>
    <col min="2" max="3" width="20.6640625" style="44" customWidth="1"/>
    <col min="4" max="4" width="85.88671875" style="2" customWidth="1"/>
    <col min="5" max="16384" width="9.109375" style="2"/>
  </cols>
  <sheetData>
    <row r="1" spans="1:4" ht="17.399999999999999" x14ac:dyDescent="0.3">
      <c r="A1" s="1" t="s">
        <v>114</v>
      </c>
      <c r="B1" s="63"/>
      <c r="C1" s="63"/>
    </row>
    <row r="2" spans="1:4" ht="12" customHeight="1" x14ac:dyDescent="0.25">
      <c r="A2" s="3"/>
      <c r="B2" s="64"/>
      <c r="C2" s="64"/>
    </row>
    <row r="3" spans="1:4" ht="12" customHeight="1" x14ac:dyDescent="0.25">
      <c r="A3" s="158" t="s">
        <v>115</v>
      </c>
      <c r="B3" s="30" t="s">
        <v>116</v>
      </c>
      <c r="C3" s="30" t="s">
        <v>117</v>
      </c>
      <c r="D3" s="158" t="s">
        <v>118</v>
      </c>
    </row>
    <row r="4" spans="1:4" x14ac:dyDescent="0.25">
      <c r="A4" s="301" t="s">
        <v>436</v>
      </c>
      <c r="B4" s="65">
        <v>0.24</v>
      </c>
      <c r="C4" s="65" t="s">
        <v>119</v>
      </c>
      <c r="D4" s="301" t="s">
        <v>350</v>
      </c>
    </row>
    <row r="5" spans="1:4" x14ac:dyDescent="0.25">
      <c r="A5" s="301" t="s">
        <v>431</v>
      </c>
      <c r="B5" s="65">
        <v>0.5</v>
      </c>
      <c r="C5" s="65" t="s">
        <v>119</v>
      </c>
      <c r="D5" s="302" t="s">
        <v>403</v>
      </c>
    </row>
    <row r="6" spans="1:4" x14ac:dyDescent="0.25">
      <c r="A6" s="301" t="s">
        <v>432</v>
      </c>
      <c r="B6" s="65">
        <v>0.5</v>
      </c>
      <c r="C6" s="65" t="s">
        <v>119</v>
      </c>
      <c r="D6" s="301" t="s">
        <v>131</v>
      </c>
    </row>
    <row r="7" spans="1:4" x14ac:dyDescent="0.25">
      <c r="A7" s="303" t="s">
        <v>433</v>
      </c>
      <c r="B7" s="66">
        <f>24*365</f>
        <v>8760</v>
      </c>
      <c r="C7" s="65" t="s">
        <v>120</v>
      </c>
      <c r="D7" s="303" t="s">
        <v>121</v>
      </c>
    </row>
    <row r="8" spans="1:4" x14ac:dyDescent="0.25">
      <c r="A8" s="303" t="s">
        <v>434</v>
      </c>
      <c r="B8" s="66">
        <v>500</v>
      </c>
      <c r="C8" s="65" t="s">
        <v>120</v>
      </c>
      <c r="D8" s="303" t="s">
        <v>124</v>
      </c>
    </row>
    <row r="9" spans="1:4" x14ac:dyDescent="0.25">
      <c r="A9" s="301" t="s">
        <v>1</v>
      </c>
      <c r="B9" s="65" t="s">
        <v>122</v>
      </c>
      <c r="C9" s="65"/>
      <c r="D9" s="301" t="s">
        <v>123</v>
      </c>
    </row>
    <row r="10" spans="1:4" x14ac:dyDescent="0.25">
      <c r="A10" s="296" t="s">
        <v>471</v>
      </c>
      <c r="B10" s="295">
        <f>1/453.592</f>
        <v>2.2046244201837776E-3</v>
      </c>
      <c r="C10" s="297" t="s">
        <v>465</v>
      </c>
      <c r="D10" s="304" t="s">
        <v>462</v>
      </c>
    </row>
    <row r="11" spans="1:4" x14ac:dyDescent="0.25">
      <c r="A11" s="298" t="s">
        <v>470</v>
      </c>
      <c r="B11" s="299">
        <v>1.3410220900000001</v>
      </c>
      <c r="C11" s="297" t="s">
        <v>466</v>
      </c>
      <c r="D11" s="304" t="s">
        <v>462</v>
      </c>
    </row>
    <row r="12" spans="1:4" x14ac:dyDescent="0.25">
      <c r="A12" s="298" t="s">
        <v>469</v>
      </c>
      <c r="B12" s="300">
        <v>3.9291E-4</v>
      </c>
      <c r="C12" s="297" t="s">
        <v>467</v>
      </c>
      <c r="D12" s="304" t="s">
        <v>462</v>
      </c>
    </row>
    <row r="13" spans="1:4" x14ac:dyDescent="0.25">
      <c r="A13" s="298" t="s">
        <v>468</v>
      </c>
      <c r="B13" s="297">
        <v>2545.1</v>
      </c>
      <c r="C13" s="297" t="s">
        <v>472</v>
      </c>
      <c r="D13" s="304" t="s">
        <v>462</v>
      </c>
    </row>
    <row r="14" spans="1:4" x14ac:dyDescent="0.25">
      <c r="A14" s="298" t="s">
        <v>473</v>
      </c>
      <c r="B14" s="297">
        <v>3413.04</v>
      </c>
      <c r="C14" s="297" t="s">
        <v>474</v>
      </c>
      <c r="D14" s="304" t="s">
        <v>462</v>
      </c>
    </row>
    <row r="15" spans="1:4" ht="15.6" x14ac:dyDescent="0.25">
      <c r="A15" s="298" t="s">
        <v>478</v>
      </c>
      <c r="B15" s="297">
        <v>35.314700000000002</v>
      </c>
      <c r="C15" s="297" t="s">
        <v>479</v>
      </c>
      <c r="D15" s="304" t="s">
        <v>462</v>
      </c>
    </row>
    <row r="16" spans="1:4" x14ac:dyDescent="0.25">
      <c r="A16" s="298" t="s">
        <v>486</v>
      </c>
      <c r="B16" s="297">
        <v>7000</v>
      </c>
      <c r="C16" s="297" t="s">
        <v>472</v>
      </c>
      <c r="D16" s="304" t="s">
        <v>110</v>
      </c>
    </row>
    <row r="17" spans="1:4" x14ac:dyDescent="0.25">
      <c r="A17" s="298" t="s">
        <v>484</v>
      </c>
      <c r="B17" s="297">
        <f>Hp_to_Btu_hr_Conversion_Factor/Brake_Specific_Fuel_Consumption</f>
        <v>0.36358571428571429</v>
      </c>
      <c r="C17" s="297"/>
      <c r="D17" s="298" t="s">
        <v>485</v>
      </c>
    </row>
    <row r="20" spans="1:4" x14ac:dyDescent="0.25">
      <c r="B20" s="309"/>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60" bestFit="1" customWidth="1"/>
    <col min="2" max="2" width="17.88671875" style="159" bestFit="1" customWidth="1"/>
    <col min="3" max="3" width="11" style="159" bestFit="1" customWidth="1"/>
    <col min="4" max="4" width="19.44140625" style="160" bestFit="1" customWidth="1"/>
    <col min="5" max="5" width="14.33203125" style="160" bestFit="1" customWidth="1"/>
    <col min="6" max="6" width="26" style="160" bestFit="1" customWidth="1"/>
    <col min="7" max="7" width="18.6640625" style="160" bestFit="1" customWidth="1"/>
    <col min="8" max="8" width="14.33203125" style="160" bestFit="1" customWidth="1"/>
    <col min="9" max="10" width="26" style="160" bestFit="1" customWidth="1"/>
    <col min="11" max="11" width="18.6640625" style="160" bestFit="1" customWidth="1"/>
    <col min="12" max="12" width="13.44140625" style="160" bestFit="1" customWidth="1"/>
    <col min="13" max="13" width="5.5546875" style="159" bestFit="1" customWidth="1"/>
    <col min="14" max="14" width="12.109375" style="159" bestFit="1" customWidth="1"/>
    <col min="15" max="16384" width="9.109375" style="160"/>
  </cols>
  <sheetData>
    <row r="1" spans="1:14" ht="17.399999999999999" x14ac:dyDescent="0.3">
      <c r="A1" s="139" t="s">
        <v>261</v>
      </c>
    </row>
    <row r="3" spans="1:14" x14ac:dyDescent="0.3">
      <c r="D3" s="457" t="s">
        <v>156</v>
      </c>
      <c r="E3" s="457"/>
      <c r="F3" s="457"/>
      <c r="G3" s="457"/>
      <c r="H3" s="457"/>
      <c r="I3" s="457"/>
      <c r="J3" s="457"/>
      <c r="K3" s="457"/>
      <c r="L3" s="457"/>
      <c r="M3" s="457"/>
      <c r="N3" s="457"/>
    </row>
    <row r="4" spans="1:14" x14ac:dyDescent="0.3">
      <c r="A4" s="161" t="s">
        <v>157</v>
      </c>
      <c r="B4" s="162" t="s">
        <v>158</v>
      </c>
      <c r="C4" s="162" t="s">
        <v>159</v>
      </c>
      <c r="D4" s="161" t="s">
        <v>15</v>
      </c>
      <c r="E4" s="161" t="s">
        <v>23</v>
      </c>
      <c r="F4" s="161" t="s">
        <v>25</v>
      </c>
      <c r="G4" s="161" t="s">
        <v>269</v>
      </c>
      <c r="H4" s="161" t="s">
        <v>270</v>
      </c>
      <c r="I4" s="161" t="s">
        <v>271</v>
      </c>
      <c r="J4" s="161" t="s">
        <v>263</v>
      </c>
      <c r="K4" s="161" t="s">
        <v>264</v>
      </c>
      <c r="L4" s="161" t="s">
        <v>160</v>
      </c>
      <c r="M4" s="162" t="s">
        <v>157</v>
      </c>
      <c r="N4" s="162" t="s">
        <v>161</v>
      </c>
    </row>
    <row r="5" spans="1:14" x14ac:dyDescent="0.3">
      <c r="A5" s="160" t="s">
        <v>190</v>
      </c>
      <c r="B5" s="159" t="s">
        <v>191</v>
      </c>
      <c r="C5" s="159">
        <v>4</v>
      </c>
      <c r="D5" s="163" t="s">
        <v>280</v>
      </c>
      <c r="E5" s="164" t="s">
        <v>281</v>
      </c>
      <c r="F5" s="141" t="s">
        <v>282</v>
      </c>
      <c r="G5" s="164" t="s">
        <v>283</v>
      </c>
      <c r="H5" s="164" t="s">
        <v>284</v>
      </c>
      <c r="I5" s="140" t="s">
        <v>285</v>
      </c>
      <c r="J5" s="164" t="s">
        <v>286</v>
      </c>
      <c r="K5" s="163" t="s">
        <v>328</v>
      </c>
      <c r="L5" s="164" t="s">
        <v>287</v>
      </c>
      <c r="M5" s="165" t="s">
        <v>194</v>
      </c>
      <c r="N5" s="165" t="s">
        <v>288</v>
      </c>
    </row>
    <row r="6" spans="1:14" x14ac:dyDescent="0.3">
      <c r="A6" s="160" t="s">
        <v>253</v>
      </c>
      <c r="B6" s="159" t="s">
        <v>254</v>
      </c>
      <c r="C6" s="159">
        <v>10</v>
      </c>
      <c r="D6" s="163" t="s">
        <v>318</v>
      </c>
      <c r="E6" s="163" t="s">
        <v>319</v>
      </c>
      <c r="F6" s="140" t="s">
        <v>320</v>
      </c>
      <c r="G6" s="163" t="s">
        <v>324</v>
      </c>
      <c r="H6" s="164"/>
      <c r="I6" s="164"/>
      <c r="J6" s="164" t="s">
        <v>321</v>
      </c>
      <c r="K6" s="164" t="s">
        <v>322</v>
      </c>
      <c r="L6" s="164" t="s">
        <v>323</v>
      </c>
      <c r="M6" s="165" t="s">
        <v>260</v>
      </c>
      <c r="N6" s="165">
        <v>98101</v>
      </c>
    </row>
    <row r="7" spans="1:14" x14ac:dyDescent="0.3">
      <c r="A7" s="160" t="s">
        <v>245</v>
      </c>
      <c r="B7" s="159" t="s">
        <v>246</v>
      </c>
      <c r="C7" s="159">
        <v>9</v>
      </c>
      <c r="D7" s="163" t="s">
        <v>309</v>
      </c>
      <c r="E7" s="164" t="s">
        <v>310</v>
      </c>
      <c r="F7" s="141" t="s">
        <v>311</v>
      </c>
      <c r="G7" s="163" t="s">
        <v>312</v>
      </c>
      <c r="H7" s="164" t="s">
        <v>313</v>
      </c>
      <c r="I7" s="141" t="s">
        <v>314</v>
      </c>
      <c r="J7" s="164" t="s">
        <v>315</v>
      </c>
      <c r="K7" s="164" t="s">
        <v>316</v>
      </c>
      <c r="L7" s="164" t="s">
        <v>317</v>
      </c>
      <c r="M7" s="165" t="s">
        <v>248</v>
      </c>
      <c r="N7" s="165">
        <v>94105</v>
      </c>
    </row>
    <row r="8" spans="1:14" x14ac:dyDescent="0.3">
      <c r="A8" s="160" t="s">
        <v>217</v>
      </c>
      <c r="B8" s="159" t="s">
        <v>218</v>
      </c>
      <c r="C8" s="159">
        <v>6</v>
      </c>
      <c r="D8" s="163" t="s">
        <v>351</v>
      </c>
      <c r="E8" s="164" t="s">
        <v>352</v>
      </c>
      <c r="F8" s="166" t="s">
        <v>353</v>
      </c>
      <c r="G8" s="164" t="s">
        <v>324</v>
      </c>
      <c r="H8" s="164"/>
      <c r="I8" s="164"/>
      <c r="J8" s="163" t="s">
        <v>354</v>
      </c>
      <c r="K8" s="163" t="s">
        <v>355</v>
      </c>
      <c r="L8" s="164" t="s">
        <v>356</v>
      </c>
      <c r="M8" s="165" t="s">
        <v>225</v>
      </c>
      <c r="N8" s="165" t="s">
        <v>357</v>
      </c>
    </row>
    <row r="9" spans="1:14" x14ac:dyDescent="0.3">
      <c r="A9" s="160" t="s">
        <v>247</v>
      </c>
      <c r="B9" s="159" t="s">
        <v>248</v>
      </c>
      <c r="C9" s="159">
        <v>9</v>
      </c>
      <c r="D9" s="163" t="s">
        <v>309</v>
      </c>
      <c r="E9" s="164" t="s">
        <v>310</v>
      </c>
      <c r="F9" s="141" t="s">
        <v>311</v>
      </c>
      <c r="G9" s="163" t="s">
        <v>312</v>
      </c>
      <c r="H9" s="164" t="s">
        <v>313</v>
      </c>
      <c r="I9" s="141" t="s">
        <v>314</v>
      </c>
      <c r="J9" s="164" t="s">
        <v>315</v>
      </c>
      <c r="K9" s="164" t="s">
        <v>316</v>
      </c>
      <c r="L9" s="164" t="s">
        <v>317</v>
      </c>
      <c r="M9" s="165" t="s">
        <v>248</v>
      </c>
      <c r="N9" s="165">
        <v>94105</v>
      </c>
    </row>
    <row r="10" spans="1:14" x14ac:dyDescent="0.3">
      <c r="A10" s="160" t="s">
        <v>234</v>
      </c>
      <c r="B10" s="159" t="s">
        <v>54</v>
      </c>
      <c r="C10" s="159">
        <v>8</v>
      </c>
      <c r="D10" s="163" t="s">
        <v>299</v>
      </c>
      <c r="E10" s="164" t="s">
        <v>300</v>
      </c>
      <c r="F10" s="141" t="s">
        <v>301</v>
      </c>
      <c r="G10" s="163" t="s">
        <v>302</v>
      </c>
      <c r="H10" s="164" t="s">
        <v>303</v>
      </c>
      <c r="I10" s="140" t="s">
        <v>304</v>
      </c>
      <c r="J10" s="163" t="s">
        <v>305</v>
      </c>
      <c r="K10" s="163" t="s">
        <v>306</v>
      </c>
      <c r="L10" s="164" t="s">
        <v>307</v>
      </c>
      <c r="M10" s="165" t="s">
        <v>54</v>
      </c>
      <c r="N10" s="165" t="s">
        <v>308</v>
      </c>
    </row>
    <row r="11" spans="1:14" x14ac:dyDescent="0.3">
      <c r="A11" s="160" t="s">
        <v>162</v>
      </c>
      <c r="B11" s="159" t="s">
        <v>163</v>
      </c>
      <c r="C11" s="159">
        <v>1</v>
      </c>
      <c r="D11" s="164" t="s">
        <v>262</v>
      </c>
      <c r="E11" s="164" t="s">
        <v>267</v>
      </c>
      <c r="F11" s="140" t="s">
        <v>268</v>
      </c>
      <c r="G11" s="164" t="s">
        <v>324</v>
      </c>
      <c r="H11" s="164"/>
      <c r="I11" s="164"/>
      <c r="J11" s="163" t="s">
        <v>325</v>
      </c>
      <c r="K11" s="163" t="s">
        <v>326</v>
      </c>
      <c r="L11" s="164" t="s">
        <v>265</v>
      </c>
      <c r="M11" s="165" t="s">
        <v>167</v>
      </c>
      <c r="N11" s="165" t="s">
        <v>266</v>
      </c>
    </row>
    <row r="12" spans="1:14" x14ac:dyDescent="0.3">
      <c r="A12" s="160" t="s">
        <v>192</v>
      </c>
      <c r="B12" s="159" t="s">
        <v>193</v>
      </c>
      <c r="C12" s="159">
        <v>4</v>
      </c>
      <c r="D12" s="163" t="s">
        <v>280</v>
      </c>
      <c r="E12" s="164" t="s">
        <v>281</v>
      </c>
      <c r="F12" s="141" t="s">
        <v>282</v>
      </c>
      <c r="G12" s="164" t="s">
        <v>283</v>
      </c>
      <c r="H12" s="164" t="s">
        <v>284</v>
      </c>
      <c r="I12" s="140" t="s">
        <v>285</v>
      </c>
      <c r="J12" s="164" t="s">
        <v>286</v>
      </c>
      <c r="K12" s="163" t="s">
        <v>328</v>
      </c>
      <c r="L12" s="164" t="s">
        <v>287</v>
      </c>
      <c r="M12" s="165" t="s">
        <v>194</v>
      </c>
      <c r="N12" s="165" t="s">
        <v>288</v>
      </c>
    </row>
    <row r="13" spans="1:14" x14ac:dyDescent="0.3">
      <c r="A13" s="255" t="s">
        <v>407</v>
      </c>
      <c r="B13" s="159" t="s">
        <v>194</v>
      </c>
      <c r="C13" s="159">
        <v>4</v>
      </c>
      <c r="D13" s="163" t="s">
        <v>280</v>
      </c>
      <c r="E13" s="164" t="s">
        <v>281</v>
      </c>
      <c r="F13" s="141" t="s">
        <v>282</v>
      </c>
      <c r="G13" s="164" t="s">
        <v>283</v>
      </c>
      <c r="H13" s="164" t="s">
        <v>284</v>
      </c>
      <c r="I13" s="140" t="s">
        <v>285</v>
      </c>
      <c r="J13" s="164" t="s">
        <v>286</v>
      </c>
      <c r="K13" s="163" t="s">
        <v>328</v>
      </c>
      <c r="L13" s="164" t="s">
        <v>287</v>
      </c>
      <c r="M13" s="165" t="s">
        <v>194</v>
      </c>
      <c r="N13" s="165" t="s">
        <v>288</v>
      </c>
    </row>
    <row r="14" spans="1:14" x14ac:dyDescent="0.3">
      <c r="A14" s="160" t="s">
        <v>249</v>
      </c>
      <c r="B14" s="159" t="s">
        <v>250</v>
      </c>
      <c r="C14" s="159">
        <v>9</v>
      </c>
      <c r="D14" s="163" t="s">
        <v>309</v>
      </c>
      <c r="E14" s="164" t="s">
        <v>310</v>
      </c>
      <c r="F14" s="141" t="s">
        <v>311</v>
      </c>
      <c r="G14" s="163" t="s">
        <v>312</v>
      </c>
      <c r="H14" s="164" t="s">
        <v>313</v>
      </c>
      <c r="I14" s="141" t="s">
        <v>314</v>
      </c>
      <c r="J14" s="164" t="s">
        <v>315</v>
      </c>
      <c r="K14" s="164" t="s">
        <v>316</v>
      </c>
      <c r="L14" s="164" t="s">
        <v>317</v>
      </c>
      <c r="M14" s="165" t="s">
        <v>248</v>
      </c>
      <c r="N14" s="165">
        <v>94105</v>
      </c>
    </row>
    <row r="15" spans="1:14" x14ac:dyDescent="0.3">
      <c r="A15" s="160" t="s">
        <v>255</v>
      </c>
      <c r="B15" s="159" t="s">
        <v>256</v>
      </c>
      <c r="C15" s="159">
        <v>10</v>
      </c>
      <c r="D15" s="163" t="s">
        <v>318</v>
      </c>
      <c r="E15" s="163" t="s">
        <v>319</v>
      </c>
      <c r="F15" s="140" t="s">
        <v>320</v>
      </c>
      <c r="G15" s="163" t="s">
        <v>324</v>
      </c>
      <c r="H15" s="164"/>
      <c r="I15" s="164"/>
      <c r="J15" s="164" t="s">
        <v>321</v>
      </c>
      <c r="K15" s="164" t="s">
        <v>322</v>
      </c>
      <c r="L15" s="164" t="s">
        <v>323</v>
      </c>
      <c r="M15" s="165" t="s">
        <v>260</v>
      </c>
      <c r="N15" s="165">
        <v>98101</v>
      </c>
    </row>
    <row r="16" spans="1:14" x14ac:dyDescent="0.3">
      <c r="A16" s="160" t="s">
        <v>205</v>
      </c>
      <c r="B16" s="159" t="s">
        <v>206</v>
      </c>
      <c r="C16" s="159">
        <v>5</v>
      </c>
      <c r="D16" s="163" t="s">
        <v>289</v>
      </c>
      <c r="E16" s="164" t="s">
        <v>290</v>
      </c>
      <c r="F16" s="141" t="s">
        <v>291</v>
      </c>
      <c r="G16" s="164" t="s">
        <v>324</v>
      </c>
      <c r="H16" s="164"/>
      <c r="I16" s="164"/>
      <c r="J16" s="163" t="s">
        <v>292</v>
      </c>
      <c r="K16" s="163" t="s">
        <v>329</v>
      </c>
      <c r="L16" s="164" t="s">
        <v>293</v>
      </c>
      <c r="M16" s="165" t="s">
        <v>206</v>
      </c>
      <c r="N16" s="165" t="s">
        <v>294</v>
      </c>
    </row>
    <row r="17" spans="1:14" x14ac:dyDescent="0.3">
      <c r="A17" s="160" t="s">
        <v>207</v>
      </c>
      <c r="B17" s="159" t="s">
        <v>208</v>
      </c>
      <c r="C17" s="159">
        <v>5</v>
      </c>
      <c r="D17" s="163" t="s">
        <v>289</v>
      </c>
      <c r="E17" s="164" t="s">
        <v>290</v>
      </c>
      <c r="F17" s="141" t="s">
        <v>291</v>
      </c>
      <c r="G17" s="164" t="s">
        <v>324</v>
      </c>
      <c r="H17" s="164"/>
      <c r="I17" s="164"/>
      <c r="J17" s="163" t="s">
        <v>292</v>
      </c>
      <c r="K17" s="163" t="s">
        <v>329</v>
      </c>
      <c r="L17" s="164" t="s">
        <v>293</v>
      </c>
      <c r="M17" s="165" t="s">
        <v>206</v>
      </c>
      <c r="N17" s="165" t="s">
        <v>294</v>
      </c>
    </row>
    <row r="18" spans="1:14" x14ac:dyDescent="0.3">
      <c r="A18" s="160" t="s">
        <v>226</v>
      </c>
      <c r="B18" s="159" t="s">
        <v>227</v>
      </c>
      <c r="C18" s="159">
        <v>7</v>
      </c>
      <c r="D18" s="163" t="s">
        <v>295</v>
      </c>
      <c r="E18" s="164" t="s">
        <v>296</v>
      </c>
      <c r="F18" s="141" t="s">
        <v>297</v>
      </c>
      <c r="G18" s="164" t="s">
        <v>324</v>
      </c>
      <c r="H18" s="164"/>
      <c r="I18" s="164"/>
      <c r="J18" s="254" t="s">
        <v>404</v>
      </c>
      <c r="K18" s="254" t="s">
        <v>405</v>
      </c>
      <c r="L18" s="255" t="s">
        <v>406</v>
      </c>
      <c r="M18" s="165" t="s">
        <v>298</v>
      </c>
      <c r="N18" s="165">
        <v>66219</v>
      </c>
    </row>
    <row r="19" spans="1:14" x14ac:dyDescent="0.3">
      <c r="A19" s="160" t="s">
        <v>228</v>
      </c>
      <c r="B19" s="159" t="s">
        <v>229</v>
      </c>
      <c r="C19" s="159">
        <v>7</v>
      </c>
      <c r="D19" s="163" t="s">
        <v>295</v>
      </c>
      <c r="E19" s="164" t="s">
        <v>296</v>
      </c>
      <c r="F19" s="141" t="s">
        <v>297</v>
      </c>
      <c r="G19" s="164" t="s">
        <v>324</v>
      </c>
      <c r="H19" s="164"/>
      <c r="I19" s="164"/>
      <c r="J19" s="254" t="s">
        <v>404</v>
      </c>
      <c r="K19" s="254" t="s">
        <v>405</v>
      </c>
      <c r="L19" s="255" t="s">
        <v>406</v>
      </c>
      <c r="M19" s="165" t="s">
        <v>298</v>
      </c>
      <c r="N19" s="165">
        <v>66219</v>
      </c>
    </row>
    <row r="20" spans="1:14" x14ac:dyDescent="0.3">
      <c r="A20" s="160" t="s">
        <v>195</v>
      </c>
      <c r="B20" s="159" t="s">
        <v>196</v>
      </c>
      <c r="C20" s="159">
        <v>4</v>
      </c>
      <c r="D20" s="163" t="s">
        <v>280</v>
      </c>
      <c r="E20" s="164" t="s">
        <v>281</v>
      </c>
      <c r="F20" s="141" t="s">
        <v>282</v>
      </c>
      <c r="G20" s="164" t="s">
        <v>283</v>
      </c>
      <c r="H20" s="164" t="s">
        <v>284</v>
      </c>
      <c r="I20" s="140" t="s">
        <v>285</v>
      </c>
      <c r="J20" s="164" t="s">
        <v>286</v>
      </c>
      <c r="K20" s="163" t="s">
        <v>328</v>
      </c>
      <c r="L20" s="164" t="s">
        <v>287</v>
      </c>
      <c r="M20" s="165" t="s">
        <v>194</v>
      </c>
      <c r="N20" s="165" t="s">
        <v>288</v>
      </c>
    </row>
    <row r="21" spans="1:14" x14ac:dyDescent="0.3">
      <c r="A21" s="255" t="s">
        <v>408</v>
      </c>
      <c r="B21" s="159" t="s">
        <v>219</v>
      </c>
      <c r="C21" s="159">
        <v>6</v>
      </c>
      <c r="D21" s="163" t="s">
        <v>351</v>
      </c>
      <c r="E21" s="255" t="s">
        <v>352</v>
      </c>
      <c r="F21" s="166" t="s">
        <v>353</v>
      </c>
      <c r="G21" s="164" t="s">
        <v>324</v>
      </c>
      <c r="H21" s="164"/>
      <c r="I21" s="164"/>
      <c r="J21" s="163" t="s">
        <v>354</v>
      </c>
      <c r="K21" s="163" t="s">
        <v>355</v>
      </c>
      <c r="L21" s="164" t="s">
        <v>356</v>
      </c>
      <c r="M21" s="165" t="s">
        <v>225</v>
      </c>
      <c r="N21" s="165" t="s">
        <v>357</v>
      </c>
    </row>
    <row r="22" spans="1:14" x14ac:dyDescent="0.3">
      <c r="A22" s="160" t="s">
        <v>164</v>
      </c>
      <c r="B22" s="159" t="s">
        <v>165</v>
      </c>
      <c r="C22" s="159">
        <v>1</v>
      </c>
      <c r="D22" s="164" t="s">
        <v>262</v>
      </c>
      <c r="E22" s="164" t="s">
        <v>267</v>
      </c>
      <c r="F22" s="140" t="s">
        <v>268</v>
      </c>
      <c r="G22" s="164" t="s">
        <v>324</v>
      </c>
      <c r="H22" s="164"/>
      <c r="I22" s="164"/>
      <c r="J22" s="163" t="s">
        <v>325</v>
      </c>
      <c r="K22" s="163" t="s">
        <v>326</v>
      </c>
      <c r="L22" s="164" t="s">
        <v>265</v>
      </c>
      <c r="M22" s="165" t="s">
        <v>167</v>
      </c>
      <c r="N22" s="165" t="s">
        <v>266</v>
      </c>
    </row>
    <row r="23" spans="1:14" x14ac:dyDescent="0.3">
      <c r="A23" s="160" t="s">
        <v>166</v>
      </c>
      <c r="B23" s="159" t="s">
        <v>167</v>
      </c>
      <c r="C23" s="159">
        <v>1</v>
      </c>
      <c r="D23" s="164" t="s">
        <v>262</v>
      </c>
      <c r="E23" s="164" t="s">
        <v>267</v>
      </c>
      <c r="F23" s="140" t="s">
        <v>268</v>
      </c>
      <c r="G23" s="164" t="s">
        <v>324</v>
      </c>
      <c r="H23" s="164"/>
      <c r="I23" s="164"/>
      <c r="J23" s="163" t="s">
        <v>325</v>
      </c>
      <c r="K23" s="163" t="s">
        <v>326</v>
      </c>
      <c r="L23" s="164" t="s">
        <v>265</v>
      </c>
      <c r="M23" s="165" t="s">
        <v>167</v>
      </c>
      <c r="N23" s="165" t="s">
        <v>266</v>
      </c>
    </row>
    <row r="24" spans="1:14" x14ac:dyDescent="0.3">
      <c r="A24" s="160" t="s">
        <v>209</v>
      </c>
      <c r="B24" s="159" t="s">
        <v>210</v>
      </c>
      <c r="C24" s="159">
        <v>5</v>
      </c>
      <c r="D24" s="163" t="s">
        <v>289</v>
      </c>
      <c r="E24" s="164" t="s">
        <v>290</v>
      </c>
      <c r="F24" s="141" t="s">
        <v>291</v>
      </c>
      <c r="G24" s="164" t="s">
        <v>324</v>
      </c>
      <c r="H24" s="164"/>
      <c r="I24" s="164"/>
      <c r="J24" s="163" t="s">
        <v>292</v>
      </c>
      <c r="K24" s="163" t="s">
        <v>329</v>
      </c>
      <c r="L24" s="164" t="s">
        <v>293</v>
      </c>
      <c r="M24" s="165" t="s">
        <v>206</v>
      </c>
      <c r="N24" s="165" t="s">
        <v>294</v>
      </c>
    </row>
    <row r="25" spans="1:14" x14ac:dyDescent="0.3">
      <c r="A25" s="160" t="s">
        <v>211</v>
      </c>
      <c r="B25" s="159" t="s">
        <v>212</v>
      </c>
      <c r="C25" s="159">
        <v>5</v>
      </c>
      <c r="D25" s="163" t="s">
        <v>289</v>
      </c>
      <c r="E25" s="164" t="s">
        <v>290</v>
      </c>
      <c r="F25" s="141" t="s">
        <v>291</v>
      </c>
      <c r="G25" s="164" t="s">
        <v>324</v>
      </c>
      <c r="H25" s="164"/>
      <c r="I25" s="164"/>
      <c r="J25" s="163" t="s">
        <v>292</v>
      </c>
      <c r="K25" s="163" t="s">
        <v>329</v>
      </c>
      <c r="L25" s="164" t="s">
        <v>293</v>
      </c>
      <c r="M25" s="165" t="s">
        <v>206</v>
      </c>
      <c r="N25" s="165" t="s">
        <v>294</v>
      </c>
    </row>
    <row r="26" spans="1:14" x14ac:dyDescent="0.3">
      <c r="A26" s="160" t="s">
        <v>197</v>
      </c>
      <c r="B26" s="159" t="s">
        <v>198</v>
      </c>
      <c r="C26" s="159">
        <v>4</v>
      </c>
      <c r="D26" s="163" t="s">
        <v>280</v>
      </c>
      <c r="E26" s="164" t="s">
        <v>281</v>
      </c>
      <c r="F26" s="141" t="s">
        <v>282</v>
      </c>
      <c r="G26" s="164" t="s">
        <v>283</v>
      </c>
      <c r="H26" s="164" t="s">
        <v>284</v>
      </c>
      <c r="I26" s="140" t="s">
        <v>285</v>
      </c>
      <c r="J26" s="164" t="s">
        <v>286</v>
      </c>
      <c r="K26" s="163" t="s">
        <v>328</v>
      </c>
      <c r="L26" s="164" t="s">
        <v>287</v>
      </c>
      <c r="M26" s="165" t="s">
        <v>194</v>
      </c>
      <c r="N26" s="165" t="s">
        <v>288</v>
      </c>
    </row>
    <row r="27" spans="1:14" x14ac:dyDescent="0.3">
      <c r="A27" s="160" t="s">
        <v>230</v>
      </c>
      <c r="B27" s="159" t="s">
        <v>231</v>
      </c>
      <c r="C27" s="159">
        <v>7</v>
      </c>
      <c r="D27" s="163" t="s">
        <v>295</v>
      </c>
      <c r="E27" s="164" t="s">
        <v>296</v>
      </c>
      <c r="F27" s="141" t="s">
        <v>297</v>
      </c>
      <c r="G27" s="164" t="s">
        <v>324</v>
      </c>
      <c r="H27" s="164"/>
      <c r="I27" s="164"/>
      <c r="J27" s="254" t="s">
        <v>404</v>
      </c>
      <c r="K27" s="254" t="s">
        <v>405</v>
      </c>
      <c r="L27" s="255" t="s">
        <v>406</v>
      </c>
      <c r="M27" s="165" t="s">
        <v>298</v>
      </c>
      <c r="N27" s="165">
        <v>66219</v>
      </c>
    </row>
    <row r="28" spans="1:14" x14ac:dyDescent="0.3">
      <c r="A28" s="160" t="s">
        <v>235</v>
      </c>
      <c r="B28" s="159" t="s">
        <v>236</v>
      </c>
      <c r="C28" s="159">
        <v>8</v>
      </c>
      <c r="D28" s="163" t="s">
        <v>299</v>
      </c>
      <c r="E28" s="164" t="s">
        <v>300</v>
      </c>
      <c r="F28" s="141" t="s">
        <v>301</v>
      </c>
      <c r="G28" s="163" t="s">
        <v>302</v>
      </c>
      <c r="H28" s="164" t="s">
        <v>303</v>
      </c>
      <c r="I28" s="140" t="s">
        <v>304</v>
      </c>
      <c r="J28" s="163" t="s">
        <v>305</v>
      </c>
      <c r="K28" s="163" t="s">
        <v>306</v>
      </c>
      <c r="L28" s="164" t="s">
        <v>307</v>
      </c>
      <c r="M28" s="165" t="s">
        <v>54</v>
      </c>
      <c r="N28" s="165" t="s">
        <v>308</v>
      </c>
    </row>
    <row r="29" spans="1:14" x14ac:dyDescent="0.3">
      <c r="A29" s="160" t="s">
        <v>232</v>
      </c>
      <c r="B29" s="159" t="s">
        <v>233</v>
      </c>
      <c r="C29" s="159">
        <v>7</v>
      </c>
      <c r="D29" s="163" t="s">
        <v>295</v>
      </c>
      <c r="E29" s="164" t="s">
        <v>296</v>
      </c>
      <c r="F29" s="141" t="s">
        <v>297</v>
      </c>
      <c r="G29" s="164" t="s">
        <v>324</v>
      </c>
      <c r="H29" s="164"/>
      <c r="I29" s="164"/>
      <c r="J29" s="254" t="s">
        <v>404</v>
      </c>
      <c r="K29" s="254" t="s">
        <v>405</v>
      </c>
      <c r="L29" s="255" t="s">
        <v>406</v>
      </c>
      <c r="M29" s="165" t="s">
        <v>298</v>
      </c>
      <c r="N29" s="165">
        <v>66219</v>
      </c>
    </row>
    <row r="30" spans="1:14" x14ac:dyDescent="0.3">
      <c r="A30" s="160" t="s">
        <v>251</v>
      </c>
      <c r="B30" s="159" t="s">
        <v>252</v>
      </c>
      <c r="C30" s="159">
        <v>9</v>
      </c>
      <c r="D30" s="163" t="s">
        <v>309</v>
      </c>
      <c r="E30" s="164" t="s">
        <v>310</v>
      </c>
      <c r="F30" s="141" t="s">
        <v>311</v>
      </c>
      <c r="G30" s="163" t="s">
        <v>312</v>
      </c>
      <c r="H30" s="164" t="s">
        <v>313</v>
      </c>
      <c r="I30" s="141" t="s">
        <v>314</v>
      </c>
      <c r="J30" s="164" t="s">
        <v>315</v>
      </c>
      <c r="K30" s="164" t="s">
        <v>316</v>
      </c>
      <c r="L30" s="164" t="s">
        <v>317</v>
      </c>
      <c r="M30" s="165" t="s">
        <v>248</v>
      </c>
      <c r="N30" s="165">
        <v>94105</v>
      </c>
    </row>
    <row r="31" spans="1:14" x14ac:dyDescent="0.3">
      <c r="A31" s="160" t="s">
        <v>168</v>
      </c>
      <c r="B31" s="159" t="s">
        <v>169</v>
      </c>
      <c r="C31" s="159">
        <v>1</v>
      </c>
      <c r="D31" s="164" t="s">
        <v>262</v>
      </c>
      <c r="E31" s="164" t="s">
        <v>267</v>
      </c>
      <c r="F31" s="140" t="s">
        <v>268</v>
      </c>
      <c r="G31" s="164" t="s">
        <v>324</v>
      </c>
      <c r="H31" s="164"/>
      <c r="I31" s="164"/>
      <c r="J31" s="163" t="s">
        <v>325</v>
      </c>
      <c r="K31" s="163" t="s">
        <v>326</v>
      </c>
      <c r="L31" s="164" t="s">
        <v>265</v>
      </c>
      <c r="M31" s="165" t="s">
        <v>167</v>
      </c>
      <c r="N31" s="165" t="s">
        <v>266</v>
      </c>
    </row>
    <row r="32" spans="1:14" x14ac:dyDescent="0.3">
      <c r="A32" s="160" t="s">
        <v>174</v>
      </c>
      <c r="B32" s="159" t="s">
        <v>175</v>
      </c>
      <c r="C32" s="159">
        <v>2</v>
      </c>
      <c r="D32" s="164" t="s">
        <v>272</v>
      </c>
      <c r="E32" s="164" t="s">
        <v>273</v>
      </c>
      <c r="F32" s="140" t="s">
        <v>274</v>
      </c>
      <c r="G32" s="163" t="s">
        <v>275</v>
      </c>
      <c r="H32" s="164" t="s">
        <v>276</v>
      </c>
      <c r="I32" s="140" t="s">
        <v>277</v>
      </c>
      <c r="J32" s="163" t="s">
        <v>278</v>
      </c>
      <c r="K32" s="163" t="s">
        <v>327</v>
      </c>
      <c r="L32" s="164" t="s">
        <v>176</v>
      </c>
      <c r="M32" s="165" t="s">
        <v>177</v>
      </c>
      <c r="N32" s="165" t="s">
        <v>279</v>
      </c>
    </row>
    <row r="33" spans="1:14" x14ac:dyDescent="0.3">
      <c r="A33" s="160" t="s">
        <v>220</v>
      </c>
      <c r="B33" s="159" t="s">
        <v>221</v>
      </c>
      <c r="C33" s="159">
        <v>6</v>
      </c>
      <c r="D33" s="163" t="s">
        <v>351</v>
      </c>
      <c r="E33" s="255" t="s">
        <v>352</v>
      </c>
      <c r="F33" s="166" t="s">
        <v>353</v>
      </c>
      <c r="G33" s="164" t="s">
        <v>324</v>
      </c>
      <c r="H33" s="164"/>
      <c r="I33" s="164"/>
      <c r="J33" s="163" t="s">
        <v>354</v>
      </c>
      <c r="K33" s="163" t="s">
        <v>355</v>
      </c>
      <c r="L33" s="164" t="s">
        <v>356</v>
      </c>
      <c r="M33" s="165" t="s">
        <v>225</v>
      </c>
      <c r="N33" s="165" t="s">
        <v>357</v>
      </c>
    </row>
    <row r="34" spans="1:14" x14ac:dyDescent="0.3">
      <c r="A34" s="160" t="s">
        <v>176</v>
      </c>
      <c r="B34" s="159" t="s">
        <v>177</v>
      </c>
      <c r="C34" s="159">
        <v>2</v>
      </c>
      <c r="D34" s="164" t="s">
        <v>272</v>
      </c>
      <c r="E34" s="164" t="s">
        <v>273</v>
      </c>
      <c r="F34" s="140" t="s">
        <v>274</v>
      </c>
      <c r="G34" s="163" t="s">
        <v>275</v>
      </c>
      <c r="H34" s="164" t="s">
        <v>276</v>
      </c>
      <c r="I34" s="140" t="s">
        <v>277</v>
      </c>
      <c r="J34" s="163" t="s">
        <v>278</v>
      </c>
      <c r="K34" s="163" t="s">
        <v>327</v>
      </c>
      <c r="L34" s="164" t="s">
        <v>176</v>
      </c>
      <c r="M34" s="165" t="s">
        <v>177</v>
      </c>
      <c r="N34" s="165" t="s">
        <v>279</v>
      </c>
    </row>
    <row r="35" spans="1:14" x14ac:dyDescent="0.3">
      <c r="A35" s="160" t="s">
        <v>199</v>
      </c>
      <c r="B35" s="159" t="s">
        <v>200</v>
      </c>
      <c r="C35" s="159">
        <v>4</v>
      </c>
      <c r="D35" s="163" t="s">
        <v>280</v>
      </c>
      <c r="E35" s="164" t="s">
        <v>281</v>
      </c>
      <c r="F35" s="141" t="s">
        <v>282</v>
      </c>
      <c r="G35" s="164" t="s">
        <v>283</v>
      </c>
      <c r="H35" s="164" t="s">
        <v>284</v>
      </c>
      <c r="I35" s="140" t="s">
        <v>285</v>
      </c>
      <c r="J35" s="164" t="s">
        <v>286</v>
      </c>
      <c r="K35" s="163" t="s">
        <v>328</v>
      </c>
      <c r="L35" s="164" t="s">
        <v>287</v>
      </c>
      <c r="M35" s="165" t="s">
        <v>194</v>
      </c>
      <c r="N35" s="165" t="s">
        <v>288</v>
      </c>
    </row>
    <row r="36" spans="1:14" x14ac:dyDescent="0.3">
      <c r="A36" s="160" t="s">
        <v>237</v>
      </c>
      <c r="B36" s="159" t="s">
        <v>238</v>
      </c>
      <c r="C36" s="159">
        <v>8</v>
      </c>
      <c r="D36" s="163" t="s">
        <v>299</v>
      </c>
      <c r="E36" s="164" t="s">
        <v>300</v>
      </c>
      <c r="F36" s="141" t="s">
        <v>301</v>
      </c>
      <c r="G36" s="163" t="s">
        <v>302</v>
      </c>
      <c r="H36" s="164" t="s">
        <v>303</v>
      </c>
      <c r="I36" s="140" t="s">
        <v>304</v>
      </c>
      <c r="J36" s="163" t="s">
        <v>305</v>
      </c>
      <c r="K36" s="163" t="s">
        <v>306</v>
      </c>
      <c r="L36" s="164" t="s">
        <v>307</v>
      </c>
      <c r="M36" s="165" t="s">
        <v>54</v>
      </c>
      <c r="N36" s="165" t="s">
        <v>308</v>
      </c>
    </row>
    <row r="37" spans="1:14" x14ac:dyDescent="0.3">
      <c r="A37" s="160" t="s">
        <v>213</v>
      </c>
      <c r="B37" s="159" t="s">
        <v>214</v>
      </c>
      <c r="C37" s="159">
        <v>5</v>
      </c>
      <c r="D37" s="163" t="s">
        <v>289</v>
      </c>
      <c r="E37" s="164" t="s">
        <v>290</v>
      </c>
      <c r="F37" s="141" t="s">
        <v>291</v>
      </c>
      <c r="G37" s="164" t="s">
        <v>324</v>
      </c>
      <c r="H37" s="164"/>
      <c r="I37" s="164"/>
      <c r="J37" s="163" t="s">
        <v>292</v>
      </c>
      <c r="K37" s="163" t="s">
        <v>329</v>
      </c>
      <c r="L37" s="164" t="s">
        <v>293</v>
      </c>
      <c r="M37" s="165" t="s">
        <v>206</v>
      </c>
      <c r="N37" s="165" t="s">
        <v>294</v>
      </c>
    </row>
    <row r="38" spans="1:14" x14ac:dyDescent="0.3">
      <c r="A38" s="160" t="s">
        <v>222</v>
      </c>
      <c r="B38" s="159" t="s">
        <v>223</v>
      </c>
      <c r="C38" s="159">
        <v>6</v>
      </c>
      <c r="D38" s="163" t="s">
        <v>351</v>
      </c>
      <c r="E38" s="255" t="s">
        <v>352</v>
      </c>
      <c r="F38" s="166" t="s">
        <v>353</v>
      </c>
      <c r="G38" s="164" t="s">
        <v>324</v>
      </c>
      <c r="H38" s="164"/>
      <c r="I38" s="164"/>
      <c r="J38" s="163" t="s">
        <v>354</v>
      </c>
      <c r="K38" s="163" t="s">
        <v>355</v>
      </c>
      <c r="L38" s="164" t="s">
        <v>356</v>
      </c>
      <c r="M38" s="165" t="s">
        <v>225</v>
      </c>
      <c r="N38" s="165" t="s">
        <v>357</v>
      </c>
    </row>
    <row r="39" spans="1:14" x14ac:dyDescent="0.3">
      <c r="A39" s="160" t="s">
        <v>257</v>
      </c>
      <c r="B39" s="159" t="s">
        <v>258</v>
      </c>
      <c r="C39" s="159">
        <v>10</v>
      </c>
      <c r="D39" s="163" t="s">
        <v>318</v>
      </c>
      <c r="E39" s="163" t="s">
        <v>319</v>
      </c>
      <c r="F39" s="140" t="s">
        <v>320</v>
      </c>
      <c r="G39" s="163" t="s">
        <v>324</v>
      </c>
      <c r="H39" s="164"/>
      <c r="I39" s="164"/>
      <c r="J39" s="164" t="s">
        <v>321</v>
      </c>
      <c r="K39" s="164" t="s">
        <v>322</v>
      </c>
      <c r="L39" s="164" t="s">
        <v>323</v>
      </c>
      <c r="M39" s="165" t="s">
        <v>260</v>
      </c>
      <c r="N39" s="165">
        <v>98101</v>
      </c>
    </row>
    <row r="40" spans="1:14" x14ac:dyDescent="0.3">
      <c r="A40" s="160" t="s">
        <v>170</v>
      </c>
      <c r="B40" s="159" t="s">
        <v>171</v>
      </c>
      <c r="C40" s="159">
        <v>1</v>
      </c>
      <c r="D40" s="164" t="s">
        <v>262</v>
      </c>
      <c r="E40" s="164" t="s">
        <v>267</v>
      </c>
      <c r="F40" s="140" t="s">
        <v>268</v>
      </c>
      <c r="G40" s="164" t="s">
        <v>324</v>
      </c>
      <c r="H40" s="164"/>
      <c r="I40" s="164"/>
      <c r="J40" s="163" t="s">
        <v>325</v>
      </c>
      <c r="K40" s="163" t="s">
        <v>326</v>
      </c>
      <c r="L40" s="164" t="s">
        <v>265</v>
      </c>
      <c r="M40" s="165" t="s">
        <v>167</v>
      </c>
      <c r="N40" s="165" t="s">
        <v>266</v>
      </c>
    </row>
    <row r="41" spans="1:14" x14ac:dyDescent="0.3">
      <c r="A41" s="160" t="s">
        <v>201</v>
      </c>
      <c r="B41" s="159" t="s">
        <v>202</v>
      </c>
      <c r="C41" s="159">
        <v>4</v>
      </c>
      <c r="D41" s="163" t="s">
        <v>280</v>
      </c>
      <c r="E41" s="164" t="s">
        <v>281</v>
      </c>
      <c r="F41" s="141" t="s">
        <v>282</v>
      </c>
      <c r="G41" s="164" t="s">
        <v>283</v>
      </c>
      <c r="H41" s="164" t="s">
        <v>284</v>
      </c>
      <c r="I41" s="140" t="s">
        <v>285</v>
      </c>
      <c r="J41" s="164" t="s">
        <v>286</v>
      </c>
      <c r="K41" s="163" t="s">
        <v>328</v>
      </c>
      <c r="L41" s="164" t="s">
        <v>287</v>
      </c>
      <c r="M41" s="165" t="s">
        <v>194</v>
      </c>
      <c r="N41" s="165" t="s">
        <v>288</v>
      </c>
    </row>
    <row r="42" spans="1:14" x14ac:dyDescent="0.3">
      <c r="A42" s="160" t="s">
        <v>239</v>
      </c>
      <c r="B42" s="159" t="s">
        <v>240</v>
      </c>
      <c r="C42" s="159">
        <v>8</v>
      </c>
      <c r="D42" s="163" t="s">
        <v>299</v>
      </c>
      <c r="E42" s="164" t="s">
        <v>300</v>
      </c>
      <c r="F42" s="141" t="s">
        <v>301</v>
      </c>
      <c r="G42" s="163" t="s">
        <v>302</v>
      </c>
      <c r="H42" s="164" t="s">
        <v>303</v>
      </c>
      <c r="I42" s="140" t="s">
        <v>304</v>
      </c>
      <c r="J42" s="163" t="s">
        <v>305</v>
      </c>
      <c r="K42" s="163" t="s">
        <v>306</v>
      </c>
      <c r="L42" s="164" t="s">
        <v>307</v>
      </c>
      <c r="M42" s="165" t="s">
        <v>54</v>
      </c>
      <c r="N42" s="165" t="s">
        <v>308</v>
      </c>
    </row>
    <row r="43" spans="1:14" x14ac:dyDescent="0.3">
      <c r="A43" s="160" t="s">
        <v>203</v>
      </c>
      <c r="B43" s="159" t="s">
        <v>204</v>
      </c>
      <c r="C43" s="159">
        <v>4</v>
      </c>
      <c r="D43" s="163" t="s">
        <v>280</v>
      </c>
      <c r="E43" s="164" t="s">
        <v>281</v>
      </c>
      <c r="F43" s="141" t="s">
        <v>282</v>
      </c>
      <c r="G43" s="164" t="s">
        <v>283</v>
      </c>
      <c r="H43" s="164" t="s">
        <v>284</v>
      </c>
      <c r="I43" s="140" t="s">
        <v>285</v>
      </c>
      <c r="J43" s="164" t="s">
        <v>286</v>
      </c>
      <c r="K43" s="163" t="s">
        <v>328</v>
      </c>
      <c r="L43" s="164" t="s">
        <v>287</v>
      </c>
      <c r="M43" s="165" t="s">
        <v>194</v>
      </c>
      <c r="N43" s="165" t="s">
        <v>288</v>
      </c>
    </row>
    <row r="44" spans="1:14" x14ac:dyDescent="0.3">
      <c r="A44" s="160" t="s">
        <v>224</v>
      </c>
      <c r="B44" s="159" t="s">
        <v>225</v>
      </c>
      <c r="C44" s="159">
        <v>6</v>
      </c>
      <c r="D44" s="163" t="s">
        <v>351</v>
      </c>
      <c r="E44" s="255" t="s">
        <v>352</v>
      </c>
      <c r="F44" s="166" t="s">
        <v>353</v>
      </c>
      <c r="G44" s="164" t="s">
        <v>324</v>
      </c>
      <c r="H44" s="164"/>
      <c r="I44" s="164"/>
      <c r="J44" s="163" t="s">
        <v>354</v>
      </c>
      <c r="K44" s="163" t="s">
        <v>355</v>
      </c>
      <c r="L44" s="164" t="s">
        <v>356</v>
      </c>
      <c r="M44" s="165" t="s">
        <v>225</v>
      </c>
      <c r="N44" s="165" t="s">
        <v>357</v>
      </c>
    </row>
    <row r="45" spans="1:14" x14ac:dyDescent="0.3">
      <c r="A45" s="160" t="s">
        <v>241</v>
      </c>
      <c r="B45" s="159" t="s">
        <v>242</v>
      </c>
      <c r="C45" s="159">
        <v>8</v>
      </c>
      <c r="D45" s="163" t="s">
        <v>299</v>
      </c>
      <c r="E45" s="164" t="s">
        <v>300</v>
      </c>
      <c r="F45" s="141" t="s">
        <v>301</v>
      </c>
      <c r="G45" s="163" t="s">
        <v>302</v>
      </c>
      <c r="H45" s="164" t="s">
        <v>303</v>
      </c>
      <c r="I45" s="140" t="s">
        <v>304</v>
      </c>
      <c r="J45" s="163" t="s">
        <v>305</v>
      </c>
      <c r="K45" s="163" t="s">
        <v>306</v>
      </c>
      <c r="L45" s="164" t="s">
        <v>307</v>
      </c>
      <c r="M45" s="165" t="s">
        <v>54</v>
      </c>
      <c r="N45" s="165" t="s">
        <v>308</v>
      </c>
    </row>
    <row r="46" spans="1:14" x14ac:dyDescent="0.3">
      <c r="A46" s="160" t="s">
        <v>172</v>
      </c>
      <c r="B46" s="159" t="s">
        <v>173</v>
      </c>
      <c r="C46" s="159">
        <v>1</v>
      </c>
      <c r="D46" s="164" t="s">
        <v>262</v>
      </c>
      <c r="E46" s="164" t="s">
        <v>267</v>
      </c>
      <c r="F46" s="140" t="s">
        <v>268</v>
      </c>
      <c r="G46" s="164" t="s">
        <v>324</v>
      </c>
      <c r="H46" s="164"/>
      <c r="I46" s="164"/>
      <c r="J46" s="163" t="s">
        <v>325</v>
      </c>
      <c r="K46" s="163" t="s">
        <v>326</v>
      </c>
      <c r="L46" s="164" t="s">
        <v>265</v>
      </c>
      <c r="M46" s="165" t="s">
        <v>167</v>
      </c>
      <c r="N46" s="165" t="s">
        <v>266</v>
      </c>
    </row>
    <row r="47" spans="1:14" x14ac:dyDescent="0.3">
      <c r="A47" s="160" t="s">
        <v>259</v>
      </c>
      <c r="B47" s="159" t="s">
        <v>260</v>
      </c>
      <c r="C47" s="159">
        <v>10</v>
      </c>
      <c r="D47" s="163" t="s">
        <v>318</v>
      </c>
      <c r="E47" s="163" t="s">
        <v>319</v>
      </c>
      <c r="F47" s="140" t="s">
        <v>320</v>
      </c>
      <c r="G47" s="163" t="s">
        <v>324</v>
      </c>
      <c r="H47" s="164"/>
      <c r="I47" s="164"/>
      <c r="J47" s="164" t="s">
        <v>321</v>
      </c>
      <c r="K47" s="164" t="s">
        <v>322</v>
      </c>
      <c r="L47" s="164" t="s">
        <v>323</v>
      </c>
      <c r="M47" s="165" t="s">
        <v>260</v>
      </c>
      <c r="N47" s="165">
        <v>98101</v>
      </c>
    </row>
    <row r="48" spans="1:14" x14ac:dyDescent="0.3">
      <c r="A48" s="160" t="s">
        <v>215</v>
      </c>
      <c r="B48" s="159" t="s">
        <v>216</v>
      </c>
      <c r="C48" s="159">
        <v>5</v>
      </c>
      <c r="D48" s="163" t="s">
        <v>289</v>
      </c>
      <c r="E48" s="164" t="s">
        <v>290</v>
      </c>
      <c r="F48" s="141" t="s">
        <v>291</v>
      </c>
      <c r="G48" s="164" t="s">
        <v>324</v>
      </c>
      <c r="H48" s="164"/>
      <c r="I48" s="164"/>
      <c r="J48" s="163" t="s">
        <v>292</v>
      </c>
      <c r="K48" s="163" t="s">
        <v>329</v>
      </c>
      <c r="L48" s="164" t="s">
        <v>293</v>
      </c>
      <c r="M48" s="165" t="s">
        <v>206</v>
      </c>
      <c r="N48" s="165" t="s">
        <v>294</v>
      </c>
    </row>
    <row r="49" spans="1:14" x14ac:dyDescent="0.3">
      <c r="A49" s="160" t="s">
        <v>243</v>
      </c>
      <c r="B49" s="159" t="s">
        <v>244</v>
      </c>
      <c r="C49" s="159">
        <v>8</v>
      </c>
      <c r="D49" s="163" t="s">
        <v>299</v>
      </c>
      <c r="E49" s="164" t="s">
        <v>300</v>
      </c>
      <c r="F49" s="141" t="s">
        <v>301</v>
      </c>
      <c r="G49" s="163" t="s">
        <v>302</v>
      </c>
      <c r="H49" s="164" t="s">
        <v>303</v>
      </c>
      <c r="I49" s="140" t="s">
        <v>304</v>
      </c>
      <c r="J49" s="163" t="s">
        <v>305</v>
      </c>
      <c r="K49" s="163" t="s">
        <v>306</v>
      </c>
      <c r="L49" s="164" t="s">
        <v>307</v>
      </c>
      <c r="M49" s="165" t="s">
        <v>54</v>
      </c>
      <c r="N49" s="165" t="s">
        <v>308</v>
      </c>
    </row>
    <row r="50" spans="1:14" x14ac:dyDescent="0.3">
      <c r="A50" s="160" t="s">
        <v>178</v>
      </c>
      <c r="B50" s="159" t="s">
        <v>179</v>
      </c>
      <c r="C50" s="159">
        <v>3</v>
      </c>
      <c r="D50" s="163" t="s">
        <v>324</v>
      </c>
      <c r="E50" s="164"/>
      <c r="F50" s="164"/>
      <c r="G50" s="164"/>
      <c r="H50" s="164"/>
      <c r="I50" s="164"/>
      <c r="J50" s="164"/>
      <c r="K50" s="164"/>
      <c r="L50" s="164"/>
      <c r="M50" s="165"/>
      <c r="N50" s="165"/>
    </row>
    <row r="51" spans="1:14" x14ac:dyDescent="0.3">
      <c r="A51" s="160" t="s">
        <v>180</v>
      </c>
      <c r="B51" s="159" t="s">
        <v>181</v>
      </c>
      <c r="C51" s="159">
        <v>3</v>
      </c>
      <c r="D51" s="163" t="s">
        <v>324</v>
      </c>
      <c r="E51" s="164"/>
      <c r="F51" s="164"/>
      <c r="G51" s="164"/>
      <c r="H51" s="164"/>
      <c r="I51" s="164"/>
      <c r="J51" s="164"/>
      <c r="K51" s="164"/>
      <c r="L51" s="164"/>
      <c r="M51" s="165"/>
      <c r="N51" s="165"/>
    </row>
    <row r="52" spans="1:14" x14ac:dyDescent="0.3">
      <c r="A52" s="160" t="s">
        <v>182</v>
      </c>
      <c r="B52" s="159" t="s">
        <v>183</v>
      </c>
      <c r="C52" s="159">
        <v>3</v>
      </c>
      <c r="D52" s="163" t="s">
        <v>324</v>
      </c>
      <c r="E52" s="164"/>
      <c r="F52" s="164"/>
      <c r="G52" s="164"/>
      <c r="H52" s="164"/>
      <c r="I52" s="164"/>
      <c r="J52" s="164"/>
      <c r="K52" s="164"/>
      <c r="L52" s="164"/>
      <c r="M52" s="165"/>
      <c r="N52" s="165"/>
    </row>
    <row r="53" spans="1:14" x14ac:dyDescent="0.3">
      <c r="A53" s="160" t="s">
        <v>184</v>
      </c>
      <c r="B53" s="159" t="s">
        <v>185</v>
      </c>
      <c r="C53" s="159">
        <v>3</v>
      </c>
      <c r="D53" s="163" t="s">
        <v>324</v>
      </c>
      <c r="E53" s="164"/>
      <c r="F53" s="164"/>
      <c r="G53" s="164"/>
      <c r="H53" s="164"/>
      <c r="I53" s="164"/>
      <c r="J53" s="164"/>
      <c r="K53" s="164"/>
      <c r="L53" s="164"/>
      <c r="M53" s="165"/>
      <c r="N53" s="165"/>
    </row>
    <row r="54" spans="1:14" x14ac:dyDescent="0.3">
      <c r="A54" s="160" t="s">
        <v>186</v>
      </c>
      <c r="B54" s="159" t="s">
        <v>187</v>
      </c>
      <c r="C54" s="159">
        <v>3</v>
      </c>
      <c r="D54" s="163" t="s">
        <v>324</v>
      </c>
      <c r="E54" s="164"/>
      <c r="F54" s="164"/>
      <c r="G54" s="164"/>
      <c r="H54" s="164"/>
      <c r="I54" s="164"/>
      <c r="J54" s="164"/>
      <c r="K54" s="164"/>
      <c r="L54" s="164"/>
      <c r="M54" s="165"/>
      <c r="N54" s="165"/>
    </row>
    <row r="55" spans="1:14" x14ac:dyDescent="0.3">
      <c r="A55" s="160" t="s">
        <v>188</v>
      </c>
      <c r="B55" s="159" t="s">
        <v>189</v>
      </c>
      <c r="C55" s="159">
        <v>3</v>
      </c>
      <c r="D55" s="163" t="s">
        <v>324</v>
      </c>
      <c r="E55" s="164"/>
      <c r="F55" s="164"/>
      <c r="G55" s="164"/>
      <c r="H55" s="164"/>
      <c r="I55" s="164"/>
      <c r="J55" s="164"/>
      <c r="K55" s="164"/>
      <c r="L55" s="164"/>
      <c r="M55" s="165"/>
      <c r="N55" s="165"/>
    </row>
  </sheetData>
  <sortState ref="A5:N55">
    <sortCondition ref="A5:A55"/>
  </sortState>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9" r:id="rId27" display="mailto:webber.robert@epa.gov"/>
    <hyperlink ref="F27" r:id="rId28" display="mailto:webber.robert@epa.gov"/>
    <hyperlink ref="F29" r:id="rId29" display="mailto:webber.robert@epa.gov"/>
    <hyperlink ref="F17" r:id="rId30" display="mailto:gupta.kaushal@epa.gov"/>
    <hyperlink ref="F24" r:id="rId31" display="mailto:gupta.kaushal@epa.gov"/>
    <hyperlink ref="F25" r:id="rId32" display="mailto:gupta.kaushal@epa.gov"/>
    <hyperlink ref="F37" r:id="rId33" display="mailto:gupta.kaushal@epa.gov"/>
    <hyperlink ref="F48" r:id="rId34" display="mailto:gupta.kaushal@epa.gov"/>
    <hyperlink ref="F12" r:id="rId35" display="mailto:oquendo.ana@epa.gov"/>
    <hyperlink ref="F13" r:id="rId36" display="mailto:oquendo.ana@epa.gov"/>
    <hyperlink ref="F20" r:id="rId37" display="mailto:oquendo.ana@epa.gov"/>
    <hyperlink ref="F26" r:id="rId38" display="mailto:oquendo.ana@epa.gov"/>
    <hyperlink ref="F35" r:id="rId39" display="mailto:oquendo.ana@epa.gov"/>
    <hyperlink ref="F41" r:id="rId40" display="mailto:oquendo.ana@epa.gov"/>
    <hyperlink ref="F43" r:id="rId41" display="mailto:oquendo.ana@epa.gov"/>
    <hyperlink ref="I12" r:id="rId42" display="mailto:shepherd.lorinda@epa.gov"/>
    <hyperlink ref="I13" r:id="rId43" display="mailto:shepherd.lorinda@epa.gov"/>
    <hyperlink ref="I20" r:id="rId44" display="mailto:shepherd.lorinda@epa.gov"/>
    <hyperlink ref="I26" r:id="rId45" display="mailto:shepherd.lorinda@epa.gov"/>
    <hyperlink ref="I35" r:id="rId46" display="mailto:shepherd.lorinda@epa.gov"/>
    <hyperlink ref="I41" r:id="rId47" display="mailto:shepherd.lorinda@epa.gov"/>
    <hyperlink ref="I43" r:id="rId48" display="mailto:shepherd.lorinda@epa.gov"/>
    <hyperlink ref="F7" r:id="rId49" display="mailto:glass.geoffrey@epa.gov"/>
    <hyperlink ref="I7" r:id="rId50" display="mailto:Gutierrez.roberto@epa.gov"/>
    <hyperlink ref="F9" r:id="rId51" display="mailto:glass.geoffrey@epa.gov"/>
    <hyperlink ref="F14" r:id="rId52" display="mailto:glass.geoffrey@epa.gov"/>
    <hyperlink ref="F30" r:id="rId53" display="mailto:glass.geoffrey@epa.gov"/>
    <hyperlink ref="I9" r:id="rId54" display="mailto:Gutierrez.roberto@epa.gov"/>
    <hyperlink ref="I14" r:id="rId55" display="mailto:Gutierrez.roberto@epa.gov"/>
    <hyperlink ref="I30" r:id="rId56" display="mailto:Gutierrez.roberto@epa.gov"/>
    <hyperlink ref="F6" r:id="rId57"/>
    <hyperlink ref="F15" r:id="rId58"/>
    <hyperlink ref="F39" r:id="rId59"/>
    <hyperlink ref="F47" r:id="rId60"/>
    <hyperlink ref="F8" r:id="rId61"/>
    <hyperlink ref="F21" r:id="rId62"/>
    <hyperlink ref="F33" r:id="rId63"/>
    <hyperlink ref="F38" r:id="rId64"/>
    <hyperlink ref="F44"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F52"/>
  <sheetViews>
    <sheetView showGridLines="0" showRuler="0" zoomScale="90" zoomScaleNormal="90" workbookViewId="0"/>
  </sheetViews>
  <sheetFormatPr defaultColWidth="3.33203125" defaultRowHeight="13.2" x14ac:dyDescent="0.25"/>
  <cols>
    <col min="1" max="1" width="2.44140625" style="5" customWidth="1"/>
    <col min="2" max="2" width="12.5546875" style="5" customWidth="1"/>
    <col min="3" max="3" width="35.33203125" style="5" customWidth="1"/>
    <col min="4" max="4" width="53.33203125" style="5" customWidth="1"/>
    <col min="5" max="5" width="56.33203125" style="5" customWidth="1"/>
    <col min="6" max="27" width="1.6640625" style="5" customWidth="1"/>
    <col min="28" max="16384" width="3.33203125" style="5"/>
  </cols>
  <sheetData>
    <row r="1" spans="2:5" ht="17.399999999999999" x14ac:dyDescent="0.3">
      <c r="B1" s="4" t="str">
        <f>'Change Log'!A1</f>
        <v>Internal Combustion Engine Registration Calculator</v>
      </c>
    </row>
    <row r="2" spans="2:5" ht="15.75" customHeight="1" x14ac:dyDescent="0.25">
      <c r="B2" s="357" t="str">
        <f>'Change Log'!A2</f>
        <v>v1.6 (last updated 2013.02.26)</v>
      </c>
      <c r="C2" s="357"/>
      <c r="D2" s="357"/>
    </row>
    <row r="3" spans="2:5" s="114" customFormat="1" ht="131.25" customHeight="1" x14ac:dyDescent="0.3">
      <c r="B3" s="377" t="s">
        <v>429</v>
      </c>
      <c r="C3" s="377"/>
      <c r="D3" s="377"/>
      <c r="E3" s="377"/>
    </row>
    <row r="4" spans="2:5" s="114" customFormat="1" ht="9" customHeight="1" x14ac:dyDescent="0.3">
      <c r="B4" s="115"/>
      <c r="C4" s="115"/>
      <c r="D4" s="115"/>
      <c r="E4" s="115"/>
    </row>
    <row r="5" spans="2:5" x14ac:dyDescent="0.25">
      <c r="B5" s="116" t="s">
        <v>0</v>
      </c>
    </row>
    <row r="6" spans="2:5" ht="33.75" customHeight="1" x14ac:dyDescent="0.25">
      <c r="B6" s="358" t="s">
        <v>398</v>
      </c>
      <c r="C6" s="358"/>
      <c r="D6" s="358"/>
      <c r="E6" s="358"/>
    </row>
    <row r="7" spans="2:5" ht="4.5" customHeight="1" x14ac:dyDescent="0.25">
      <c r="B7" s="27"/>
    </row>
    <row r="8" spans="2:5" ht="13.5" customHeight="1" x14ac:dyDescent="0.25">
      <c r="B8" s="116" t="s">
        <v>1</v>
      </c>
    </row>
    <row r="9" spans="2:5" ht="234.75" customHeight="1" x14ac:dyDescent="0.25">
      <c r="B9" s="359" t="s">
        <v>2</v>
      </c>
      <c r="C9" s="359"/>
      <c r="D9" s="359"/>
      <c r="E9" s="359"/>
    </row>
    <row r="10" spans="2:5" ht="4.5" customHeight="1" x14ac:dyDescent="0.25">
      <c r="B10" s="27"/>
    </row>
    <row r="11" spans="2:5" x14ac:dyDescent="0.25">
      <c r="B11" s="116" t="s">
        <v>3</v>
      </c>
    </row>
    <row r="12" spans="2:5" ht="88.5" customHeight="1" x14ac:dyDescent="0.25">
      <c r="B12" s="359" t="s">
        <v>155</v>
      </c>
      <c r="C12" s="359"/>
      <c r="D12" s="359"/>
      <c r="E12" s="359"/>
    </row>
    <row r="13" spans="2:5" ht="9" customHeight="1" thickBot="1" x14ac:dyDescent="0.3">
      <c r="B13" s="116"/>
    </row>
    <row r="14" spans="2:5" ht="13.8" thickBot="1" x14ac:dyDescent="0.3">
      <c r="B14" s="360" t="s">
        <v>140</v>
      </c>
      <c r="C14" s="361"/>
      <c r="D14" s="362"/>
    </row>
    <row r="15" spans="2:5" x14ac:dyDescent="0.25">
      <c r="B15" s="363" t="s">
        <v>385</v>
      </c>
      <c r="C15" s="364"/>
      <c r="D15" s="365"/>
    </row>
    <row r="16" spans="2:5" x14ac:dyDescent="0.25">
      <c r="B16" s="366" t="s">
        <v>386</v>
      </c>
      <c r="C16" s="367"/>
      <c r="D16" s="368"/>
    </row>
    <row r="17" spans="2:5" ht="14.4" x14ac:dyDescent="0.3">
      <c r="B17" s="378" t="s">
        <v>430</v>
      </c>
      <c r="C17" s="379"/>
      <c r="D17" s="380"/>
    </row>
    <row r="18" spans="2:5" ht="13.8" thickBot="1" x14ac:dyDescent="0.3">
      <c r="B18" s="369" t="s">
        <v>141</v>
      </c>
      <c r="C18" s="370"/>
      <c r="D18" s="371"/>
    </row>
    <row r="19" spans="2:5" ht="10.5" customHeight="1" thickBot="1" x14ac:dyDescent="0.3">
      <c r="B19" s="117"/>
      <c r="C19" s="118"/>
      <c r="D19" s="117"/>
      <c r="E19" s="26"/>
    </row>
    <row r="20" spans="2:5" ht="13.8" thickBot="1" x14ac:dyDescent="0.3">
      <c r="B20" s="372" t="s">
        <v>144</v>
      </c>
      <c r="C20" s="373"/>
      <c r="D20" s="374"/>
    </row>
    <row r="21" spans="2:5" ht="55.5" customHeight="1" x14ac:dyDescent="0.25">
      <c r="B21" s="119" t="s">
        <v>387</v>
      </c>
      <c r="C21" s="381" t="s">
        <v>388</v>
      </c>
      <c r="D21" s="382"/>
    </row>
    <row r="22" spans="2:5" ht="15.75" customHeight="1" x14ac:dyDescent="0.25">
      <c r="B22" s="249" t="s">
        <v>389</v>
      </c>
      <c r="C22" s="250" t="s">
        <v>390</v>
      </c>
      <c r="D22" s="251"/>
    </row>
    <row r="23" spans="2:5" x14ac:dyDescent="0.25">
      <c r="B23" s="120" t="s">
        <v>54</v>
      </c>
      <c r="C23" s="121" t="s">
        <v>4</v>
      </c>
      <c r="D23" s="122"/>
    </row>
    <row r="24" spans="2:5" x14ac:dyDescent="0.25">
      <c r="B24" s="120" t="s">
        <v>391</v>
      </c>
      <c r="C24" s="121" t="s">
        <v>392</v>
      </c>
      <c r="D24" s="122"/>
    </row>
    <row r="25" spans="2:5" x14ac:dyDescent="0.25">
      <c r="B25" s="123" t="s">
        <v>487</v>
      </c>
      <c r="C25" s="124" t="s">
        <v>488</v>
      </c>
      <c r="D25" s="125"/>
    </row>
    <row r="26" spans="2:5" ht="32.25" customHeight="1" x14ac:dyDescent="0.25">
      <c r="B26" s="274" t="s">
        <v>437</v>
      </c>
      <c r="C26" s="353" t="s">
        <v>438</v>
      </c>
      <c r="D26" s="354"/>
    </row>
    <row r="27" spans="2:5" ht="16.5" customHeight="1" x14ac:dyDescent="0.25">
      <c r="B27" s="123" t="s">
        <v>345</v>
      </c>
      <c r="C27" s="124" t="s">
        <v>346</v>
      </c>
      <c r="D27" s="125"/>
    </row>
    <row r="28" spans="2:5" ht="60" customHeight="1" x14ac:dyDescent="0.25">
      <c r="B28" s="252" t="s">
        <v>381</v>
      </c>
      <c r="C28" s="383" t="s">
        <v>393</v>
      </c>
      <c r="D28" s="384"/>
    </row>
    <row r="29" spans="2:5" x14ac:dyDescent="0.25">
      <c r="B29" s="275" t="s">
        <v>440</v>
      </c>
      <c r="C29" s="276" t="s">
        <v>441</v>
      </c>
      <c r="D29" s="277"/>
    </row>
    <row r="30" spans="2:5" ht="14.25" customHeight="1" x14ac:dyDescent="0.25">
      <c r="B30" s="123" t="s">
        <v>145</v>
      </c>
      <c r="C30" s="124" t="s">
        <v>98</v>
      </c>
      <c r="D30" s="125"/>
    </row>
    <row r="31" spans="2:5" ht="14.25" customHeight="1" x14ac:dyDescent="0.25">
      <c r="B31" s="123" t="s">
        <v>442</v>
      </c>
      <c r="C31" s="124" t="s">
        <v>443</v>
      </c>
      <c r="D31" s="125"/>
    </row>
    <row r="32" spans="2:5" ht="16.5" customHeight="1" x14ac:dyDescent="0.25">
      <c r="B32" s="123" t="s">
        <v>476</v>
      </c>
      <c r="C32" s="124" t="s">
        <v>477</v>
      </c>
      <c r="D32" s="125"/>
    </row>
    <row r="33" spans="2:6" ht="16.5" customHeight="1" x14ac:dyDescent="0.25">
      <c r="B33" s="123" t="s">
        <v>146</v>
      </c>
      <c r="C33" s="124" t="s">
        <v>99</v>
      </c>
      <c r="D33" s="125"/>
    </row>
    <row r="34" spans="2:6" ht="15.6" x14ac:dyDescent="0.25">
      <c r="B34" s="123" t="s">
        <v>481</v>
      </c>
      <c r="C34" s="126" t="s">
        <v>483</v>
      </c>
      <c r="D34" s="273"/>
    </row>
    <row r="35" spans="2:6" ht="18.75" customHeight="1" x14ac:dyDescent="0.25">
      <c r="B35" s="123" t="s">
        <v>482</v>
      </c>
      <c r="C35" s="126" t="s">
        <v>475</v>
      </c>
      <c r="D35" s="273"/>
    </row>
    <row r="36" spans="2:6" ht="18" customHeight="1" x14ac:dyDescent="0.25">
      <c r="B36" s="123" t="s">
        <v>52</v>
      </c>
      <c r="C36" s="126" t="s">
        <v>5</v>
      </c>
      <c r="D36" s="127"/>
    </row>
    <row r="37" spans="2:6" x14ac:dyDescent="0.25">
      <c r="B37" s="123" t="s">
        <v>147</v>
      </c>
      <c r="C37" s="126" t="s">
        <v>6</v>
      </c>
      <c r="D37" s="127"/>
    </row>
    <row r="38" spans="2:6" ht="15.6" x14ac:dyDescent="0.25">
      <c r="B38" s="128" t="s">
        <v>148</v>
      </c>
      <c r="C38" s="375" t="s">
        <v>142</v>
      </c>
      <c r="D38" s="376"/>
    </row>
    <row r="39" spans="2:6" ht="17.25" customHeight="1" x14ac:dyDescent="0.25">
      <c r="B39" s="123" t="s">
        <v>149</v>
      </c>
      <c r="C39" s="129" t="s">
        <v>143</v>
      </c>
      <c r="D39" s="127"/>
    </row>
    <row r="40" spans="2:6" ht="15.75" customHeight="1" x14ac:dyDescent="0.25">
      <c r="B40" s="183" t="s">
        <v>359</v>
      </c>
      <c r="C40" s="184" t="s">
        <v>360</v>
      </c>
      <c r="D40" s="132"/>
    </row>
    <row r="41" spans="2:6" ht="21" customHeight="1" x14ac:dyDescent="0.25">
      <c r="B41" s="130" t="s">
        <v>150</v>
      </c>
      <c r="C41" s="131" t="s">
        <v>7</v>
      </c>
      <c r="D41" s="132"/>
    </row>
    <row r="42" spans="2:6" ht="22.5" customHeight="1" thickBot="1" x14ac:dyDescent="0.3">
      <c r="B42" s="133" t="s">
        <v>151</v>
      </c>
      <c r="C42" s="355" t="s">
        <v>8</v>
      </c>
      <c r="D42" s="356"/>
      <c r="E42" s="26"/>
    </row>
    <row r="43" spans="2:6" ht="18.75" customHeight="1" thickBot="1" x14ac:dyDescent="0.3">
      <c r="B43" s="117"/>
      <c r="C43" s="117"/>
      <c r="D43" s="117"/>
      <c r="E43" s="26"/>
    </row>
    <row r="44" spans="2:6" ht="16.5" customHeight="1" thickBot="1" x14ac:dyDescent="0.3">
      <c r="B44" s="339" t="s">
        <v>9</v>
      </c>
      <c r="C44" s="340"/>
      <c r="D44" s="340"/>
      <c r="E44" s="341"/>
    </row>
    <row r="45" spans="2:6" ht="18.75" customHeight="1" thickBot="1" x14ac:dyDescent="0.3">
      <c r="B45" s="342" t="s">
        <v>394</v>
      </c>
      <c r="C45" s="343"/>
      <c r="D45" s="343"/>
      <c r="E45" s="344"/>
    </row>
    <row r="46" spans="2:6" ht="18" customHeight="1" x14ac:dyDescent="0.25">
      <c r="B46" s="345" t="s">
        <v>10</v>
      </c>
      <c r="C46" s="346"/>
      <c r="D46" s="347" t="s">
        <v>395</v>
      </c>
      <c r="E46" s="348"/>
      <c r="F46" s="26"/>
    </row>
    <row r="47" spans="2:6" ht="21.75" customHeight="1" x14ac:dyDescent="0.25">
      <c r="B47" s="349" t="s">
        <v>11</v>
      </c>
      <c r="C47" s="350"/>
      <c r="D47" s="351" t="s">
        <v>12</v>
      </c>
      <c r="E47" s="352"/>
      <c r="F47" s="26"/>
    </row>
    <row r="48" spans="2:6" ht="86.25" customHeight="1" x14ac:dyDescent="0.25">
      <c r="B48" s="335" t="s">
        <v>13</v>
      </c>
      <c r="C48" s="336"/>
      <c r="D48" s="323" t="s">
        <v>396</v>
      </c>
      <c r="E48" s="324"/>
    </row>
    <row r="49" spans="2:5" ht="24.75" customHeight="1" x14ac:dyDescent="0.25">
      <c r="B49" s="337"/>
      <c r="C49" s="338"/>
      <c r="D49" s="333" t="s">
        <v>344</v>
      </c>
      <c r="E49" s="334"/>
    </row>
    <row r="50" spans="2:5" ht="159.75" customHeight="1" x14ac:dyDescent="0.25">
      <c r="B50" s="325" t="s">
        <v>491</v>
      </c>
      <c r="C50" s="326"/>
      <c r="D50" s="327" t="s">
        <v>490</v>
      </c>
      <c r="E50" s="328"/>
    </row>
    <row r="51" spans="2:5" ht="63.75" customHeight="1" thickBot="1" x14ac:dyDescent="0.3">
      <c r="B51" s="329" t="s">
        <v>126</v>
      </c>
      <c r="C51" s="330"/>
      <c r="D51" s="331" t="s">
        <v>397</v>
      </c>
      <c r="E51" s="332"/>
    </row>
    <row r="52" spans="2:5" x14ac:dyDescent="0.25">
      <c r="B52" s="134"/>
      <c r="C52" s="135"/>
      <c r="D52" s="135"/>
      <c r="E52" s="135"/>
    </row>
  </sheetData>
  <sheetProtection password="C969" sheet="1" objects="1" scenarios="1"/>
  <mergeCells count="29">
    <mergeCell ref="C26:D26"/>
    <mergeCell ref="C42:D42"/>
    <mergeCell ref="B2:D2"/>
    <mergeCell ref="B6:E6"/>
    <mergeCell ref="B9:E9"/>
    <mergeCell ref="B12:E12"/>
    <mergeCell ref="B14:D14"/>
    <mergeCell ref="B15:D15"/>
    <mergeCell ref="B16:D16"/>
    <mergeCell ref="B18:D18"/>
    <mergeCell ref="B20:D20"/>
    <mergeCell ref="C38:D38"/>
    <mergeCell ref="B3:E3"/>
    <mergeCell ref="B17:D17"/>
    <mergeCell ref="C21:D21"/>
    <mergeCell ref="C28:D28"/>
    <mergeCell ref="B44:E44"/>
    <mergeCell ref="B45:E45"/>
    <mergeCell ref="B46:C46"/>
    <mergeCell ref="D46:E46"/>
    <mergeCell ref="B47:C47"/>
    <mergeCell ref="D47:E47"/>
    <mergeCell ref="D48:E48"/>
    <mergeCell ref="B50:C50"/>
    <mergeCell ref="D50:E50"/>
    <mergeCell ref="B51:C51"/>
    <mergeCell ref="D51:E51"/>
    <mergeCell ref="D49:E49"/>
    <mergeCell ref="B48:C49"/>
  </mergeCells>
  <hyperlinks>
    <hyperlink ref="D49" r:id="rId1"/>
  </hyperlinks>
  <pageMargins left="0.5" right="0.5" top="1" bottom="1" header="0.5" footer="0.5"/>
  <pageSetup scale="69" orientation="landscape" r:id="rId2"/>
  <headerFooter alignWithMargins="0">
    <oddFooter>&amp;LPage &amp;P of &amp;N&amp;C&amp;F&amp;RPrinted &amp;D</oddFooter>
  </headerFooter>
  <rowBreaks count="2" manualBreakCount="2">
    <brk id="19" max="16383" man="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F77"/>
  <sheetViews>
    <sheetView showGridLines="0" zoomScale="90" zoomScaleNormal="90" workbookViewId="0"/>
  </sheetViews>
  <sheetFormatPr defaultColWidth="9.109375" defaultRowHeight="13.2" x14ac:dyDescent="0.25"/>
  <cols>
    <col min="1" max="1" width="2.88671875" style="5" customWidth="1"/>
    <col min="2" max="2" width="44" style="5" bestFit="1" customWidth="1"/>
    <col min="3" max="3" width="78.6640625" style="5" customWidth="1"/>
    <col min="4" max="4" width="15.44140625" style="5" customWidth="1"/>
    <col min="5" max="5" width="19.88671875" style="5" customWidth="1"/>
    <col min="6" max="6" width="97.44140625" style="5" hidden="1" customWidth="1"/>
    <col min="7" max="16384" width="9.109375" style="5"/>
  </cols>
  <sheetData>
    <row r="1" spans="2:6" ht="17.399999999999999" x14ac:dyDescent="0.3">
      <c r="B1" s="4" t="s">
        <v>138</v>
      </c>
    </row>
    <row r="2" spans="2:6" ht="16.2" thickBot="1" x14ac:dyDescent="0.4">
      <c r="F2" s="6" t="s">
        <v>342</v>
      </c>
    </row>
    <row r="3" spans="2:6" ht="13.8" thickBot="1" x14ac:dyDescent="0.3">
      <c r="B3" s="360" t="s">
        <v>14</v>
      </c>
      <c r="C3" s="362"/>
      <c r="F3" s="9" t="s">
        <v>29</v>
      </c>
    </row>
    <row r="4" spans="2:6" x14ac:dyDescent="0.25">
      <c r="B4" s="167" t="s">
        <v>15</v>
      </c>
      <c r="C4" s="247" t="s">
        <v>134</v>
      </c>
      <c r="F4" s="9" t="s">
        <v>340</v>
      </c>
    </row>
    <row r="5" spans="2:6" x14ac:dyDescent="0.25">
      <c r="B5" s="10" t="s">
        <v>16</v>
      </c>
      <c r="C5" s="11" t="s">
        <v>17</v>
      </c>
      <c r="F5" s="9" t="s">
        <v>18</v>
      </c>
    </row>
    <row r="6" spans="2:6" x14ac:dyDescent="0.25">
      <c r="B6" s="10" t="s">
        <v>160</v>
      </c>
      <c r="C6" s="11" t="s">
        <v>336</v>
      </c>
    </row>
    <row r="7" spans="2:6" x14ac:dyDescent="0.25">
      <c r="B7" s="12" t="s">
        <v>157</v>
      </c>
      <c r="C7" s="11" t="s">
        <v>220</v>
      </c>
      <c r="F7" s="6" t="s">
        <v>341</v>
      </c>
    </row>
    <row r="8" spans="2:6" ht="13.8" thickBot="1" x14ac:dyDescent="0.3">
      <c r="B8" s="13" t="s">
        <v>337</v>
      </c>
      <c r="C8" s="248">
        <v>87101</v>
      </c>
      <c r="F8" s="9" t="s">
        <v>29</v>
      </c>
    </row>
    <row r="9" spans="2:6" ht="13.8" thickBot="1" x14ac:dyDescent="0.3">
      <c r="F9" s="9" t="s">
        <v>339</v>
      </c>
    </row>
    <row r="10" spans="2:6" ht="13.8" thickBot="1" x14ac:dyDescent="0.3">
      <c r="B10" s="360" t="s">
        <v>21</v>
      </c>
      <c r="C10" s="362"/>
      <c r="F10" s="9" t="s">
        <v>340</v>
      </c>
    </row>
    <row r="11" spans="2:6" x14ac:dyDescent="0.25">
      <c r="B11" s="7" t="s">
        <v>15</v>
      </c>
      <c r="C11" s="8" t="s">
        <v>22</v>
      </c>
      <c r="F11" s="9" t="s">
        <v>18</v>
      </c>
    </row>
    <row r="12" spans="2:6" x14ac:dyDescent="0.25">
      <c r="B12" s="10" t="s">
        <v>23</v>
      </c>
      <c r="C12" s="11" t="s">
        <v>24</v>
      </c>
      <c r="F12" s="9" t="s">
        <v>19</v>
      </c>
    </row>
    <row r="13" spans="2:6" ht="13.8" thickBot="1" x14ac:dyDescent="0.3">
      <c r="B13" s="16" t="s">
        <v>25</v>
      </c>
      <c r="C13" s="14" t="s">
        <v>26</v>
      </c>
      <c r="F13" s="9" t="s">
        <v>20</v>
      </c>
    </row>
    <row r="14" spans="2:6" ht="13.8" thickBot="1" x14ac:dyDescent="0.3"/>
    <row r="15" spans="2:6" ht="16.2" thickBot="1" x14ac:dyDescent="0.4">
      <c r="B15" s="360" t="str">
        <f>"U.S. Environmental Protection Agency Region "&amp;VLOOKUP(C7,'EPA Regional Contact Info'!$A$5:$C$45,3,FALSE)&amp;" Contact"</f>
        <v>U.S. Environmental Protection Agency Region 6 Contact</v>
      </c>
      <c r="C15" s="362"/>
      <c r="F15" s="6" t="s">
        <v>343</v>
      </c>
    </row>
    <row r="16" spans="2:6" ht="15" customHeight="1" x14ac:dyDescent="0.25">
      <c r="B16" s="167" t="s">
        <v>332</v>
      </c>
      <c r="C16" s="168" t="str">
        <f>VLOOKUP($C$7,'EPA Regional Contact Info'!$A$5:$N$45,4,FALSE)</f>
        <v>Bonnie Braganza</v>
      </c>
      <c r="F16" s="9" t="s">
        <v>29</v>
      </c>
    </row>
    <row r="17" spans="2:6" ht="16.5" customHeight="1" x14ac:dyDescent="0.25">
      <c r="B17" s="10" t="s">
        <v>334</v>
      </c>
      <c r="C17" s="169" t="str">
        <f>VLOOKUP($C$7,'EPA Regional Contact Info'!$A$5:$N$45,5,FALSE)</f>
        <v>214-665-7340</v>
      </c>
      <c r="F17" s="9" t="s">
        <v>338</v>
      </c>
    </row>
    <row r="18" spans="2:6" ht="14.25" customHeight="1" x14ac:dyDescent="0.25">
      <c r="B18" s="10" t="s">
        <v>330</v>
      </c>
      <c r="C18" s="169" t="str">
        <f>VLOOKUP($C$7,'EPA Regional Contact Info'!$A$5:$N$45,6,FALSE)</f>
        <v>braganza.bonnie@epa.gov</v>
      </c>
    </row>
    <row r="19" spans="2:6" ht="16.5" customHeight="1" x14ac:dyDescent="0.25">
      <c r="B19" s="10" t="s">
        <v>333</v>
      </c>
      <c r="C19" s="169" t="str">
        <f>VLOOKUP($C$7,'EPA Regional Contact Info'!$A$5:$N$45,7,FALSE)</f>
        <v>None</v>
      </c>
      <c r="F19" s="15" t="s">
        <v>32</v>
      </c>
    </row>
    <row r="20" spans="2:6" ht="22.5" customHeight="1" x14ac:dyDescent="0.25">
      <c r="B20" s="10" t="s">
        <v>335</v>
      </c>
      <c r="C20" s="169" t="str">
        <f>IF(VLOOKUP($C$7,'EPA Regional Contact Info'!$A$5:$N$45,8,FALSE)=0,"",VLOOKUP($C$7,'EPA Regional Contact Info'!$A$5:$N$45,8,FALSE))</f>
        <v/>
      </c>
      <c r="F20" s="17" t="s">
        <v>33</v>
      </c>
    </row>
    <row r="21" spans="2:6" ht="14.25" customHeight="1" x14ac:dyDescent="0.25">
      <c r="B21" s="10" t="s">
        <v>331</v>
      </c>
      <c r="C21" s="169" t="str">
        <f>IF(VLOOKUP($C$7,'EPA Regional Contact Info'!$A$5:$N$45,9,FALSE)=0,"",VLOOKUP($C$7,'EPA Regional Contact Info'!$A$5:$N$45,9,FALSE))</f>
        <v/>
      </c>
      <c r="F21" s="18" t="s">
        <v>34</v>
      </c>
    </row>
    <row r="22" spans="2:6" ht="15" customHeight="1" x14ac:dyDescent="0.25">
      <c r="B22" s="268" t="s">
        <v>16</v>
      </c>
      <c r="C22" s="269" t="str">
        <f>"U.S. Environmental Protection Agency Region "&amp;VLOOKUP($C$7,'EPA Regional Contact Info'!$A$5:$C$45,3,FALSE)</f>
        <v>U.S. Environmental Protection Agency Region 6</v>
      </c>
      <c r="F22" s="17" t="s">
        <v>35</v>
      </c>
    </row>
    <row r="23" spans="2:6" ht="17.25" customHeight="1" x14ac:dyDescent="0.25">
      <c r="B23" s="270"/>
      <c r="C23" s="269" t="str">
        <f>VLOOKUP($C$7,'EPA Regional Contact Info'!$A$5:$N$45,10,FALSE)</f>
        <v>1445 Ross Avenue, Suite 1200</v>
      </c>
      <c r="F23" s="18" t="s">
        <v>36</v>
      </c>
    </row>
    <row r="24" spans="2:6" x14ac:dyDescent="0.25">
      <c r="B24" s="270"/>
      <c r="C24" s="269" t="str">
        <f>VLOOKUP($C$7,'EPA Regional Contact Info'!$A$5:$N$45,11,FALSE)</f>
        <v>MC: 6PD</v>
      </c>
      <c r="F24" s="18" t="s">
        <v>130</v>
      </c>
    </row>
    <row r="25" spans="2:6" ht="13.8" thickBot="1" x14ac:dyDescent="0.3">
      <c r="B25" s="271"/>
      <c r="C25" s="272" t="str">
        <f>VLOOKUP($C$7,'EPA Regional Contact Info'!$A$5:$N$45,12,FALSE)&amp;", "&amp;VLOOKUP($C$7,'EPA Regional Contact Info'!$A$5:$N$45,13,FALSE)&amp;" "&amp;VLOOKUP($C$7,'EPA Regional Contact Info'!$A$5:$N$45,14,FALSE)</f>
        <v>Dallas, TX 75202-2733</v>
      </c>
      <c r="F25" s="18" t="s">
        <v>129</v>
      </c>
    </row>
    <row r="26" spans="2:6" ht="19.5" customHeight="1" thickBot="1" x14ac:dyDescent="0.3"/>
    <row r="27" spans="2:6" ht="13.8" thickBot="1" x14ac:dyDescent="0.3">
      <c r="B27" s="385" t="s">
        <v>27</v>
      </c>
      <c r="C27" s="386"/>
    </row>
    <row r="28" spans="2:6" x14ac:dyDescent="0.25">
      <c r="B28" s="172" t="s">
        <v>28</v>
      </c>
      <c r="C28" s="178" t="s">
        <v>29</v>
      </c>
      <c r="F28" s="15" t="s">
        <v>37</v>
      </c>
    </row>
    <row r="29" spans="2:6" x14ac:dyDescent="0.25">
      <c r="B29" s="173"/>
      <c r="C29" s="179"/>
      <c r="F29" s="17" t="s">
        <v>38</v>
      </c>
    </row>
    <row r="30" spans="2:6" x14ac:dyDescent="0.25">
      <c r="B30" s="173" t="s">
        <v>358</v>
      </c>
      <c r="C30" s="180" t="s">
        <v>29</v>
      </c>
      <c r="F30" s="18" t="s">
        <v>39</v>
      </c>
    </row>
    <row r="31" spans="2:6" x14ac:dyDescent="0.25">
      <c r="B31" s="170"/>
      <c r="C31" s="181"/>
    </row>
    <row r="32" spans="2:6" ht="15.6" x14ac:dyDescent="0.35">
      <c r="B32" s="173" t="s">
        <v>30</v>
      </c>
      <c r="C32" s="180" t="s">
        <v>29</v>
      </c>
      <c r="F32" s="266" t="s">
        <v>426</v>
      </c>
    </row>
    <row r="33" spans="2:6" ht="14.4" x14ac:dyDescent="0.3">
      <c r="B33" s="170"/>
      <c r="C33" s="181"/>
      <c r="F33" s="267" t="str">
        <f>'EPA Regional Contact Info'!A5</f>
        <v>Alabama</v>
      </c>
    </row>
    <row r="34" spans="2:6" ht="15.6" x14ac:dyDescent="0.35">
      <c r="B34" s="173" t="s">
        <v>31</v>
      </c>
      <c r="C34" s="180" t="s">
        <v>29</v>
      </c>
      <c r="F34" s="267" t="str">
        <f>'EPA Regional Contact Info'!A6</f>
        <v>Alaska</v>
      </c>
    </row>
    <row r="35" spans="2:6" ht="14.4" x14ac:dyDescent="0.3">
      <c r="B35" s="170"/>
      <c r="C35" s="181"/>
      <c r="F35" s="267" t="str">
        <f>'EPA Regional Contact Info'!A7</f>
        <v>Arizona</v>
      </c>
    </row>
    <row r="36" spans="2:6" ht="15.6" x14ac:dyDescent="0.35">
      <c r="B36" s="173" t="s">
        <v>380</v>
      </c>
      <c r="C36" s="180" t="s">
        <v>29</v>
      </c>
      <c r="F36" s="267" t="str">
        <f>'EPA Regional Contact Info'!A8</f>
        <v>Arkansas</v>
      </c>
    </row>
    <row r="37" spans="2:6" ht="15" thickBot="1" x14ac:dyDescent="0.35">
      <c r="B37" s="171"/>
      <c r="C37" s="182"/>
      <c r="F37" s="267" t="str">
        <f>'EPA Regional Contact Info'!A9</f>
        <v>California</v>
      </c>
    </row>
    <row r="38" spans="2:6" ht="14.4" x14ac:dyDescent="0.3">
      <c r="F38" s="267" t="str">
        <f>'EPA Regional Contact Info'!A10</f>
        <v>Colorado</v>
      </c>
    </row>
    <row r="39" spans="2:6" ht="14.4" x14ac:dyDescent="0.3">
      <c r="F39" s="267" t="str">
        <f>'EPA Regional Contact Info'!A11</f>
        <v>Connecticut</v>
      </c>
    </row>
    <row r="40" spans="2:6" ht="14.4" x14ac:dyDescent="0.3">
      <c r="F40" s="267" t="str">
        <f>'EPA Regional Contact Info'!A12</f>
        <v>Florida</v>
      </c>
    </row>
    <row r="41" spans="2:6" ht="14.4" x14ac:dyDescent="0.3">
      <c r="F41" s="267" t="str">
        <f>'EPA Regional Contact Info'!A13</f>
        <v>Georgia</v>
      </c>
    </row>
    <row r="42" spans="2:6" ht="14.4" x14ac:dyDescent="0.3">
      <c r="F42" s="267" t="str">
        <f>'EPA Regional Contact Info'!A14</f>
        <v>Hawaii</v>
      </c>
    </row>
    <row r="43" spans="2:6" ht="14.4" x14ac:dyDescent="0.3">
      <c r="F43" s="267" t="str">
        <f>'EPA Regional Contact Info'!A15</f>
        <v>Idaho</v>
      </c>
    </row>
    <row r="44" spans="2:6" ht="14.4" x14ac:dyDescent="0.3">
      <c r="F44" s="267" t="str">
        <f>'EPA Regional Contact Info'!A16</f>
        <v>Illinois</v>
      </c>
    </row>
    <row r="45" spans="2:6" ht="14.4" x14ac:dyDescent="0.3">
      <c r="F45" s="267" t="str">
        <f>'EPA Regional Contact Info'!A17</f>
        <v>Indiana</v>
      </c>
    </row>
    <row r="46" spans="2:6" ht="14.4" x14ac:dyDescent="0.3">
      <c r="F46" s="267" t="str">
        <f>'EPA Regional Contact Info'!A18</f>
        <v>Iowa</v>
      </c>
    </row>
    <row r="47" spans="2:6" ht="14.4" x14ac:dyDescent="0.3">
      <c r="F47" s="267" t="str">
        <f>'EPA Regional Contact Info'!A19</f>
        <v>Kansas</v>
      </c>
    </row>
    <row r="48" spans="2:6" ht="14.4" x14ac:dyDescent="0.3">
      <c r="F48" s="267" t="str">
        <f>'EPA Regional Contact Info'!A20</f>
        <v>Kentucky</v>
      </c>
    </row>
    <row r="49" spans="6:6" ht="14.4" x14ac:dyDescent="0.3">
      <c r="F49" s="267" t="str">
        <f>'EPA Regional Contact Info'!A21</f>
        <v>Louisiana</v>
      </c>
    </row>
    <row r="50" spans="6:6" ht="14.4" x14ac:dyDescent="0.3">
      <c r="F50" s="267" t="str">
        <f>'EPA Regional Contact Info'!A22</f>
        <v>Maine</v>
      </c>
    </row>
    <row r="51" spans="6:6" ht="14.4" x14ac:dyDescent="0.3">
      <c r="F51" s="267" t="str">
        <f>'EPA Regional Contact Info'!A23</f>
        <v>Massachusetts</v>
      </c>
    </row>
    <row r="52" spans="6:6" ht="14.4" x14ac:dyDescent="0.3">
      <c r="F52" s="267" t="str">
        <f>'EPA Regional Contact Info'!A24</f>
        <v>Michigan</v>
      </c>
    </row>
    <row r="53" spans="6:6" ht="14.4" x14ac:dyDescent="0.3">
      <c r="F53" s="267" t="str">
        <f>'EPA Regional Contact Info'!A25</f>
        <v>Minnesota</v>
      </c>
    </row>
    <row r="54" spans="6:6" ht="14.4" x14ac:dyDescent="0.3">
      <c r="F54" s="267" t="str">
        <f>'EPA Regional Contact Info'!A26</f>
        <v>Mississippi</v>
      </c>
    </row>
    <row r="55" spans="6:6" ht="14.4" x14ac:dyDescent="0.3">
      <c r="F55" s="267" t="str">
        <f>'EPA Regional Contact Info'!A27</f>
        <v>Missouri</v>
      </c>
    </row>
    <row r="56" spans="6:6" ht="12.75" customHeight="1" x14ac:dyDescent="0.3">
      <c r="F56" s="267" t="str">
        <f>'EPA Regional Contact Info'!A28</f>
        <v>Montana</v>
      </c>
    </row>
    <row r="57" spans="6:6" ht="14.4" x14ac:dyDescent="0.3">
      <c r="F57" s="267" t="str">
        <f>'EPA Regional Contact Info'!A29</f>
        <v>Nebraska</v>
      </c>
    </row>
    <row r="58" spans="6:6" ht="14.4" x14ac:dyDescent="0.3">
      <c r="F58" s="267" t="str">
        <f>'EPA Regional Contact Info'!A30</f>
        <v>Nevada</v>
      </c>
    </row>
    <row r="59" spans="6:6" ht="14.4" x14ac:dyDescent="0.3">
      <c r="F59" s="267" t="str">
        <f>'EPA Regional Contact Info'!A31</f>
        <v>New Hampshire</v>
      </c>
    </row>
    <row r="60" spans="6:6" ht="14.4" x14ac:dyDescent="0.3">
      <c r="F60" s="267" t="str">
        <f>'EPA Regional Contact Info'!A32</f>
        <v>New Jersey</v>
      </c>
    </row>
    <row r="61" spans="6:6" ht="14.4" x14ac:dyDescent="0.3">
      <c r="F61" s="267" t="str">
        <f>'EPA Regional Contact Info'!A33</f>
        <v>New Mexico</v>
      </c>
    </row>
    <row r="62" spans="6:6" ht="14.4" x14ac:dyDescent="0.3">
      <c r="F62" s="267" t="str">
        <f>'EPA Regional Contact Info'!A34</f>
        <v>New York</v>
      </c>
    </row>
    <row r="63" spans="6:6" ht="14.4" x14ac:dyDescent="0.3">
      <c r="F63" s="267" t="str">
        <f>'EPA Regional Contact Info'!A35</f>
        <v>North Carolina</v>
      </c>
    </row>
    <row r="64" spans="6:6" ht="14.4" x14ac:dyDescent="0.3">
      <c r="F64" s="267" t="str">
        <f>'EPA Regional Contact Info'!A36</f>
        <v>North Dakota</v>
      </c>
    </row>
    <row r="65" spans="6:6" ht="14.4" x14ac:dyDescent="0.3">
      <c r="F65" s="267" t="str">
        <f>'EPA Regional Contact Info'!A37</f>
        <v>Ohio</v>
      </c>
    </row>
    <row r="66" spans="6:6" ht="14.4" x14ac:dyDescent="0.3">
      <c r="F66" s="267" t="str">
        <f>'EPA Regional Contact Info'!A38</f>
        <v>Oklahoma</v>
      </c>
    </row>
    <row r="67" spans="6:6" ht="14.4" x14ac:dyDescent="0.3">
      <c r="F67" s="267" t="str">
        <f>'EPA Regional Contact Info'!A39</f>
        <v>Oregon</v>
      </c>
    </row>
    <row r="68" spans="6:6" ht="14.4" x14ac:dyDescent="0.3">
      <c r="F68" s="267" t="str">
        <f>'EPA Regional Contact Info'!A40</f>
        <v>Rhode Island</v>
      </c>
    </row>
    <row r="69" spans="6:6" ht="14.4" x14ac:dyDescent="0.3">
      <c r="F69" s="267" t="str">
        <f>'EPA Regional Contact Info'!A41</f>
        <v>South Carolina</v>
      </c>
    </row>
    <row r="70" spans="6:6" ht="14.4" x14ac:dyDescent="0.3">
      <c r="F70" s="267" t="str">
        <f>'EPA Regional Contact Info'!A42</f>
        <v>South Dakota</v>
      </c>
    </row>
    <row r="71" spans="6:6" ht="14.4" x14ac:dyDescent="0.3">
      <c r="F71" s="267" t="str">
        <f>'EPA Regional Contact Info'!A43</f>
        <v>Tennessee</v>
      </c>
    </row>
    <row r="72" spans="6:6" ht="14.4" x14ac:dyDescent="0.3">
      <c r="F72" s="267" t="str">
        <f>'EPA Regional Contact Info'!A44</f>
        <v>Texas</v>
      </c>
    </row>
    <row r="73" spans="6:6" ht="14.4" x14ac:dyDescent="0.3">
      <c r="F73" s="267" t="str">
        <f>'EPA Regional Contact Info'!A45</f>
        <v>Utah</v>
      </c>
    </row>
    <row r="74" spans="6:6" ht="14.4" x14ac:dyDescent="0.3">
      <c r="F74" s="267" t="str">
        <f>'EPA Regional Contact Info'!A46</f>
        <v>Vermont</v>
      </c>
    </row>
    <row r="75" spans="6:6" ht="14.4" x14ac:dyDescent="0.3">
      <c r="F75" s="267" t="str">
        <f>'EPA Regional Contact Info'!A47</f>
        <v>Washington</v>
      </c>
    </row>
    <row r="76" spans="6:6" ht="14.4" x14ac:dyDescent="0.3">
      <c r="F76" s="267" t="str">
        <f>'EPA Regional Contact Info'!A48</f>
        <v>Wisconsin</v>
      </c>
    </row>
    <row r="77" spans="6:6" ht="14.4" x14ac:dyDescent="0.3">
      <c r="F77" s="267" t="str">
        <f>'EPA Regional Contact Info'!A49</f>
        <v>Wyoming</v>
      </c>
    </row>
  </sheetData>
  <sheetProtection password="C969" sheet="1" objects="1" scenarios="1"/>
  <dataConsolidate/>
  <mergeCells count="4">
    <mergeCell ref="B3:C3"/>
    <mergeCell ref="B10:C10"/>
    <mergeCell ref="B27:C27"/>
    <mergeCell ref="B15:C15"/>
  </mergeCells>
  <dataValidations xWindow="821" yWindow="583" count="6">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s>
  <pageMargins left="0.7" right="0.7" top="0.75" bottom="0.75" header="0.3" footer="0.3"/>
  <pageSetup scale="91" orientation="landscape" r:id="rId1"/>
  <headerFooter>
    <oddFooter>&amp;LPage &amp;P of &amp;N&amp;C&amp;F&amp;RPrinted &amp;D</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K31"/>
  <sheetViews>
    <sheetView showGridLines="0" zoomScale="90" zoomScaleNormal="9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0.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8" t="s">
        <v>40</v>
      </c>
      <c r="C1" s="69"/>
      <c r="D1" s="69"/>
      <c r="E1" s="69"/>
      <c r="F1" s="69"/>
      <c r="G1" s="69"/>
      <c r="H1" s="69"/>
      <c r="I1" s="69"/>
      <c r="J1" s="69"/>
    </row>
    <row r="2" spans="2:11" x14ac:dyDescent="0.25">
      <c r="B2" s="70" t="s">
        <v>399</v>
      </c>
      <c r="C2" s="69"/>
      <c r="D2" s="69"/>
      <c r="E2" s="69"/>
      <c r="F2" s="69"/>
      <c r="G2" s="69"/>
      <c r="H2" s="69"/>
      <c r="I2" s="69"/>
      <c r="J2" s="69"/>
    </row>
    <row r="3" spans="2:11" x14ac:dyDescent="0.25">
      <c r="B3" s="70"/>
      <c r="C3" s="69"/>
      <c r="D3" s="69"/>
      <c r="E3" s="69"/>
      <c r="F3" s="69"/>
      <c r="G3" s="69"/>
      <c r="H3" s="69"/>
      <c r="I3" s="69"/>
      <c r="J3" s="69"/>
    </row>
    <row r="4" spans="2:11" x14ac:dyDescent="0.25">
      <c r="B4" s="399" t="s">
        <v>101</v>
      </c>
      <c r="C4" s="399"/>
      <c r="D4" s="399"/>
      <c r="E4" s="399"/>
      <c r="F4" s="399"/>
      <c r="G4" s="293"/>
      <c r="H4" s="69"/>
      <c r="I4" s="69"/>
      <c r="J4" s="69"/>
      <c r="K4" s="15" t="str">
        <f>Inputs!F19</f>
        <v>Engine and Fuel Type</v>
      </c>
    </row>
    <row r="5" spans="2:11" x14ac:dyDescent="0.25">
      <c r="B5" s="390" t="s">
        <v>444</v>
      </c>
      <c r="C5" s="391"/>
      <c r="D5" s="391"/>
      <c r="E5" s="392"/>
      <c r="F5" s="83" t="s">
        <v>33</v>
      </c>
      <c r="G5" s="311"/>
      <c r="H5" s="71"/>
      <c r="J5" s="72"/>
      <c r="K5" s="17" t="str">
        <f>Inputs!F20</f>
        <v>reciprocating - diesel</v>
      </c>
    </row>
    <row r="6" spans="2:11" x14ac:dyDescent="0.25">
      <c r="B6" s="390" t="s">
        <v>100</v>
      </c>
      <c r="C6" s="391"/>
      <c r="D6" s="391"/>
      <c r="E6" s="392"/>
      <c r="F6" s="84" t="s">
        <v>38</v>
      </c>
      <c r="G6" s="312"/>
      <c r="H6" s="71"/>
      <c r="J6" s="72"/>
      <c r="K6" s="18" t="str">
        <f>Inputs!F21</f>
        <v>reciprocating - gasoline</v>
      </c>
    </row>
    <row r="7" spans="2:11" x14ac:dyDescent="0.25">
      <c r="B7" s="390" t="s">
        <v>464</v>
      </c>
      <c r="C7" s="391"/>
      <c r="D7" s="391"/>
      <c r="E7" s="391"/>
      <c r="F7" s="392"/>
      <c r="G7" s="308" t="str">
        <f>IF(OR($F$5="reciprocating - diesel",$F$5="reciprocating - gasoline"),"Mechanical Output (hp)","Heat Input (MMBtu/hr)")</f>
        <v>Mechanical Output (hp)</v>
      </c>
      <c r="J7" s="69"/>
      <c r="K7" s="17" t="str">
        <f>Inputs!F22</f>
        <v>turbine - natural gas</v>
      </c>
    </row>
    <row r="8" spans="2:11" ht="15.75" customHeight="1" x14ac:dyDescent="0.25">
      <c r="B8" s="406" t="s">
        <v>463</v>
      </c>
      <c r="C8" s="407"/>
      <c r="D8" s="407"/>
      <c r="E8" s="408"/>
      <c r="F8" s="315">
        <v>0</v>
      </c>
      <c r="G8" s="306">
        <f>IF(OR($F$5="reciprocating - diesel",$F$5="reciprocating - gasoline"),$F$8,($F$8*Hp_to_Btu_hr_Conversion_Factor/1000000)/(Fuel_Energy_to_Output_Efficiency))</f>
        <v>0</v>
      </c>
      <c r="H8" s="305"/>
      <c r="I8" s="311"/>
      <c r="J8" s="74"/>
      <c r="K8" s="18" t="str">
        <f>Inputs!F23</f>
        <v>reciprocating - natural gas rich burn</v>
      </c>
    </row>
    <row r="9" spans="2:11" ht="15.75" customHeight="1" x14ac:dyDescent="0.25">
      <c r="B9" s="406" t="s">
        <v>480</v>
      </c>
      <c r="C9" s="407"/>
      <c r="D9" s="407"/>
      <c r="E9" s="408"/>
      <c r="F9" s="315">
        <v>0</v>
      </c>
      <c r="G9" s="307">
        <f>IF(OR($F$5="reciprocating - diesel",$F$5="reciprocating - gasoline"),$F$9*kW_to_hp_Conversion_Factor,$F$9*kW_to_Btu_hr_Conversion_Factor/(1000000*Fuel_Energy_to_Output_Efficiency))</f>
        <v>0</v>
      </c>
      <c r="H9" s="71"/>
      <c r="I9" s="311"/>
      <c r="J9" s="69"/>
      <c r="K9" s="18" t="str">
        <f>Inputs!F24</f>
        <v>reciprocating - natural gas 4-stroke lean burn</v>
      </c>
    </row>
    <row r="10" spans="2:11" ht="15.75" customHeight="1" x14ac:dyDescent="0.25">
      <c r="B10" s="406" t="str">
        <f>IF(OR($F$5="reciprocating - diesel",$F$5="reciprocating - gasoline"),"Rated fuel consumption (gal/hr) at 100% load","Rated fuel consumption (Nm"&amp;CHAR(179)&amp;"/hr) at 100% load")</f>
        <v>Rated fuel consumption (gal/hr) at 100% load</v>
      </c>
      <c r="C10" s="407"/>
      <c r="D10" s="407"/>
      <c r="E10" s="408"/>
      <c r="F10" s="315">
        <v>0</v>
      </c>
      <c r="G10" s="306">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1"/>
      <c r="I10" s="311"/>
      <c r="J10" s="69"/>
      <c r="K10" s="18" t="str">
        <f>Inputs!F25</f>
        <v>reciprocating - natural gas 2-stroke lean burn</v>
      </c>
    </row>
    <row r="11" spans="2:11" ht="27.75" customHeight="1" x14ac:dyDescent="0.25">
      <c r="B11" s="393" t="str">
        <f>IF(AND(F5="reciprocating - diesel",K13&gt;=600),"Enter sulfur content of the diesel fuel (percent). If the sulfur content is unknown, enter "&amp;'Additional References'!$B$4&amp;" percent.", IF(F5="turbine - natural gas","Enter the sulfur content of the natural gas (percent). If the sulfur content is unknown, enter "&amp;'Additional References'!$B$6&amp;" percent.",""))</f>
        <v/>
      </c>
      <c r="C11" s="394"/>
      <c r="D11" s="394"/>
      <c r="E11" s="395"/>
      <c r="F11" s="105">
        <v>0.24</v>
      </c>
      <c r="G11" s="313"/>
      <c r="H11" s="73"/>
      <c r="J11" s="69"/>
    </row>
    <row r="12" spans="2:11" ht="16.5" customHeight="1" x14ac:dyDescent="0.25">
      <c r="B12" s="390" t="s">
        <v>411</v>
      </c>
      <c r="C12" s="391"/>
      <c r="D12" s="391"/>
      <c r="E12" s="392"/>
      <c r="F12" s="83">
        <v>0</v>
      </c>
      <c r="G12" s="311"/>
      <c r="H12" s="73"/>
      <c r="J12" s="69"/>
      <c r="K12" s="15" t="str">
        <f>IF(OR($F$5="reciprocating - diesel",$F$5="reciprocating - gasoline"),"Mechanical Output (hp)","Heat Input (MMBtu/hr)")</f>
        <v>Mechanical Output (hp)</v>
      </c>
    </row>
    <row r="13" spans="2:11" ht="15.75" customHeight="1" x14ac:dyDescent="0.25">
      <c r="B13" s="73"/>
      <c r="C13" s="73"/>
      <c r="D13" s="73"/>
      <c r="E13" s="73"/>
      <c r="F13" s="73"/>
      <c r="G13" s="75"/>
      <c r="H13" s="73"/>
      <c r="J13" s="69"/>
      <c r="K13" s="314">
        <f>MAX($G$8:$G$10)</f>
        <v>0</v>
      </c>
    </row>
    <row r="14" spans="2:11" ht="15.75" customHeight="1" x14ac:dyDescent="0.25">
      <c r="B14" s="399" t="s">
        <v>493</v>
      </c>
      <c r="C14" s="399"/>
      <c r="D14" s="399"/>
      <c r="E14" s="399"/>
      <c r="F14" s="399"/>
      <c r="G14" s="293"/>
      <c r="H14" s="73"/>
      <c r="I14" s="75"/>
      <c r="J14" s="69"/>
    </row>
    <row r="15" spans="2:11" ht="67.5" customHeight="1" x14ac:dyDescent="0.25">
      <c r="B15" s="396" t="s">
        <v>492</v>
      </c>
      <c r="C15" s="397"/>
      <c r="D15" s="397"/>
      <c r="E15" s="397"/>
      <c r="F15" s="398"/>
      <c r="G15" s="294"/>
      <c r="H15" s="73"/>
      <c r="I15" s="75"/>
      <c r="J15" s="69"/>
      <c r="K15" s="15" t="str">
        <f>Inputs!F28</f>
        <v>Engine Use</v>
      </c>
    </row>
    <row r="16" spans="2:11" ht="15.75" customHeight="1" x14ac:dyDescent="0.25">
      <c r="B16" s="401" t="s">
        <v>42</v>
      </c>
      <c r="C16" s="401"/>
      <c r="D16" s="400" t="s">
        <v>44</v>
      </c>
      <c r="E16" s="400"/>
      <c r="F16" s="310" t="s">
        <v>489</v>
      </c>
      <c r="G16" s="308" t="str">
        <f>IF(OR($F$5="reciprocating - diesel",$F$5="reciprocating - gasoline"),"lb/hp-hr","lb/MMBtu")</f>
        <v>lb/hp-hr</v>
      </c>
      <c r="H16" s="73"/>
      <c r="I16" s="75"/>
      <c r="J16" s="69"/>
      <c r="K16" s="17" t="str">
        <f>Inputs!F29</f>
        <v>routine</v>
      </c>
    </row>
    <row r="17" spans="2:11" ht="15.75" customHeight="1" x14ac:dyDescent="0.25">
      <c r="B17" s="403" t="s">
        <v>48</v>
      </c>
      <c r="C17" s="403"/>
      <c r="D17" s="404">
        <v>0</v>
      </c>
      <c r="E17" s="404"/>
      <c r="F17" s="316" t="s">
        <v>439</v>
      </c>
      <c r="G17" s="306">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5"/>
      <c r="J17" s="69"/>
      <c r="K17" s="18" t="str">
        <f>Inputs!F30</f>
        <v>emergency</v>
      </c>
    </row>
    <row r="18" spans="2:11" ht="15.75" customHeight="1" x14ac:dyDescent="0.25">
      <c r="B18" s="403" t="s">
        <v>51</v>
      </c>
      <c r="C18" s="403"/>
      <c r="D18" s="404">
        <v>0</v>
      </c>
      <c r="E18" s="404"/>
      <c r="F18" s="316" t="s">
        <v>439</v>
      </c>
      <c r="G18" s="307">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3"/>
      <c r="I18" s="75"/>
      <c r="J18" s="69"/>
    </row>
    <row r="19" spans="2:11" ht="15.6" x14ac:dyDescent="0.25">
      <c r="B19" s="402" t="s">
        <v>52</v>
      </c>
      <c r="C19" s="402"/>
      <c r="D19" s="404">
        <v>0</v>
      </c>
      <c r="E19" s="404"/>
      <c r="F19" s="316" t="s">
        <v>439</v>
      </c>
      <c r="G19" s="306">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3"/>
      <c r="J19" s="69"/>
      <c r="K19" s="15" t="s">
        <v>117</v>
      </c>
    </row>
    <row r="20" spans="2:11" ht="15.75" customHeight="1" x14ac:dyDescent="0.25">
      <c r="B20" s="402" t="s">
        <v>53</v>
      </c>
      <c r="C20" s="402"/>
      <c r="D20" s="404">
        <v>0</v>
      </c>
      <c r="E20" s="404"/>
      <c r="F20" s="316" t="s">
        <v>439</v>
      </c>
      <c r="G20" s="307">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3"/>
      <c r="K20" s="17" t="s">
        <v>439</v>
      </c>
    </row>
    <row r="21" spans="2:11" ht="15.75" customHeight="1" x14ac:dyDescent="0.25">
      <c r="B21" s="402" t="s">
        <v>54</v>
      </c>
      <c r="C21" s="402"/>
      <c r="D21" s="405">
        <v>0</v>
      </c>
      <c r="E21" s="405"/>
      <c r="F21" s="316" t="s">
        <v>439</v>
      </c>
      <c r="G21" s="307">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3"/>
      <c r="K21" s="18" t="str">
        <f>"mg/Nm"&amp;CHAR(179)</f>
        <v>mg/Nm³</v>
      </c>
    </row>
    <row r="22" spans="2:11" ht="16.5" customHeight="1" x14ac:dyDescent="0.25">
      <c r="B22" s="73"/>
      <c r="C22" s="73"/>
      <c r="D22" s="73"/>
      <c r="E22" s="73"/>
      <c r="F22" s="73"/>
      <c r="G22" s="73"/>
      <c r="H22" s="73"/>
      <c r="I22" s="75"/>
    </row>
    <row r="23" spans="2:11" x14ac:dyDescent="0.25">
      <c r="B23" s="387" t="s">
        <v>41</v>
      </c>
      <c r="C23" s="388"/>
      <c r="D23" s="388"/>
      <c r="E23" s="388"/>
      <c r="F23" s="388"/>
      <c r="G23" s="388"/>
      <c r="H23" s="388"/>
      <c r="I23" s="389"/>
    </row>
    <row r="24" spans="2:11" ht="26.4" x14ac:dyDescent="0.25">
      <c r="B24" s="76" t="s">
        <v>42</v>
      </c>
      <c r="C24" s="76" t="s">
        <v>43</v>
      </c>
      <c r="D24" s="76" t="s">
        <v>44</v>
      </c>
      <c r="E24" s="76" t="s">
        <v>413</v>
      </c>
      <c r="F24" s="108" t="s">
        <v>384</v>
      </c>
      <c r="G24" s="108"/>
      <c r="H24" s="77" t="s">
        <v>412</v>
      </c>
      <c r="I24" s="110" t="s">
        <v>409</v>
      </c>
    </row>
    <row r="25" spans="2:11" ht="24" customHeight="1" x14ac:dyDescent="0.25">
      <c r="B25" s="78"/>
      <c r="C25" s="79" t="str">
        <f>IF(OR($F$5="reciprocating - diesel",$F$5="reciprocating - gasoline"),"(lb/hp*hr)","(lb/MMBtu fuel input)")</f>
        <v>(lb/hp*hr)</v>
      </c>
      <c r="D25" s="79" t="s">
        <v>45</v>
      </c>
      <c r="E25" s="79" t="s">
        <v>46</v>
      </c>
      <c r="F25" s="109" t="s">
        <v>76</v>
      </c>
      <c r="G25" s="109"/>
      <c r="H25" s="80" t="s">
        <v>47</v>
      </c>
      <c r="I25" s="111" t="s">
        <v>76</v>
      </c>
    </row>
    <row r="26" spans="2:11" ht="15.6" x14ac:dyDescent="0.35">
      <c r="B26" s="81" t="s">
        <v>49</v>
      </c>
      <c r="C26" s="145">
        <f>IF($D$17=0,IF($F$5="reciprocating - diesel",IF($K$13&gt;=600,'Emission Factors'!$C5,'Emission Factors'!$B5),IF($F$5="reciprocating - gasoline",'Emission Factors'!E5,IF($F$5="turbine - natural gas",'Emission Factors'!D5,IF($F$5="reciprocating - natural gas rich burn",'Emission Factors'!F5,IF($F$5="reciprocating - natural gas 4-stroke lean burn",'Emission Factors'!G5,'Emission Factors'!H5))))),$G$17)</f>
        <v>2.2000000000000001E-3</v>
      </c>
      <c r="D26" s="146">
        <f>C26*K13</f>
        <v>0</v>
      </c>
      <c r="E26" s="147">
        <f>IF(F$6="routine",Allowable_Hours_for_Engine_Operation,IF($F$12&gt;500,$F$12,'Additional References'!$B$8))</f>
        <v>8760</v>
      </c>
      <c r="F26" s="142">
        <f t="shared" ref="F26:F31" si="0">D26*E26/2000</f>
        <v>0</v>
      </c>
      <c r="G26" s="142"/>
      <c r="H26" s="143">
        <f t="shared" ref="H26:H31" si="1">F$12</f>
        <v>0</v>
      </c>
      <c r="I26" s="144">
        <f t="shared" ref="I26:I31" si="2">D26*H26/2000</f>
        <v>0</v>
      </c>
    </row>
    <row r="27" spans="2:11" ht="15.6" x14ac:dyDescent="0.35">
      <c r="B27" s="81" t="s">
        <v>50</v>
      </c>
      <c r="C27" s="145">
        <f>IF($D$17=0,IF($F$5="reciprocating - diesel",IF($K$13&gt;=600,'Emission Factors'!$C6,'Emission Factors'!$B6),IF($F$5="reciprocating - gasoline",'Emission Factors'!E6,IF($F$5="turbine - natural gas",'Emission Factors'!D6,IF($F$5="reciprocating - natural gas rich burn",'Emission Factors'!F6,IF($F$5="reciprocating - natural gas 4-stroke lean burn",'Emission Factors'!G6,'Emission Factors'!H6))))),$G$17)</f>
        <v>2.2000000000000001E-3</v>
      </c>
      <c r="D27" s="146">
        <f>C27*K13</f>
        <v>0</v>
      </c>
      <c r="E27" s="147">
        <f>IF(F$6="routine",Allowable_Hours_for_Engine_Operation,IF($F$12&gt;500,$F$12,'Additional References'!$B$8))</f>
        <v>8760</v>
      </c>
      <c r="F27" s="142">
        <f t="shared" si="0"/>
        <v>0</v>
      </c>
      <c r="G27" s="142"/>
      <c r="H27" s="143">
        <f t="shared" si="1"/>
        <v>0</v>
      </c>
      <c r="I27" s="144">
        <f t="shared" si="2"/>
        <v>0</v>
      </c>
    </row>
    <row r="28" spans="2:11" ht="15.6" x14ac:dyDescent="0.35">
      <c r="B28" s="81" t="s">
        <v>51</v>
      </c>
      <c r="C28" s="145">
        <f>IF($D$18=0,IF($F$5="reciprocating - diesel",IF($K$13&gt;=600,'Emission Factors'!$C7*$F$11,'Emission Factors'!$B7),IF($F$5="reciprocating - gasoline",'Emission Factors'!E7,IF($F$5="turbine - natural gas",'Emission Factors'!D7*$F$11,IF($F$5="reciprocating - natural gas rich burn",'Emission Factors'!F7,IF($F$5="reciprocating - natural gas 4-stroke lean burn",'Emission Factors'!G7,'Emission Factors'!H7))))),$G$18)</f>
        <v>2.0500000000000002E-3</v>
      </c>
      <c r="D28" s="146">
        <f>C28*K13</f>
        <v>0</v>
      </c>
      <c r="E28" s="147">
        <f>IF(F$6="routine",Allowable_Hours_for_Engine_Operation,IF($F$12&gt;500,$F$12,'Additional References'!$B$8))</f>
        <v>8760</v>
      </c>
      <c r="F28" s="142">
        <f>IF($F$5="reciprocating - diesel",IF($K$13&gt;=600,'Emission Factors'!$C7*MAX('Additional References'!$B$5,$F$11)*$K$13*$E$28/2000,D28*E28/2000),IF($F$5="turbine - natural gas",'Emission Factors'!D7*MAX('Additional References'!$B$6,$F$11)*$K$13*$E$28/2000,D28*E28/2000))</f>
        <v>0</v>
      </c>
      <c r="G28" s="142"/>
      <c r="H28" s="143">
        <f t="shared" si="1"/>
        <v>0</v>
      </c>
      <c r="I28" s="144">
        <f t="shared" si="2"/>
        <v>0</v>
      </c>
    </row>
    <row r="29" spans="2:11" ht="15.6" x14ac:dyDescent="0.35">
      <c r="B29" s="81" t="s">
        <v>52</v>
      </c>
      <c r="C29" s="145">
        <f>IF($D$19=0,IF($F$5="reciprocating - diesel",IF($K$13&gt;=600,'Emission Factors'!$C8,'Emission Factors'!$B8),IF($F$5="reciprocating - gasoline",'Emission Factors'!E8,IF($F$5="turbine - natural gas",'Emission Factors'!D8,IF($F$5="reciprocating - natural gas rich burn",'Emission Factors'!F8,IF($F$5="reciprocating - natural gas 4-stroke lean burn",'Emission Factors'!G8,'Emission Factors'!H8))))),$G$19)</f>
        <v>3.1E-2</v>
      </c>
      <c r="D29" s="146">
        <f>C29*K13</f>
        <v>0</v>
      </c>
      <c r="E29" s="147">
        <f>IF(F$6="routine",Allowable_Hours_for_Engine_Operation,IF($F$12&gt;500,$F$12,'Additional References'!$B$8))</f>
        <v>8760</v>
      </c>
      <c r="F29" s="142">
        <f t="shared" si="0"/>
        <v>0</v>
      </c>
      <c r="G29" s="142"/>
      <c r="H29" s="143">
        <f t="shared" si="1"/>
        <v>0</v>
      </c>
      <c r="I29" s="144">
        <f t="shared" si="2"/>
        <v>0</v>
      </c>
    </row>
    <row r="30" spans="2:11" x14ac:dyDescent="0.25">
      <c r="B30" s="81" t="s">
        <v>53</v>
      </c>
      <c r="C30" s="145">
        <f>IF($D$20=0,IF($F$5="reciprocating - diesel",IF($K$13&gt;=600,'Emission Factors'!$C9,'Emission Factors'!$B9),IF($F$5="reciprocating - gasoline",'Emission Factors'!E9,IF($F$5="turbine - natural gas",'Emission Factors'!D9,IF($F$5="reciprocating - natural gas rich burn",'Emission Factors'!F9,IF($F$5="reciprocating - natural gas 4-stroke lean burn",'Emission Factors'!G9,'Emission Factors'!H9))))),$G$20)</f>
        <v>2.5140000000000002E-3</v>
      </c>
      <c r="D30" s="146">
        <f>C30*K13</f>
        <v>0</v>
      </c>
      <c r="E30" s="147">
        <f>IF(F$6="routine",Allowable_Hours_for_Engine_Operation,IF($F$12&gt;500,$F$12,'Additional References'!$B$8))</f>
        <v>8760</v>
      </c>
      <c r="F30" s="142">
        <f t="shared" si="0"/>
        <v>0</v>
      </c>
      <c r="G30" s="142"/>
      <c r="H30" s="143">
        <f t="shared" si="1"/>
        <v>0</v>
      </c>
      <c r="I30" s="144">
        <f t="shared" si="2"/>
        <v>0</v>
      </c>
    </row>
    <row r="31" spans="2:11" x14ac:dyDescent="0.25">
      <c r="B31" s="82" t="s">
        <v>54</v>
      </c>
      <c r="C31" s="148">
        <f>IF($D$21=0,IF($F$5="reciprocating - diesel",IF($K$13&gt;=600,'Emission Factors'!$C10,'Emission Factors'!$B10),IF($F$5="reciprocating - gasoline",'Emission Factors'!E10,IF($F$5="turbine - natural gas",'Emission Factors'!D10,IF($F$5="reciprocating - natural gas rich burn",'Emission Factors'!F10,IF($F$5="reciprocating - natural gas 4-stroke lean burn",'Emission Factors'!G10,'Emission Factors'!H10))))),$G$21)</f>
        <v>6.6800000000000002E-3</v>
      </c>
      <c r="D31" s="149">
        <f>C31*K13</f>
        <v>0</v>
      </c>
      <c r="E31" s="150">
        <f>IF(F$6="routine",Allowable_Hours_for_Engine_Operation,IF($F$12&gt;500,$F$12,'Additional References'!$B$8))</f>
        <v>8760</v>
      </c>
      <c r="F31" s="151">
        <f t="shared" si="0"/>
        <v>0</v>
      </c>
      <c r="G31" s="151"/>
      <c r="H31" s="152">
        <f t="shared" si="1"/>
        <v>0</v>
      </c>
      <c r="I31" s="153">
        <f t="shared" si="2"/>
        <v>0</v>
      </c>
    </row>
  </sheetData>
  <sheetProtection password="C969" sheet="1" objects="1" scenarios="1"/>
  <dataConsolidate/>
  <mergeCells count="24">
    <mergeCell ref="B18:C18"/>
    <mergeCell ref="D21:E21"/>
    <mergeCell ref="B4:F4"/>
    <mergeCell ref="B8:E8"/>
    <mergeCell ref="B9:E9"/>
    <mergeCell ref="B10:E10"/>
    <mergeCell ref="B7:F7"/>
    <mergeCell ref="D18:E18"/>
    <mergeCell ref="B23:I23"/>
    <mergeCell ref="B5:E5"/>
    <mergeCell ref="B6:E6"/>
    <mergeCell ref="B11:E11"/>
    <mergeCell ref="B12:E12"/>
    <mergeCell ref="B15:F15"/>
    <mergeCell ref="B14:F14"/>
    <mergeCell ref="D16:E16"/>
    <mergeCell ref="B16:C16"/>
    <mergeCell ref="B21:C21"/>
    <mergeCell ref="B19:C19"/>
    <mergeCell ref="B20:C20"/>
    <mergeCell ref="B17:C17"/>
    <mergeCell ref="D17:E17"/>
    <mergeCell ref="D19:E19"/>
    <mergeCell ref="D20:E20"/>
  </mergeCells>
  <conditionalFormatting sqref="B11:F11">
    <cfRule type="expression" dxfId="12" priority="1">
      <formula>$B$11=""</formula>
    </cfRule>
  </conditionalFormatting>
  <dataValidations count="10">
    <dataValidation type="decimal" allowBlank="1" showInputMessage="1" showErrorMessage="1" errorTitle="Value - Out of Range" error="Value entered must be between 0 and 100." sqref="F11:G11">
      <formula1>0</formula1>
      <formula2>100</formula2>
    </dataValidation>
    <dataValidation type="decimal" allowBlank="1" showInputMessage="1" showErrorMessage="1" errorTitle="Value - Out of Range" error="Value must be between 0 and 8760." sqref="G12">
      <formula1>0</formula1>
      <formula2>8760</formula2>
    </dataValidation>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EngineUse1</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Mechanical_Output_1+Power_Output_1+Fuel_Consumption_1=Mechanical_Output_1</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Mechanical_Output_1+Power_Output_1+Fuel_Consumption_1=Power_Output_1</formula1>
    </dataValidation>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Mechanical_Output_1+Power_Output_1+Fuel_Consumption_1=Fuel_Consumption_1</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21"/>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IF(OR(Engine_Fuel_Type_1="reciprocating - diesel",Engine_Fuel_Type_1="reciprocating - gasoline"),g_hp_hr_1,Emission_Rate_Unit_1)</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ngine - Fuel Type" prompt="Select your engine and fuel type from the drop-down list." sqref="F5">
      <formula1>EngineFuelType1</formula1>
    </dataValidation>
  </dataValidations>
  <pageMargins left="0.7" right="0.7" top="0.75" bottom="0.75" header="0.3" footer="0.3"/>
  <pageSetup scale="83" orientation="landscape" r:id="rId1"/>
  <headerFooter>
    <oddFooter>&amp;LPage &amp;P of &amp;N&amp;C&amp;F&amp;RPrinted &amp;D</oddFooter>
  </headerFooter>
  <ignoredErrors>
    <ignoredError sqref="F2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K31"/>
  <sheetViews>
    <sheetView showGridLines="0" zoomScale="90" zoomScaleNormal="9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0.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8" t="s">
        <v>55</v>
      </c>
      <c r="C1" s="69"/>
      <c r="D1" s="69"/>
      <c r="E1" s="69"/>
      <c r="F1" s="69"/>
      <c r="G1" s="69"/>
      <c r="H1" s="69"/>
      <c r="I1" s="69"/>
    </row>
    <row r="2" spans="2:11" x14ac:dyDescent="0.25">
      <c r="B2" s="70" t="s">
        <v>399</v>
      </c>
      <c r="C2" s="69"/>
      <c r="D2" s="69"/>
      <c r="E2" s="69"/>
      <c r="F2" s="69"/>
      <c r="G2" s="69"/>
      <c r="H2" s="69"/>
      <c r="I2" s="69"/>
    </row>
    <row r="3" spans="2:11" x14ac:dyDescent="0.25">
      <c r="B3" s="70"/>
      <c r="C3" s="69"/>
      <c r="D3" s="69"/>
      <c r="E3" s="69"/>
      <c r="F3" s="69"/>
      <c r="G3" s="69"/>
      <c r="H3" s="69"/>
      <c r="I3" s="69"/>
    </row>
    <row r="4" spans="2:11" x14ac:dyDescent="0.25">
      <c r="B4" s="399" t="s">
        <v>101</v>
      </c>
      <c r="C4" s="399"/>
      <c r="D4" s="399"/>
      <c r="E4" s="399"/>
      <c r="F4" s="399"/>
      <c r="G4" s="293"/>
      <c r="H4" s="69"/>
      <c r="I4" s="69"/>
      <c r="K4" s="15" t="str">
        <f>Inputs!F19</f>
        <v>Engine and Fuel Type</v>
      </c>
    </row>
    <row r="5" spans="2:11" x14ac:dyDescent="0.25">
      <c r="B5" s="390" t="s">
        <v>444</v>
      </c>
      <c r="C5" s="391"/>
      <c r="D5" s="391"/>
      <c r="E5" s="392"/>
      <c r="F5" s="83" t="s">
        <v>33</v>
      </c>
      <c r="G5" s="311"/>
      <c r="H5" s="71"/>
      <c r="K5" s="17" t="str">
        <f>Inputs!F20</f>
        <v>reciprocating - diesel</v>
      </c>
    </row>
    <row r="6" spans="2:11" x14ac:dyDescent="0.25">
      <c r="B6" s="390" t="s">
        <v>100</v>
      </c>
      <c r="C6" s="391"/>
      <c r="D6" s="391"/>
      <c r="E6" s="392"/>
      <c r="F6" s="84" t="s">
        <v>38</v>
      </c>
      <c r="G6" s="312"/>
      <c r="H6" s="71"/>
      <c r="K6" s="18" t="str">
        <f>Inputs!F21</f>
        <v>reciprocating - gasoline</v>
      </c>
    </row>
    <row r="7" spans="2:11" x14ac:dyDescent="0.25">
      <c r="B7" s="390" t="s">
        <v>464</v>
      </c>
      <c r="C7" s="391"/>
      <c r="D7" s="391"/>
      <c r="E7" s="391"/>
      <c r="F7" s="392"/>
      <c r="G7" s="308" t="str">
        <f>IF(OR($F$5="reciprocating - diesel",$F$5="reciprocating - gasoline"),"Mechanical Output (hp)","Heat Input (MMBtu/hr)")</f>
        <v>Mechanical Output (hp)</v>
      </c>
      <c r="K7" s="17" t="str">
        <f>Inputs!F22</f>
        <v>turbine - natural gas</v>
      </c>
    </row>
    <row r="8" spans="2:11" ht="15.75" customHeight="1" x14ac:dyDescent="0.25">
      <c r="B8" s="406" t="s">
        <v>463</v>
      </c>
      <c r="C8" s="407"/>
      <c r="D8" s="407"/>
      <c r="E8" s="408"/>
      <c r="F8" s="315">
        <v>0</v>
      </c>
      <c r="G8" s="306">
        <f>IF(OR($F$5="reciprocating - diesel",$F$5="reciprocating - gasoline"),$F$8,($F$8*Hp_to_Btu_hr_Conversion_Factor/1000000)/(Fuel_Energy_to_Output_Efficiency))</f>
        <v>0</v>
      </c>
      <c r="H8" s="305"/>
      <c r="I8" s="311"/>
      <c r="K8" s="18" t="str">
        <f>Inputs!F23</f>
        <v>reciprocating - natural gas rich burn</v>
      </c>
    </row>
    <row r="9" spans="2:11" ht="15.75" customHeight="1" x14ac:dyDescent="0.25">
      <c r="B9" s="406" t="s">
        <v>480</v>
      </c>
      <c r="C9" s="407"/>
      <c r="D9" s="407"/>
      <c r="E9" s="408"/>
      <c r="F9" s="315">
        <v>0</v>
      </c>
      <c r="G9" s="307">
        <f>IF(OR($F$5="reciprocating - diesel",$F$5="reciprocating - gasoline"),$F$9*kW_to_hp_Conversion_Factor,$F$9*kW_to_Btu_hr_Conversion_Factor/(1000000*Fuel_Energy_to_Output_Efficiency))</f>
        <v>0</v>
      </c>
      <c r="H9" s="71"/>
      <c r="I9" s="311"/>
      <c r="K9" s="18" t="str">
        <f>Inputs!F24</f>
        <v>reciprocating - natural gas 4-stroke lean burn</v>
      </c>
    </row>
    <row r="10" spans="2:11" ht="15.75" customHeight="1" x14ac:dyDescent="0.25">
      <c r="B10" s="406" t="str">
        <f>IF(OR($F$5="reciprocating - diesel",$F$5="reciprocating - gasoline"),"Rated fuel consumption (gal/hr) at 100% load","Rated fuel consumption (Nm"&amp;CHAR(179)&amp;"/hr) at 100% load")</f>
        <v>Rated fuel consumption (gal/hr) at 100% load</v>
      </c>
      <c r="C10" s="407"/>
      <c r="D10" s="407"/>
      <c r="E10" s="408"/>
      <c r="F10" s="315">
        <v>0</v>
      </c>
      <c r="G10" s="306">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1"/>
      <c r="I10" s="311"/>
      <c r="K10" s="18" t="str">
        <f>Inputs!F25</f>
        <v>reciprocating - natural gas 2-stroke lean burn</v>
      </c>
    </row>
    <row r="11" spans="2:11" ht="27.75" customHeight="1" x14ac:dyDescent="0.25">
      <c r="B11" s="393" t="str">
        <f>IF(AND(F5="reciprocating - diesel",K13&gt;=600),"Enter sulfur content of the diesel fuel (percent). If the sulfur content is unknown, enter "&amp;'Additional References'!$B$4&amp;" percent.", IF(F5="turbine - natural gas","Enter the sulfur content of the natural gas (percent). If the sulfur content is unknown, enter "&amp;'Additional References'!$B$6&amp;" percent.",""))</f>
        <v/>
      </c>
      <c r="C11" s="394"/>
      <c r="D11" s="394"/>
      <c r="E11" s="395"/>
      <c r="F11" s="105">
        <v>0.24</v>
      </c>
      <c r="G11" s="313"/>
      <c r="H11" s="73"/>
    </row>
    <row r="12" spans="2:11" ht="16.5" customHeight="1" x14ac:dyDescent="0.25">
      <c r="B12" s="390" t="s">
        <v>411</v>
      </c>
      <c r="C12" s="391"/>
      <c r="D12" s="391"/>
      <c r="E12" s="392"/>
      <c r="F12" s="83">
        <v>0</v>
      </c>
      <c r="G12" s="311"/>
      <c r="H12" s="73"/>
      <c r="K12" s="15" t="str">
        <f>IF(OR($F$5="reciprocating - diesel",$F$5="reciprocating - gasoline"),"Mechanical Output (hp)","Heat Input (MMBtu/hr)")</f>
        <v>Mechanical Output (hp)</v>
      </c>
    </row>
    <row r="13" spans="2:11" ht="15.75" customHeight="1" x14ac:dyDescent="0.25">
      <c r="B13" s="73"/>
      <c r="C13" s="73"/>
      <c r="D13" s="73"/>
      <c r="E13" s="73"/>
      <c r="F13" s="73"/>
      <c r="G13" s="75"/>
      <c r="H13" s="73"/>
      <c r="K13" s="314">
        <f>MAX($G$8:$G$10)</f>
        <v>0</v>
      </c>
    </row>
    <row r="14" spans="2:11" ht="15.75" customHeight="1" x14ac:dyDescent="0.25">
      <c r="B14" s="399" t="s">
        <v>493</v>
      </c>
      <c r="C14" s="399"/>
      <c r="D14" s="399"/>
      <c r="E14" s="399"/>
      <c r="F14" s="399"/>
      <c r="G14" s="293"/>
      <c r="H14" s="73"/>
      <c r="I14" s="75"/>
    </row>
    <row r="15" spans="2:11" ht="67.5" customHeight="1" x14ac:dyDescent="0.25">
      <c r="B15" s="396" t="s">
        <v>492</v>
      </c>
      <c r="C15" s="397"/>
      <c r="D15" s="397"/>
      <c r="E15" s="397"/>
      <c r="F15" s="398"/>
      <c r="G15" s="294"/>
      <c r="H15" s="73"/>
      <c r="I15" s="75"/>
      <c r="K15" s="15" t="str">
        <f>Inputs!F28</f>
        <v>Engine Use</v>
      </c>
    </row>
    <row r="16" spans="2:11" ht="15.75" customHeight="1" x14ac:dyDescent="0.25">
      <c r="B16" s="401" t="s">
        <v>42</v>
      </c>
      <c r="C16" s="401"/>
      <c r="D16" s="400" t="s">
        <v>44</v>
      </c>
      <c r="E16" s="400"/>
      <c r="F16" s="310" t="s">
        <v>489</v>
      </c>
      <c r="G16" s="308" t="str">
        <f>IF(OR($F$5="reciprocating - diesel",$F$5="reciprocating - gasoline"),"lb/hp-hr","lb/MMBtu")</f>
        <v>lb/hp-hr</v>
      </c>
      <c r="H16" s="73"/>
      <c r="I16" s="75"/>
      <c r="K16" s="17" t="str">
        <f>Inputs!F29</f>
        <v>routine</v>
      </c>
    </row>
    <row r="17" spans="2:11" ht="15.75" customHeight="1" x14ac:dyDescent="0.25">
      <c r="B17" s="403" t="s">
        <v>48</v>
      </c>
      <c r="C17" s="403"/>
      <c r="D17" s="404">
        <v>0</v>
      </c>
      <c r="E17" s="404"/>
      <c r="F17" s="316" t="s">
        <v>439</v>
      </c>
      <c r="G17" s="306">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5"/>
      <c r="K17" s="18" t="str">
        <f>Inputs!F30</f>
        <v>emergency</v>
      </c>
    </row>
    <row r="18" spans="2:11" ht="15.75" customHeight="1" x14ac:dyDescent="0.25">
      <c r="B18" s="403" t="s">
        <v>51</v>
      </c>
      <c r="C18" s="403"/>
      <c r="D18" s="404">
        <v>0</v>
      </c>
      <c r="E18" s="404"/>
      <c r="F18" s="316" t="s">
        <v>439</v>
      </c>
      <c r="G18" s="307">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3"/>
      <c r="I18" s="75"/>
    </row>
    <row r="19" spans="2:11" ht="15.75" customHeight="1" x14ac:dyDescent="0.25">
      <c r="B19" s="402" t="s">
        <v>52</v>
      </c>
      <c r="C19" s="402"/>
      <c r="D19" s="404">
        <v>0</v>
      </c>
      <c r="E19" s="404"/>
      <c r="F19" s="316" t="s">
        <v>439</v>
      </c>
      <c r="G19" s="306">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3"/>
      <c r="K19" s="15" t="s">
        <v>117</v>
      </c>
    </row>
    <row r="20" spans="2:11" ht="15.75" customHeight="1" x14ac:dyDescent="0.25">
      <c r="B20" s="402" t="s">
        <v>53</v>
      </c>
      <c r="C20" s="402"/>
      <c r="D20" s="404">
        <v>0</v>
      </c>
      <c r="E20" s="404"/>
      <c r="F20" s="316" t="s">
        <v>439</v>
      </c>
      <c r="G20" s="307">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3"/>
      <c r="K20" s="17" t="s">
        <v>439</v>
      </c>
    </row>
    <row r="21" spans="2:11" ht="15.75" customHeight="1" x14ac:dyDescent="0.25">
      <c r="B21" s="402" t="s">
        <v>54</v>
      </c>
      <c r="C21" s="402"/>
      <c r="D21" s="405">
        <v>0</v>
      </c>
      <c r="E21" s="405"/>
      <c r="F21" s="316" t="s">
        <v>439</v>
      </c>
      <c r="G21" s="307">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3"/>
      <c r="K21" s="18" t="str">
        <f>"mg/Nm"&amp;CHAR(179)</f>
        <v>mg/Nm³</v>
      </c>
    </row>
    <row r="22" spans="2:11" ht="16.5" customHeight="1" x14ac:dyDescent="0.25">
      <c r="B22" s="73"/>
      <c r="C22" s="73"/>
      <c r="D22" s="73"/>
      <c r="E22" s="73"/>
      <c r="F22" s="73"/>
      <c r="G22" s="73"/>
      <c r="H22" s="73"/>
      <c r="I22" s="75"/>
    </row>
    <row r="23" spans="2:11" x14ac:dyDescent="0.25">
      <c r="B23" s="387" t="s">
        <v>41</v>
      </c>
      <c r="C23" s="388"/>
      <c r="D23" s="388"/>
      <c r="E23" s="388"/>
      <c r="F23" s="388"/>
      <c r="G23" s="388"/>
      <c r="H23" s="388"/>
      <c r="I23" s="389"/>
    </row>
    <row r="24" spans="2:11" ht="26.4" x14ac:dyDescent="0.25">
      <c r="B24" s="76" t="s">
        <v>42</v>
      </c>
      <c r="C24" s="76" t="s">
        <v>43</v>
      </c>
      <c r="D24" s="76" t="s">
        <v>44</v>
      </c>
      <c r="E24" s="76" t="s">
        <v>413</v>
      </c>
      <c r="F24" s="108" t="s">
        <v>384</v>
      </c>
      <c r="G24" s="108"/>
      <c r="H24" s="77" t="s">
        <v>412</v>
      </c>
      <c r="I24" s="110" t="s">
        <v>409</v>
      </c>
    </row>
    <row r="25" spans="2:11" ht="24" customHeight="1" x14ac:dyDescent="0.25">
      <c r="B25" s="78"/>
      <c r="C25" s="79" t="str">
        <f>IF(OR($F$5="reciprocating - diesel",$F$5="reciprocating - gasoline"),"(lb/hp*hr)","(lb/MMBtu fuel input)")</f>
        <v>(lb/hp*hr)</v>
      </c>
      <c r="D25" s="79" t="s">
        <v>45</v>
      </c>
      <c r="E25" s="79" t="s">
        <v>46</v>
      </c>
      <c r="F25" s="109" t="s">
        <v>76</v>
      </c>
      <c r="G25" s="109"/>
      <c r="H25" s="80" t="s">
        <v>47</v>
      </c>
      <c r="I25" s="111" t="s">
        <v>76</v>
      </c>
    </row>
    <row r="26" spans="2:11" ht="15.6" x14ac:dyDescent="0.35">
      <c r="B26" s="81" t="s">
        <v>49</v>
      </c>
      <c r="C26" s="145">
        <f>IF($D$17=0,IF($F$5="reciprocating - diesel",IF($K$13&gt;=600,'Emission Factors'!$C5,'Emission Factors'!$B5),IF($F$5="reciprocating - gasoline",'Emission Factors'!E5,IF($F$5="turbine - natural gas",'Emission Factors'!D5,IF($F$5="reciprocating - natural gas rich burn",'Emission Factors'!F5,IF($F$5="reciprocating - natural gas 4-stroke lean burn",'Emission Factors'!G5,'Emission Factors'!H5))))),$G$17)</f>
        <v>2.2000000000000001E-3</v>
      </c>
      <c r="D26" s="146">
        <f>C26*K13</f>
        <v>0</v>
      </c>
      <c r="E26" s="147">
        <f>IF(F$6="routine",Allowable_Hours_for_Engine_Operation,IF($F$12&gt;500,$F$12,'Additional References'!$B$8))</f>
        <v>8760</v>
      </c>
      <c r="F26" s="142">
        <f t="shared" ref="F26:F31" si="0">D26*E26/2000</f>
        <v>0</v>
      </c>
      <c r="G26" s="142"/>
      <c r="H26" s="143">
        <f t="shared" ref="H26:H31" si="1">F$12</f>
        <v>0</v>
      </c>
      <c r="I26" s="144">
        <f t="shared" ref="I26:I31" si="2">D26*H26/2000</f>
        <v>0</v>
      </c>
    </row>
    <row r="27" spans="2:11" ht="15.6" x14ac:dyDescent="0.35">
      <c r="B27" s="81" t="s">
        <v>50</v>
      </c>
      <c r="C27" s="145">
        <f>IF($D$17=0,IF($F$5="reciprocating - diesel",IF($K$13&gt;=600,'Emission Factors'!$C6,'Emission Factors'!$B6),IF($F$5="reciprocating - gasoline",'Emission Factors'!E6,IF($F$5="turbine - natural gas",'Emission Factors'!D6,IF($F$5="reciprocating - natural gas rich burn",'Emission Factors'!F6,IF($F$5="reciprocating - natural gas 4-stroke lean burn",'Emission Factors'!G6,'Emission Factors'!H6))))),$G$17)</f>
        <v>2.2000000000000001E-3</v>
      </c>
      <c r="D27" s="146">
        <f>C27*K13</f>
        <v>0</v>
      </c>
      <c r="E27" s="147">
        <f>IF(F$6="routine",Allowable_Hours_for_Engine_Operation,IF($F$12&gt;500,$F$12,'Additional References'!$B$8))</f>
        <v>8760</v>
      </c>
      <c r="F27" s="142">
        <f t="shared" si="0"/>
        <v>0</v>
      </c>
      <c r="G27" s="142"/>
      <c r="H27" s="143">
        <f t="shared" si="1"/>
        <v>0</v>
      </c>
      <c r="I27" s="144">
        <f t="shared" si="2"/>
        <v>0</v>
      </c>
    </row>
    <row r="28" spans="2:11" ht="15.6" x14ac:dyDescent="0.35">
      <c r="B28" s="81" t="s">
        <v>51</v>
      </c>
      <c r="C28" s="145">
        <f>IF($D$18=0,IF($F$5="reciprocating - diesel",IF($K$13&gt;=600,'Emission Factors'!$C7*$F$11,'Emission Factors'!$B7),IF($F$5="reciprocating - gasoline",'Emission Factors'!E7,IF($F$5="turbine - natural gas",'Emission Factors'!D7*$F$11,IF($F$5="reciprocating - natural gas rich burn",'Emission Factors'!F7,IF($F$5="reciprocating - natural gas 4-stroke lean burn",'Emission Factors'!G7,'Emission Factors'!H7))))),$G$18)</f>
        <v>2.0500000000000002E-3</v>
      </c>
      <c r="D28" s="146">
        <f>C28*K13</f>
        <v>0</v>
      </c>
      <c r="E28" s="147">
        <f>IF(F$6="routine",Allowable_Hours_for_Engine_Operation,IF($F$12&gt;500,$F$12,'Additional References'!$B$8))</f>
        <v>8760</v>
      </c>
      <c r="F28" s="142">
        <f>IF($F$5="reciprocating - diesel",IF($K$13&gt;=600,'Emission Factors'!$C7*MAX('Additional References'!$B$5,$F$11)*$K$13*$E$28/2000,D28*E28/2000),IF($F$5="turbine - natural gas",'Emission Factors'!D7*MAX('Additional References'!$B$6,$F$11)*$K$13*$E$28/2000,D28*E28/2000))</f>
        <v>0</v>
      </c>
      <c r="G28" s="142"/>
      <c r="H28" s="143">
        <f t="shared" si="1"/>
        <v>0</v>
      </c>
      <c r="I28" s="144">
        <f t="shared" si="2"/>
        <v>0</v>
      </c>
    </row>
    <row r="29" spans="2:11" ht="15.6" x14ac:dyDescent="0.35">
      <c r="B29" s="81" t="s">
        <v>52</v>
      </c>
      <c r="C29" s="145">
        <f>IF($D$19=0,IF($F$5="reciprocating - diesel",IF($K$13&gt;=600,'Emission Factors'!$C8,'Emission Factors'!$B8),IF($F$5="reciprocating - gasoline",'Emission Factors'!E8,IF($F$5="turbine - natural gas",'Emission Factors'!D8,IF($F$5="reciprocating - natural gas rich burn",'Emission Factors'!F8,IF($F$5="reciprocating - natural gas 4-stroke lean burn",'Emission Factors'!G8,'Emission Factors'!H8))))),$G$19)</f>
        <v>3.1E-2</v>
      </c>
      <c r="D29" s="146">
        <f>C29*K13</f>
        <v>0</v>
      </c>
      <c r="E29" s="147">
        <f>IF(F$6="routine",Allowable_Hours_for_Engine_Operation,IF($F$12&gt;500,$F$12,'Additional References'!$B$8))</f>
        <v>8760</v>
      </c>
      <c r="F29" s="142">
        <f t="shared" si="0"/>
        <v>0</v>
      </c>
      <c r="G29" s="142"/>
      <c r="H29" s="143">
        <f t="shared" si="1"/>
        <v>0</v>
      </c>
      <c r="I29" s="144">
        <f t="shared" si="2"/>
        <v>0</v>
      </c>
    </row>
    <row r="30" spans="2:11" x14ac:dyDescent="0.25">
      <c r="B30" s="81" t="s">
        <v>53</v>
      </c>
      <c r="C30" s="145">
        <f>IF($D$20=0,IF($F$5="reciprocating - diesel",IF($K$13&gt;=600,'Emission Factors'!$C9,'Emission Factors'!$B9),IF($F$5="reciprocating - gasoline",'Emission Factors'!E9,IF($F$5="turbine - natural gas",'Emission Factors'!D9,IF($F$5="reciprocating - natural gas rich burn",'Emission Factors'!F9,IF($F$5="reciprocating - natural gas 4-stroke lean burn",'Emission Factors'!G9,'Emission Factors'!H9))))),$G$20)</f>
        <v>2.5140000000000002E-3</v>
      </c>
      <c r="D30" s="146">
        <f>C30*K13</f>
        <v>0</v>
      </c>
      <c r="E30" s="147">
        <f>IF(F$6="routine",Allowable_Hours_for_Engine_Operation,IF($F$12&gt;500,$F$12,'Additional References'!$B$8))</f>
        <v>8760</v>
      </c>
      <c r="F30" s="142">
        <f t="shared" si="0"/>
        <v>0</v>
      </c>
      <c r="G30" s="142"/>
      <c r="H30" s="143">
        <f t="shared" si="1"/>
        <v>0</v>
      </c>
      <c r="I30" s="144">
        <f t="shared" si="2"/>
        <v>0</v>
      </c>
    </row>
    <row r="31" spans="2:11" x14ac:dyDescent="0.25">
      <c r="B31" s="82" t="s">
        <v>54</v>
      </c>
      <c r="C31" s="148">
        <f>IF($D$21=0,IF($F$5="reciprocating - diesel",IF($K$13&gt;=600,'Emission Factors'!$C10,'Emission Factors'!$B10),IF($F$5="reciprocating - gasoline",'Emission Factors'!E10,IF($F$5="turbine - natural gas",'Emission Factors'!D10,IF($F$5="reciprocating - natural gas rich burn",'Emission Factors'!F10,IF($F$5="reciprocating - natural gas 4-stroke lean burn",'Emission Factors'!G10,'Emission Factors'!H10))))),$G$21)</f>
        <v>6.6800000000000002E-3</v>
      </c>
      <c r="D31" s="149">
        <f>C31*K13</f>
        <v>0</v>
      </c>
      <c r="E31" s="150">
        <f>IF(F$6="routine",Allowable_Hours_for_Engine_Operation,IF($F$12&gt;500,$F$12,'Additional References'!$B$8))</f>
        <v>8760</v>
      </c>
      <c r="F31" s="151">
        <f t="shared" si="0"/>
        <v>0</v>
      </c>
      <c r="G31" s="151"/>
      <c r="H31" s="152">
        <f t="shared" si="1"/>
        <v>0</v>
      </c>
      <c r="I31" s="153">
        <f t="shared" si="2"/>
        <v>0</v>
      </c>
    </row>
  </sheetData>
  <sheetProtection password="C969" sheet="1" objects="1" scenarios="1"/>
  <mergeCells count="24">
    <mergeCell ref="B23:I23"/>
    <mergeCell ref="B4:F4"/>
    <mergeCell ref="B5:E5"/>
    <mergeCell ref="B6:E6"/>
    <mergeCell ref="B8:E8"/>
    <mergeCell ref="B9:E9"/>
    <mergeCell ref="B16:C16"/>
    <mergeCell ref="D16:E16"/>
    <mergeCell ref="B17:C17"/>
    <mergeCell ref="D17:E17"/>
    <mergeCell ref="B18:C18"/>
    <mergeCell ref="D18:E18"/>
    <mergeCell ref="B7:F7"/>
    <mergeCell ref="B10:E10"/>
    <mergeCell ref="B11:E11"/>
    <mergeCell ref="B12:E12"/>
    <mergeCell ref="B14:F14"/>
    <mergeCell ref="B21:C21"/>
    <mergeCell ref="D21:E21"/>
    <mergeCell ref="B15:F15"/>
    <mergeCell ref="B19:C19"/>
    <mergeCell ref="D19:E19"/>
    <mergeCell ref="B20:C20"/>
    <mergeCell ref="D20:E20"/>
  </mergeCells>
  <conditionalFormatting sqref="B11:F11">
    <cfRule type="expression" dxfId="11" priority="1">
      <formula>$B$11=""</formula>
    </cfRule>
  </conditionalFormatting>
  <dataValidations count="10">
    <dataValidation type="decimal" allowBlank="1" showInputMessage="1" showErrorMessage="1" errorTitle="Value - Out of Range" error="Value must be between 0 and 8760." sqref="G12">
      <formula1>0</formula1>
      <formula2>8760</formula2>
    </dataValidation>
    <dataValidation type="decimal" allowBlank="1" showInputMessage="1" showErrorMessage="1" errorTitle="Value - Out of Range" error="Value entered must be between 0 and 100." sqref="F11:G11">
      <formula1>0</formula1>
      <formula2>100</formula2>
    </dataValidation>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EngineUse2</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21"/>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Mechanical_Output_2+Power_Output_2+Fuel_Consumption_2=Fuel_Consumption_2</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Mechanical_Output_2+Power_Output_2+Fuel_Consumption_2=Power_Output_2</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Mechanical_Output_2+Power_Output_2+Fuel_Consumption_2=Mechanical_Output_2</formula1>
    </dataValidation>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IF(OR(Engine_Fuel_Type_2="reciprocating - diesel",Engine_Fuel_Type_2="reciprocating - gasoline"),g_hp_hr_2,Emission_Rate_Unit_2)</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ngine - Fuel Type" prompt="Select your engine and fuel type from the drop-down list." sqref="F5">
      <formula1>EngineFuelType2</formula1>
    </dataValidation>
  </dataValidations>
  <pageMargins left="0.7" right="0.7" top="0.75" bottom="0.75" header="0.3" footer="0.3"/>
  <pageSetup scale="83" orientation="landscape" r:id="rId1"/>
  <headerFooter>
    <oddFooter>&amp;LPage &amp;P of &amp;N&amp;C&amp;F&amp;RPrinted &amp;D</oddFooter>
  </headerFooter>
  <ignoredErrors>
    <ignoredError sqref="F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7"/>
  <dimension ref="B1:K31"/>
  <sheetViews>
    <sheetView showGridLines="0" zoomScale="90" zoomScaleNormal="9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0.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8" t="s">
        <v>56</v>
      </c>
      <c r="C1" s="69"/>
      <c r="D1" s="69"/>
      <c r="E1" s="69"/>
      <c r="F1" s="69"/>
      <c r="G1" s="69"/>
      <c r="H1" s="69"/>
      <c r="I1" s="69"/>
      <c r="J1" s="69"/>
    </row>
    <row r="2" spans="2:11" x14ac:dyDescent="0.25">
      <c r="B2" s="70" t="s">
        <v>399</v>
      </c>
      <c r="C2" s="69"/>
      <c r="D2" s="69"/>
      <c r="E2" s="69"/>
      <c r="F2" s="69"/>
      <c r="G2" s="69"/>
      <c r="H2" s="69"/>
      <c r="I2" s="69"/>
      <c r="J2" s="69"/>
    </row>
    <row r="3" spans="2:11" x14ac:dyDescent="0.25">
      <c r="B3" s="70"/>
      <c r="C3" s="69"/>
      <c r="D3" s="69"/>
      <c r="E3" s="69"/>
      <c r="F3" s="69"/>
      <c r="G3" s="69"/>
      <c r="H3" s="69"/>
      <c r="I3" s="69"/>
      <c r="J3" s="69"/>
    </row>
    <row r="4" spans="2:11" x14ac:dyDescent="0.25">
      <c r="B4" s="399" t="s">
        <v>101</v>
      </c>
      <c r="C4" s="399"/>
      <c r="D4" s="399"/>
      <c r="E4" s="399"/>
      <c r="F4" s="399"/>
      <c r="G4" s="293"/>
      <c r="H4" s="69"/>
      <c r="I4" s="69"/>
      <c r="J4" s="69"/>
      <c r="K4" s="15" t="str">
        <f>Inputs!F19</f>
        <v>Engine and Fuel Type</v>
      </c>
    </row>
    <row r="5" spans="2:11" x14ac:dyDescent="0.25">
      <c r="B5" s="390" t="s">
        <v>444</v>
      </c>
      <c r="C5" s="391"/>
      <c r="D5" s="391"/>
      <c r="E5" s="392"/>
      <c r="F5" s="83" t="s">
        <v>33</v>
      </c>
      <c r="G5" s="311"/>
      <c r="H5" s="71"/>
      <c r="J5" s="72"/>
      <c r="K5" s="17" t="str">
        <f>Inputs!F20</f>
        <v>reciprocating - diesel</v>
      </c>
    </row>
    <row r="6" spans="2:11" x14ac:dyDescent="0.25">
      <c r="B6" s="390" t="s">
        <v>100</v>
      </c>
      <c r="C6" s="391"/>
      <c r="D6" s="391"/>
      <c r="E6" s="392"/>
      <c r="F6" s="84" t="s">
        <v>38</v>
      </c>
      <c r="G6" s="312"/>
      <c r="H6" s="71"/>
      <c r="J6" s="72"/>
      <c r="K6" s="18" t="str">
        <f>Inputs!F21</f>
        <v>reciprocating - gasoline</v>
      </c>
    </row>
    <row r="7" spans="2:11" x14ac:dyDescent="0.25">
      <c r="B7" s="390" t="s">
        <v>464</v>
      </c>
      <c r="C7" s="391"/>
      <c r="D7" s="391"/>
      <c r="E7" s="391"/>
      <c r="F7" s="392"/>
      <c r="G7" s="308" t="str">
        <f>IF(OR($F$5="reciprocating - diesel",$F$5="reciprocating - gasoline"),"Mechanical Output (hp)","Heat Input (MMBtu/hr)")</f>
        <v>Mechanical Output (hp)</v>
      </c>
      <c r="J7" s="69"/>
      <c r="K7" s="17" t="str">
        <f>Inputs!F22</f>
        <v>turbine - natural gas</v>
      </c>
    </row>
    <row r="8" spans="2:11" ht="15.75" customHeight="1" x14ac:dyDescent="0.25">
      <c r="B8" s="406" t="s">
        <v>463</v>
      </c>
      <c r="C8" s="407"/>
      <c r="D8" s="407"/>
      <c r="E8" s="408"/>
      <c r="F8" s="315">
        <v>0</v>
      </c>
      <c r="G8" s="306">
        <f>IF(OR($F$5="reciprocating - diesel",$F$5="reciprocating - gasoline"),$F$8,($F$8*Hp_to_Btu_hr_Conversion_Factor/1000000)/(Fuel_Energy_to_Output_Efficiency))</f>
        <v>0</v>
      </c>
      <c r="H8" s="305"/>
      <c r="I8" s="311"/>
      <c r="J8" s="74"/>
      <c r="K8" s="18" t="str">
        <f>Inputs!F23</f>
        <v>reciprocating - natural gas rich burn</v>
      </c>
    </row>
    <row r="9" spans="2:11" ht="15.75" customHeight="1" x14ac:dyDescent="0.25">
      <c r="B9" s="406" t="s">
        <v>480</v>
      </c>
      <c r="C9" s="407"/>
      <c r="D9" s="407"/>
      <c r="E9" s="408"/>
      <c r="F9" s="315">
        <v>0</v>
      </c>
      <c r="G9" s="307">
        <f>IF(OR($F$5="reciprocating - diesel",$F$5="reciprocating - gasoline"),$F$9*kW_to_hp_Conversion_Factor,$F$9*kW_to_Btu_hr_Conversion_Factor/(1000000*Fuel_Energy_to_Output_Efficiency))</f>
        <v>0</v>
      </c>
      <c r="H9" s="71"/>
      <c r="I9" s="311"/>
      <c r="J9" s="69"/>
      <c r="K9" s="18" t="str">
        <f>Inputs!F24</f>
        <v>reciprocating - natural gas 4-stroke lean burn</v>
      </c>
    </row>
    <row r="10" spans="2:11" ht="15.75" customHeight="1" x14ac:dyDescent="0.25">
      <c r="B10" s="406" t="str">
        <f>IF(OR($F$5="reciprocating - diesel",$F$5="reciprocating - gasoline"),"Rated fuel consumption (gal/hr) at 100% load","Rated fuel consumption (Nm"&amp;CHAR(179)&amp;"/hr) at 100% load")</f>
        <v>Rated fuel consumption (gal/hr) at 100% load</v>
      </c>
      <c r="C10" s="407"/>
      <c r="D10" s="407"/>
      <c r="E10" s="408"/>
      <c r="F10" s="315">
        <v>0</v>
      </c>
      <c r="G10" s="306">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1"/>
      <c r="I10" s="311"/>
      <c r="J10" s="69"/>
      <c r="K10" s="18" t="str">
        <f>Inputs!F25</f>
        <v>reciprocating - natural gas 2-stroke lean burn</v>
      </c>
    </row>
    <row r="11" spans="2:11" ht="27.75" customHeight="1" x14ac:dyDescent="0.25">
      <c r="B11" s="393" t="str">
        <f>IF(AND(F5="reciprocating - diesel",K13&gt;=600),"Enter sulfur content of the diesel fuel (percent). If the sulfur content is unknown, enter "&amp;'Additional References'!$B$4&amp;" percent.", IF(F5="turbine - natural gas","Enter the sulfur content of the natural gas (percent). If the sulfur content is unknown, enter "&amp;'Additional References'!$B$6&amp;" percent.",""))</f>
        <v/>
      </c>
      <c r="C11" s="394"/>
      <c r="D11" s="394"/>
      <c r="E11" s="395"/>
      <c r="F11" s="105">
        <v>0.24</v>
      </c>
      <c r="G11" s="313"/>
      <c r="H11" s="73"/>
      <c r="J11" s="69"/>
    </row>
    <row r="12" spans="2:11" ht="16.5" customHeight="1" x14ac:dyDescent="0.25">
      <c r="B12" s="390" t="s">
        <v>411</v>
      </c>
      <c r="C12" s="391"/>
      <c r="D12" s="391"/>
      <c r="E12" s="392"/>
      <c r="F12" s="83">
        <v>0</v>
      </c>
      <c r="G12" s="311"/>
      <c r="H12" s="73"/>
      <c r="J12" s="69"/>
      <c r="K12" s="15" t="str">
        <f>IF(OR($F$5="reciprocating - diesel",$F$5="reciprocating - gasoline"),"Mechanical Output (hp)","Heat Input (MMBtu/hr)")</f>
        <v>Mechanical Output (hp)</v>
      </c>
    </row>
    <row r="13" spans="2:11" ht="15.75" customHeight="1" x14ac:dyDescent="0.25">
      <c r="B13" s="73"/>
      <c r="C13" s="73"/>
      <c r="D13" s="73"/>
      <c r="E13" s="73"/>
      <c r="F13" s="73"/>
      <c r="G13" s="75"/>
      <c r="H13" s="73"/>
      <c r="J13" s="69"/>
      <c r="K13" s="314">
        <f>MAX($G$8:$G$10)</f>
        <v>0</v>
      </c>
    </row>
    <row r="14" spans="2:11" ht="15.75" customHeight="1" x14ac:dyDescent="0.25">
      <c r="B14" s="399" t="s">
        <v>493</v>
      </c>
      <c r="C14" s="399"/>
      <c r="D14" s="399"/>
      <c r="E14" s="399"/>
      <c r="F14" s="399"/>
      <c r="G14" s="293"/>
      <c r="H14" s="73"/>
      <c r="I14" s="75"/>
      <c r="J14" s="69"/>
    </row>
    <row r="15" spans="2:11" ht="67.5" customHeight="1" x14ac:dyDescent="0.25">
      <c r="B15" s="396" t="s">
        <v>492</v>
      </c>
      <c r="C15" s="397"/>
      <c r="D15" s="397"/>
      <c r="E15" s="397"/>
      <c r="F15" s="398"/>
      <c r="G15" s="294"/>
      <c r="H15" s="73"/>
      <c r="I15" s="75"/>
      <c r="J15" s="69"/>
      <c r="K15" s="15" t="str">
        <f>Inputs!F28</f>
        <v>Engine Use</v>
      </c>
    </row>
    <row r="16" spans="2:11" ht="15.75" customHeight="1" x14ac:dyDescent="0.25">
      <c r="B16" s="401" t="s">
        <v>42</v>
      </c>
      <c r="C16" s="401"/>
      <c r="D16" s="400" t="s">
        <v>44</v>
      </c>
      <c r="E16" s="400"/>
      <c r="F16" s="310" t="s">
        <v>489</v>
      </c>
      <c r="G16" s="308" t="str">
        <f>IF(OR($F$5="reciprocating - diesel",$F$5="reciprocating - gasoline"),"lb/hp-hr","lb/MMBtu")</f>
        <v>lb/hp-hr</v>
      </c>
      <c r="H16" s="73"/>
      <c r="I16" s="75"/>
      <c r="J16" s="69"/>
      <c r="K16" s="17" t="str">
        <f>Inputs!F29</f>
        <v>routine</v>
      </c>
    </row>
    <row r="17" spans="2:11" ht="15.75" customHeight="1" x14ac:dyDescent="0.25">
      <c r="B17" s="403" t="s">
        <v>48</v>
      </c>
      <c r="C17" s="403"/>
      <c r="D17" s="404">
        <v>0</v>
      </c>
      <c r="E17" s="404"/>
      <c r="F17" s="316" t="s">
        <v>439</v>
      </c>
      <c r="G17" s="306">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5"/>
      <c r="J17" s="69"/>
      <c r="K17" s="18" t="str">
        <f>Inputs!F30</f>
        <v>emergency</v>
      </c>
    </row>
    <row r="18" spans="2:11" ht="15.75" customHeight="1" x14ac:dyDescent="0.25">
      <c r="B18" s="403" t="s">
        <v>51</v>
      </c>
      <c r="C18" s="403"/>
      <c r="D18" s="404">
        <v>0</v>
      </c>
      <c r="E18" s="404"/>
      <c r="F18" s="316" t="s">
        <v>439</v>
      </c>
      <c r="G18" s="307">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3"/>
      <c r="I18" s="75"/>
      <c r="J18" s="69"/>
    </row>
    <row r="19" spans="2:11" ht="15.75" customHeight="1" x14ac:dyDescent="0.25">
      <c r="B19" s="402" t="s">
        <v>52</v>
      </c>
      <c r="C19" s="402"/>
      <c r="D19" s="404">
        <v>0</v>
      </c>
      <c r="E19" s="404"/>
      <c r="F19" s="316" t="s">
        <v>439</v>
      </c>
      <c r="G19" s="306">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3"/>
      <c r="J19" s="69"/>
      <c r="K19" s="15" t="s">
        <v>117</v>
      </c>
    </row>
    <row r="20" spans="2:11" ht="15.75" customHeight="1" x14ac:dyDescent="0.25">
      <c r="B20" s="402" t="s">
        <v>53</v>
      </c>
      <c r="C20" s="402"/>
      <c r="D20" s="404">
        <v>0</v>
      </c>
      <c r="E20" s="404"/>
      <c r="F20" s="316" t="s">
        <v>439</v>
      </c>
      <c r="G20" s="307">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3"/>
      <c r="J20" s="69"/>
      <c r="K20" s="17" t="s">
        <v>439</v>
      </c>
    </row>
    <row r="21" spans="2:11" ht="15.75" customHeight="1" x14ac:dyDescent="0.25">
      <c r="B21" s="402" t="s">
        <v>54</v>
      </c>
      <c r="C21" s="402"/>
      <c r="D21" s="405">
        <v>0</v>
      </c>
      <c r="E21" s="405"/>
      <c r="F21" s="316" t="s">
        <v>439</v>
      </c>
      <c r="G21" s="307">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3"/>
      <c r="J21" s="69"/>
      <c r="K21" s="18" t="str">
        <f>"mg/Nm"&amp;CHAR(179)</f>
        <v>mg/Nm³</v>
      </c>
    </row>
    <row r="22" spans="2:11" ht="16.5" customHeight="1" x14ac:dyDescent="0.25">
      <c r="B22" s="73"/>
      <c r="C22" s="73"/>
      <c r="D22" s="73"/>
      <c r="E22" s="73"/>
      <c r="F22" s="73"/>
      <c r="G22" s="73"/>
      <c r="H22" s="73"/>
      <c r="I22" s="75"/>
      <c r="J22" s="69"/>
    </row>
    <row r="23" spans="2:11" x14ac:dyDescent="0.25">
      <c r="B23" s="387" t="s">
        <v>41</v>
      </c>
      <c r="C23" s="388"/>
      <c r="D23" s="388"/>
      <c r="E23" s="388"/>
      <c r="F23" s="388"/>
      <c r="G23" s="388"/>
      <c r="H23" s="388"/>
      <c r="I23" s="389"/>
    </row>
    <row r="24" spans="2:11" ht="26.4" x14ac:dyDescent="0.25">
      <c r="B24" s="76" t="s">
        <v>42</v>
      </c>
      <c r="C24" s="76" t="s">
        <v>43</v>
      </c>
      <c r="D24" s="76" t="s">
        <v>44</v>
      </c>
      <c r="E24" s="76" t="s">
        <v>413</v>
      </c>
      <c r="F24" s="108" t="s">
        <v>384</v>
      </c>
      <c r="G24" s="108"/>
      <c r="H24" s="77" t="s">
        <v>412</v>
      </c>
      <c r="I24" s="110" t="s">
        <v>409</v>
      </c>
    </row>
    <row r="25" spans="2:11" ht="24" customHeight="1" x14ac:dyDescent="0.25">
      <c r="B25" s="78"/>
      <c r="C25" s="79" t="str">
        <f>IF(OR($F$5="reciprocating - diesel",$F$5="reciprocating - gasoline"),"(lb/hp*hr)","(lb/MMBtu fuel input)")</f>
        <v>(lb/hp*hr)</v>
      </c>
      <c r="D25" s="79" t="s">
        <v>45</v>
      </c>
      <c r="E25" s="79" t="s">
        <v>46</v>
      </c>
      <c r="F25" s="109" t="s">
        <v>76</v>
      </c>
      <c r="G25" s="109"/>
      <c r="H25" s="80" t="s">
        <v>47</v>
      </c>
      <c r="I25" s="111" t="s">
        <v>76</v>
      </c>
    </row>
    <row r="26" spans="2:11" ht="15.6" x14ac:dyDescent="0.35">
      <c r="B26" s="81" t="s">
        <v>49</v>
      </c>
      <c r="C26" s="145">
        <f>IF($D$17=0,IF($F$5="reciprocating - diesel",IF($K$13&gt;=600,'Emission Factors'!$C5,'Emission Factors'!$B5),IF($F$5="reciprocating - gasoline",'Emission Factors'!E5,IF($F$5="turbine - natural gas",'Emission Factors'!D5,IF($F$5="reciprocating - natural gas rich burn",'Emission Factors'!F5,IF($F$5="reciprocating - natural gas 4-stroke lean burn",'Emission Factors'!G5,'Emission Factors'!H5))))),$G$17)</f>
        <v>2.2000000000000001E-3</v>
      </c>
      <c r="D26" s="146">
        <f>C26*K13</f>
        <v>0</v>
      </c>
      <c r="E26" s="147">
        <f>IF(F$6="routine",Allowable_Hours_for_Engine_Operation,IF($F$12&gt;500,$F$12,'Additional References'!$B$8))</f>
        <v>8760</v>
      </c>
      <c r="F26" s="142">
        <f t="shared" ref="F26:F31" si="0">D26*E26/2000</f>
        <v>0</v>
      </c>
      <c r="G26" s="142"/>
      <c r="H26" s="143">
        <f t="shared" ref="H26:H31" si="1">F$12</f>
        <v>0</v>
      </c>
      <c r="I26" s="144">
        <f t="shared" ref="I26:I31" si="2">D26*H26/2000</f>
        <v>0</v>
      </c>
    </row>
    <row r="27" spans="2:11" ht="15.6" x14ac:dyDescent="0.35">
      <c r="B27" s="81" t="s">
        <v>50</v>
      </c>
      <c r="C27" s="145">
        <f>IF($D$17=0,IF($F$5="reciprocating - diesel",IF($K$13&gt;=600,'Emission Factors'!$C6,'Emission Factors'!$B6),IF($F$5="reciprocating - gasoline",'Emission Factors'!E6,IF($F$5="turbine - natural gas",'Emission Factors'!D6,IF($F$5="reciprocating - natural gas rich burn",'Emission Factors'!F6,IF($F$5="reciprocating - natural gas 4-stroke lean burn",'Emission Factors'!G6,'Emission Factors'!H6))))),$G$17)</f>
        <v>2.2000000000000001E-3</v>
      </c>
      <c r="D27" s="146">
        <f>C27*K13</f>
        <v>0</v>
      </c>
      <c r="E27" s="147">
        <f>IF(F$6="routine",Allowable_Hours_for_Engine_Operation,IF($F$12&gt;500,$F$12,'Additional References'!$B$8))</f>
        <v>8760</v>
      </c>
      <c r="F27" s="142">
        <f t="shared" si="0"/>
        <v>0</v>
      </c>
      <c r="G27" s="142"/>
      <c r="H27" s="143">
        <f t="shared" si="1"/>
        <v>0</v>
      </c>
      <c r="I27" s="144">
        <f t="shared" si="2"/>
        <v>0</v>
      </c>
    </row>
    <row r="28" spans="2:11" ht="15.6" x14ac:dyDescent="0.35">
      <c r="B28" s="81" t="s">
        <v>51</v>
      </c>
      <c r="C28" s="145">
        <f>IF($D$18=0,IF($F$5="reciprocating - diesel",IF($K$13&gt;=600,'Emission Factors'!$C7*$F$11,'Emission Factors'!$B7),IF($F$5="reciprocating - gasoline",'Emission Factors'!E7,IF($F$5="turbine - natural gas",'Emission Factors'!D7*$F$11,IF($F$5="reciprocating - natural gas rich burn",'Emission Factors'!F7,IF($F$5="reciprocating - natural gas 4-stroke lean burn",'Emission Factors'!G7,'Emission Factors'!H7))))),$G$18)</f>
        <v>2.0500000000000002E-3</v>
      </c>
      <c r="D28" s="146">
        <f>C28*K13</f>
        <v>0</v>
      </c>
      <c r="E28" s="147">
        <f>IF(F$6="routine",Allowable_Hours_for_Engine_Operation,IF($F$12&gt;500,$F$12,'Additional References'!$B$8))</f>
        <v>8760</v>
      </c>
      <c r="F28" s="142">
        <f>IF($F$5="reciprocating - diesel",IF($K$13&gt;=600,'Emission Factors'!$C7*MAX('Additional References'!$B$5,$F$11)*$K$13*$E$28/2000,D28*E28/2000),IF($F$5="turbine - natural gas",'Emission Factors'!D7*MAX('Additional References'!$B$6,$F$11)*$K$13*$E$28/2000,D28*E28/2000))</f>
        <v>0</v>
      </c>
      <c r="G28" s="142"/>
      <c r="H28" s="143">
        <f t="shared" si="1"/>
        <v>0</v>
      </c>
      <c r="I28" s="144">
        <f t="shared" si="2"/>
        <v>0</v>
      </c>
    </row>
    <row r="29" spans="2:11" ht="15.6" x14ac:dyDescent="0.35">
      <c r="B29" s="81" t="s">
        <v>52</v>
      </c>
      <c r="C29" s="145">
        <f>IF($D$19=0,IF($F$5="reciprocating - diesel",IF($K$13&gt;=600,'Emission Factors'!$C8,'Emission Factors'!$B8),IF($F$5="reciprocating - gasoline",'Emission Factors'!E8,IF($F$5="turbine - natural gas",'Emission Factors'!D8,IF($F$5="reciprocating - natural gas rich burn",'Emission Factors'!F8,IF($F$5="reciprocating - natural gas 4-stroke lean burn",'Emission Factors'!G8,'Emission Factors'!H8))))),$G$19)</f>
        <v>3.1E-2</v>
      </c>
      <c r="D29" s="146">
        <f>C29*K13</f>
        <v>0</v>
      </c>
      <c r="E29" s="147">
        <f>IF(F$6="routine",Allowable_Hours_for_Engine_Operation,IF($F$12&gt;500,$F$12,'Additional References'!$B$8))</f>
        <v>8760</v>
      </c>
      <c r="F29" s="142">
        <f t="shared" si="0"/>
        <v>0</v>
      </c>
      <c r="G29" s="142"/>
      <c r="H29" s="143">
        <f t="shared" si="1"/>
        <v>0</v>
      </c>
      <c r="I29" s="144">
        <f t="shared" si="2"/>
        <v>0</v>
      </c>
    </row>
    <row r="30" spans="2:11" x14ac:dyDescent="0.25">
      <c r="B30" s="81" t="s">
        <v>53</v>
      </c>
      <c r="C30" s="145">
        <f>IF($D$20=0,IF($F$5="reciprocating - diesel",IF($K$13&gt;=600,'Emission Factors'!$C9,'Emission Factors'!$B9),IF($F$5="reciprocating - gasoline",'Emission Factors'!E9,IF($F$5="turbine - natural gas",'Emission Factors'!D9,IF($F$5="reciprocating - natural gas rich burn",'Emission Factors'!F9,IF($F$5="reciprocating - natural gas 4-stroke lean burn",'Emission Factors'!G9,'Emission Factors'!H9))))),$G$20)</f>
        <v>2.5140000000000002E-3</v>
      </c>
      <c r="D30" s="146">
        <f>C30*K13</f>
        <v>0</v>
      </c>
      <c r="E30" s="147">
        <f>IF(F$6="routine",Allowable_Hours_for_Engine_Operation,IF($F$12&gt;500,$F$12,'Additional References'!$B$8))</f>
        <v>8760</v>
      </c>
      <c r="F30" s="142">
        <f t="shared" si="0"/>
        <v>0</v>
      </c>
      <c r="G30" s="142"/>
      <c r="H30" s="143">
        <f t="shared" si="1"/>
        <v>0</v>
      </c>
      <c r="I30" s="144">
        <f t="shared" si="2"/>
        <v>0</v>
      </c>
    </row>
    <row r="31" spans="2:11" x14ac:dyDescent="0.25">
      <c r="B31" s="82" t="s">
        <v>54</v>
      </c>
      <c r="C31" s="148">
        <f>IF($D$21=0,IF($F$5="reciprocating - diesel",IF($K$13&gt;=600,'Emission Factors'!$C10,'Emission Factors'!$B10),IF($F$5="reciprocating - gasoline",'Emission Factors'!E10,IF($F$5="turbine - natural gas",'Emission Factors'!D10,IF($F$5="reciprocating - natural gas rich burn",'Emission Factors'!F10,IF($F$5="reciprocating - natural gas 4-stroke lean burn",'Emission Factors'!G10,'Emission Factors'!H10))))),$G$21)</f>
        <v>6.6800000000000002E-3</v>
      </c>
      <c r="D31" s="149">
        <f>C31*K13</f>
        <v>0</v>
      </c>
      <c r="E31" s="150">
        <f>IF(F$6="routine",Allowable_Hours_for_Engine_Operation,IF($F$12&gt;500,$F$12,'Additional References'!$B$8))</f>
        <v>8760</v>
      </c>
      <c r="F31" s="151">
        <f t="shared" si="0"/>
        <v>0</v>
      </c>
      <c r="G31" s="151"/>
      <c r="H31" s="152">
        <f t="shared" si="1"/>
        <v>0</v>
      </c>
      <c r="I31" s="153">
        <f t="shared" si="2"/>
        <v>0</v>
      </c>
    </row>
  </sheetData>
  <sheetProtection password="C969" sheet="1" objects="1" scenarios="1"/>
  <mergeCells count="24">
    <mergeCell ref="B23:I23"/>
    <mergeCell ref="B4:F4"/>
    <mergeCell ref="B5:E5"/>
    <mergeCell ref="B6:E6"/>
    <mergeCell ref="B8:E8"/>
    <mergeCell ref="B9:E9"/>
    <mergeCell ref="B16:C16"/>
    <mergeCell ref="D16:E16"/>
    <mergeCell ref="B17:C17"/>
    <mergeCell ref="D17:E17"/>
    <mergeCell ref="B18:C18"/>
    <mergeCell ref="D18:E18"/>
    <mergeCell ref="B7:F7"/>
    <mergeCell ref="B10:E10"/>
    <mergeCell ref="B11:E11"/>
    <mergeCell ref="B12:E12"/>
    <mergeCell ref="B14:F14"/>
    <mergeCell ref="B21:C21"/>
    <mergeCell ref="D21:E21"/>
    <mergeCell ref="B15:F15"/>
    <mergeCell ref="B19:C19"/>
    <mergeCell ref="D19:E19"/>
    <mergeCell ref="B20:C20"/>
    <mergeCell ref="D20:E20"/>
  </mergeCells>
  <conditionalFormatting sqref="B11:F11">
    <cfRule type="expression" dxfId="10" priority="1">
      <formula>$B$11=""</formula>
    </cfRule>
  </conditionalFormatting>
  <dataValidations count="10">
    <dataValidation type="decimal" allowBlank="1" showInputMessage="1" showErrorMessage="1" errorTitle="Value - Out of Range" error="Value entered must be between 0 and 100." sqref="F11:G11">
      <formula1>0</formula1>
      <formula2>100</formula2>
    </dataValidation>
    <dataValidation type="decimal" allowBlank="1" showInputMessage="1" showErrorMessage="1" errorTitle="Value - Out of Range" error="Value must be between 0 and 8760." sqref="G12">
      <formula1>0</formula1>
      <formula2>8760</formula2>
    </dataValidation>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EngineUse3</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21"/>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Mechanical_Output_3+Power_Output_3+Fuel_Consumption_3=Fuel_Consumption_3</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Mechanical_Output_3+Power_Output_3+Fuel_Consumption_3=Power_Output_3</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Mechanical_Output_3+Power_Output_3+Fuel_Consumption_3=Mechanical_Output_3</formula1>
    </dataValidation>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IF(OR(Engine_Fuel_Type_3="reciprocating - diesel",Engine_Fuel_Type_3="reciprocating - gasoline"),g_hp_hr_3,Emission_Rate_Unit_3)</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ngine - Fuel Type" prompt="Select your engine and fuel type from the drop-down list." sqref="F5">
      <formula1>EngineFuelType3</formula1>
    </dataValidation>
  </dataValidations>
  <pageMargins left="0.75" right="0.47" top="0.59" bottom="0.61" header="0.5" footer="0.5"/>
  <pageSetup scale="84" orientation="landscape" r:id="rId1"/>
  <headerFooter alignWithMargins="0">
    <oddFooter>&amp;LPage &amp;P of &amp;N&amp;C&amp;F&amp;RPrinted &amp;D</oddFooter>
  </headerFooter>
  <ignoredErrors>
    <ignoredError sqref="F2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8"/>
  <dimension ref="B1:K31"/>
  <sheetViews>
    <sheetView showGridLines="0" zoomScale="90" zoomScaleNormal="9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0.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8" t="s">
        <v>57</v>
      </c>
      <c r="C1" s="69"/>
      <c r="D1" s="69"/>
      <c r="E1" s="69"/>
      <c r="F1" s="69"/>
      <c r="G1" s="69"/>
      <c r="H1" s="69"/>
      <c r="I1" s="69"/>
      <c r="J1" s="69"/>
    </row>
    <row r="2" spans="2:11" x14ac:dyDescent="0.25">
      <c r="B2" s="70" t="s">
        <v>399</v>
      </c>
      <c r="C2" s="69"/>
      <c r="D2" s="69"/>
      <c r="E2" s="69"/>
      <c r="F2" s="69"/>
      <c r="G2" s="69"/>
      <c r="H2" s="69"/>
      <c r="I2" s="69"/>
      <c r="J2" s="69"/>
    </row>
    <row r="3" spans="2:11" x14ac:dyDescent="0.25">
      <c r="B3" s="70"/>
      <c r="C3" s="69"/>
      <c r="D3" s="69"/>
      <c r="E3" s="69"/>
      <c r="F3" s="69"/>
      <c r="G3" s="69"/>
      <c r="H3" s="69"/>
      <c r="I3" s="69"/>
      <c r="J3" s="69"/>
    </row>
    <row r="4" spans="2:11" x14ac:dyDescent="0.25">
      <c r="B4" s="399" t="s">
        <v>101</v>
      </c>
      <c r="C4" s="399"/>
      <c r="D4" s="399"/>
      <c r="E4" s="399"/>
      <c r="F4" s="399"/>
      <c r="G4" s="293"/>
      <c r="H4" s="69"/>
      <c r="I4" s="69"/>
      <c r="J4" s="69"/>
      <c r="K4" s="15" t="str">
        <f>Inputs!F19</f>
        <v>Engine and Fuel Type</v>
      </c>
    </row>
    <row r="5" spans="2:11" x14ac:dyDescent="0.25">
      <c r="B5" s="390" t="s">
        <v>444</v>
      </c>
      <c r="C5" s="391"/>
      <c r="D5" s="391"/>
      <c r="E5" s="392"/>
      <c r="F5" s="83" t="s">
        <v>33</v>
      </c>
      <c r="G5" s="311"/>
      <c r="H5" s="71"/>
      <c r="J5" s="72"/>
      <c r="K5" s="17" t="str">
        <f>Inputs!F20</f>
        <v>reciprocating - diesel</v>
      </c>
    </row>
    <row r="6" spans="2:11" x14ac:dyDescent="0.25">
      <c r="B6" s="390" t="s">
        <v>100</v>
      </c>
      <c r="C6" s="391"/>
      <c r="D6" s="391"/>
      <c r="E6" s="392"/>
      <c r="F6" s="84" t="s">
        <v>38</v>
      </c>
      <c r="G6" s="312"/>
      <c r="H6" s="71"/>
      <c r="J6" s="72"/>
      <c r="K6" s="18" t="str">
        <f>Inputs!F21</f>
        <v>reciprocating - gasoline</v>
      </c>
    </row>
    <row r="7" spans="2:11" x14ac:dyDescent="0.25">
      <c r="B7" s="390" t="s">
        <v>464</v>
      </c>
      <c r="C7" s="391"/>
      <c r="D7" s="391"/>
      <c r="E7" s="391"/>
      <c r="F7" s="392"/>
      <c r="G7" s="308" t="str">
        <f>IF(OR($F$5="reciprocating - diesel",$F$5="reciprocating - gasoline"),"Mechanical Output (hp)","Heat Input (MMBtu/hr)")</f>
        <v>Mechanical Output (hp)</v>
      </c>
      <c r="J7" s="69"/>
      <c r="K7" s="17" t="str">
        <f>Inputs!F22</f>
        <v>turbine - natural gas</v>
      </c>
    </row>
    <row r="8" spans="2:11" ht="15.75" customHeight="1" x14ac:dyDescent="0.25">
      <c r="B8" s="406" t="s">
        <v>463</v>
      </c>
      <c r="C8" s="407"/>
      <c r="D8" s="407"/>
      <c r="E8" s="408"/>
      <c r="F8" s="315">
        <v>0</v>
      </c>
      <c r="G8" s="306">
        <f>IF(OR($F$5="reciprocating - diesel",$F$5="reciprocating - gasoline"),$F$8,($F$8*Hp_to_Btu_hr_Conversion_Factor/1000000)/(Fuel_Energy_to_Output_Efficiency))</f>
        <v>0</v>
      </c>
      <c r="H8" s="305"/>
      <c r="I8" s="311"/>
      <c r="J8" s="74"/>
      <c r="K8" s="18" t="str">
        <f>Inputs!F23</f>
        <v>reciprocating - natural gas rich burn</v>
      </c>
    </row>
    <row r="9" spans="2:11" ht="15.75" customHeight="1" x14ac:dyDescent="0.25">
      <c r="B9" s="406" t="s">
        <v>480</v>
      </c>
      <c r="C9" s="407"/>
      <c r="D9" s="407"/>
      <c r="E9" s="408"/>
      <c r="F9" s="315">
        <v>0</v>
      </c>
      <c r="G9" s="307">
        <f>IF(OR($F$5="reciprocating - diesel",$F$5="reciprocating - gasoline"),$F$9*kW_to_hp_Conversion_Factor,$F$9*kW_to_Btu_hr_Conversion_Factor/(1000000*Fuel_Energy_to_Output_Efficiency))</f>
        <v>0</v>
      </c>
      <c r="H9" s="71"/>
      <c r="I9" s="311"/>
      <c r="J9" s="69"/>
      <c r="K9" s="18" t="str">
        <f>Inputs!F24</f>
        <v>reciprocating - natural gas 4-stroke lean burn</v>
      </c>
    </row>
    <row r="10" spans="2:11" ht="15.75" customHeight="1" x14ac:dyDescent="0.25">
      <c r="B10" s="406" t="str">
        <f>IF(OR($F$5="reciprocating - diesel",$F$5="reciprocating - gasoline"),"Rated fuel consumption (gal/hr) at 100% load","Rated fuel consumption (Nm"&amp;CHAR(179)&amp;"/hr) at 100% load")</f>
        <v>Rated fuel consumption (gal/hr) at 100% load</v>
      </c>
      <c r="C10" s="407"/>
      <c r="D10" s="407"/>
      <c r="E10" s="408"/>
      <c r="F10" s="315">
        <v>0</v>
      </c>
      <c r="G10" s="306">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1"/>
      <c r="I10" s="311"/>
      <c r="J10" s="69"/>
      <c r="K10" s="18" t="str">
        <f>Inputs!F25</f>
        <v>reciprocating - natural gas 2-stroke lean burn</v>
      </c>
    </row>
    <row r="11" spans="2:11" ht="27.75" customHeight="1" x14ac:dyDescent="0.25">
      <c r="B11" s="393" t="str">
        <f>IF(AND(F5="reciprocating - diesel",K13&gt;=600),"Enter sulfur content of the diesel fuel (percent). If the sulfur content is unknown, enter "&amp;'Additional References'!$B$4&amp;" percent.", IF(F5="turbine - natural gas","Enter the sulfur content of the natural gas (percent). If the sulfur content is unknown, enter "&amp;'Additional References'!$B$6&amp;" percent.",""))</f>
        <v/>
      </c>
      <c r="C11" s="394"/>
      <c r="D11" s="394"/>
      <c r="E11" s="395"/>
      <c r="F11" s="105">
        <v>0.24</v>
      </c>
      <c r="G11" s="313"/>
      <c r="H11" s="73"/>
      <c r="J11" s="69"/>
    </row>
    <row r="12" spans="2:11" ht="16.5" customHeight="1" x14ac:dyDescent="0.25">
      <c r="B12" s="390" t="s">
        <v>411</v>
      </c>
      <c r="C12" s="391"/>
      <c r="D12" s="391"/>
      <c r="E12" s="392"/>
      <c r="F12" s="83">
        <v>0</v>
      </c>
      <c r="G12" s="311"/>
      <c r="H12" s="73"/>
      <c r="J12" s="69"/>
      <c r="K12" s="15" t="str">
        <f>IF(OR($F$5="reciprocating - diesel",$F$5="reciprocating - gasoline"),"Mechanical Output (hp)","Heat Input (MMBtu/hr)")</f>
        <v>Mechanical Output (hp)</v>
      </c>
    </row>
    <row r="13" spans="2:11" ht="15.75" customHeight="1" x14ac:dyDescent="0.25">
      <c r="B13" s="73"/>
      <c r="C13" s="73"/>
      <c r="D13" s="73"/>
      <c r="E13" s="73"/>
      <c r="F13" s="73"/>
      <c r="G13" s="75"/>
      <c r="H13" s="73"/>
      <c r="J13" s="69"/>
      <c r="K13" s="314">
        <f>MAX($G$8:$G$10)</f>
        <v>0</v>
      </c>
    </row>
    <row r="14" spans="2:11" ht="15.75" customHeight="1" x14ac:dyDescent="0.25">
      <c r="B14" s="399" t="s">
        <v>493</v>
      </c>
      <c r="C14" s="399"/>
      <c r="D14" s="399"/>
      <c r="E14" s="399"/>
      <c r="F14" s="399"/>
      <c r="G14" s="293"/>
      <c r="H14" s="73"/>
      <c r="I14" s="75"/>
      <c r="J14" s="69"/>
    </row>
    <row r="15" spans="2:11" ht="67.5" customHeight="1" x14ac:dyDescent="0.25">
      <c r="B15" s="396" t="s">
        <v>492</v>
      </c>
      <c r="C15" s="397"/>
      <c r="D15" s="397"/>
      <c r="E15" s="397"/>
      <c r="F15" s="398"/>
      <c r="G15" s="294"/>
      <c r="H15" s="73"/>
      <c r="I15" s="75"/>
      <c r="J15" s="69"/>
      <c r="K15" s="15" t="str">
        <f>Inputs!F28</f>
        <v>Engine Use</v>
      </c>
    </row>
    <row r="16" spans="2:11" ht="15.75" customHeight="1" x14ac:dyDescent="0.25">
      <c r="B16" s="401" t="s">
        <v>42</v>
      </c>
      <c r="C16" s="401"/>
      <c r="D16" s="400" t="s">
        <v>44</v>
      </c>
      <c r="E16" s="400"/>
      <c r="F16" s="310" t="s">
        <v>489</v>
      </c>
      <c r="G16" s="308" t="str">
        <f>IF(OR($F$5="reciprocating - diesel",$F$5="reciprocating - gasoline"),"lb/hp-hr","lb/MMBtu")</f>
        <v>lb/hp-hr</v>
      </c>
      <c r="H16" s="73"/>
      <c r="I16" s="75"/>
      <c r="J16" s="69"/>
      <c r="K16" s="17" t="str">
        <f>Inputs!F29</f>
        <v>routine</v>
      </c>
    </row>
    <row r="17" spans="2:11" ht="15.75" customHeight="1" x14ac:dyDescent="0.25">
      <c r="B17" s="403" t="s">
        <v>48</v>
      </c>
      <c r="C17" s="403"/>
      <c r="D17" s="404">
        <v>0</v>
      </c>
      <c r="E17" s="404"/>
      <c r="F17" s="316" t="s">
        <v>439</v>
      </c>
      <c r="G17" s="306">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5"/>
      <c r="J17" s="69"/>
      <c r="K17" s="18" t="str">
        <f>Inputs!F30</f>
        <v>emergency</v>
      </c>
    </row>
    <row r="18" spans="2:11" ht="15.75" customHeight="1" x14ac:dyDescent="0.25">
      <c r="B18" s="403" t="s">
        <v>51</v>
      </c>
      <c r="C18" s="403"/>
      <c r="D18" s="404">
        <v>0</v>
      </c>
      <c r="E18" s="404"/>
      <c r="F18" s="316" t="s">
        <v>439</v>
      </c>
      <c r="G18" s="307">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3"/>
      <c r="I18" s="75"/>
      <c r="J18" s="69"/>
    </row>
    <row r="19" spans="2:11" ht="15.75" customHeight="1" x14ac:dyDescent="0.25">
      <c r="B19" s="402" t="s">
        <v>52</v>
      </c>
      <c r="C19" s="402"/>
      <c r="D19" s="404">
        <v>0</v>
      </c>
      <c r="E19" s="404"/>
      <c r="F19" s="316" t="s">
        <v>439</v>
      </c>
      <c r="G19" s="306">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3"/>
      <c r="J19" s="69"/>
      <c r="K19" s="15" t="s">
        <v>117</v>
      </c>
    </row>
    <row r="20" spans="2:11" ht="15.75" customHeight="1" x14ac:dyDescent="0.25">
      <c r="B20" s="402" t="s">
        <v>53</v>
      </c>
      <c r="C20" s="402"/>
      <c r="D20" s="404">
        <v>0</v>
      </c>
      <c r="E20" s="404"/>
      <c r="F20" s="316" t="s">
        <v>439</v>
      </c>
      <c r="G20" s="307">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3"/>
      <c r="J20" s="69"/>
      <c r="K20" s="17" t="s">
        <v>439</v>
      </c>
    </row>
    <row r="21" spans="2:11" ht="15.75" customHeight="1" x14ac:dyDescent="0.25">
      <c r="B21" s="402" t="s">
        <v>54</v>
      </c>
      <c r="C21" s="402"/>
      <c r="D21" s="405">
        <v>0</v>
      </c>
      <c r="E21" s="405"/>
      <c r="F21" s="316" t="s">
        <v>439</v>
      </c>
      <c r="G21" s="307">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3"/>
      <c r="J21" s="69"/>
      <c r="K21" s="18" t="str">
        <f>"mg/Nm"&amp;CHAR(179)</f>
        <v>mg/Nm³</v>
      </c>
    </row>
    <row r="22" spans="2:11" ht="16.5" customHeight="1" x14ac:dyDescent="0.25">
      <c r="B22" s="73"/>
      <c r="C22" s="73"/>
      <c r="D22" s="73"/>
      <c r="E22" s="73"/>
      <c r="F22" s="73"/>
      <c r="G22" s="73"/>
      <c r="H22" s="73"/>
      <c r="I22" s="75"/>
      <c r="J22" s="69"/>
    </row>
    <row r="23" spans="2:11" x14ac:dyDescent="0.25">
      <c r="B23" s="387" t="s">
        <v>41</v>
      </c>
      <c r="C23" s="388"/>
      <c r="D23" s="388"/>
      <c r="E23" s="388"/>
      <c r="F23" s="388"/>
      <c r="G23" s="388"/>
      <c r="H23" s="388"/>
      <c r="I23" s="389"/>
    </row>
    <row r="24" spans="2:11" ht="26.4" x14ac:dyDescent="0.25">
      <c r="B24" s="76" t="s">
        <v>42</v>
      </c>
      <c r="C24" s="76" t="s">
        <v>43</v>
      </c>
      <c r="D24" s="76" t="s">
        <v>44</v>
      </c>
      <c r="E24" s="76" t="s">
        <v>413</v>
      </c>
      <c r="F24" s="108" t="s">
        <v>384</v>
      </c>
      <c r="G24" s="108"/>
      <c r="H24" s="77" t="s">
        <v>412</v>
      </c>
      <c r="I24" s="110" t="s">
        <v>409</v>
      </c>
    </row>
    <row r="25" spans="2:11" ht="24" customHeight="1" x14ac:dyDescent="0.25">
      <c r="B25" s="78"/>
      <c r="C25" s="79" t="str">
        <f>IF(OR($F$5="reciprocating - diesel",$F$5="reciprocating - gasoline"),"(lb/hp*hr)","(lb/MMBtu fuel input)")</f>
        <v>(lb/hp*hr)</v>
      </c>
      <c r="D25" s="79" t="s">
        <v>45</v>
      </c>
      <c r="E25" s="79" t="s">
        <v>46</v>
      </c>
      <c r="F25" s="109" t="s">
        <v>76</v>
      </c>
      <c r="G25" s="109"/>
      <c r="H25" s="80" t="s">
        <v>47</v>
      </c>
      <c r="I25" s="111" t="s">
        <v>76</v>
      </c>
    </row>
    <row r="26" spans="2:11" ht="15.6" x14ac:dyDescent="0.35">
      <c r="B26" s="81" t="s">
        <v>49</v>
      </c>
      <c r="C26" s="145">
        <f>IF($D$17=0,IF($F$5="reciprocating - diesel",IF($K$13&gt;=600,'Emission Factors'!$C5,'Emission Factors'!$B5),IF($F$5="reciprocating - gasoline",'Emission Factors'!E5,IF($F$5="turbine - natural gas",'Emission Factors'!D5,IF($F$5="reciprocating - natural gas rich burn",'Emission Factors'!F5,IF($F$5="reciprocating - natural gas 4-stroke lean burn",'Emission Factors'!G5,'Emission Factors'!H5))))),$G$17)</f>
        <v>2.2000000000000001E-3</v>
      </c>
      <c r="D26" s="146">
        <f>C26*K13</f>
        <v>0</v>
      </c>
      <c r="E26" s="147">
        <f>IF(F$6="routine",Allowable_Hours_for_Engine_Operation,IF($F$12&gt;500,$F$12,'Additional References'!$B$8))</f>
        <v>8760</v>
      </c>
      <c r="F26" s="142">
        <f t="shared" ref="F26:F31" si="0">D26*E26/2000</f>
        <v>0</v>
      </c>
      <c r="G26" s="142"/>
      <c r="H26" s="143">
        <f t="shared" ref="H26:H31" si="1">F$12</f>
        <v>0</v>
      </c>
      <c r="I26" s="144">
        <f t="shared" ref="I26:I31" si="2">D26*H26/2000</f>
        <v>0</v>
      </c>
    </row>
    <row r="27" spans="2:11" ht="15.6" x14ac:dyDescent="0.35">
      <c r="B27" s="81" t="s">
        <v>50</v>
      </c>
      <c r="C27" s="145">
        <f>IF($D$17=0,IF($F$5="reciprocating - diesel",IF($K$13&gt;=600,'Emission Factors'!$C6,'Emission Factors'!$B6),IF($F$5="reciprocating - gasoline",'Emission Factors'!E6,IF($F$5="turbine - natural gas",'Emission Factors'!D6,IF($F$5="reciprocating - natural gas rich burn",'Emission Factors'!F6,IF($F$5="reciprocating - natural gas 4-stroke lean burn",'Emission Factors'!G6,'Emission Factors'!H6))))),$G$17)</f>
        <v>2.2000000000000001E-3</v>
      </c>
      <c r="D27" s="146">
        <f>C27*K13</f>
        <v>0</v>
      </c>
      <c r="E27" s="147">
        <f>IF(F$6="routine",Allowable_Hours_for_Engine_Operation,IF($F$12&gt;500,$F$12,'Additional References'!$B$8))</f>
        <v>8760</v>
      </c>
      <c r="F27" s="142">
        <f t="shared" si="0"/>
        <v>0</v>
      </c>
      <c r="G27" s="142"/>
      <c r="H27" s="143">
        <f t="shared" si="1"/>
        <v>0</v>
      </c>
      <c r="I27" s="144">
        <f t="shared" si="2"/>
        <v>0</v>
      </c>
    </row>
    <row r="28" spans="2:11" ht="15.6" x14ac:dyDescent="0.35">
      <c r="B28" s="81" t="s">
        <v>51</v>
      </c>
      <c r="C28" s="145">
        <f>IF($D$18=0,IF($F$5="reciprocating - diesel",IF($K$13&gt;=600,'Emission Factors'!$C7*$F$11,'Emission Factors'!$B7),IF($F$5="reciprocating - gasoline",'Emission Factors'!E7,IF($F$5="turbine - natural gas",'Emission Factors'!D7*$F$11,IF($F$5="reciprocating - natural gas rich burn",'Emission Factors'!F7,IF($F$5="reciprocating - natural gas 4-stroke lean burn",'Emission Factors'!G7,'Emission Factors'!H7))))),$G$18)</f>
        <v>2.0500000000000002E-3</v>
      </c>
      <c r="D28" s="146">
        <f>C28*K13</f>
        <v>0</v>
      </c>
      <c r="E28" s="147">
        <f>IF(F$6="routine",Allowable_Hours_for_Engine_Operation,IF($F$12&gt;500,$F$12,'Additional References'!$B$8))</f>
        <v>8760</v>
      </c>
      <c r="F28" s="142">
        <f>IF($F$5="reciprocating - diesel",IF($K$13&gt;=600,'Emission Factors'!$C7*MAX('Additional References'!$B$5,$F$11)*$K$13*$E$28/2000,D28*E28/2000),IF($F$5="turbine - natural gas",'Emission Factors'!D7*MAX('Additional References'!$B$6,$F$11)*$K$13*$E$28/2000,D28*E28/2000))</f>
        <v>0</v>
      </c>
      <c r="G28" s="142"/>
      <c r="H28" s="143">
        <f t="shared" si="1"/>
        <v>0</v>
      </c>
      <c r="I28" s="144">
        <f t="shared" si="2"/>
        <v>0</v>
      </c>
    </row>
    <row r="29" spans="2:11" ht="15.6" x14ac:dyDescent="0.35">
      <c r="B29" s="81" t="s">
        <v>52</v>
      </c>
      <c r="C29" s="145">
        <f>IF($D$19=0,IF($F$5="reciprocating - diesel",IF($K$13&gt;=600,'Emission Factors'!$C8,'Emission Factors'!$B8),IF($F$5="reciprocating - gasoline",'Emission Factors'!E8,IF($F$5="turbine - natural gas",'Emission Factors'!D8,IF($F$5="reciprocating - natural gas rich burn",'Emission Factors'!F8,IF($F$5="reciprocating - natural gas 4-stroke lean burn",'Emission Factors'!G8,'Emission Factors'!H8))))),$G$19)</f>
        <v>3.1E-2</v>
      </c>
      <c r="D29" s="146">
        <f>C29*K13</f>
        <v>0</v>
      </c>
      <c r="E29" s="147">
        <f>IF(F$6="routine",Allowable_Hours_for_Engine_Operation,IF($F$12&gt;500,$F$12,'Additional References'!$B$8))</f>
        <v>8760</v>
      </c>
      <c r="F29" s="142">
        <f t="shared" si="0"/>
        <v>0</v>
      </c>
      <c r="G29" s="142"/>
      <c r="H29" s="143">
        <f t="shared" si="1"/>
        <v>0</v>
      </c>
      <c r="I29" s="144">
        <f t="shared" si="2"/>
        <v>0</v>
      </c>
    </row>
    <row r="30" spans="2:11" x14ac:dyDescent="0.25">
      <c r="B30" s="81" t="s">
        <v>53</v>
      </c>
      <c r="C30" s="145">
        <f>IF($D$20=0,IF($F$5="reciprocating - diesel",IF($K$13&gt;=600,'Emission Factors'!$C9,'Emission Factors'!$B9),IF($F$5="reciprocating - gasoline",'Emission Factors'!E9,IF($F$5="turbine - natural gas",'Emission Factors'!D9,IF($F$5="reciprocating - natural gas rich burn",'Emission Factors'!F9,IF($F$5="reciprocating - natural gas 4-stroke lean burn",'Emission Factors'!G9,'Emission Factors'!H9))))),$G$20)</f>
        <v>2.5140000000000002E-3</v>
      </c>
      <c r="D30" s="146">
        <f>C30*K13</f>
        <v>0</v>
      </c>
      <c r="E30" s="147">
        <f>IF(F$6="routine",Allowable_Hours_for_Engine_Operation,IF($F$12&gt;500,$F$12,'Additional References'!$B$8))</f>
        <v>8760</v>
      </c>
      <c r="F30" s="142">
        <f t="shared" si="0"/>
        <v>0</v>
      </c>
      <c r="G30" s="142"/>
      <c r="H30" s="143">
        <f t="shared" si="1"/>
        <v>0</v>
      </c>
      <c r="I30" s="144">
        <f t="shared" si="2"/>
        <v>0</v>
      </c>
    </row>
    <row r="31" spans="2:11" x14ac:dyDescent="0.25">
      <c r="B31" s="82" t="s">
        <v>54</v>
      </c>
      <c r="C31" s="148">
        <f>IF($D$21=0,IF($F$5="reciprocating - diesel",IF($K$13&gt;=600,'Emission Factors'!$C10,'Emission Factors'!$B10),IF($F$5="reciprocating - gasoline",'Emission Factors'!E10,IF($F$5="turbine - natural gas",'Emission Factors'!D10,IF($F$5="reciprocating - natural gas rich burn",'Emission Factors'!F10,IF($F$5="reciprocating - natural gas 4-stroke lean burn",'Emission Factors'!G10,'Emission Factors'!H10))))),$G$21)</f>
        <v>6.6800000000000002E-3</v>
      </c>
      <c r="D31" s="149">
        <f>C31*K13</f>
        <v>0</v>
      </c>
      <c r="E31" s="150">
        <f>IF(F$6="routine",Allowable_Hours_for_Engine_Operation,IF($F$12&gt;500,$F$12,'Additional References'!$B$8))</f>
        <v>8760</v>
      </c>
      <c r="F31" s="151">
        <f t="shared" si="0"/>
        <v>0</v>
      </c>
      <c r="G31" s="151"/>
      <c r="H31" s="152">
        <f t="shared" si="1"/>
        <v>0</v>
      </c>
      <c r="I31" s="153">
        <f t="shared" si="2"/>
        <v>0</v>
      </c>
    </row>
  </sheetData>
  <sheetProtection password="C969" sheet="1" objects="1" scenarios="1"/>
  <mergeCells count="24">
    <mergeCell ref="B23:I23"/>
    <mergeCell ref="B4:F4"/>
    <mergeCell ref="B5:E5"/>
    <mergeCell ref="B6:E6"/>
    <mergeCell ref="B8:E8"/>
    <mergeCell ref="B9:E9"/>
    <mergeCell ref="B16:C16"/>
    <mergeCell ref="D16:E16"/>
    <mergeCell ref="B17:C17"/>
    <mergeCell ref="D17:E17"/>
    <mergeCell ref="B18:C18"/>
    <mergeCell ref="D18:E18"/>
    <mergeCell ref="B7:F7"/>
    <mergeCell ref="B10:E10"/>
    <mergeCell ref="B11:E11"/>
    <mergeCell ref="B12:E12"/>
    <mergeCell ref="B14:F14"/>
    <mergeCell ref="B21:C21"/>
    <mergeCell ref="D21:E21"/>
    <mergeCell ref="B15:F15"/>
    <mergeCell ref="B19:C19"/>
    <mergeCell ref="D19:E19"/>
    <mergeCell ref="B20:C20"/>
    <mergeCell ref="D20:E20"/>
  </mergeCells>
  <conditionalFormatting sqref="B11:F11">
    <cfRule type="expression" dxfId="9" priority="1">
      <formula>$B$11=""</formula>
    </cfRule>
  </conditionalFormatting>
  <dataValidations count="10">
    <dataValidation type="decimal" allowBlank="1" showInputMessage="1" showErrorMessage="1" errorTitle="Value - Out of Range" error="Value entered must be between 0 and 100." sqref="F11:G11">
      <formula1>0</formula1>
      <formula2>100</formula2>
    </dataValidation>
    <dataValidation type="decimal" allowBlank="1" showInputMessage="1" showErrorMessage="1" errorTitle="Value - Out of Range" error="Value must be between 0 and 8760." sqref="G12">
      <formula1>0</formula1>
      <formula2>8760</formula2>
    </dataValidation>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EngineUse4</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21"/>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Mechanical_Output_4+Power_Output_4+Fuel_Consumption_4=Fuel_Consumption_4</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Mechanical_Output_4+Power_Output_4+Fuel_Consumption_4=Power_Output_4</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Mechanical_Output_4+Power_Output_4+Fuel_Consumption_4=Mechanical_Output_4</formula1>
    </dataValidation>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IF(OR(Engine_Fuel_Type_4="reciprocating - diesel",Engine_Fuel_Type_4="reciprocating - gasoline"),g_hp_hr_4,Emission_Rate_Unit_4)</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ngine - Fuel Type" prompt="Select your engine and fuel type from the drop-down list." sqref="F5">
      <formula1>EngineFuelType4</formula1>
    </dataValidation>
  </dataValidations>
  <pageMargins left="0.75" right="0.47" top="0.59" bottom="0.61" header="0.5" footer="0.5"/>
  <pageSetup scale="84" orientation="landscape" r:id="rId1"/>
  <headerFooter alignWithMargins="0">
    <oddFooter>&amp;LPage &amp;P of &amp;N&amp;C&amp;F&amp;RPrinted &amp;D</oddFooter>
  </headerFooter>
  <ignoredErrors>
    <ignoredError sqref="F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9"/>
  <dimension ref="B1:K31"/>
  <sheetViews>
    <sheetView showGridLines="0" zoomScale="90" zoomScaleNormal="90" workbookViewId="0"/>
  </sheetViews>
  <sheetFormatPr defaultColWidth="9.109375" defaultRowHeight="13.2" x14ac:dyDescent="0.25"/>
  <cols>
    <col min="1" max="1" width="3" style="5" customWidth="1"/>
    <col min="2" max="2" width="11.33203125" style="5" customWidth="1"/>
    <col min="3" max="3" width="17.109375" style="5" customWidth="1"/>
    <col min="4" max="4" width="14.44140625" style="5" customWidth="1"/>
    <col min="5" max="5" width="20.5546875" style="5" customWidth="1"/>
    <col min="6" max="6" width="42.6640625" style="5" customWidth="1"/>
    <col min="7" max="7" width="24.5546875" style="5" hidden="1" customWidth="1"/>
    <col min="8" max="8" width="18.5546875" style="5" customWidth="1"/>
    <col min="9" max="9" width="19.5546875" style="5" bestFit="1" customWidth="1"/>
    <col min="10" max="10" width="15.44140625" style="5" customWidth="1"/>
    <col min="11" max="11" width="41.109375" style="5" hidden="1" customWidth="1"/>
    <col min="12" max="16384" width="9.109375" style="5"/>
  </cols>
  <sheetData>
    <row r="1" spans="2:11" ht="17.399999999999999" x14ac:dyDescent="0.3">
      <c r="B1" s="68" t="s">
        <v>58</v>
      </c>
      <c r="C1" s="69"/>
      <c r="D1" s="69"/>
      <c r="E1" s="69"/>
      <c r="F1" s="69"/>
      <c r="G1" s="69"/>
      <c r="H1" s="69"/>
      <c r="I1" s="69"/>
      <c r="J1" s="69"/>
    </row>
    <row r="2" spans="2:11" x14ac:dyDescent="0.25">
      <c r="B2" s="70" t="s">
        <v>399</v>
      </c>
      <c r="C2" s="69"/>
      <c r="D2" s="69"/>
      <c r="E2" s="69"/>
      <c r="F2" s="69"/>
      <c r="G2" s="69"/>
      <c r="H2" s="69"/>
      <c r="I2" s="69"/>
      <c r="J2" s="69"/>
    </row>
    <row r="3" spans="2:11" x14ac:dyDescent="0.25">
      <c r="B3" s="70"/>
      <c r="C3" s="69"/>
      <c r="D3" s="69"/>
      <c r="E3" s="69"/>
      <c r="F3" s="69"/>
      <c r="G3" s="69"/>
      <c r="H3" s="69"/>
      <c r="I3" s="69"/>
      <c r="J3" s="69"/>
    </row>
    <row r="4" spans="2:11" x14ac:dyDescent="0.25">
      <c r="B4" s="387" t="s">
        <v>101</v>
      </c>
      <c r="C4" s="388"/>
      <c r="D4" s="388"/>
      <c r="E4" s="388"/>
      <c r="F4" s="389"/>
      <c r="G4" s="293"/>
      <c r="H4" s="69"/>
      <c r="I4" s="69"/>
      <c r="J4" s="69"/>
      <c r="K4" s="15" t="str">
        <f>Inputs!F19</f>
        <v>Engine and Fuel Type</v>
      </c>
    </row>
    <row r="5" spans="2:11" x14ac:dyDescent="0.25">
      <c r="B5" s="390" t="s">
        <v>444</v>
      </c>
      <c r="C5" s="391"/>
      <c r="D5" s="391"/>
      <c r="E5" s="392"/>
      <c r="F5" s="83" t="s">
        <v>33</v>
      </c>
      <c r="G5" s="311"/>
      <c r="H5" s="71"/>
      <c r="J5" s="72"/>
      <c r="K5" s="17" t="str">
        <f>Inputs!F20</f>
        <v>reciprocating - diesel</v>
      </c>
    </row>
    <row r="6" spans="2:11" x14ac:dyDescent="0.25">
      <c r="B6" s="390" t="s">
        <v>100</v>
      </c>
      <c r="C6" s="391"/>
      <c r="D6" s="391"/>
      <c r="E6" s="392"/>
      <c r="F6" s="84" t="s">
        <v>38</v>
      </c>
      <c r="G6" s="312"/>
      <c r="H6" s="71"/>
      <c r="J6" s="72"/>
      <c r="K6" s="18" t="str">
        <f>Inputs!F21</f>
        <v>reciprocating - gasoline</v>
      </c>
    </row>
    <row r="7" spans="2:11" x14ac:dyDescent="0.25">
      <c r="B7" s="390" t="s">
        <v>464</v>
      </c>
      <c r="C7" s="391"/>
      <c r="D7" s="391"/>
      <c r="E7" s="391"/>
      <c r="F7" s="392"/>
      <c r="G7" s="308" t="str">
        <f>IF(OR($F$5="reciprocating - diesel",$F$5="reciprocating - gasoline"),"Mechanical Output (hp)","Heat Input (MMBtu/hr)")</f>
        <v>Mechanical Output (hp)</v>
      </c>
      <c r="J7" s="69"/>
      <c r="K7" s="17" t="str">
        <f>Inputs!F22</f>
        <v>turbine - natural gas</v>
      </c>
    </row>
    <row r="8" spans="2:11" ht="15.75" customHeight="1" x14ac:dyDescent="0.25">
      <c r="B8" s="406" t="s">
        <v>463</v>
      </c>
      <c r="C8" s="407"/>
      <c r="D8" s="407"/>
      <c r="E8" s="408"/>
      <c r="F8" s="315">
        <v>0</v>
      </c>
      <c r="G8" s="306">
        <f>IF(OR($F$5="reciprocating - diesel",$F$5="reciprocating - gasoline"),$F$8,($F$8*Hp_to_Btu_hr_Conversion_Factor/1000000)/(Fuel_Energy_to_Output_Efficiency))</f>
        <v>0</v>
      </c>
      <c r="H8" s="305"/>
      <c r="I8" s="311"/>
      <c r="J8" s="74"/>
      <c r="K8" s="18" t="str">
        <f>Inputs!F23</f>
        <v>reciprocating - natural gas rich burn</v>
      </c>
    </row>
    <row r="9" spans="2:11" ht="15.75" customHeight="1" x14ac:dyDescent="0.25">
      <c r="B9" s="406" t="s">
        <v>480</v>
      </c>
      <c r="C9" s="407"/>
      <c r="D9" s="407"/>
      <c r="E9" s="408"/>
      <c r="F9" s="315">
        <v>0</v>
      </c>
      <c r="G9" s="307">
        <f>IF(OR($F$5="reciprocating - diesel",$F$5="reciprocating - gasoline"),$F$9*kW_to_hp_Conversion_Factor,$F$9*kW_to_Btu_hr_Conversion_Factor/(1000000*Fuel_Energy_to_Output_Efficiency))</f>
        <v>0</v>
      </c>
      <c r="H9" s="71"/>
      <c r="I9" s="311"/>
      <c r="J9" s="69"/>
      <c r="K9" s="18" t="str">
        <f>Inputs!F24</f>
        <v>reciprocating - natural gas 4-stroke lean burn</v>
      </c>
    </row>
    <row r="10" spans="2:11" ht="15.75" customHeight="1" x14ac:dyDescent="0.25">
      <c r="B10" s="406" t="str">
        <f>IF(OR($F$5="reciprocating - diesel",$F$5="reciprocating - gasoline"),"Rated fuel consumption (gal/hr) at 100% load","Rated fuel consumption (Nm"&amp;CHAR(179)&amp;"/hr) at 100% load")</f>
        <v>Rated fuel consumption (gal/hr) at 100% load</v>
      </c>
      <c r="C10" s="407"/>
      <c r="D10" s="407"/>
      <c r="E10" s="408"/>
      <c r="F10" s="315">
        <v>0</v>
      </c>
      <c r="G10" s="306">
        <f>IF($F$5="reciprocating - diesel",($F$10/1000)*Oil_Distillate_Energy_Content*Btu_hr_to_hp_Conversion_Factor*1000000,IF($F$5="reciprocating - gasoline",($F$10/1000)*Gasoline_Energy_Content*Btu_hr_to_hp_Conversion_Factor*1000000,($F$10*Cubic_Meter_to_Cubic_Foot_Conversion_Factor/1000000)*Natural_Gas_Energy_Content))</f>
        <v>0</v>
      </c>
      <c r="H10" s="71"/>
      <c r="I10" s="311"/>
      <c r="J10" s="69"/>
      <c r="K10" s="18" t="str">
        <f>Inputs!F25</f>
        <v>reciprocating - natural gas 2-stroke lean burn</v>
      </c>
    </row>
    <row r="11" spans="2:11" ht="27.75" customHeight="1" x14ac:dyDescent="0.25">
      <c r="B11" s="393" t="str">
        <f>IF(AND(F5="reciprocating - diesel",K13&gt;=600),"Enter sulfur content of the diesel fuel (percent). If the sulfur content is unknown, enter "&amp;'Additional References'!$B$4&amp;" percent.", IF(F5="turbine - natural gas","Enter the sulfur content of the natural gas (percent). If the sulfur content is unknown, enter "&amp;'Additional References'!$B$6&amp;" percent.",""))</f>
        <v/>
      </c>
      <c r="C11" s="394"/>
      <c r="D11" s="394"/>
      <c r="E11" s="395"/>
      <c r="F11" s="105">
        <v>0.24</v>
      </c>
      <c r="G11" s="313"/>
      <c r="H11" s="73"/>
      <c r="J11" s="69"/>
    </row>
    <row r="12" spans="2:11" ht="16.5" customHeight="1" x14ac:dyDescent="0.25">
      <c r="B12" s="390" t="s">
        <v>411</v>
      </c>
      <c r="C12" s="391"/>
      <c r="D12" s="391"/>
      <c r="E12" s="392"/>
      <c r="F12" s="83">
        <v>0</v>
      </c>
      <c r="G12" s="311"/>
      <c r="H12" s="73"/>
      <c r="J12" s="69"/>
      <c r="K12" s="15" t="str">
        <f>IF(OR($F$5="reciprocating - diesel",$F$5="reciprocating - gasoline"),"Mechanical Output (hp)","Heat Input (MMBtu/hr)")</f>
        <v>Mechanical Output (hp)</v>
      </c>
    </row>
    <row r="13" spans="2:11" ht="15.75" customHeight="1" x14ac:dyDescent="0.25">
      <c r="B13" s="73"/>
      <c r="C13" s="73"/>
      <c r="D13" s="73"/>
      <c r="E13" s="73"/>
      <c r="F13" s="73"/>
      <c r="G13" s="75"/>
      <c r="H13" s="73"/>
      <c r="J13" s="69"/>
      <c r="K13" s="314">
        <f>MAX($G$8:$G$10)</f>
        <v>0</v>
      </c>
    </row>
    <row r="14" spans="2:11" ht="15.75" customHeight="1" x14ac:dyDescent="0.25">
      <c r="B14" s="387" t="s">
        <v>493</v>
      </c>
      <c r="C14" s="388"/>
      <c r="D14" s="388"/>
      <c r="E14" s="388"/>
      <c r="F14" s="389"/>
      <c r="G14" s="293"/>
      <c r="H14" s="73"/>
      <c r="I14" s="75"/>
      <c r="J14" s="69"/>
    </row>
    <row r="15" spans="2:11" ht="67.5" customHeight="1" x14ac:dyDescent="0.25">
      <c r="B15" s="396" t="s">
        <v>492</v>
      </c>
      <c r="C15" s="397"/>
      <c r="D15" s="397"/>
      <c r="E15" s="397"/>
      <c r="F15" s="398"/>
      <c r="G15" s="294"/>
      <c r="H15" s="73"/>
      <c r="I15" s="75"/>
      <c r="J15" s="69"/>
      <c r="K15" s="15" t="str">
        <f>Inputs!F28</f>
        <v>Engine Use</v>
      </c>
    </row>
    <row r="16" spans="2:11" ht="15.75" customHeight="1" x14ac:dyDescent="0.25">
      <c r="B16" s="415" t="s">
        <v>42</v>
      </c>
      <c r="C16" s="416"/>
      <c r="D16" s="417" t="s">
        <v>44</v>
      </c>
      <c r="E16" s="418"/>
      <c r="F16" s="310" t="s">
        <v>489</v>
      </c>
      <c r="G16" s="308" t="str">
        <f>IF(OR($F$5="reciprocating - diesel",$F$5="reciprocating - gasoline"),"lb/hp-hr","lb/MMBtu")</f>
        <v>lb/hp-hr</v>
      </c>
      <c r="H16" s="73"/>
      <c r="I16" s="75"/>
      <c r="J16" s="69"/>
      <c r="K16" s="17" t="str">
        <f>Inputs!F29</f>
        <v>routine</v>
      </c>
    </row>
    <row r="17" spans="2:11" ht="15.75" customHeight="1" x14ac:dyDescent="0.25">
      <c r="B17" s="419" t="s">
        <v>48</v>
      </c>
      <c r="C17" s="420"/>
      <c r="D17" s="413">
        <v>0</v>
      </c>
      <c r="E17" s="414"/>
      <c r="F17" s="316" t="s">
        <v>439</v>
      </c>
      <c r="G17" s="306">
        <f>IF(OR($F$5="reciprocating - diesel",$F$5="reciprocating - gasoline"),D17*Grams_to_Pounds_Conversion_Factor,IF(F17="mg/Nm"&amp;CHAR(179),(D17/100)*Grams_to_Pounds_Conversion_Factor/Cubic_Meter_to_Cubic_Foot_Conversion_Factor*(1/Natural_Gas_Energy_Content)*1000000,D17*Grams_to_Pounds_Conversion_Factor*Btu_hr_to_hp_Conversion_Factor*1000000*Fuel_Energy_to_Output_Efficiency))</f>
        <v>0</v>
      </c>
      <c r="I17" s="75"/>
      <c r="J17" s="69"/>
      <c r="K17" s="18" t="str">
        <f>Inputs!F30</f>
        <v>emergency</v>
      </c>
    </row>
    <row r="18" spans="2:11" ht="15.75" customHeight="1" x14ac:dyDescent="0.25">
      <c r="B18" s="419" t="s">
        <v>51</v>
      </c>
      <c r="C18" s="420"/>
      <c r="D18" s="413">
        <v>0</v>
      </c>
      <c r="E18" s="414"/>
      <c r="F18" s="316" t="s">
        <v>439</v>
      </c>
      <c r="G18" s="307">
        <f>IF(OR($F$5="reciprocating - diesel",$F$5="reciprocating - gasoline"),D18*Grams_to_Pounds_Conversion_Factor,IF(F18="mg/Nm"&amp;CHAR(179),(D18/100)*Grams_to_Pounds_Conversion_Factor/Cubic_Meter_to_Cubic_Foot_Conversion_Factor*(1/Natural_Gas_Energy_Content)*1000000,D18*Grams_to_Pounds_Conversion_Factor*Btu_hr_to_hp_Conversion_Factor*1000000*Fuel_Energy_to_Output_Efficiency))</f>
        <v>0</v>
      </c>
      <c r="H18" s="73"/>
      <c r="I18" s="75"/>
      <c r="J18" s="69"/>
    </row>
    <row r="19" spans="2:11" ht="15.75" customHeight="1" x14ac:dyDescent="0.25">
      <c r="B19" s="409" t="s">
        <v>52</v>
      </c>
      <c r="C19" s="410"/>
      <c r="D19" s="413">
        <v>0</v>
      </c>
      <c r="E19" s="414"/>
      <c r="F19" s="316" t="s">
        <v>439</v>
      </c>
      <c r="G19" s="306">
        <f>IF(OR($F$5="reciprocating - diesel",$F$5="reciprocating - gasoline"),D19*Grams_to_Pounds_Conversion_Factor,IF(F19="mg/Nm"&amp;CHAR(179),(D19/100)*Grams_to_Pounds_Conversion_Factor/Cubic_Meter_to_Cubic_Foot_Conversion_Factor*(1/Natural_Gas_Energy_Content)*1000000,D19*Grams_to_Pounds_Conversion_Factor*Btu_hr_to_hp_Conversion_Factor*1000000*Fuel_Energy_to_Output_Efficiency))</f>
        <v>0</v>
      </c>
      <c r="H19" s="73"/>
      <c r="J19" s="69"/>
      <c r="K19" s="15" t="s">
        <v>117</v>
      </c>
    </row>
    <row r="20" spans="2:11" ht="15.75" customHeight="1" x14ac:dyDescent="0.25">
      <c r="B20" s="409" t="s">
        <v>53</v>
      </c>
      <c r="C20" s="410"/>
      <c r="D20" s="413">
        <v>0</v>
      </c>
      <c r="E20" s="414"/>
      <c r="F20" s="316" t="s">
        <v>439</v>
      </c>
      <c r="G20" s="307">
        <f>IF(OR($F$5="reciprocating - diesel",$F$5="reciprocating - gasoline"),D20*Grams_to_Pounds_Conversion_Factor,IF(F20="mg/Nm"&amp;CHAR(179),(D20/100)*Grams_to_Pounds_Conversion_Factor/Cubic_Meter_to_Cubic_Foot_Conversion_Factor*(1/Natural_Gas_Energy_Content)*1000000,D20*Grams_to_Pounds_Conversion_Factor*Btu_hr_to_hp_Conversion_Factor*1000000*Fuel_Energy_to_Output_Efficiency))</f>
        <v>0</v>
      </c>
      <c r="H20" s="73"/>
      <c r="J20" s="69"/>
      <c r="K20" s="17" t="s">
        <v>439</v>
      </c>
    </row>
    <row r="21" spans="2:11" ht="15.75" customHeight="1" x14ac:dyDescent="0.25">
      <c r="B21" s="409" t="s">
        <v>54</v>
      </c>
      <c r="C21" s="410"/>
      <c r="D21" s="411">
        <v>0</v>
      </c>
      <c r="E21" s="412"/>
      <c r="F21" s="316" t="s">
        <v>439</v>
      </c>
      <c r="G21" s="307">
        <f>IF(OR($F$5="reciprocating - diesel",$F$5="reciprocating - gasoline"),D21*Grams_to_Pounds_Conversion_Factor,IF(F21="mg/Nm"&amp;CHAR(179),(D21/100)*Grams_to_Pounds_Conversion_Factor/Cubic_Meter_to_Cubic_Foot_Conversion_Factor*(1/Natural_Gas_Energy_Content)*1000000,D21*Grams_to_Pounds_Conversion_Factor*Btu_hr_to_hp_Conversion_Factor*1000000*Fuel_Energy_to_Output_Efficiency))</f>
        <v>0</v>
      </c>
      <c r="H21" s="73"/>
      <c r="J21" s="69"/>
      <c r="K21" s="18" t="str">
        <f>"mg/Nm"&amp;CHAR(179)</f>
        <v>mg/Nm³</v>
      </c>
    </row>
    <row r="22" spans="2:11" ht="16.5" customHeight="1" x14ac:dyDescent="0.25">
      <c r="B22" s="73"/>
      <c r="C22" s="73"/>
      <c r="D22" s="73"/>
      <c r="E22" s="73"/>
      <c r="F22" s="73"/>
      <c r="G22" s="73"/>
      <c r="H22" s="73"/>
      <c r="I22" s="75"/>
      <c r="J22" s="69"/>
    </row>
    <row r="23" spans="2:11" x14ac:dyDescent="0.25">
      <c r="B23" s="387" t="s">
        <v>41</v>
      </c>
      <c r="C23" s="388"/>
      <c r="D23" s="388"/>
      <c r="E23" s="388"/>
      <c r="F23" s="388"/>
      <c r="G23" s="388"/>
      <c r="H23" s="388"/>
      <c r="I23" s="389"/>
    </row>
    <row r="24" spans="2:11" ht="26.4" x14ac:dyDescent="0.25">
      <c r="B24" s="76" t="s">
        <v>42</v>
      </c>
      <c r="C24" s="76" t="s">
        <v>43</v>
      </c>
      <c r="D24" s="76" t="s">
        <v>44</v>
      </c>
      <c r="E24" s="76" t="s">
        <v>413</v>
      </c>
      <c r="F24" s="108" t="s">
        <v>384</v>
      </c>
      <c r="G24" s="108"/>
      <c r="H24" s="77" t="s">
        <v>412</v>
      </c>
      <c r="I24" s="110" t="s">
        <v>409</v>
      </c>
    </row>
    <row r="25" spans="2:11" ht="24" customHeight="1" x14ac:dyDescent="0.25">
      <c r="B25" s="78"/>
      <c r="C25" s="79" t="str">
        <f>IF(OR($F$5="reciprocating - diesel",$F$5="reciprocating - gasoline"),"(lb/hp*hr)","(lb/MMBtu fuel input)")</f>
        <v>(lb/hp*hr)</v>
      </c>
      <c r="D25" s="79" t="s">
        <v>45</v>
      </c>
      <c r="E25" s="79" t="s">
        <v>46</v>
      </c>
      <c r="F25" s="109" t="s">
        <v>76</v>
      </c>
      <c r="G25" s="109"/>
      <c r="H25" s="80" t="s">
        <v>47</v>
      </c>
      <c r="I25" s="111" t="s">
        <v>76</v>
      </c>
    </row>
    <row r="26" spans="2:11" ht="15.6" x14ac:dyDescent="0.35">
      <c r="B26" s="81" t="s">
        <v>49</v>
      </c>
      <c r="C26" s="145">
        <f>IF($D$17=0,IF($F$5="reciprocating - diesel",IF($K$13&gt;=600,'Emission Factors'!$C5,'Emission Factors'!$B5),IF($F$5="reciprocating - gasoline",'Emission Factors'!E5,IF($F$5="turbine - natural gas",'Emission Factors'!D5,IF($F$5="reciprocating - natural gas rich burn",'Emission Factors'!F5,IF($F$5="reciprocating - natural gas 4-stroke lean burn",'Emission Factors'!G5,'Emission Factors'!H5))))),$G$17)</f>
        <v>2.2000000000000001E-3</v>
      </c>
      <c r="D26" s="146">
        <f>C26*K13</f>
        <v>0</v>
      </c>
      <c r="E26" s="147">
        <f>IF(F$6="routine",Allowable_Hours_for_Engine_Operation,IF($F$12&gt;500,$F$12,'Additional References'!$B$8))</f>
        <v>8760</v>
      </c>
      <c r="F26" s="142">
        <f t="shared" ref="F26:F31" si="0">D26*E26/2000</f>
        <v>0</v>
      </c>
      <c r="G26" s="142"/>
      <c r="H26" s="143">
        <f t="shared" ref="H26:H31" si="1">F$12</f>
        <v>0</v>
      </c>
      <c r="I26" s="144">
        <f t="shared" ref="I26:I31" si="2">D26*H26/2000</f>
        <v>0</v>
      </c>
    </row>
    <row r="27" spans="2:11" ht="15.6" x14ac:dyDescent="0.35">
      <c r="B27" s="81" t="s">
        <v>50</v>
      </c>
      <c r="C27" s="145">
        <f>IF($D$17=0,IF($F$5="reciprocating - diesel",IF($K$13&gt;=600,'Emission Factors'!$C6,'Emission Factors'!$B6),IF($F$5="reciprocating - gasoline",'Emission Factors'!E6,IF($F$5="turbine - natural gas",'Emission Factors'!D6,IF($F$5="reciprocating - natural gas rich burn",'Emission Factors'!F6,IF($F$5="reciprocating - natural gas 4-stroke lean burn",'Emission Factors'!G6,'Emission Factors'!H6))))),$G$17)</f>
        <v>2.2000000000000001E-3</v>
      </c>
      <c r="D27" s="146">
        <f>C27*K13</f>
        <v>0</v>
      </c>
      <c r="E27" s="147">
        <f>IF(F$6="routine",Allowable_Hours_for_Engine_Operation,IF($F$12&gt;500,$F$12,'Additional References'!$B$8))</f>
        <v>8760</v>
      </c>
      <c r="F27" s="142">
        <f t="shared" si="0"/>
        <v>0</v>
      </c>
      <c r="G27" s="142"/>
      <c r="H27" s="143">
        <f t="shared" si="1"/>
        <v>0</v>
      </c>
      <c r="I27" s="144">
        <f t="shared" si="2"/>
        <v>0</v>
      </c>
    </row>
    <row r="28" spans="2:11" ht="15.6" x14ac:dyDescent="0.35">
      <c r="B28" s="81" t="s">
        <v>51</v>
      </c>
      <c r="C28" s="145">
        <f>IF($D$18=0,IF($F$5="reciprocating - diesel",IF($K$13&gt;=600,'Emission Factors'!$C7*$F$11,'Emission Factors'!$B7),IF($F$5="reciprocating - gasoline",'Emission Factors'!E7,IF($F$5="turbine - natural gas",'Emission Factors'!D7*$F$11,IF($F$5="reciprocating - natural gas rich burn",'Emission Factors'!F7,IF($F$5="reciprocating - natural gas 4-stroke lean burn",'Emission Factors'!G7,'Emission Factors'!H7))))),$G$18)</f>
        <v>2.0500000000000002E-3</v>
      </c>
      <c r="D28" s="146">
        <f>C28*K13</f>
        <v>0</v>
      </c>
      <c r="E28" s="147">
        <f>IF(F$6="routine",Allowable_Hours_for_Engine_Operation,IF($F$12&gt;500,$F$12,'Additional References'!$B$8))</f>
        <v>8760</v>
      </c>
      <c r="F28" s="142">
        <f>IF($F$5="reciprocating - diesel",IF($K$13&gt;=600,'Emission Factors'!$C7*MAX('Additional References'!$B$5,$F$11)*$K$13*$E$28/2000,D28*E28/2000),IF($F$5="turbine - natural gas",'Emission Factors'!D7*MAX('Additional References'!$B$6,$F$11)*$K$13*$E$28/2000,D28*E28/2000))</f>
        <v>0</v>
      </c>
      <c r="G28" s="142"/>
      <c r="H28" s="143">
        <f t="shared" si="1"/>
        <v>0</v>
      </c>
      <c r="I28" s="144">
        <f t="shared" si="2"/>
        <v>0</v>
      </c>
    </row>
    <row r="29" spans="2:11" ht="15.6" x14ac:dyDescent="0.35">
      <c r="B29" s="81" t="s">
        <v>52</v>
      </c>
      <c r="C29" s="145">
        <f>IF($D$19=0,IF($F$5="reciprocating - diesel",IF($K$13&gt;=600,'Emission Factors'!$C8,'Emission Factors'!$B8),IF($F$5="reciprocating - gasoline",'Emission Factors'!E8,IF($F$5="turbine - natural gas",'Emission Factors'!D8,IF($F$5="reciprocating - natural gas rich burn",'Emission Factors'!F8,IF($F$5="reciprocating - natural gas 4-stroke lean burn",'Emission Factors'!G8,'Emission Factors'!H8))))),$G$19)</f>
        <v>3.1E-2</v>
      </c>
      <c r="D29" s="146">
        <f>C29*K13</f>
        <v>0</v>
      </c>
      <c r="E29" s="147">
        <f>IF(F$6="routine",Allowable_Hours_for_Engine_Operation,IF($F$12&gt;500,$F$12,'Additional References'!$B$8))</f>
        <v>8760</v>
      </c>
      <c r="F29" s="142">
        <f t="shared" si="0"/>
        <v>0</v>
      </c>
      <c r="G29" s="142"/>
      <c r="H29" s="143">
        <f t="shared" si="1"/>
        <v>0</v>
      </c>
      <c r="I29" s="144">
        <f t="shared" si="2"/>
        <v>0</v>
      </c>
    </row>
    <row r="30" spans="2:11" x14ac:dyDescent="0.25">
      <c r="B30" s="81" t="s">
        <v>53</v>
      </c>
      <c r="C30" s="145">
        <f>IF($D$20=0,IF($F$5="reciprocating - diesel",IF($K$13&gt;=600,'Emission Factors'!$C9,'Emission Factors'!$B9),IF($F$5="reciprocating - gasoline",'Emission Factors'!E9,IF($F$5="turbine - natural gas",'Emission Factors'!D9,IF($F$5="reciprocating - natural gas rich burn",'Emission Factors'!F9,IF($F$5="reciprocating - natural gas 4-stroke lean burn",'Emission Factors'!G9,'Emission Factors'!H9))))),$G$20)</f>
        <v>2.5140000000000002E-3</v>
      </c>
      <c r="D30" s="146">
        <f>C30*K13</f>
        <v>0</v>
      </c>
      <c r="E30" s="147">
        <f>IF(F$6="routine",Allowable_Hours_for_Engine_Operation,IF($F$12&gt;500,$F$12,'Additional References'!$B$8))</f>
        <v>8760</v>
      </c>
      <c r="F30" s="142">
        <f t="shared" si="0"/>
        <v>0</v>
      </c>
      <c r="G30" s="142"/>
      <c r="H30" s="143">
        <f t="shared" si="1"/>
        <v>0</v>
      </c>
      <c r="I30" s="144">
        <f t="shared" si="2"/>
        <v>0</v>
      </c>
    </row>
    <row r="31" spans="2:11" x14ac:dyDescent="0.25">
      <c r="B31" s="82" t="s">
        <v>54</v>
      </c>
      <c r="C31" s="148">
        <f>IF($D$21=0,IF($F$5="reciprocating - diesel",IF($K$13&gt;=600,'Emission Factors'!$C10,'Emission Factors'!$B10),IF($F$5="reciprocating - gasoline",'Emission Factors'!E10,IF($F$5="turbine - natural gas",'Emission Factors'!D10,IF($F$5="reciprocating - natural gas rich burn",'Emission Factors'!F10,IF($F$5="reciprocating - natural gas 4-stroke lean burn",'Emission Factors'!G10,'Emission Factors'!H10))))),$G$21)</f>
        <v>6.6800000000000002E-3</v>
      </c>
      <c r="D31" s="149">
        <f>C31*K13</f>
        <v>0</v>
      </c>
      <c r="E31" s="150">
        <f>IF(F$6="routine",Allowable_Hours_for_Engine_Operation,IF($F$12&gt;500,$F$12,'Additional References'!$B$8))</f>
        <v>8760</v>
      </c>
      <c r="F31" s="151">
        <f t="shared" si="0"/>
        <v>0</v>
      </c>
      <c r="G31" s="151"/>
      <c r="H31" s="152">
        <f t="shared" si="1"/>
        <v>0</v>
      </c>
      <c r="I31" s="153">
        <f t="shared" si="2"/>
        <v>0</v>
      </c>
    </row>
  </sheetData>
  <sheetProtection password="C969" sheet="1" objects="1" scenarios="1"/>
  <mergeCells count="24">
    <mergeCell ref="B23:I23"/>
    <mergeCell ref="B4:F4"/>
    <mergeCell ref="B5:E5"/>
    <mergeCell ref="B6:E6"/>
    <mergeCell ref="B8:E8"/>
    <mergeCell ref="B9:E9"/>
    <mergeCell ref="B16:C16"/>
    <mergeCell ref="D16:E16"/>
    <mergeCell ref="B17:C17"/>
    <mergeCell ref="D17:E17"/>
    <mergeCell ref="B18:C18"/>
    <mergeCell ref="D18:E18"/>
    <mergeCell ref="B7:F7"/>
    <mergeCell ref="B10:E10"/>
    <mergeCell ref="B11:E11"/>
    <mergeCell ref="B12:E12"/>
    <mergeCell ref="B14:F14"/>
    <mergeCell ref="B21:C21"/>
    <mergeCell ref="D21:E21"/>
    <mergeCell ref="B15:F15"/>
    <mergeCell ref="B19:C19"/>
    <mergeCell ref="D19:E19"/>
    <mergeCell ref="B20:C20"/>
    <mergeCell ref="D20:E20"/>
  </mergeCells>
  <conditionalFormatting sqref="B11:F11">
    <cfRule type="expression" dxfId="8" priority="1">
      <formula>$B$11=""</formula>
    </cfRule>
  </conditionalFormatting>
  <dataValidations count="10">
    <dataValidation type="decimal" allowBlank="1" showInputMessage="1" showErrorMessage="1" errorTitle="Value - Out of Range" error="Value entered must be between 0 and 100." sqref="F11:G11">
      <formula1>0</formula1>
      <formula2>100</formula2>
    </dataValidation>
    <dataValidation type="decimal" allowBlank="1" showInputMessage="1" showErrorMessage="1" errorTitle="Value - Out of Range" error="Value must be between 0 and 8760." sqref="G12">
      <formula1>0</formula1>
      <formula2>8760</formula2>
    </dataValidation>
    <dataValidation type="list" allowBlank="1" showInputMessage="1" showErrorMessage="1" promptTitle="Engine Use" prompt="Select whether your engine was used for routine or emergency power generation in 2012. Select emergency only if the engine’s sole function was to provide back-up power when electricity from the local utility was interrupted." sqref="F6">
      <formula1>EngineUse5</formula1>
    </dataValidation>
    <dataValidation allowBlank="1" showInputMessage="1" showErrorMessage="1" promptTitle="Emission Rate" prompt="Where applicable, enter the pollutant emission rate standards from 40 CFR Part 60, Subparts JJJJ and IIII or the actual emission rates of your engine specified on the manufacturer's spec sheet for your engine." sqref="D17:E21"/>
    <dataValidation type="custom" allowBlank="1" showInputMessage="1" showErrorMessage="1" promptTitle="Engine Specs" prompt="Enter the rated fuel consumption of your engine at 100% load (gal/hr for diesel and gasoline or MMBtu/hr for natural gas). If a value is entered here, then the values for the rated mechanical output and the rated power output should be left as 0." sqref="F10">
      <formula1>Mechanical_Output_5+Power_Output_5+Fuel_Consumption_5=Fuel_Consumption_5</formula1>
    </dataValidation>
    <dataValidation type="custom" allowBlank="1" showInputMessage="1" showErrorMessage="1" promptTitle="Engine Specs" prompt="Enter the rated power output (ekW) of your engine. Please note that if a value is entered for the rated power output, then the values for the rated mechanical output and the rated fuel consumption should be left as 0." sqref="F9">
      <formula1>Mechanical_Output_5+Power_Output_5+Fuel_Consumption_5=Power_Output_5</formula1>
    </dataValidation>
    <dataValidation type="custom" allowBlank="1" showInputMessage="1" showErrorMessage="1" promptTitle="Engine Specs" prompt="Enter the rated mechanical output (hp) of your engine. Please note that if a value is entered for the rated mechanical output, then the values for the rated power output and the rated fuel consumption  should be left as 0." sqref="F8">
      <formula1>Mechanical_Output_5+Power_Output_5+Fuel_Consumption_5=Mechanical_Output_5</formula1>
    </dataValidation>
    <dataValidation type="list" allowBlank="1" showInputMessage="1" showErrorMessage="1" promptTitle="Emission Rate Unit" prompt="Select the emission rate unit that corresponds to the data entered in the emission rate field. For diesel and gasoline combustion, the emission rate unit must be g/hp-hr. For natural gas combustion, the emission rate can be entered in g/hp-hr or mg/Nm3." sqref="F17:F21">
      <formula1>IF(OR(Engine_Fuel_Type_5="reciprocating - diesel",Engine_Fuel_Type_5="reciprocating - gasoline"),g_hp_hr_5,Emission_Rate_Unit_5)</formula1>
    </dataValidation>
    <dataValidation type="decimal" allowBlank="1" showInputMessage="1" showErrorMessage="1" errorTitle="Value - Out of Range" error="Value must be between 0 and 8760." promptTitle="Hours Operated in 2012" prompt="Enter the number of hours that your engine ran in calendar year 2012." sqref="F12">
      <formula1>0</formula1>
      <formula2>8760</formula2>
    </dataValidation>
    <dataValidation type="list" allowBlank="1" showInputMessage="1" showErrorMessage="1" promptTitle="Engine - Fuel Type" prompt="Select your engine and fuel type from the drop-down list." sqref="F5">
      <formula1>EngineFuelType5</formula1>
    </dataValidation>
  </dataValidations>
  <pageMargins left="0.75" right="0.47" top="0.59" bottom="0.61" header="0.5" footer="0.5"/>
  <pageSetup scale="84" orientation="landscape" r:id="rId1"/>
  <headerFooter alignWithMargins="0">
    <oddFooter>&amp;LPage &amp;P of &amp;N&amp;C&amp;F&amp;RPrinted &amp;D</oddFooter>
  </headerFooter>
  <ignoredErrors>
    <ignoredError sqref="F2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6"/>
  <sheetViews>
    <sheetView showGridLines="0" zoomScale="90" zoomScaleNormal="90" workbookViewId="0"/>
  </sheetViews>
  <sheetFormatPr defaultRowHeight="13.2" x14ac:dyDescent="0.25"/>
  <cols>
    <col min="1" max="1" width="2.6640625" style="69" customWidth="1"/>
    <col min="2" max="2" width="8" style="69" customWidth="1"/>
    <col min="3" max="7" width="10.88671875" style="69" customWidth="1"/>
    <col min="8" max="8" width="17.88671875" style="69" bestFit="1" customWidth="1"/>
    <col min="9" max="9" width="10.5546875" style="69" customWidth="1"/>
    <col min="10" max="10" width="9.109375" style="69"/>
    <col min="11" max="11" width="10.88671875" style="69" customWidth="1"/>
    <col min="12" max="12" width="10.5546875" style="69" customWidth="1"/>
    <col min="13" max="256" width="9.109375" style="69"/>
    <col min="257" max="257" width="21.109375" style="69" customWidth="1"/>
    <col min="258" max="262" width="10.88671875" style="69" customWidth="1"/>
    <col min="263" max="263" width="11.6640625" style="69" customWidth="1"/>
    <col min="264" max="264" width="15.109375" style="69" customWidth="1"/>
    <col min="265" max="265" width="10.5546875" style="69" customWidth="1"/>
    <col min="266" max="266" width="9.109375" style="69"/>
    <col min="267" max="267" width="10.88671875" style="69" customWidth="1"/>
    <col min="268" max="268" width="10.5546875" style="69" customWidth="1"/>
    <col min="269" max="512" width="9.109375" style="69"/>
    <col min="513" max="513" width="21.109375" style="69" customWidth="1"/>
    <col min="514" max="518" width="10.88671875" style="69" customWidth="1"/>
    <col min="519" max="519" width="11.6640625" style="69" customWidth="1"/>
    <col min="520" max="520" width="15.109375" style="69" customWidth="1"/>
    <col min="521" max="521" width="10.5546875" style="69" customWidth="1"/>
    <col min="522" max="522" width="9.109375" style="69"/>
    <col min="523" max="523" width="10.88671875" style="69" customWidth="1"/>
    <col min="524" max="524" width="10.5546875" style="69" customWidth="1"/>
    <col min="525" max="768" width="9.109375" style="69"/>
    <col min="769" max="769" width="21.109375" style="69" customWidth="1"/>
    <col min="770" max="774" width="10.88671875" style="69" customWidth="1"/>
    <col min="775" max="775" width="11.6640625" style="69" customWidth="1"/>
    <col min="776" max="776" width="15.109375" style="69" customWidth="1"/>
    <col min="777" max="777" width="10.5546875" style="69" customWidth="1"/>
    <col min="778" max="778" width="9.109375" style="69"/>
    <col min="779" max="779" width="10.88671875" style="69" customWidth="1"/>
    <col min="780" max="780" width="10.5546875" style="69" customWidth="1"/>
    <col min="781" max="1024" width="9.109375" style="69"/>
    <col min="1025" max="1025" width="21.109375" style="69" customWidth="1"/>
    <col min="1026" max="1030" width="10.88671875" style="69" customWidth="1"/>
    <col min="1031" max="1031" width="11.6640625" style="69" customWidth="1"/>
    <col min="1032" max="1032" width="15.109375" style="69" customWidth="1"/>
    <col min="1033" max="1033" width="10.5546875" style="69" customWidth="1"/>
    <col min="1034" max="1034" width="9.109375" style="69"/>
    <col min="1035" max="1035" width="10.88671875" style="69" customWidth="1"/>
    <col min="1036" max="1036" width="10.5546875" style="69" customWidth="1"/>
    <col min="1037" max="1280" width="9.109375" style="69"/>
    <col min="1281" max="1281" width="21.109375" style="69" customWidth="1"/>
    <col min="1282" max="1286" width="10.88671875" style="69" customWidth="1"/>
    <col min="1287" max="1287" width="11.6640625" style="69" customWidth="1"/>
    <col min="1288" max="1288" width="15.109375" style="69" customWidth="1"/>
    <col min="1289" max="1289" width="10.5546875" style="69" customWidth="1"/>
    <col min="1290" max="1290" width="9.109375" style="69"/>
    <col min="1291" max="1291" width="10.88671875" style="69" customWidth="1"/>
    <col min="1292" max="1292" width="10.5546875" style="69" customWidth="1"/>
    <col min="1293" max="1536" width="9.109375" style="69"/>
    <col min="1537" max="1537" width="21.109375" style="69" customWidth="1"/>
    <col min="1538" max="1542" width="10.88671875" style="69" customWidth="1"/>
    <col min="1543" max="1543" width="11.6640625" style="69" customWidth="1"/>
    <col min="1544" max="1544" width="15.109375" style="69" customWidth="1"/>
    <col min="1545" max="1545" width="10.5546875" style="69" customWidth="1"/>
    <col min="1546" max="1546" width="9.109375" style="69"/>
    <col min="1547" max="1547" width="10.88671875" style="69" customWidth="1"/>
    <col min="1548" max="1548" width="10.5546875" style="69" customWidth="1"/>
    <col min="1549" max="1792" width="9.109375" style="69"/>
    <col min="1793" max="1793" width="21.109375" style="69" customWidth="1"/>
    <col min="1794" max="1798" width="10.88671875" style="69" customWidth="1"/>
    <col min="1799" max="1799" width="11.6640625" style="69" customWidth="1"/>
    <col min="1800" max="1800" width="15.109375" style="69" customWidth="1"/>
    <col min="1801" max="1801" width="10.5546875" style="69" customWidth="1"/>
    <col min="1802" max="1802" width="9.109375" style="69"/>
    <col min="1803" max="1803" width="10.88671875" style="69" customWidth="1"/>
    <col min="1804" max="1804" width="10.5546875" style="69" customWidth="1"/>
    <col min="1805" max="2048" width="9.109375" style="69"/>
    <col min="2049" max="2049" width="21.109375" style="69" customWidth="1"/>
    <col min="2050" max="2054" width="10.88671875" style="69" customWidth="1"/>
    <col min="2055" max="2055" width="11.6640625" style="69" customWidth="1"/>
    <col min="2056" max="2056" width="15.109375" style="69" customWidth="1"/>
    <col min="2057" max="2057" width="10.5546875" style="69" customWidth="1"/>
    <col min="2058" max="2058" width="9.109375" style="69"/>
    <col min="2059" max="2059" width="10.88671875" style="69" customWidth="1"/>
    <col min="2060" max="2060" width="10.5546875" style="69" customWidth="1"/>
    <col min="2061" max="2304" width="9.109375" style="69"/>
    <col min="2305" max="2305" width="21.109375" style="69" customWidth="1"/>
    <col min="2306" max="2310" width="10.88671875" style="69" customWidth="1"/>
    <col min="2311" max="2311" width="11.6640625" style="69" customWidth="1"/>
    <col min="2312" max="2312" width="15.109375" style="69" customWidth="1"/>
    <col min="2313" max="2313" width="10.5546875" style="69" customWidth="1"/>
    <col min="2314" max="2314" width="9.109375" style="69"/>
    <col min="2315" max="2315" width="10.88671875" style="69" customWidth="1"/>
    <col min="2316" max="2316" width="10.5546875" style="69" customWidth="1"/>
    <col min="2317" max="2560" width="9.109375" style="69"/>
    <col min="2561" max="2561" width="21.109375" style="69" customWidth="1"/>
    <col min="2562" max="2566" width="10.88671875" style="69" customWidth="1"/>
    <col min="2567" max="2567" width="11.6640625" style="69" customWidth="1"/>
    <col min="2568" max="2568" width="15.109375" style="69" customWidth="1"/>
    <col min="2569" max="2569" width="10.5546875" style="69" customWidth="1"/>
    <col min="2570" max="2570" width="9.109375" style="69"/>
    <col min="2571" max="2571" width="10.88671875" style="69" customWidth="1"/>
    <col min="2572" max="2572" width="10.5546875" style="69" customWidth="1"/>
    <col min="2573" max="2816" width="9.109375" style="69"/>
    <col min="2817" max="2817" width="21.109375" style="69" customWidth="1"/>
    <col min="2818" max="2822" width="10.88671875" style="69" customWidth="1"/>
    <col min="2823" max="2823" width="11.6640625" style="69" customWidth="1"/>
    <col min="2824" max="2824" width="15.109375" style="69" customWidth="1"/>
    <col min="2825" max="2825" width="10.5546875" style="69" customWidth="1"/>
    <col min="2826" max="2826" width="9.109375" style="69"/>
    <col min="2827" max="2827" width="10.88671875" style="69" customWidth="1"/>
    <col min="2828" max="2828" width="10.5546875" style="69" customWidth="1"/>
    <col min="2829" max="3072" width="9.109375" style="69"/>
    <col min="3073" max="3073" width="21.109375" style="69" customWidth="1"/>
    <col min="3074" max="3078" width="10.88671875" style="69" customWidth="1"/>
    <col min="3079" max="3079" width="11.6640625" style="69" customWidth="1"/>
    <col min="3080" max="3080" width="15.109375" style="69" customWidth="1"/>
    <col min="3081" max="3081" width="10.5546875" style="69" customWidth="1"/>
    <col min="3082" max="3082" width="9.109375" style="69"/>
    <col min="3083" max="3083" width="10.88671875" style="69" customWidth="1"/>
    <col min="3084" max="3084" width="10.5546875" style="69" customWidth="1"/>
    <col min="3085" max="3328" width="9.109375" style="69"/>
    <col min="3329" max="3329" width="21.109375" style="69" customWidth="1"/>
    <col min="3330" max="3334" width="10.88671875" style="69" customWidth="1"/>
    <col min="3335" max="3335" width="11.6640625" style="69" customWidth="1"/>
    <col min="3336" max="3336" width="15.109375" style="69" customWidth="1"/>
    <col min="3337" max="3337" width="10.5546875" style="69" customWidth="1"/>
    <col min="3338" max="3338" width="9.109375" style="69"/>
    <col min="3339" max="3339" width="10.88671875" style="69" customWidth="1"/>
    <col min="3340" max="3340" width="10.5546875" style="69" customWidth="1"/>
    <col min="3341" max="3584" width="9.109375" style="69"/>
    <col min="3585" max="3585" width="21.109375" style="69" customWidth="1"/>
    <col min="3586" max="3590" width="10.88671875" style="69" customWidth="1"/>
    <col min="3591" max="3591" width="11.6640625" style="69" customWidth="1"/>
    <col min="3592" max="3592" width="15.109375" style="69" customWidth="1"/>
    <col min="3593" max="3593" width="10.5546875" style="69" customWidth="1"/>
    <col min="3594" max="3594" width="9.109375" style="69"/>
    <col min="3595" max="3595" width="10.88671875" style="69" customWidth="1"/>
    <col min="3596" max="3596" width="10.5546875" style="69" customWidth="1"/>
    <col min="3597" max="3840" width="9.109375" style="69"/>
    <col min="3841" max="3841" width="21.109375" style="69" customWidth="1"/>
    <col min="3842" max="3846" width="10.88671875" style="69" customWidth="1"/>
    <col min="3847" max="3847" width="11.6640625" style="69" customWidth="1"/>
    <col min="3848" max="3848" width="15.109375" style="69" customWidth="1"/>
    <col min="3849" max="3849" width="10.5546875" style="69" customWidth="1"/>
    <col min="3850" max="3850" width="9.109375" style="69"/>
    <col min="3851" max="3851" width="10.88671875" style="69" customWidth="1"/>
    <col min="3852" max="3852" width="10.5546875" style="69" customWidth="1"/>
    <col min="3853" max="4096" width="9.109375" style="69"/>
    <col min="4097" max="4097" width="21.109375" style="69" customWidth="1"/>
    <col min="4098" max="4102" width="10.88671875" style="69" customWidth="1"/>
    <col min="4103" max="4103" width="11.6640625" style="69" customWidth="1"/>
    <col min="4104" max="4104" width="15.109375" style="69" customWidth="1"/>
    <col min="4105" max="4105" width="10.5546875" style="69" customWidth="1"/>
    <col min="4106" max="4106" width="9.109375" style="69"/>
    <col min="4107" max="4107" width="10.88671875" style="69" customWidth="1"/>
    <col min="4108" max="4108" width="10.5546875" style="69" customWidth="1"/>
    <col min="4109" max="4352" width="9.109375" style="69"/>
    <col min="4353" max="4353" width="21.109375" style="69" customWidth="1"/>
    <col min="4354" max="4358" width="10.88671875" style="69" customWidth="1"/>
    <col min="4359" max="4359" width="11.6640625" style="69" customWidth="1"/>
    <col min="4360" max="4360" width="15.109375" style="69" customWidth="1"/>
    <col min="4361" max="4361" width="10.5546875" style="69" customWidth="1"/>
    <col min="4362" max="4362" width="9.109375" style="69"/>
    <col min="4363" max="4363" width="10.88671875" style="69" customWidth="1"/>
    <col min="4364" max="4364" width="10.5546875" style="69" customWidth="1"/>
    <col min="4365" max="4608" width="9.109375" style="69"/>
    <col min="4609" max="4609" width="21.109375" style="69" customWidth="1"/>
    <col min="4610" max="4614" width="10.88671875" style="69" customWidth="1"/>
    <col min="4615" max="4615" width="11.6640625" style="69" customWidth="1"/>
    <col min="4616" max="4616" width="15.109375" style="69" customWidth="1"/>
    <col min="4617" max="4617" width="10.5546875" style="69" customWidth="1"/>
    <col min="4618" max="4618" width="9.109375" style="69"/>
    <col min="4619" max="4619" width="10.88671875" style="69" customWidth="1"/>
    <col min="4620" max="4620" width="10.5546875" style="69" customWidth="1"/>
    <col min="4621" max="4864" width="9.109375" style="69"/>
    <col min="4865" max="4865" width="21.109375" style="69" customWidth="1"/>
    <col min="4866" max="4870" width="10.88671875" style="69" customWidth="1"/>
    <col min="4871" max="4871" width="11.6640625" style="69" customWidth="1"/>
    <col min="4872" max="4872" width="15.109375" style="69" customWidth="1"/>
    <col min="4873" max="4873" width="10.5546875" style="69" customWidth="1"/>
    <col min="4874" max="4874" width="9.109375" style="69"/>
    <col min="4875" max="4875" width="10.88671875" style="69" customWidth="1"/>
    <col min="4876" max="4876" width="10.5546875" style="69" customWidth="1"/>
    <col min="4877" max="5120" width="9.109375" style="69"/>
    <col min="5121" max="5121" width="21.109375" style="69" customWidth="1"/>
    <col min="5122" max="5126" width="10.88671875" style="69" customWidth="1"/>
    <col min="5127" max="5127" width="11.6640625" style="69" customWidth="1"/>
    <col min="5128" max="5128" width="15.109375" style="69" customWidth="1"/>
    <col min="5129" max="5129" width="10.5546875" style="69" customWidth="1"/>
    <col min="5130" max="5130" width="9.109375" style="69"/>
    <col min="5131" max="5131" width="10.88671875" style="69" customWidth="1"/>
    <col min="5132" max="5132" width="10.5546875" style="69" customWidth="1"/>
    <col min="5133" max="5376" width="9.109375" style="69"/>
    <col min="5377" max="5377" width="21.109375" style="69" customWidth="1"/>
    <col min="5378" max="5382" width="10.88671875" style="69" customWidth="1"/>
    <col min="5383" max="5383" width="11.6640625" style="69" customWidth="1"/>
    <col min="5384" max="5384" width="15.109375" style="69" customWidth="1"/>
    <col min="5385" max="5385" width="10.5546875" style="69" customWidth="1"/>
    <col min="5386" max="5386" width="9.109375" style="69"/>
    <col min="5387" max="5387" width="10.88671875" style="69" customWidth="1"/>
    <col min="5388" max="5388" width="10.5546875" style="69" customWidth="1"/>
    <col min="5389" max="5632" width="9.109375" style="69"/>
    <col min="5633" max="5633" width="21.109375" style="69" customWidth="1"/>
    <col min="5634" max="5638" width="10.88671875" style="69" customWidth="1"/>
    <col min="5639" max="5639" width="11.6640625" style="69" customWidth="1"/>
    <col min="5640" max="5640" width="15.109375" style="69" customWidth="1"/>
    <col min="5641" max="5641" width="10.5546875" style="69" customWidth="1"/>
    <col min="5642" max="5642" width="9.109375" style="69"/>
    <col min="5643" max="5643" width="10.88671875" style="69" customWidth="1"/>
    <col min="5644" max="5644" width="10.5546875" style="69" customWidth="1"/>
    <col min="5645" max="5888" width="9.109375" style="69"/>
    <col min="5889" max="5889" width="21.109375" style="69" customWidth="1"/>
    <col min="5890" max="5894" width="10.88671875" style="69" customWidth="1"/>
    <col min="5895" max="5895" width="11.6640625" style="69" customWidth="1"/>
    <col min="5896" max="5896" width="15.109375" style="69" customWidth="1"/>
    <col min="5897" max="5897" width="10.5546875" style="69" customWidth="1"/>
    <col min="5898" max="5898" width="9.109375" style="69"/>
    <col min="5899" max="5899" width="10.88671875" style="69" customWidth="1"/>
    <col min="5900" max="5900" width="10.5546875" style="69" customWidth="1"/>
    <col min="5901" max="6144" width="9.109375" style="69"/>
    <col min="6145" max="6145" width="21.109375" style="69" customWidth="1"/>
    <col min="6146" max="6150" width="10.88671875" style="69" customWidth="1"/>
    <col min="6151" max="6151" width="11.6640625" style="69" customWidth="1"/>
    <col min="6152" max="6152" width="15.109375" style="69" customWidth="1"/>
    <col min="6153" max="6153" width="10.5546875" style="69" customWidth="1"/>
    <col min="6154" max="6154" width="9.109375" style="69"/>
    <col min="6155" max="6155" width="10.88671875" style="69" customWidth="1"/>
    <col min="6156" max="6156" width="10.5546875" style="69" customWidth="1"/>
    <col min="6157" max="6400" width="9.109375" style="69"/>
    <col min="6401" max="6401" width="21.109375" style="69" customWidth="1"/>
    <col min="6402" max="6406" width="10.88671875" style="69" customWidth="1"/>
    <col min="6407" max="6407" width="11.6640625" style="69" customWidth="1"/>
    <col min="6408" max="6408" width="15.109375" style="69" customWidth="1"/>
    <col min="6409" max="6409" width="10.5546875" style="69" customWidth="1"/>
    <col min="6410" max="6410" width="9.109375" style="69"/>
    <col min="6411" max="6411" width="10.88671875" style="69" customWidth="1"/>
    <col min="6412" max="6412" width="10.5546875" style="69" customWidth="1"/>
    <col min="6413" max="6656" width="9.109375" style="69"/>
    <col min="6657" max="6657" width="21.109375" style="69" customWidth="1"/>
    <col min="6658" max="6662" width="10.88671875" style="69" customWidth="1"/>
    <col min="6663" max="6663" width="11.6640625" style="69" customWidth="1"/>
    <col min="6664" max="6664" width="15.109375" style="69" customWidth="1"/>
    <col min="6665" max="6665" width="10.5546875" style="69" customWidth="1"/>
    <col min="6666" max="6666" width="9.109375" style="69"/>
    <col min="6667" max="6667" width="10.88671875" style="69" customWidth="1"/>
    <col min="6668" max="6668" width="10.5546875" style="69" customWidth="1"/>
    <col min="6669" max="6912" width="9.109375" style="69"/>
    <col min="6913" max="6913" width="21.109375" style="69" customWidth="1"/>
    <col min="6914" max="6918" width="10.88671875" style="69" customWidth="1"/>
    <col min="6919" max="6919" width="11.6640625" style="69" customWidth="1"/>
    <col min="6920" max="6920" width="15.109375" style="69" customWidth="1"/>
    <col min="6921" max="6921" width="10.5546875" style="69" customWidth="1"/>
    <col min="6922" max="6922" width="9.109375" style="69"/>
    <col min="6923" max="6923" width="10.88671875" style="69" customWidth="1"/>
    <col min="6924" max="6924" width="10.5546875" style="69" customWidth="1"/>
    <col min="6925" max="7168" width="9.109375" style="69"/>
    <col min="7169" max="7169" width="21.109375" style="69" customWidth="1"/>
    <col min="7170" max="7174" width="10.88671875" style="69" customWidth="1"/>
    <col min="7175" max="7175" width="11.6640625" style="69" customWidth="1"/>
    <col min="7176" max="7176" width="15.109375" style="69" customWidth="1"/>
    <col min="7177" max="7177" width="10.5546875" style="69" customWidth="1"/>
    <col min="7178" max="7178" width="9.109375" style="69"/>
    <col min="7179" max="7179" width="10.88671875" style="69" customWidth="1"/>
    <col min="7180" max="7180" width="10.5546875" style="69" customWidth="1"/>
    <col min="7181" max="7424" width="9.109375" style="69"/>
    <col min="7425" max="7425" width="21.109375" style="69" customWidth="1"/>
    <col min="7426" max="7430" width="10.88671875" style="69" customWidth="1"/>
    <col min="7431" max="7431" width="11.6640625" style="69" customWidth="1"/>
    <col min="7432" max="7432" width="15.109375" style="69" customWidth="1"/>
    <col min="7433" max="7433" width="10.5546875" style="69" customWidth="1"/>
    <col min="7434" max="7434" width="9.109375" style="69"/>
    <col min="7435" max="7435" width="10.88671875" style="69" customWidth="1"/>
    <col min="7436" max="7436" width="10.5546875" style="69" customWidth="1"/>
    <col min="7437" max="7680" width="9.109375" style="69"/>
    <col min="7681" max="7681" width="21.109375" style="69" customWidth="1"/>
    <col min="7682" max="7686" width="10.88671875" style="69" customWidth="1"/>
    <col min="7687" max="7687" width="11.6640625" style="69" customWidth="1"/>
    <col min="7688" max="7688" width="15.109375" style="69" customWidth="1"/>
    <col min="7689" max="7689" width="10.5546875" style="69" customWidth="1"/>
    <col min="7690" max="7690" width="9.109375" style="69"/>
    <col min="7691" max="7691" width="10.88671875" style="69" customWidth="1"/>
    <col min="7692" max="7692" width="10.5546875" style="69" customWidth="1"/>
    <col min="7693" max="7936" width="9.109375" style="69"/>
    <col min="7937" max="7937" width="21.109375" style="69" customWidth="1"/>
    <col min="7938" max="7942" width="10.88671875" style="69" customWidth="1"/>
    <col min="7943" max="7943" width="11.6640625" style="69" customWidth="1"/>
    <col min="7944" max="7944" width="15.109375" style="69" customWidth="1"/>
    <col min="7945" max="7945" width="10.5546875" style="69" customWidth="1"/>
    <col min="7946" max="7946" width="9.109375" style="69"/>
    <col min="7947" max="7947" width="10.88671875" style="69" customWidth="1"/>
    <col min="7948" max="7948" width="10.5546875" style="69" customWidth="1"/>
    <col min="7949" max="8192" width="9.109375" style="69"/>
    <col min="8193" max="8193" width="21.109375" style="69" customWidth="1"/>
    <col min="8194" max="8198" width="10.88671875" style="69" customWidth="1"/>
    <col min="8199" max="8199" width="11.6640625" style="69" customWidth="1"/>
    <col min="8200" max="8200" width="15.109375" style="69" customWidth="1"/>
    <col min="8201" max="8201" width="10.5546875" style="69" customWidth="1"/>
    <col min="8202" max="8202" width="9.109375" style="69"/>
    <col min="8203" max="8203" width="10.88671875" style="69" customWidth="1"/>
    <col min="8204" max="8204" width="10.5546875" style="69" customWidth="1"/>
    <col min="8205" max="8448" width="9.109375" style="69"/>
    <col min="8449" max="8449" width="21.109375" style="69" customWidth="1"/>
    <col min="8450" max="8454" width="10.88671875" style="69" customWidth="1"/>
    <col min="8455" max="8455" width="11.6640625" style="69" customWidth="1"/>
    <col min="8456" max="8456" width="15.109375" style="69" customWidth="1"/>
    <col min="8457" max="8457" width="10.5546875" style="69" customWidth="1"/>
    <col min="8458" max="8458" width="9.109375" style="69"/>
    <col min="8459" max="8459" width="10.88671875" style="69" customWidth="1"/>
    <col min="8460" max="8460" width="10.5546875" style="69" customWidth="1"/>
    <col min="8461" max="8704" width="9.109375" style="69"/>
    <col min="8705" max="8705" width="21.109375" style="69" customWidth="1"/>
    <col min="8706" max="8710" width="10.88671875" style="69" customWidth="1"/>
    <col min="8711" max="8711" width="11.6640625" style="69" customWidth="1"/>
    <col min="8712" max="8712" width="15.109375" style="69" customWidth="1"/>
    <col min="8713" max="8713" width="10.5546875" style="69" customWidth="1"/>
    <col min="8714" max="8714" width="9.109375" style="69"/>
    <col min="8715" max="8715" width="10.88671875" style="69" customWidth="1"/>
    <col min="8716" max="8716" width="10.5546875" style="69" customWidth="1"/>
    <col min="8717" max="8960" width="9.109375" style="69"/>
    <col min="8961" max="8961" width="21.109375" style="69" customWidth="1"/>
    <col min="8962" max="8966" width="10.88671875" style="69" customWidth="1"/>
    <col min="8967" max="8967" width="11.6640625" style="69" customWidth="1"/>
    <col min="8968" max="8968" width="15.109375" style="69" customWidth="1"/>
    <col min="8969" max="8969" width="10.5546875" style="69" customWidth="1"/>
    <col min="8970" max="8970" width="9.109375" style="69"/>
    <col min="8971" max="8971" width="10.88671875" style="69" customWidth="1"/>
    <col min="8972" max="8972" width="10.5546875" style="69" customWidth="1"/>
    <col min="8973" max="9216" width="9.109375" style="69"/>
    <col min="9217" max="9217" width="21.109375" style="69" customWidth="1"/>
    <col min="9218" max="9222" width="10.88671875" style="69" customWidth="1"/>
    <col min="9223" max="9223" width="11.6640625" style="69" customWidth="1"/>
    <col min="9224" max="9224" width="15.109375" style="69" customWidth="1"/>
    <col min="9225" max="9225" width="10.5546875" style="69" customWidth="1"/>
    <col min="9226" max="9226" width="9.109375" style="69"/>
    <col min="9227" max="9227" width="10.88671875" style="69" customWidth="1"/>
    <col min="9228" max="9228" width="10.5546875" style="69" customWidth="1"/>
    <col min="9229" max="9472" width="9.109375" style="69"/>
    <col min="9473" max="9473" width="21.109375" style="69" customWidth="1"/>
    <col min="9474" max="9478" width="10.88671875" style="69" customWidth="1"/>
    <col min="9479" max="9479" width="11.6640625" style="69" customWidth="1"/>
    <col min="9480" max="9480" width="15.109375" style="69" customWidth="1"/>
    <col min="9481" max="9481" width="10.5546875" style="69" customWidth="1"/>
    <col min="9482" max="9482" width="9.109375" style="69"/>
    <col min="9483" max="9483" width="10.88671875" style="69" customWidth="1"/>
    <col min="9484" max="9484" width="10.5546875" style="69" customWidth="1"/>
    <col min="9485" max="9728" width="9.109375" style="69"/>
    <col min="9729" max="9729" width="21.109375" style="69" customWidth="1"/>
    <col min="9730" max="9734" width="10.88671875" style="69" customWidth="1"/>
    <col min="9735" max="9735" width="11.6640625" style="69" customWidth="1"/>
    <col min="9736" max="9736" width="15.109375" style="69" customWidth="1"/>
    <col min="9737" max="9737" width="10.5546875" style="69" customWidth="1"/>
    <col min="9738" max="9738" width="9.109375" style="69"/>
    <col min="9739" max="9739" width="10.88671875" style="69" customWidth="1"/>
    <col min="9740" max="9740" width="10.5546875" style="69" customWidth="1"/>
    <col min="9741" max="9984" width="9.109375" style="69"/>
    <col min="9985" max="9985" width="21.109375" style="69" customWidth="1"/>
    <col min="9986" max="9990" width="10.88671875" style="69" customWidth="1"/>
    <col min="9991" max="9991" width="11.6640625" style="69" customWidth="1"/>
    <col min="9992" max="9992" width="15.109375" style="69" customWidth="1"/>
    <col min="9993" max="9993" width="10.5546875" style="69" customWidth="1"/>
    <col min="9994" max="9994" width="9.109375" style="69"/>
    <col min="9995" max="9995" width="10.88671875" style="69" customWidth="1"/>
    <col min="9996" max="9996" width="10.5546875" style="69" customWidth="1"/>
    <col min="9997" max="10240" width="9.109375" style="69"/>
    <col min="10241" max="10241" width="21.109375" style="69" customWidth="1"/>
    <col min="10242" max="10246" width="10.88671875" style="69" customWidth="1"/>
    <col min="10247" max="10247" width="11.6640625" style="69" customWidth="1"/>
    <col min="10248" max="10248" width="15.109375" style="69" customWidth="1"/>
    <col min="10249" max="10249" width="10.5546875" style="69" customWidth="1"/>
    <col min="10250" max="10250" width="9.109375" style="69"/>
    <col min="10251" max="10251" width="10.88671875" style="69" customWidth="1"/>
    <col min="10252" max="10252" width="10.5546875" style="69" customWidth="1"/>
    <col min="10253" max="10496" width="9.109375" style="69"/>
    <col min="10497" max="10497" width="21.109375" style="69" customWidth="1"/>
    <col min="10498" max="10502" width="10.88671875" style="69" customWidth="1"/>
    <col min="10503" max="10503" width="11.6640625" style="69" customWidth="1"/>
    <col min="10504" max="10504" width="15.109375" style="69" customWidth="1"/>
    <col min="10505" max="10505" width="10.5546875" style="69" customWidth="1"/>
    <col min="10506" max="10506" width="9.109375" style="69"/>
    <col min="10507" max="10507" width="10.88671875" style="69" customWidth="1"/>
    <col min="10508" max="10508" width="10.5546875" style="69" customWidth="1"/>
    <col min="10509" max="10752" width="9.109375" style="69"/>
    <col min="10753" max="10753" width="21.109375" style="69" customWidth="1"/>
    <col min="10754" max="10758" width="10.88671875" style="69" customWidth="1"/>
    <col min="10759" max="10759" width="11.6640625" style="69" customWidth="1"/>
    <col min="10760" max="10760" width="15.109375" style="69" customWidth="1"/>
    <col min="10761" max="10761" width="10.5546875" style="69" customWidth="1"/>
    <col min="10762" max="10762" width="9.109375" style="69"/>
    <col min="10763" max="10763" width="10.88671875" style="69" customWidth="1"/>
    <col min="10764" max="10764" width="10.5546875" style="69" customWidth="1"/>
    <col min="10765" max="11008" width="9.109375" style="69"/>
    <col min="11009" max="11009" width="21.109375" style="69" customWidth="1"/>
    <col min="11010" max="11014" width="10.88671875" style="69" customWidth="1"/>
    <col min="11015" max="11015" width="11.6640625" style="69" customWidth="1"/>
    <col min="11016" max="11016" width="15.109375" style="69" customWidth="1"/>
    <col min="11017" max="11017" width="10.5546875" style="69" customWidth="1"/>
    <col min="11018" max="11018" width="9.109375" style="69"/>
    <col min="11019" max="11019" width="10.88671875" style="69" customWidth="1"/>
    <col min="11020" max="11020" width="10.5546875" style="69" customWidth="1"/>
    <col min="11021" max="11264" width="9.109375" style="69"/>
    <col min="11265" max="11265" width="21.109375" style="69" customWidth="1"/>
    <col min="11266" max="11270" width="10.88671875" style="69" customWidth="1"/>
    <col min="11271" max="11271" width="11.6640625" style="69" customWidth="1"/>
    <col min="11272" max="11272" width="15.109375" style="69" customWidth="1"/>
    <col min="11273" max="11273" width="10.5546875" style="69" customWidth="1"/>
    <col min="11274" max="11274" width="9.109375" style="69"/>
    <col min="11275" max="11275" width="10.88671875" style="69" customWidth="1"/>
    <col min="11276" max="11276" width="10.5546875" style="69" customWidth="1"/>
    <col min="11277" max="11520" width="9.109375" style="69"/>
    <col min="11521" max="11521" width="21.109375" style="69" customWidth="1"/>
    <col min="11522" max="11526" width="10.88671875" style="69" customWidth="1"/>
    <col min="11527" max="11527" width="11.6640625" style="69" customWidth="1"/>
    <col min="11528" max="11528" width="15.109375" style="69" customWidth="1"/>
    <col min="11529" max="11529" width="10.5546875" style="69" customWidth="1"/>
    <col min="11530" max="11530" width="9.109375" style="69"/>
    <col min="11531" max="11531" width="10.88671875" style="69" customWidth="1"/>
    <col min="11532" max="11532" width="10.5546875" style="69" customWidth="1"/>
    <col min="11533" max="11776" width="9.109375" style="69"/>
    <col min="11777" max="11777" width="21.109375" style="69" customWidth="1"/>
    <col min="11778" max="11782" width="10.88671875" style="69" customWidth="1"/>
    <col min="11783" max="11783" width="11.6640625" style="69" customWidth="1"/>
    <col min="11784" max="11784" width="15.109375" style="69" customWidth="1"/>
    <col min="11785" max="11785" width="10.5546875" style="69" customWidth="1"/>
    <col min="11786" max="11786" width="9.109375" style="69"/>
    <col min="11787" max="11787" width="10.88671875" style="69" customWidth="1"/>
    <col min="11788" max="11788" width="10.5546875" style="69" customWidth="1"/>
    <col min="11789" max="12032" width="9.109375" style="69"/>
    <col min="12033" max="12033" width="21.109375" style="69" customWidth="1"/>
    <col min="12034" max="12038" width="10.88671875" style="69" customWidth="1"/>
    <col min="12039" max="12039" width="11.6640625" style="69" customWidth="1"/>
    <col min="12040" max="12040" width="15.109375" style="69" customWidth="1"/>
    <col min="12041" max="12041" width="10.5546875" style="69" customWidth="1"/>
    <col min="12042" max="12042" width="9.109375" style="69"/>
    <col min="12043" max="12043" width="10.88671875" style="69" customWidth="1"/>
    <col min="12044" max="12044" width="10.5546875" style="69" customWidth="1"/>
    <col min="12045" max="12288" width="9.109375" style="69"/>
    <col min="12289" max="12289" width="21.109375" style="69" customWidth="1"/>
    <col min="12290" max="12294" width="10.88671875" style="69" customWidth="1"/>
    <col min="12295" max="12295" width="11.6640625" style="69" customWidth="1"/>
    <col min="12296" max="12296" width="15.109375" style="69" customWidth="1"/>
    <col min="12297" max="12297" width="10.5546875" style="69" customWidth="1"/>
    <col min="12298" max="12298" width="9.109375" style="69"/>
    <col min="12299" max="12299" width="10.88671875" style="69" customWidth="1"/>
    <col min="12300" max="12300" width="10.5546875" style="69" customWidth="1"/>
    <col min="12301" max="12544" width="9.109375" style="69"/>
    <col min="12545" max="12545" width="21.109375" style="69" customWidth="1"/>
    <col min="12546" max="12550" width="10.88671875" style="69" customWidth="1"/>
    <col min="12551" max="12551" width="11.6640625" style="69" customWidth="1"/>
    <col min="12552" max="12552" width="15.109375" style="69" customWidth="1"/>
    <col min="12553" max="12553" width="10.5546875" style="69" customWidth="1"/>
    <col min="12554" max="12554" width="9.109375" style="69"/>
    <col min="12555" max="12555" width="10.88671875" style="69" customWidth="1"/>
    <col min="12556" max="12556" width="10.5546875" style="69" customWidth="1"/>
    <col min="12557" max="12800" width="9.109375" style="69"/>
    <col min="12801" max="12801" width="21.109375" style="69" customWidth="1"/>
    <col min="12802" max="12806" width="10.88671875" style="69" customWidth="1"/>
    <col min="12807" max="12807" width="11.6640625" style="69" customWidth="1"/>
    <col min="12808" max="12808" width="15.109375" style="69" customWidth="1"/>
    <col min="12809" max="12809" width="10.5546875" style="69" customWidth="1"/>
    <col min="12810" max="12810" width="9.109375" style="69"/>
    <col min="12811" max="12811" width="10.88671875" style="69" customWidth="1"/>
    <col min="12812" max="12812" width="10.5546875" style="69" customWidth="1"/>
    <col min="12813" max="13056" width="9.109375" style="69"/>
    <col min="13057" max="13057" width="21.109375" style="69" customWidth="1"/>
    <col min="13058" max="13062" width="10.88671875" style="69" customWidth="1"/>
    <col min="13063" max="13063" width="11.6640625" style="69" customWidth="1"/>
    <col min="13064" max="13064" width="15.109375" style="69" customWidth="1"/>
    <col min="13065" max="13065" width="10.5546875" style="69" customWidth="1"/>
    <col min="13066" max="13066" width="9.109375" style="69"/>
    <col min="13067" max="13067" width="10.88671875" style="69" customWidth="1"/>
    <col min="13068" max="13068" width="10.5546875" style="69" customWidth="1"/>
    <col min="13069" max="13312" width="9.109375" style="69"/>
    <col min="13313" max="13313" width="21.109375" style="69" customWidth="1"/>
    <col min="13314" max="13318" width="10.88671875" style="69" customWidth="1"/>
    <col min="13319" max="13319" width="11.6640625" style="69" customWidth="1"/>
    <col min="13320" max="13320" width="15.109375" style="69" customWidth="1"/>
    <col min="13321" max="13321" width="10.5546875" style="69" customWidth="1"/>
    <col min="13322" max="13322" width="9.109375" style="69"/>
    <col min="13323" max="13323" width="10.88671875" style="69" customWidth="1"/>
    <col min="13324" max="13324" width="10.5546875" style="69" customWidth="1"/>
    <col min="13325" max="13568" width="9.109375" style="69"/>
    <col min="13569" max="13569" width="21.109375" style="69" customWidth="1"/>
    <col min="13570" max="13574" width="10.88671875" style="69" customWidth="1"/>
    <col min="13575" max="13575" width="11.6640625" style="69" customWidth="1"/>
    <col min="13576" max="13576" width="15.109375" style="69" customWidth="1"/>
    <col min="13577" max="13577" width="10.5546875" style="69" customWidth="1"/>
    <col min="13578" max="13578" width="9.109375" style="69"/>
    <col min="13579" max="13579" width="10.88671875" style="69" customWidth="1"/>
    <col min="13580" max="13580" width="10.5546875" style="69" customWidth="1"/>
    <col min="13581" max="13824" width="9.109375" style="69"/>
    <col min="13825" max="13825" width="21.109375" style="69" customWidth="1"/>
    <col min="13826" max="13830" width="10.88671875" style="69" customWidth="1"/>
    <col min="13831" max="13831" width="11.6640625" style="69" customWidth="1"/>
    <col min="13832" max="13832" width="15.109375" style="69" customWidth="1"/>
    <col min="13833" max="13833" width="10.5546875" style="69" customWidth="1"/>
    <col min="13834" max="13834" width="9.109375" style="69"/>
    <col min="13835" max="13835" width="10.88671875" style="69" customWidth="1"/>
    <col min="13836" max="13836" width="10.5546875" style="69" customWidth="1"/>
    <col min="13837" max="14080" width="9.109375" style="69"/>
    <col min="14081" max="14081" width="21.109375" style="69" customWidth="1"/>
    <col min="14082" max="14086" width="10.88671875" style="69" customWidth="1"/>
    <col min="14087" max="14087" width="11.6640625" style="69" customWidth="1"/>
    <col min="14088" max="14088" width="15.109375" style="69" customWidth="1"/>
    <col min="14089" max="14089" width="10.5546875" style="69" customWidth="1"/>
    <col min="14090" max="14090" width="9.109375" style="69"/>
    <col min="14091" max="14091" width="10.88671875" style="69" customWidth="1"/>
    <col min="14092" max="14092" width="10.5546875" style="69" customWidth="1"/>
    <col min="14093" max="14336" width="9.109375" style="69"/>
    <col min="14337" max="14337" width="21.109375" style="69" customWidth="1"/>
    <col min="14338" max="14342" width="10.88671875" style="69" customWidth="1"/>
    <col min="14343" max="14343" width="11.6640625" style="69" customWidth="1"/>
    <col min="14344" max="14344" width="15.109375" style="69" customWidth="1"/>
    <col min="14345" max="14345" width="10.5546875" style="69" customWidth="1"/>
    <col min="14346" max="14346" width="9.109375" style="69"/>
    <col min="14347" max="14347" width="10.88671875" style="69" customWidth="1"/>
    <col min="14348" max="14348" width="10.5546875" style="69" customWidth="1"/>
    <col min="14349" max="14592" width="9.109375" style="69"/>
    <col min="14593" max="14593" width="21.109375" style="69" customWidth="1"/>
    <col min="14594" max="14598" width="10.88671875" style="69" customWidth="1"/>
    <col min="14599" max="14599" width="11.6640625" style="69" customWidth="1"/>
    <col min="14600" max="14600" width="15.109375" style="69" customWidth="1"/>
    <col min="14601" max="14601" width="10.5546875" style="69" customWidth="1"/>
    <col min="14602" max="14602" width="9.109375" style="69"/>
    <col min="14603" max="14603" width="10.88671875" style="69" customWidth="1"/>
    <col min="14604" max="14604" width="10.5546875" style="69" customWidth="1"/>
    <col min="14605" max="14848" width="9.109375" style="69"/>
    <col min="14849" max="14849" width="21.109375" style="69" customWidth="1"/>
    <col min="14850" max="14854" width="10.88671875" style="69" customWidth="1"/>
    <col min="14855" max="14855" width="11.6640625" style="69" customWidth="1"/>
    <col min="14856" max="14856" width="15.109375" style="69" customWidth="1"/>
    <col min="14857" max="14857" width="10.5546875" style="69" customWidth="1"/>
    <col min="14858" max="14858" width="9.109375" style="69"/>
    <col min="14859" max="14859" width="10.88671875" style="69" customWidth="1"/>
    <col min="14860" max="14860" width="10.5546875" style="69" customWidth="1"/>
    <col min="14861" max="15104" width="9.109375" style="69"/>
    <col min="15105" max="15105" width="21.109375" style="69" customWidth="1"/>
    <col min="15106" max="15110" width="10.88671875" style="69" customWidth="1"/>
    <col min="15111" max="15111" width="11.6640625" style="69" customWidth="1"/>
    <col min="15112" max="15112" width="15.109375" style="69" customWidth="1"/>
    <col min="15113" max="15113" width="10.5546875" style="69" customWidth="1"/>
    <col min="15114" max="15114" width="9.109375" style="69"/>
    <col min="15115" max="15115" width="10.88671875" style="69" customWidth="1"/>
    <col min="15116" max="15116" width="10.5546875" style="69" customWidth="1"/>
    <col min="15117" max="15360" width="9.109375" style="69"/>
    <col min="15361" max="15361" width="21.109375" style="69" customWidth="1"/>
    <col min="15362" max="15366" width="10.88671875" style="69" customWidth="1"/>
    <col min="15367" max="15367" width="11.6640625" style="69" customWidth="1"/>
    <col min="15368" max="15368" width="15.109375" style="69" customWidth="1"/>
    <col min="15369" max="15369" width="10.5546875" style="69" customWidth="1"/>
    <col min="15370" max="15370" width="9.109375" style="69"/>
    <col min="15371" max="15371" width="10.88671875" style="69" customWidth="1"/>
    <col min="15372" max="15372" width="10.5546875" style="69" customWidth="1"/>
    <col min="15373" max="15616" width="9.109375" style="69"/>
    <col min="15617" max="15617" width="21.109375" style="69" customWidth="1"/>
    <col min="15618" max="15622" width="10.88671875" style="69" customWidth="1"/>
    <col min="15623" max="15623" width="11.6640625" style="69" customWidth="1"/>
    <col min="15624" max="15624" width="15.109375" style="69" customWidth="1"/>
    <col min="15625" max="15625" width="10.5546875" style="69" customWidth="1"/>
    <col min="15626" max="15626" width="9.109375" style="69"/>
    <col min="15627" max="15627" width="10.88671875" style="69" customWidth="1"/>
    <col min="15628" max="15628" width="10.5546875" style="69" customWidth="1"/>
    <col min="15629" max="15872" width="9.109375" style="69"/>
    <col min="15873" max="15873" width="21.109375" style="69" customWidth="1"/>
    <col min="15874" max="15878" width="10.88671875" style="69" customWidth="1"/>
    <col min="15879" max="15879" width="11.6640625" style="69" customWidth="1"/>
    <col min="15880" max="15880" width="15.109375" style="69" customWidth="1"/>
    <col min="15881" max="15881" width="10.5546875" style="69" customWidth="1"/>
    <col min="15882" max="15882" width="9.109375" style="69"/>
    <col min="15883" max="15883" width="10.88671875" style="69" customWidth="1"/>
    <col min="15884" max="15884" width="10.5546875" style="69" customWidth="1"/>
    <col min="15885" max="16128" width="9.109375" style="69"/>
    <col min="16129" max="16129" width="21.109375" style="69" customWidth="1"/>
    <col min="16130" max="16134" width="10.88671875" style="69" customWidth="1"/>
    <col min="16135" max="16135" width="11.6640625" style="69" customWidth="1"/>
    <col min="16136" max="16136" width="15.109375" style="69" customWidth="1"/>
    <col min="16137" max="16137" width="10.5546875" style="69" customWidth="1"/>
    <col min="16138" max="16138" width="9.109375" style="69"/>
    <col min="16139" max="16139" width="10.88671875" style="69" customWidth="1"/>
    <col min="16140" max="16140" width="10.5546875" style="69" customWidth="1"/>
    <col min="16141" max="16384" width="9.109375" style="69"/>
  </cols>
  <sheetData>
    <row r="1" spans="2:10" ht="17.399999999999999" x14ac:dyDescent="0.3">
      <c r="B1" s="85" t="s">
        <v>59</v>
      </c>
      <c r="F1" s="86"/>
    </row>
    <row r="2" spans="2:10" ht="17.399999999999999" x14ac:dyDescent="0.3">
      <c r="B2" s="85" t="s">
        <v>60</v>
      </c>
    </row>
    <row r="3" spans="2:10" ht="8.25" customHeight="1" x14ac:dyDescent="0.25"/>
    <row r="4" spans="2:10" ht="30" customHeight="1" x14ac:dyDescent="0.3">
      <c r="B4" s="421" t="s">
        <v>410</v>
      </c>
      <c r="C4" s="422"/>
      <c r="D4" s="422"/>
      <c r="E4" s="422"/>
      <c r="F4" s="422"/>
      <c r="G4" s="422"/>
      <c r="H4" s="423"/>
    </row>
    <row r="5" spans="2:10" s="91" customFormat="1" ht="30" customHeight="1" x14ac:dyDescent="0.25">
      <c r="B5" s="97"/>
      <c r="C5" s="98" t="s">
        <v>61</v>
      </c>
      <c r="D5" s="98" t="s">
        <v>62</v>
      </c>
      <c r="E5" s="98" t="s">
        <v>63</v>
      </c>
      <c r="F5" s="98" t="s">
        <v>64</v>
      </c>
      <c r="G5" s="99" t="s">
        <v>65</v>
      </c>
      <c r="H5" s="113" t="s">
        <v>402</v>
      </c>
      <c r="I5" s="90"/>
    </row>
    <row r="6" spans="2:10" ht="15" customHeight="1" x14ac:dyDescent="0.35">
      <c r="B6" s="92" t="s">
        <v>66</v>
      </c>
      <c r="C6" s="154">
        <f>'Engine 1'!$I$26</f>
        <v>0</v>
      </c>
      <c r="D6" s="154">
        <f>'Engine 2'!$I$26</f>
        <v>0</v>
      </c>
      <c r="E6" s="154">
        <f>'Engine 3'!$I$26</f>
        <v>0</v>
      </c>
      <c r="F6" s="154">
        <f>'Engine 4'!$I$26</f>
        <v>0</v>
      </c>
      <c r="G6" s="154">
        <f>'Engine 5'!$I$26</f>
        <v>0</v>
      </c>
      <c r="H6" s="155">
        <f>SUM(C6:G6)</f>
        <v>0</v>
      </c>
      <c r="I6" s="93"/>
    </row>
    <row r="7" spans="2:10" ht="15" customHeight="1" x14ac:dyDescent="0.35">
      <c r="B7" s="92" t="s">
        <v>67</v>
      </c>
      <c r="C7" s="154">
        <f>'Engine 1'!$I$27</f>
        <v>0</v>
      </c>
      <c r="D7" s="154">
        <f>'Engine 2'!$I$27</f>
        <v>0</v>
      </c>
      <c r="E7" s="154">
        <f>'Engine 3'!$I$27</f>
        <v>0</v>
      </c>
      <c r="F7" s="154">
        <f>'Engine 4'!$I$27</f>
        <v>0</v>
      </c>
      <c r="G7" s="154">
        <f>'Engine 5'!$I$27</f>
        <v>0</v>
      </c>
      <c r="H7" s="155">
        <f t="shared" ref="H7:H11" si="0">SUM(C7:G7)</f>
        <v>0</v>
      </c>
      <c r="I7" s="93"/>
    </row>
    <row r="8" spans="2:10" ht="15" customHeight="1" x14ac:dyDescent="0.35">
      <c r="B8" s="92" t="s">
        <v>68</v>
      </c>
      <c r="C8" s="154">
        <f>'Engine 1'!$I$28</f>
        <v>0</v>
      </c>
      <c r="D8" s="154">
        <f>'Engine 2'!$I$28</f>
        <v>0</v>
      </c>
      <c r="E8" s="154">
        <f>'Engine 3'!$I$28</f>
        <v>0</v>
      </c>
      <c r="F8" s="154">
        <f>'Engine 4'!$I$28</f>
        <v>0</v>
      </c>
      <c r="G8" s="154">
        <f>'Engine 5'!$I$28</f>
        <v>0</v>
      </c>
      <c r="H8" s="155">
        <f t="shared" si="0"/>
        <v>0</v>
      </c>
      <c r="I8" s="93"/>
    </row>
    <row r="9" spans="2:10" ht="15" customHeight="1" x14ac:dyDescent="0.35">
      <c r="B9" s="92" t="s">
        <v>69</v>
      </c>
      <c r="C9" s="154">
        <f>'Engine 1'!$I$29</f>
        <v>0</v>
      </c>
      <c r="D9" s="154">
        <f>'Engine 2'!$I$29</f>
        <v>0</v>
      </c>
      <c r="E9" s="154">
        <f>'Engine 3'!$I$29</f>
        <v>0</v>
      </c>
      <c r="F9" s="154">
        <f>'Engine 4'!$I$29</f>
        <v>0</v>
      </c>
      <c r="G9" s="154">
        <f>'Engine 5'!$I$29</f>
        <v>0</v>
      </c>
      <c r="H9" s="155">
        <f t="shared" si="0"/>
        <v>0</v>
      </c>
      <c r="I9" s="93"/>
    </row>
    <row r="10" spans="2:10" ht="15" customHeight="1" x14ac:dyDescent="0.25">
      <c r="B10" s="92" t="s">
        <v>53</v>
      </c>
      <c r="C10" s="154">
        <f>'Engine 1'!$I$30</f>
        <v>0</v>
      </c>
      <c r="D10" s="154">
        <f>'Engine 2'!$I$30</f>
        <v>0</v>
      </c>
      <c r="E10" s="154">
        <f>'Engine 3'!$I$30</f>
        <v>0</v>
      </c>
      <c r="F10" s="154">
        <f>'Engine 4'!$I$30</f>
        <v>0</v>
      </c>
      <c r="G10" s="154">
        <f>'Engine 5'!$I$30</f>
        <v>0</v>
      </c>
      <c r="H10" s="155">
        <f t="shared" si="0"/>
        <v>0</v>
      </c>
      <c r="I10" s="93"/>
    </row>
    <row r="11" spans="2:10" ht="15" customHeight="1" x14ac:dyDescent="0.25">
      <c r="B11" s="94" t="s">
        <v>54</v>
      </c>
      <c r="C11" s="156">
        <f>'Engine 1'!$I$31</f>
        <v>0</v>
      </c>
      <c r="D11" s="156">
        <f>'Engine 2'!$I$31</f>
        <v>0</v>
      </c>
      <c r="E11" s="156">
        <f>'Engine 3'!$I$31</f>
        <v>0</v>
      </c>
      <c r="F11" s="156">
        <f>'Engine 4'!$I$31</f>
        <v>0</v>
      </c>
      <c r="G11" s="156">
        <f>'Engine 5'!$I$31</f>
        <v>0</v>
      </c>
      <c r="H11" s="157">
        <f t="shared" si="0"/>
        <v>0</v>
      </c>
      <c r="I11" s="93"/>
    </row>
    <row r="12" spans="2:10" ht="15" customHeight="1" x14ac:dyDescent="0.25">
      <c r="B12" s="95"/>
      <c r="C12" s="95"/>
      <c r="D12" s="95"/>
      <c r="E12" s="95"/>
      <c r="F12" s="95"/>
      <c r="G12" s="95"/>
      <c r="H12" s="96"/>
      <c r="I12" s="93"/>
    </row>
    <row r="13" spans="2:10" ht="15" customHeight="1" x14ac:dyDescent="0.25">
      <c r="B13" s="95"/>
      <c r="C13" s="95"/>
      <c r="D13" s="95" t="s">
        <v>70</v>
      </c>
      <c r="E13" s="95"/>
      <c r="F13" s="95"/>
      <c r="G13" s="95"/>
      <c r="H13" s="96"/>
      <c r="I13" s="93"/>
    </row>
    <row r="14" spans="2:10" ht="30" customHeight="1" x14ac:dyDescent="0.3">
      <c r="B14" s="421" t="s">
        <v>400</v>
      </c>
      <c r="C14" s="422"/>
      <c r="D14" s="422"/>
      <c r="E14" s="422"/>
      <c r="F14" s="422"/>
      <c r="G14" s="422"/>
      <c r="H14" s="423"/>
      <c r="I14" s="93"/>
    </row>
    <row r="15" spans="2:10" s="101" customFormat="1" ht="30" customHeight="1" x14ac:dyDescent="0.25">
      <c r="B15" s="87"/>
      <c r="C15" s="88" t="s">
        <v>61</v>
      </c>
      <c r="D15" s="88" t="s">
        <v>62</v>
      </c>
      <c r="E15" s="88" t="s">
        <v>63</v>
      </c>
      <c r="F15" s="88" t="s">
        <v>64</v>
      </c>
      <c r="G15" s="89" t="s">
        <v>65</v>
      </c>
      <c r="H15" s="112" t="s">
        <v>401</v>
      </c>
      <c r="I15" s="100"/>
    </row>
    <row r="16" spans="2:10" ht="15" customHeight="1" x14ac:dyDescent="0.35">
      <c r="B16" s="92" t="s">
        <v>66</v>
      </c>
      <c r="C16" s="154">
        <f>'Engine 1'!$F$26</f>
        <v>0</v>
      </c>
      <c r="D16" s="154">
        <f>'Engine 2'!$F$26</f>
        <v>0</v>
      </c>
      <c r="E16" s="154">
        <f>'Engine 3'!$F$26</f>
        <v>0</v>
      </c>
      <c r="F16" s="154">
        <f>'Engine 4'!$F$26</f>
        <v>0</v>
      </c>
      <c r="G16" s="154">
        <f>'Engine 5'!$F$26</f>
        <v>0</v>
      </c>
      <c r="H16" s="155">
        <f t="shared" ref="H16:H21" si="1">SUM(C16:G16)</f>
        <v>0</v>
      </c>
      <c r="I16" s="103"/>
      <c r="J16" s="75"/>
    </row>
    <row r="17" spans="2:10" ht="15" customHeight="1" x14ac:dyDescent="0.35">
      <c r="B17" s="92" t="s">
        <v>67</v>
      </c>
      <c r="C17" s="154">
        <f>'Engine 1'!$F$27</f>
        <v>0</v>
      </c>
      <c r="D17" s="154">
        <f>'Engine 2'!$F$27</f>
        <v>0</v>
      </c>
      <c r="E17" s="154">
        <f>'Engine 3'!$F$27</f>
        <v>0</v>
      </c>
      <c r="F17" s="154">
        <f>'Engine 4'!$F$27</f>
        <v>0</v>
      </c>
      <c r="G17" s="154">
        <f>'Engine 5'!$F$27</f>
        <v>0</v>
      </c>
      <c r="H17" s="155">
        <f t="shared" si="1"/>
        <v>0</v>
      </c>
      <c r="I17" s="103"/>
      <c r="J17" s="75"/>
    </row>
    <row r="18" spans="2:10" ht="15" customHeight="1" x14ac:dyDescent="0.35">
      <c r="B18" s="92" t="s">
        <v>68</v>
      </c>
      <c r="C18" s="154">
        <f>'Engine 1'!$F$28</f>
        <v>0</v>
      </c>
      <c r="D18" s="154">
        <f>'Engine 2'!$F$28</f>
        <v>0</v>
      </c>
      <c r="E18" s="154">
        <f>'Engine 3'!$F$28</f>
        <v>0</v>
      </c>
      <c r="F18" s="154">
        <f>'Engine 4'!$F$28</f>
        <v>0</v>
      </c>
      <c r="G18" s="154">
        <f>'Engine 5'!$F$28</f>
        <v>0</v>
      </c>
      <c r="H18" s="155">
        <f t="shared" si="1"/>
        <v>0</v>
      </c>
      <c r="I18" s="102"/>
    </row>
    <row r="19" spans="2:10" ht="15" customHeight="1" x14ac:dyDescent="0.35">
      <c r="B19" s="92" t="s">
        <v>69</v>
      </c>
      <c r="C19" s="154">
        <f>'Engine 1'!$F$29</f>
        <v>0</v>
      </c>
      <c r="D19" s="154">
        <f>'Engine 2'!$F$29</f>
        <v>0</v>
      </c>
      <c r="E19" s="154">
        <f>'Engine 3'!$F$29</f>
        <v>0</v>
      </c>
      <c r="F19" s="154">
        <f>'Engine 4'!$F$29</f>
        <v>0</v>
      </c>
      <c r="G19" s="154">
        <f>'Engine 5'!$F$29</f>
        <v>0</v>
      </c>
      <c r="H19" s="155">
        <f t="shared" si="1"/>
        <v>0</v>
      </c>
      <c r="I19" s="93"/>
    </row>
    <row r="20" spans="2:10" ht="15" customHeight="1" x14ac:dyDescent="0.25">
      <c r="B20" s="92" t="s">
        <v>53</v>
      </c>
      <c r="C20" s="154">
        <f>'Engine 1'!$F$30</f>
        <v>0</v>
      </c>
      <c r="D20" s="154">
        <f>'Engine 2'!$F$30</f>
        <v>0</v>
      </c>
      <c r="E20" s="154">
        <f>'Engine 3'!$F$30</f>
        <v>0</v>
      </c>
      <c r="F20" s="154">
        <f>'Engine 4'!$F$30</f>
        <v>0</v>
      </c>
      <c r="G20" s="154">
        <f>'Engine 5'!$F$30</f>
        <v>0</v>
      </c>
      <c r="H20" s="155">
        <f t="shared" si="1"/>
        <v>0</v>
      </c>
      <c r="I20" s="93"/>
    </row>
    <row r="21" spans="2:10" ht="15" customHeight="1" x14ac:dyDescent="0.25">
      <c r="B21" s="94" t="s">
        <v>54</v>
      </c>
      <c r="C21" s="156">
        <f>'Engine 1'!$F$31</f>
        <v>0</v>
      </c>
      <c r="D21" s="156">
        <f>'Engine 2'!$F$31</f>
        <v>0</v>
      </c>
      <c r="E21" s="156">
        <f>'Engine 3'!$F$31</f>
        <v>0</v>
      </c>
      <c r="F21" s="156">
        <f>'Engine 4'!$F$31</f>
        <v>0</v>
      </c>
      <c r="G21" s="156">
        <f>'Engine 5'!$F$31</f>
        <v>0</v>
      </c>
      <c r="H21" s="157">
        <f t="shared" si="1"/>
        <v>0</v>
      </c>
      <c r="I21" s="93"/>
    </row>
    <row r="22" spans="2:10" ht="15" customHeight="1" x14ac:dyDescent="0.25"/>
    <row r="23" spans="2:10" ht="15" customHeight="1" x14ac:dyDescent="0.25">
      <c r="B23" s="104"/>
    </row>
    <row r="24" spans="2:10" ht="15" customHeight="1" x14ac:dyDescent="0.25"/>
    <row r="25" spans="2:10" ht="15" customHeight="1" x14ac:dyDescent="0.25"/>
    <row r="26" spans="2:10" ht="15" customHeight="1" x14ac:dyDescent="0.25"/>
  </sheetData>
  <sheetProtection password="C969" sheet="1" objects="1" scenarios="1"/>
  <mergeCells count="2">
    <mergeCell ref="B14:H14"/>
    <mergeCell ref="B4:H4"/>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4:H4 B14:H14"/>
  </dataValidations>
  <printOptions horizontalCentered="1"/>
  <pageMargins left="0.51" right="0.5" top="1.25" bottom="1" header="0.5" footer="0.5"/>
  <pageSetup orientation="portrait" r:id="rId1"/>
  <headerFooter alignWithMargins="0">
    <oddFooter>&amp;LPage &amp;P of &amp;N&amp;C&amp;F&amp;RPrinted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60</vt:i4>
      </vt:variant>
    </vt:vector>
  </HeadingPairs>
  <TitlesOfParts>
    <vt:vector size="75" baseType="lpstr">
      <vt:lpstr>Registration FAQs</vt:lpstr>
      <vt:lpstr>Instructions</vt:lpstr>
      <vt:lpstr>Inputs</vt:lpstr>
      <vt:lpstr>Engine 1</vt:lpstr>
      <vt:lpstr>Engine 2</vt:lpstr>
      <vt:lpstr>Engine 3</vt:lpstr>
      <vt:lpstr>Engine 4</vt:lpstr>
      <vt:lpstr>Engine 5</vt:lpstr>
      <vt:lpstr>Total Emissions</vt:lpstr>
      <vt:lpstr>Output-Summary Printout</vt:lpstr>
      <vt:lpstr>Change Log</vt:lpstr>
      <vt:lpstr>Emission Factors</vt:lpstr>
      <vt:lpstr>Fuel Energy Content</vt:lpstr>
      <vt:lpstr>Additional References</vt:lpstr>
      <vt:lpstr>EPA Regional Contact Info</vt:lpstr>
      <vt:lpstr>Allowable_Hours_for_Engine_Operation</vt:lpstr>
      <vt:lpstr>Brake_Specific_Fuel_Consumption</vt:lpstr>
      <vt:lpstr>Btu_hr_to_hp_Conversion_Factor</vt:lpstr>
      <vt:lpstr>CO_PM10_Attainment_List</vt:lpstr>
      <vt:lpstr>Cubic_Meter_to_Cubic_Foot_Conversion_Factor</vt:lpstr>
      <vt:lpstr>Emission_Rate_Unit_1</vt:lpstr>
      <vt:lpstr>Emission_Rate_Unit_2</vt:lpstr>
      <vt:lpstr>Emission_Rate_Unit_3</vt:lpstr>
      <vt:lpstr>Emission_Rate_Unit_4</vt:lpstr>
      <vt:lpstr>Emission_Rate_Unit_5</vt:lpstr>
      <vt:lpstr>Engine_Fuel_Type_1</vt:lpstr>
      <vt:lpstr>Engine_Fuel_Type_2</vt:lpstr>
      <vt:lpstr>Engine_Fuel_Type_3</vt:lpstr>
      <vt:lpstr>Engine_Fuel_Type_4</vt:lpstr>
      <vt:lpstr>Engine_Fuel_Type_5</vt:lpstr>
      <vt:lpstr>EngineFuelType1</vt:lpstr>
      <vt:lpstr>EngineFuelType2</vt:lpstr>
      <vt:lpstr>EngineFuelType3</vt:lpstr>
      <vt:lpstr>EngineFuelType4</vt:lpstr>
      <vt:lpstr>EngineFuelType5</vt:lpstr>
      <vt:lpstr>EngineUse1</vt:lpstr>
      <vt:lpstr>EngineUse2</vt:lpstr>
      <vt:lpstr>EngineUse3</vt:lpstr>
      <vt:lpstr>EngineUse4</vt:lpstr>
      <vt:lpstr>EngineUse5</vt:lpstr>
      <vt:lpstr>Fuel_Consumption_1</vt:lpstr>
      <vt:lpstr>Fuel_Consumption_2</vt:lpstr>
      <vt:lpstr>Fuel_Consumption_3</vt:lpstr>
      <vt:lpstr>Fuel_Consumption_4</vt:lpstr>
      <vt:lpstr>Fuel_Consumption_5</vt:lpstr>
      <vt:lpstr>Fuel_Energy_to_Output_Efficiency</vt:lpstr>
      <vt:lpstr>g_hp_hr_1</vt:lpstr>
      <vt:lpstr>g_hp_hr_2</vt:lpstr>
      <vt:lpstr>g_hp_hr_3</vt:lpstr>
      <vt:lpstr>g_hp_hr_4</vt:lpstr>
      <vt:lpstr>g_hp_hr_5</vt:lpstr>
      <vt:lpstr>Gasoline_Energy_Content</vt:lpstr>
      <vt:lpstr>Grams_to_Pounds_Conversion_Factor</vt:lpstr>
      <vt:lpstr>Hp_to_Btu_hr_Conversion_Factor</vt:lpstr>
      <vt:lpstr>kW_to_Btu_hr_Conversion_Factor</vt:lpstr>
      <vt:lpstr>kW_to_hp_Conversion_Factor</vt:lpstr>
      <vt:lpstr>Mechanical_Output_1</vt:lpstr>
      <vt:lpstr>Mechanical_Output_2</vt:lpstr>
      <vt:lpstr>Mechanical_Output_3</vt:lpstr>
      <vt:lpstr>Mechanical_Output_4</vt:lpstr>
      <vt:lpstr>Mechanical_Output_5</vt:lpstr>
      <vt:lpstr>Natural_Gas_Energy_Content</vt:lpstr>
      <vt:lpstr>Oil_Distillate_Energy_Content</vt:lpstr>
      <vt:lpstr>Ozone_Attainment_List</vt:lpstr>
      <vt:lpstr>Power_Output_1</vt:lpstr>
      <vt:lpstr>Power_Output_2</vt:lpstr>
      <vt:lpstr>Power_Output_3</vt:lpstr>
      <vt:lpstr>Power_Output_4</vt:lpstr>
      <vt:lpstr>Power_Output_5</vt:lpstr>
      <vt:lpstr>Inputs!Print_Area</vt:lpstr>
      <vt:lpstr>'Output-Summary Printout'!Print_Area</vt:lpstr>
      <vt:lpstr>'Registration FAQs'!Print_Area</vt:lpstr>
      <vt:lpstr>'Total Emissions'!Print_Area</vt:lpstr>
      <vt:lpstr>SO2_PM25_Attainment_List</vt:lpstr>
      <vt:lpstr>State_List</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Dorn</dc:creator>
  <cp:lastModifiedBy>Dixon, Danielle</cp:lastModifiedBy>
  <cp:lastPrinted>2013-02-02T16:01:35Z</cp:lastPrinted>
  <dcterms:created xsi:type="dcterms:W3CDTF">2012-12-04T22:59:04Z</dcterms:created>
  <dcterms:modified xsi:type="dcterms:W3CDTF">2016-02-03T18:04:14Z</dcterms:modified>
</cp:coreProperties>
</file>