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3360" yWindow="648" windowWidth="15480" windowHeight="10500" tabRatio="759"/>
  </bookViews>
  <sheets>
    <sheet name="Registration FAQs" sheetId="33" r:id="rId1"/>
    <sheet name="Instructions" sheetId="1" r:id="rId2"/>
    <sheet name="Inputs" sheetId="13" r:id="rId3"/>
    <sheet name="Controls and Restrictions" sheetId="30" r:id="rId4"/>
    <sheet name="Total Emissions" sheetId="27" r:id="rId5"/>
    <sheet name="Output-Summary Printout" sheetId="29" r:id="rId6"/>
    <sheet name="Change Log" sheetId="14" state="hidden" r:id="rId7"/>
    <sheet name="VOC and Solids Content Ranges" sheetId="24" state="hidden" r:id="rId8"/>
    <sheet name="Emission Factors" sheetId="9" state="hidden" r:id="rId9"/>
    <sheet name="Fuel Energy Content" sheetId="23" state="hidden" r:id="rId10"/>
    <sheet name="Additional References" sheetId="20" state="hidden" r:id="rId11"/>
    <sheet name="EPA Regional Contact Info" sheetId="28" state="hidden" r:id="rId12"/>
  </sheets>
  <definedNames>
    <definedName name="_xlnm._FilterDatabase" localSheetId="11" hidden="1">'EPA Regional Contact Info'!$A$4:$N$55</definedName>
    <definedName name="Allowable_Coating_PM_Content">'VOC and Solids Content Ranges'!$B$28</definedName>
    <definedName name="Allowable_Coating_VOC_Content">'VOC and Solids Content Ranges'!$B$23</definedName>
    <definedName name="Allowable_Primer_PM_Content">'VOC and Solids Content Ranges'!$B$27</definedName>
    <definedName name="Allowable_Primer_VOC_Content">'VOC and Solids Content Ranges'!$B$22</definedName>
    <definedName name="Allowable_Solvent_VOC_Content">'VOC and Solids Content Ranges'!$B$21</definedName>
    <definedName name="Allowable_VOC_Limit_from_Coating_Operations">'Controls and Restrictions'!$F$35</definedName>
    <definedName name="Carbon_Adsorption_Default_CE">'Additional References'!$B$26</definedName>
    <definedName name="Catalytic_Oxidation_Default_CE">'Additional References'!$B$28</definedName>
    <definedName name="Cleaner_Density">Inputs!$E$44</definedName>
    <definedName name="Cleaner_Gallons">Inputs!$C$44</definedName>
    <definedName name="Cleaner_VOC_Content">Inputs!$E$41</definedName>
    <definedName name="CO_PM10_Attainment_List">Inputs!$E$3:$E$5</definedName>
    <definedName name="Coating_Density">Inputs!$E$63</definedName>
    <definedName name="Coating_Gallons">Inputs!$C$63</definedName>
    <definedName name="Coating_Solids_Content">Inputs!$E$60</definedName>
    <definedName name="Coating_Types">Inputs!$E$74:$E$87</definedName>
    <definedName name="Coating_VOC_Content">Inputs!$E$57</definedName>
    <definedName name="Default_Capture_Efficiency">'Additional References'!$B$32</definedName>
    <definedName name="Distillate_Oil_Actual_Sulfur_Content">'Additional References'!$B$19</definedName>
    <definedName name="Distillate_Oil_Allowable_Sulfur_Content">'Additional References'!$C$19</definedName>
    <definedName name="Hours_of_Operation">Inputs!$C$42</definedName>
    <definedName name="LPG_Actual_Sulfur_Content">'Additional References'!$B$21</definedName>
    <definedName name="LPG_Allowable_Sulfur_Content">'Additional References'!$C$21</definedName>
    <definedName name="Max_Gallons_Cleaning_Solvent_per_Hour">Inputs!$C$46</definedName>
    <definedName name="Max_Gallons_Coating_per_Hour">Inputs!$C$64</definedName>
    <definedName name="Max_Gallons_Primer_per_Hour">Inputs!$C$54</definedName>
    <definedName name="Natural_Gas_Actual_Sulfur_Content">'Additional References'!$B$20</definedName>
    <definedName name="Natural_Gas_Allowable_Sulfur_Content">'Additional References'!$C$20</definedName>
    <definedName name="Oven_Capacity">Inputs!$C$73</definedName>
    <definedName name="Oven_Fuel">Inputs!$C$74</definedName>
    <definedName name="Oven_Fuel_Combusted_2012">Inputs!$C$75</definedName>
    <definedName name="Oven_Fuel_Type_List">Inputs!$E$35:$E$37</definedName>
    <definedName name="Ozone_Attainment_List">Inputs!$E$8:$E$13</definedName>
    <definedName name="PM_Control_Multiplier">'Controls and Restrictions'!$F$23</definedName>
    <definedName name="Primer_Density">Inputs!$E$54</definedName>
    <definedName name="Primer_Gallons">Inputs!$C$53</definedName>
    <definedName name="Primer_Solids_Content">Inputs!$E$50</definedName>
    <definedName name="Primer_Types">Inputs!$E$69:$E$71</definedName>
    <definedName name="Primer_VOC_Content">Inputs!$E$47</definedName>
    <definedName name="_xlnm.Print_Area" localSheetId="3">'Controls and Restrictions'!$A$1:$C$23</definedName>
    <definedName name="_xlnm.Print_Area" localSheetId="2">Inputs!$A$1:$C$77</definedName>
    <definedName name="_xlnm.Print_Area" localSheetId="1">Instructions!$B$1:$E$45</definedName>
    <definedName name="_xlnm.Print_Area" localSheetId="5">'Output-Summary Printout'!$A$1:$F$42</definedName>
    <definedName name="_xlnm.Print_Area" localSheetId="0">'Registration FAQs'!$B$1:$C$37</definedName>
    <definedName name="Recovered_Cleaner_Gallons">Inputs!$C$45</definedName>
    <definedName name="SO2_PM25_Attainment_List">Inputs!$E$16:$E$17</definedName>
    <definedName name="Solvent_Density">Inputs!$E$44</definedName>
    <definedName name="Solvent_VOC_Content">Inputs!$E$41</definedName>
    <definedName name="Spray_Type_List">Inputs!$E$25:$E$31</definedName>
    <definedName name="State_List">Inputs!$E$104:$E$148</definedName>
    <definedName name="Sulfur_Content">Inputs!$E$66</definedName>
    <definedName name="Surface_Coating_Operation_Type_List">'Controls and Restrictions'!$F$26:$F$32</definedName>
    <definedName name="Thermal_Oxidation_Default_CE">'Additional References'!$B$27</definedName>
    <definedName name="VOC_Control_Device_List">'Controls and Restrictions'!$F$4:$F$7</definedName>
    <definedName name="VOC_Control_Multiplier">'Controls and Restrictions'!$F$13</definedName>
    <definedName name="Yes_No_Oven_List">Inputs!$E$21:$E$22</definedName>
    <definedName name="Yes_No_PM_Control_List">'Controls and Restrictions'!$F$16:$F$17</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E44" i="13" l="1"/>
  <c r="F35" i="30" l="1"/>
  <c r="B20" i="30"/>
  <c r="B19" i="30"/>
  <c r="B18" i="30"/>
  <c r="B17" i="30"/>
  <c r="B16" i="30" l="1"/>
  <c r="H5" i="27" l="1"/>
  <c r="G5" i="27"/>
  <c r="F5" i="27"/>
  <c r="E5" i="27"/>
  <c r="D5" i="27"/>
  <c r="C5" i="27"/>
  <c r="B75" i="13"/>
  <c r="F45" i="24"/>
  <c r="C45" i="24"/>
  <c r="E63" i="13" s="1"/>
  <c r="E66" i="13" l="1"/>
  <c r="D6" i="24"/>
  <c r="C6" i="24"/>
  <c r="B6" i="24"/>
  <c r="E54" i="13"/>
  <c r="E49" i="24"/>
  <c r="D5" i="24"/>
  <c r="C5" i="24"/>
  <c r="B5" i="24"/>
  <c r="H13" i="27"/>
  <c r="G13" i="27"/>
  <c r="F13" i="27"/>
  <c r="D13" i="27"/>
  <c r="C13" i="27"/>
  <c r="C9" i="27"/>
  <c r="D10" i="24" l="1"/>
  <c r="E50" i="24" l="1"/>
  <c r="C16" i="24" s="1"/>
  <c r="D50" i="24"/>
  <c r="E47" i="13" s="1"/>
  <c r="D49" i="24"/>
  <c r="D33" i="24"/>
  <c r="D34" i="24"/>
  <c r="D35" i="24"/>
  <c r="B12" i="24" s="1"/>
  <c r="D36" i="24"/>
  <c r="D37" i="24"/>
  <c r="D38" i="24"/>
  <c r="C12" i="24" s="1"/>
  <c r="D39" i="24"/>
  <c r="D40" i="24"/>
  <c r="D41" i="24"/>
  <c r="D42" i="24"/>
  <c r="D43" i="24"/>
  <c r="D44" i="24"/>
  <c r="D32" i="24"/>
  <c r="E33" i="24"/>
  <c r="C17" i="24" s="1"/>
  <c r="E34" i="24"/>
  <c r="E35" i="24"/>
  <c r="E36" i="24"/>
  <c r="E37" i="24"/>
  <c r="E38" i="24"/>
  <c r="E39" i="24"/>
  <c r="E40" i="24"/>
  <c r="E41" i="24"/>
  <c r="B17" i="24" s="1"/>
  <c r="E42" i="24"/>
  <c r="E43" i="24"/>
  <c r="E44" i="24"/>
  <c r="E32" i="24"/>
  <c r="D11" i="24" l="1"/>
  <c r="E45" i="24"/>
  <c r="D45" i="24"/>
  <c r="E57" i="13" s="1"/>
  <c r="B11" i="24"/>
  <c r="B16" i="24"/>
  <c r="D16" i="24"/>
  <c r="C11" i="24"/>
  <c r="D12" i="24"/>
  <c r="D17" i="24"/>
  <c r="B28" i="20"/>
  <c r="B27" i="20"/>
  <c r="B26" i="20"/>
  <c r="E105" i="13" l="1"/>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04" i="13"/>
  <c r="F10" i="30" l="1"/>
  <c r="C7" i="30" s="1"/>
  <c r="F20" i="30"/>
  <c r="F13" i="30" l="1"/>
  <c r="B77" i="13"/>
  <c r="E21" i="9" l="1"/>
  <c r="E14" i="9" l="1"/>
  <c r="F23" i="30" l="1"/>
  <c r="C12" i="30" l="1"/>
  <c r="L14" i="29" l="1"/>
  <c r="A33" i="29"/>
  <c r="L22" i="29"/>
  <c r="L20" i="29"/>
  <c r="L18" i="29"/>
  <c r="L16" i="29"/>
  <c r="L12" i="29"/>
  <c r="F22" i="29"/>
  <c r="F20" i="29"/>
  <c r="F18" i="29"/>
  <c r="F16" i="29"/>
  <c r="F14" i="29"/>
  <c r="F12" i="29"/>
  <c r="E5" i="29"/>
  <c r="E4" i="29"/>
  <c r="E3" i="29"/>
  <c r="B5" i="29"/>
  <c r="B4" i="29"/>
  <c r="B3" i="29"/>
  <c r="C25" i="13"/>
  <c r="D38" i="29" s="1"/>
  <c r="C24" i="13"/>
  <c r="D37" i="29" s="1"/>
  <c r="C23" i="13"/>
  <c r="D36" i="29" s="1"/>
  <c r="C22" i="13"/>
  <c r="D35" i="29" s="1"/>
  <c r="C21" i="13"/>
  <c r="C20" i="13"/>
  <c r="C19" i="13"/>
  <c r="C18" i="13"/>
  <c r="D41" i="29" s="1"/>
  <c r="C17" i="13"/>
  <c r="D40" i="29" s="1"/>
  <c r="C16" i="13"/>
  <c r="D34" i="29" s="1"/>
  <c r="B15" i="13"/>
  <c r="B76" i="13" l="1"/>
  <c r="C50" i="13" l="1"/>
  <c r="C60" i="13"/>
  <c r="C70" i="13"/>
  <c r="E41" i="13"/>
  <c r="C77" i="13"/>
  <c r="C48" i="13" l="1"/>
  <c r="D7" i="9"/>
  <c r="E7" i="9" s="1"/>
  <c r="B21" i="24"/>
  <c r="F14" i="27" s="1"/>
  <c r="F6" i="27" s="1"/>
  <c r="E13" i="27" l="1"/>
  <c r="C57" i="13"/>
  <c r="B22" i="24"/>
  <c r="F15" i="27" s="1"/>
  <c r="F7" i="27" s="1"/>
  <c r="C67" i="13"/>
  <c r="D6" i="20"/>
  <c r="D7" i="20"/>
  <c r="D8" i="20"/>
  <c r="D9" i="20"/>
  <c r="D10" i="20"/>
  <c r="D11" i="20"/>
  <c r="D5" i="20"/>
  <c r="B23" i="24" l="1"/>
  <c r="F16" i="27" s="1"/>
  <c r="F8" i="27" s="1"/>
  <c r="E60" i="13"/>
  <c r="E50" i="13"/>
  <c r="E24" i="9"/>
  <c r="C24" i="9"/>
  <c r="E23" i="9"/>
  <c r="C23" i="9"/>
  <c r="E22" i="9"/>
  <c r="C22" i="9"/>
  <c r="C21" i="9"/>
  <c r="E20" i="9"/>
  <c r="C20" i="9"/>
  <c r="E19" i="9"/>
  <c r="C19" i="9"/>
  <c r="E18" i="9"/>
  <c r="C18" i="9"/>
  <c r="E17" i="9"/>
  <c r="C17" i="9"/>
  <c r="E16" i="9"/>
  <c r="C16" i="9"/>
  <c r="E15" i="9"/>
  <c r="C15" i="9"/>
  <c r="C14" i="9"/>
  <c r="E13" i="9"/>
  <c r="C13" i="9"/>
  <c r="E12" i="9"/>
  <c r="C12" i="9"/>
  <c r="E11" i="9"/>
  <c r="C11" i="9"/>
  <c r="E10" i="9"/>
  <c r="C10" i="9"/>
  <c r="E9" i="9"/>
  <c r="C9" i="9"/>
  <c r="E8" i="9"/>
  <c r="C8" i="9"/>
  <c r="C7" i="9"/>
  <c r="E6" i="9"/>
  <c r="C6" i="9"/>
  <c r="E5" i="9"/>
  <c r="C5" i="9"/>
  <c r="E4" i="9"/>
  <c r="C4" i="9"/>
  <c r="H8" i="27" l="1"/>
  <c r="G8" i="27"/>
  <c r="C58" i="13"/>
  <c r="G7" i="27"/>
  <c r="H7" i="27"/>
  <c r="C68" i="13"/>
  <c r="B28" i="24"/>
  <c r="B27" i="24"/>
  <c r="B13" i="23"/>
  <c r="B12" i="23"/>
  <c r="B11" i="23"/>
  <c r="H16" i="27" l="1"/>
  <c r="H17" i="27" s="1"/>
  <c r="E22" i="29" s="1"/>
  <c r="G16" i="27"/>
  <c r="H15" i="27"/>
  <c r="G15" i="27"/>
  <c r="E9" i="27"/>
  <c r="C16" i="29" s="1"/>
  <c r="D9" i="27"/>
  <c r="C14" i="29" s="1"/>
  <c r="G9" i="27"/>
  <c r="C20" i="29" s="1"/>
  <c r="H9" i="27"/>
  <c r="C22" i="29" s="1"/>
  <c r="C12" i="29"/>
  <c r="F17" i="27"/>
  <c r="E18" i="29" s="1"/>
  <c r="C17" i="27"/>
  <c r="E12" i="29" s="1"/>
  <c r="E17" i="27"/>
  <c r="E16" i="29" s="1"/>
  <c r="D17" i="27"/>
  <c r="E14" i="29" s="1"/>
  <c r="G17" i="27" l="1"/>
  <c r="E20" i="29" s="1"/>
  <c r="M20" i="29" s="1"/>
  <c r="K18" i="29"/>
  <c r="M18" i="29"/>
  <c r="K14" i="29"/>
  <c r="M14" i="29"/>
  <c r="M12" i="29"/>
  <c r="K12" i="29"/>
  <c r="M16" i="29"/>
  <c r="K16" i="29"/>
  <c r="K22" i="29"/>
  <c r="M22" i="29"/>
  <c r="B2" i="1"/>
  <c r="K20" i="29" l="1"/>
  <c r="A30" i="29"/>
  <c r="A32" i="29" s="1"/>
  <c r="B1" i="1"/>
  <c r="F9" i="27"/>
  <c r="C18" i="29" s="1"/>
</calcChain>
</file>

<file path=xl/sharedStrings.xml><?xml version="1.0" encoding="utf-8"?>
<sst xmlns="http://schemas.openxmlformats.org/spreadsheetml/2006/main" count="1248" uniqueCount="571">
  <si>
    <t>Pollutant</t>
  </si>
  <si>
    <t>(tons/yr)</t>
  </si>
  <si>
    <t>volatile organic compound</t>
  </si>
  <si>
    <t>VOC</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</si>
  <si>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</si>
  <si>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</si>
  <si>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</si>
  <si>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</si>
  <si>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</si>
  <si>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</si>
  <si>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</si>
  <si>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</si>
  <si>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</si>
  <si>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</si>
  <si>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</si>
  <si>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</si>
  <si>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</si>
  <si>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</si>
  <si>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</si>
  <si>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</si>
  <si>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</si>
  <si>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</si>
  <si>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</si>
  <si>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</si>
  <si>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</si>
  <si>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</si>
  <si>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</si>
  <si>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</si>
  <si>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</si>
  <si>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</si>
  <si>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</si>
  <si>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</si>
  <si>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</si>
  <si>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</si>
  <si>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</si>
  <si>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</si>
  <si>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</si>
  <si>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</si>
  <si>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</si>
  <si>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</si>
  <si>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</si>
  <si>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</si>
  <si>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</si>
  <si>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</si>
  <si>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</si>
  <si>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</si>
  <si>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</si>
  <si>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</si>
  <si>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</si>
  <si>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</si>
  <si>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</si>
  <si>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Additional References</t>
  </si>
  <si>
    <t>Data Element</t>
  </si>
  <si>
    <t>new source review</t>
  </si>
  <si>
    <t>Yes</t>
  </si>
  <si>
    <t>No</t>
  </si>
  <si>
    <t>Fuel and Process</t>
  </si>
  <si>
    <t>Facility Use Questions</t>
  </si>
  <si>
    <t>4:  Facility Use Information</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</si>
  <si>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</si>
  <si>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</si>
  <si>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</si>
  <si>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r>
      <t>PM</t>
    </r>
    <r>
      <rPr>
        <vertAlign val="subscript"/>
        <sz val="10"/>
        <rFont val="Arial"/>
        <family val="2"/>
      </rPr>
      <t>2.5</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</si>
  <si>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</si>
  <si>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</si>
  <si>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</si>
  <si>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</si>
  <si>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</si>
  <si>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Natural Gas</t>
  </si>
  <si>
    <t>LPG</t>
  </si>
  <si>
    <t>Oil - Distillate</t>
  </si>
  <si>
    <t>Total PM</t>
  </si>
  <si>
    <t>1000 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</si>
  <si>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</si>
  <si>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</si>
  <si>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</si>
  <si>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</si>
  <si>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</si>
  <si>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MMcf</t>
  </si>
  <si>
    <t>MMBtu</t>
  </si>
  <si>
    <t>bbl</t>
  </si>
  <si>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</si>
  <si>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</si>
  <si>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</si>
  <si>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</si>
  <si>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</si>
  <si>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Units Same as Source</t>
  </si>
  <si>
    <t>Fuel Energy Content</t>
  </si>
  <si>
    <t>Fuel</t>
  </si>
  <si>
    <t>Energy Content</t>
  </si>
  <si>
    <t>Energy Content Numerator</t>
  </si>
  <si>
    <t>Energy Content Denominator</t>
  </si>
  <si>
    <t>Units Converted to Match Emission Factors</t>
  </si>
  <si>
    <t>carbon monoxide</t>
  </si>
  <si>
    <t>nitrogen oxides</t>
  </si>
  <si>
    <t>sulfur dioxide</t>
  </si>
  <si>
    <t>Spray Type</t>
  </si>
  <si>
    <t>Air atomized spray</t>
  </si>
  <si>
    <t>HVLP guns</t>
  </si>
  <si>
    <t>Airless spray</t>
  </si>
  <si>
    <t>Manual electrostatic spray</t>
  </si>
  <si>
    <t>Rotating head automatic electrostatic spray</t>
  </si>
  <si>
    <t>Electrodeposition, powder</t>
  </si>
  <si>
    <t>Flow coat, dip coat, or nonrotational automatic electrostatic spray</t>
  </si>
  <si>
    <t>Air atomized spray transfer efficiency (%)</t>
  </si>
  <si>
    <t>Airless spray transfer efficiency (%)</t>
  </si>
  <si>
    <t>Manual electrostatic spray transfer efficiency (%)</t>
  </si>
  <si>
    <t>HVLP guns transfer efficiency (%)</t>
  </si>
  <si>
    <t>Flow coat, dip coat, and nonrotational automatic electrostatic spray transfer efficiency (%)</t>
  </si>
  <si>
    <t>Rotating head automatic electrostatic spray transfer efficiency (%)</t>
  </si>
  <si>
    <t>Electrodeposition, powder transfer efficiency (%)</t>
  </si>
  <si>
    <t>Data Key</t>
  </si>
  <si>
    <t>Value (%)</t>
  </si>
  <si>
    <t>Value (decimal)</t>
  </si>
  <si>
    <t>Transfer Efficiencies</t>
  </si>
  <si>
    <t>What method does your facility use to apply primer?</t>
  </si>
  <si>
    <t>What method does your facility use to apply coatings?</t>
  </si>
  <si>
    <t>Registration Calculator Inputs</t>
  </si>
  <si>
    <t>weight percent</t>
  </si>
  <si>
    <t>million British thermal units</t>
  </si>
  <si>
    <t>Average solids content (wt%) of primer used at your facility (Calculated as 100 minus VOC content)</t>
  </si>
  <si>
    <t>Average solids content (wt%) of coatings used at your facility (Calculated as 100 minus VOC content)</t>
  </si>
  <si>
    <t>Category</t>
  </si>
  <si>
    <t>Low End (lb/gal)</t>
  </si>
  <si>
    <t>High End (lb/gal)</t>
  </si>
  <si>
    <t>Surface Cleaners</t>
  </si>
  <si>
    <t>Primers</t>
  </si>
  <si>
    <t>Coatings</t>
  </si>
  <si>
    <t>Solids</t>
  </si>
  <si>
    <t>lb/gal</t>
  </si>
  <si>
    <t>Value (lb/gal)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</si>
  <si>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 The PM emission factors have been adjusted based on new test data as discussed in ftp://ftp.epa.gov/EmisInventory/2002finalnei/documentation/point/pm_adjustment_2002_nei.pdf.</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</si>
  <si>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</si>
  <si>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 The PM emission factors have been adjusted based on new test data as discussed in ftp://ftp.epa.gov/EmisInventory/2002finalnei/documentation/point/pm_adjustment_2002_nei.pdf.</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</si>
  <si>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 Sulfur content of average LPG = 2% and of PTE natural gas = 20%, based on AP-42 and NSR permits, for example see the Niland Power Project  Title V Engineering Review at http://yosemite.epa.gov/r9/air/epss.nsf/6924c72e5ea10d5e882561b100685e04/2b921e8cde424cc8882577690060ad88/$FILE/Niland%20Power%20Project%20Title%20V%20Engineering%20Review%2007.2010.doc</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</si>
  <si>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 Sulfur content of average natural gas = 2% and of PTE natural gas = 20%, based on AP-42 and NSR permits, for example see the Niland Power Project  Title V Engineering Review at http://yosemite.epa.gov/r9/air/epss.nsf/6924c72e5ea10d5e882561b100685e04/2b921e8cde424cc8882577690060ad88/$FILE/Niland%20Power%20Project%20Title%20V%20Engineering%20Review%2007.2010.doc</t>
  </si>
  <si>
    <t>Fuel Sulfur Content</t>
  </si>
  <si>
    <t>Average (percent)</t>
  </si>
  <si>
    <t>Paint/Solvent Density</t>
  </si>
  <si>
    <t>Registration Summary</t>
  </si>
  <si>
    <t>jonathan_dorn@abtassoc.com</t>
  </si>
  <si>
    <t>Tracey Westfield</t>
  </si>
  <si>
    <t>Explanation of Text Colors and Cell Shading</t>
  </si>
  <si>
    <t>Cells shaded gray do not need to be completed.</t>
  </si>
  <si>
    <t>Engineering judgment. Assumed the same as the density of water.</t>
  </si>
  <si>
    <t>Cleaning Solvents:</t>
  </si>
  <si>
    <t>Primers:</t>
  </si>
  <si>
    <t>Coatings:</t>
  </si>
  <si>
    <t>TRIBAL NEW SOURCE REVIEW PROGRAM</t>
  </si>
  <si>
    <t>Registration for Existing True Minor Sources of Air Pollution in Indian Country</t>
  </si>
  <si>
    <t>What is the Tribal New Source Review Rule?</t>
  </si>
  <si>
    <t>Do I need to register my minor source?</t>
  </si>
  <si>
    <r>
      <t xml:space="preserve">How do I determine if my source is a </t>
    </r>
    <r>
      <rPr>
        <b/>
        <i/>
        <sz val="10"/>
        <rFont val="Arial"/>
        <family val="2"/>
      </rPr>
      <t>true minor</t>
    </r>
    <r>
      <rPr>
        <b/>
        <sz val="10"/>
        <rFont val="Arial"/>
        <family val="2"/>
      </rPr>
      <t xml:space="preserve"> source?</t>
    </r>
  </si>
  <si>
    <t>How do I register my true minor source?</t>
  </si>
  <si>
    <t>1.</t>
  </si>
  <si>
    <t>2.</t>
  </si>
  <si>
    <t>How often must I register?</t>
  </si>
  <si>
    <t>This is a one-time registration for your true minor source.  However, after registration, you must notify your EPA Regional Office in writing if:</t>
  </si>
  <si>
    <t>3.</t>
  </si>
  <si>
    <t>May I register using my own emission information, rather than using the Registration Calculators?</t>
  </si>
  <si>
    <t>How does registration relate to obtaining a permit?</t>
  </si>
  <si>
    <t>Registration steps for existing true minor sources:</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</si>
  <si>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</si>
  <si>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</si>
  <si>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</si>
  <si>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</si>
  <si>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Emission Controls and Operational Restrictions</t>
  </si>
  <si>
    <t>Total Emissions</t>
  </si>
  <si>
    <t>Emissions Source:</t>
  </si>
  <si>
    <t>TOTAL</t>
  </si>
  <si>
    <t>Allowable Emissions (tons/yr):</t>
  </si>
  <si>
    <t>Solvent</t>
  </si>
  <si>
    <t>Primer</t>
  </si>
  <si>
    <t>Coating</t>
  </si>
  <si>
    <t>1997 8-Hr Ozone Attainment Status</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</si>
  <si>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</si>
  <si>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</si>
  <si>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</si>
  <si>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</si>
  <si>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</si>
  <si>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</si>
  <si>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</si>
  <si>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</si>
  <si>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</si>
  <si>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</si>
  <si>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</si>
  <si>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</si>
  <si>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</si>
  <si>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</si>
  <si>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</si>
  <si>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</si>
  <si>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</si>
  <si>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</si>
  <si>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</si>
  <si>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</si>
  <si>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</si>
  <si>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</si>
  <si>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</si>
  <si>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</si>
  <si>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</si>
  <si>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</si>
  <si>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</si>
  <si>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</si>
  <si>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</si>
  <si>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</si>
  <si>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</si>
  <si>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</si>
  <si>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</si>
  <si>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</si>
  <si>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</si>
  <si>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</si>
  <si>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</si>
  <si>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</si>
  <si>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</si>
  <si>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</si>
  <si>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</si>
  <si>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</si>
  <si>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</si>
  <si>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</si>
  <si>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</si>
  <si>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</si>
  <si>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</si>
  <si>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</si>
  <si>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</si>
  <si>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</si>
  <si>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</si>
  <si>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</si>
  <si>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</si>
  <si>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</si>
  <si>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</si>
  <si>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</si>
  <si>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</si>
  <si>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</si>
  <si>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</si>
  <si>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</si>
  <si>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</si>
  <si>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</si>
  <si>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</si>
  <si>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</si>
  <si>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</si>
  <si>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</si>
  <si>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</si>
  <si>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</si>
  <si>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</si>
  <si>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</si>
  <si>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</si>
  <si>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</si>
  <si>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</si>
  <si>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</si>
  <si>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</si>
  <si>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</si>
  <si>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</si>
  <si>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</si>
  <si>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</si>
  <si>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</si>
  <si>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</si>
  <si>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</si>
  <si>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</si>
  <si>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</si>
  <si>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</si>
  <si>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</si>
  <si>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</si>
  <si>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</si>
  <si>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</si>
  <si>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</si>
  <si>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</si>
  <si>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</si>
  <si>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</si>
  <si>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</si>
  <si>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</si>
  <si>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</si>
  <si>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</si>
  <si>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</si>
  <si>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</si>
  <si>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</si>
  <si>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</si>
  <si>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</si>
  <si>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</si>
  <si>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</si>
  <si>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</si>
  <si>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</si>
  <si>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</si>
  <si>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11201 Renner Boulevard</t>
  </si>
  <si>
    <t>MC: AWMD/APCO</t>
  </si>
  <si>
    <t>Lenexa</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</si>
  <si>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</si>
  <si>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</si>
  <si>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</si>
  <si>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</si>
  <si>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</si>
  <si>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</si>
  <si>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</si>
  <si>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</si>
  <si>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</si>
  <si>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</si>
  <si>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</si>
  <si>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</si>
  <si>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</si>
  <si>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</si>
  <si>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</si>
  <si>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</si>
  <si>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</si>
  <si>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</si>
  <si>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</si>
  <si>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</si>
  <si>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</si>
  <si>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</si>
  <si>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</si>
  <si>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</si>
  <si>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</si>
  <si>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</si>
  <si>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</si>
  <si>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</si>
  <si>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</si>
  <si>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</si>
  <si>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</si>
  <si>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</si>
  <si>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</si>
  <si>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</si>
  <si>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</si>
  <si>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</si>
  <si>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</si>
  <si>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</si>
  <si>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</si>
  <si>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</si>
  <si>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</si>
  <si>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</si>
  <si>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</si>
  <si>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</si>
  <si>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</si>
  <si>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</si>
  <si>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</si>
  <si>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</si>
  <si>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</si>
  <si>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</si>
  <si>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</si>
  <si>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</si>
  <si>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</si>
  <si>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</si>
  <si>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</si>
  <si>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</si>
  <si>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</si>
  <si>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</si>
  <si>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</si>
  <si>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</si>
  <si>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</si>
  <si>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</si>
  <si>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</si>
  <si>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</si>
  <si>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</si>
  <si>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</si>
  <si>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</si>
  <si>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</si>
  <si>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</si>
  <si>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</si>
  <si>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</si>
  <si>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</si>
  <si>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</si>
  <si>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</si>
  <si>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</si>
  <si>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</si>
  <si>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</si>
  <si>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</si>
  <si>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</si>
  <si>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</si>
  <si>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Zip Code</t>
  </si>
  <si>
    <t>Albuquerque</t>
  </si>
  <si>
    <t>Primary Contact Name</t>
  </si>
  <si>
    <t>Primary Contact Telephone</t>
  </si>
  <si>
    <t>Primary Contact Email</t>
  </si>
  <si>
    <t>Alternate Contact Name</t>
  </si>
  <si>
    <t>Alternate Contact Telephone</t>
  </si>
  <si>
    <t>Alternate Contact Email</t>
  </si>
  <si>
    <t>Registration Determination</t>
  </si>
  <si>
    <t>Exceeds Major Source Threshold Determination</t>
  </si>
  <si>
    <t>Threshold</t>
  </si>
  <si>
    <t>Estimated Actual Emissions</t>
  </si>
  <si>
    <t>Allowable Emissions</t>
  </si>
  <si>
    <t>Name:</t>
  </si>
  <si>
    <t>Address:</t>
  </si>
  <si>
    <t>Telephone:</t>
  </si>
  <si>
    <t>Emission Control Question</t>
  </si>
  <si>
    <r>
      <t xml:space="preserve">You will need to enter information on the coating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</si>
  <si>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r>
      <t xml:space="preserve">Text in red or </t>
    </r>
    <r>
      <rPr>
        <b/>
        <sz val="10"/>
        <color rgb="FFCC33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</si>
  <si>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</si>
  <si>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</si>
  <si>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Acronyms/Definitions</t>
  </si>
  <si>
    <t>NSR</t>
  </si>
  <si>
    <t>wt%</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</si>
  <si>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</si>
  <si>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CE</t>
  </si>
  <si>
    <t>control efficiency</t>
  </si>
  <si>
    <t>EF</t>
  </si>
  <si>
    <t>emission factor</t>
  </si>
  <si>
    <t>EPA</t>
  </si>
  <si>
    <t>U.S. Environmental Protection Agency</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</si>
  <si>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</si>
  <si>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t>particulate matter less than or equal to 10 micrometers (µm) in size</t>
  </si>
  <si>
    <t>particulate matter less than or equal to 2.5 micrometers (µm) in size</t>
  </si>
  <si>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</si>
  <si>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r>
      <t xml:space="preserve">On the </t>
    </r>
    <r>
      <rPr>
        <b/>
        <i/>
        <sz val="10"/>
        <rFont val="Arial"/>
        <family val="2"/>
      </rPr>
      <t>Inputs</t>
    </r>
    <r>
      <rPr>
        <sz val="10"/>
        <rFont val="Arial"/>
        <family val="2"/>
      </rPr>
      <t xml:space="preserve"> worksheet, replace the default facility information with information specific to your facility. </t>
    </r>
  </si>
  <si>
    <t>http://www.epa.gov/oar/oaqps/greenbk/ancl.html</t>
  </si>
  <si>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</si>
  <si>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6:  Emissions Summaries</t>
  </si>
  <si>
    <t>5: Emission Controls and
    Operational Restrictions</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</si>
  <si>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</si>
  <si>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Yes/No Questions</t>
  </si>
  <si>
    <t>Average Cleaning Solvent Density</t>
  </si>
  <si>
    <t>Average VOC Content - Solvent</t>
  </si>
  <si>
    <t>Average VOC Content - Coatings</t>
  </si>
  <si>
    <t>Average Solids Content - Coatings</t>
  </si>
  <si>
    <t>Average Density - Coatings</t>
  </si>
  <si>
    <t>Average Cleaning Solvent Density (lb/gal)</t>
  </si>
  <si>
    <t>Average VOC Content of Cleaning Solvent (wt%)</t>
  </si>
  <si>
    <t>Average VOC content of primer (wt%)</t>
  </si>
  <si>
    <t>Average density of coatings (lb/gal)</t>
  </si>
  <si>
    <t>Jonathan Dorn</t>
  </si>
  <si>
    <t>Allowable VOC Content</t>
  </si>
  <si>
    <t>Allowable Solids Content</t>
  </si>
  <si>
    <t>Default primer/paint density</t>
  </si>
  <si>
    <t>Average VOC content of coatings (wt%)</t>
  </si>
  <si>
    <t>Average (lb/gal)</t>
  </si>
  <si>
    <t>Sulfur Content - Distillate Oil</t>
  </si>
  <si>
    <t>Allowable (percent)</t>
  </si>
  <si>
    <t>Units</t>
  </si>
  <si>
    <t>percent</t>
  </si>
  <si>
    <t>grains/100 scf</t>
  </si>
  <si>
    <t>Average value from U.S. Environmental Protection Agency, AP-42, Fifth Edition, Volume I, Chapter 1: External Combustion, Section 1.4: Natural Gas Combustion, 1998, available at http://www.epa.gov/ttn/chief/ap42/ch01/final/c01s04.pdf. Allowable value from 40 CFR Section 49.130(d)(8); 1.1 grams S per standard cubic meter = 48 grains per 100 scf</t>
  </si>
  <si>
    <t>Percent</t>
  </si>
  <si>
    <t>Default VOC Control Efficiencies</t>
  </si>
  <si>
    <t>Default PM Control Efficiency</t>
  </si>
  <si>
    <t>Thermal Oxidation</t>
  </si>
  <si>
    <t>Catalytic Oxidation</t>
  </si>
  <si>
    <t>Carbon Adsorption</t>
  </si>
  <si>
    <t>Technology</t>
  </si>
  <si>
    <t>Efficiency</t>
  </si>
  <si>
    <t>Engineering judgment based on 40 CFR 60.393 and U.S. Environmental Protection Agency, AP-42, Fifth Edition, Volume I, Chapter 4: Evaporation Loss Sources, Section 4.2.2.8: Automobile &amp; Light Duty Truck Surface Coating, 1982, available at http://www.epa.gov/ttn/chief/ap42/ch04/final/c4s02_2h.pdf and based on Texas Commission on Environmental Quality, Painting Basics and Emission Calculations for TCEQ Air Quality Permit Applications, 2005, available at http://www.google.com/url?sa=t&amp;rct=j&amp;q=surface%20coating%20transfer%20efficiency&amp;source=web&amp;cd=6&amp;ved=0CFAQFjAF&amp;url=http%3A%2F%2Fwww.tceq.texas.gov%2Fassets%2Fpublic%2Fpermitting%2Fair%2FGuidance%2FNewSourceReview%2Fsample_paint_emcalc.doc&amp;ei=rbvKUPqKEILe8ASm0oGIDg&amp;usg=AFQjCNEGh4wTG9kWIXk1Y74sBQrI9Zin4w</t>
  </si>
  <si>
    <t>Average value is used for calculation of actuals and is from U.S. Environmental Protection Agency 1993. Emissions Factor Documentation for AP-42 Section 1.11 Waste Oil Combustion. Table 2-1. Available electronically at: http://www.epa.gov/ttnchie1/ap42/ch01/bgdocs/b01s11.pdf. The allowable value is from 40 CFR 49.130(d)(2).</t>
  </si>
  <si>
    <t>40 CFR 63.11173(e)</t>
  </si>
  <si>
    <t>Paint overspray capture efficiency (percent).</t>
  </si>
  <si>
    <t>Was your facility's paint spray booth, preparation station, or mobile enclosure fitted with a type of filter technology to capture at least 98 percent of paint overspray in 2012?</t>
  </si>
  <si>
    <t>Spray booths, preparation stations and mobile enclosures</t>
  </si>
  <si>
    <t>Overspray Capture Efficiency (%)</t>
  </si>
  <si>
    <t>VOC Controls</t>
  </si>
  <si>
    <t>PM Controls</t>
  </si>
  <si>
    <t>VOC Control Device</t>
  </si>
  <si>
    <t>VOC control efficiency (percent).</t>
  </si>
  <si>
    <t>PM Control Multiplier</t>
  </si>
  <si>
    <t>VOC Control Multiplier</t>
  </si>
  <si>
    <t>VOC Control Efficiency (%)</t>
  </si>
  <si>
    <t>Enter the VOC control efficiency (percent) of the control device used at your facility in 2012. (Enter 0 if unknown)</t>
  </si>
  <si>
    <t>Georgia</t>
  </si>
  <si>
    <t>Louisiana</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</si>
  <si>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</si>
  <si>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</si>
  <si>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</si>
  <si>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</si>
  <si>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</si>
  <si>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</si>
  <si>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</si>
  <si>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</si>
  <si>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</si>
  <si>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</si>
  <si>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</si>
  <si>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t>What is the average VOC content (wt%) of cleaning solvent used at your facility in 2012? (Enter 0 if unknown)</t>
  </si>
  <si>
    <t>What is the average density (lb/gal) of cleaning solvent used at your facility in 2012? (Enter 0 if unknown)</t>
  </si>
  <si>
    <t>What is the average VOC content (wt%) of primer used at your facility in 2012? (Enter 0 if unknown)</t>
  </si>
  <si>
    <t>What is the average density (lb/gal) of primer used at your facility in 2012? (Enter 0 if unknown)</t>
  </si>
  <si>
    <t>How many gallons of coating (e.g. paint) did your facility use in calendar year 2012?</t>
  </si>
  <si>
    <t>How many gallons of primer did your facility use in calendar year 2012?</t>
  </si>
  <si>
    <t>On average, how many hours per week did your facility operate in calendar year 2012?</t>
  </si>
  <si>
    <t>What is the average VOC content (wt%) of the coatings used at your facility in 2012? (Enter 0 if unknown)</t>
  </si>
  <si>
    <t>What is the average density (lb/gal) of coatings used at your facility in 2012? (Enter 0 if unknown)</t>
  </si>
  <si>
    <t>State List</t>
  </si>
  <si>
    <t>Note: If your facility operated for only a portion of 2012, estimate the following information as if you had been operating for the whole year. For example, if your facility operated for only three months in 2012, you should multiply the gallons of cleaning solvent used in those three months by four to project the gallons of cleaning solvent used for the entire 12 months.</t>
  </si>
  <si>
    <t>Actual Emission Factor</t>
  </si>
  <si>
    <t>Allowable Emission Factor</t>
  </si>
  <si>
    <t>Estimated Actual Emissions
for 2012</t>
  </si>
  <si>
    <t>Estimated Actual Emissions for 2012 (tons/yr):</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</si>
  <si>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</si>
  <si>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</si>
  <si>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t>What is the maximum number of gallons of cleaning solvent that your facility can use in an hour?</t>
  </si>
  <si>
    <t>What is the maximum number of gallons of primer that your facility can use in an hour?</t>
  </si>
  <si>
    <t>What is the maximum number of gallons of coating (e.g. paint) that your facility can use in an hour?</t>
  </si>
  <si>
    <t>Assume 95% capture efficiency. United States Environmental Protection Agency, Air Pollutants and Control Techniques - Volatile Organic Compounds - Control Techniques, available at http://www.epa.gov/apti/bces/module6/voc/control/control.htm#thermal.</t>
  </si>
  <si>
    <t>Assume 95% capture efficiency. United States Environmental Protection Agency, Air Pollution Control Technology Factsheet, EPA-452/F-03-022, available at http://www.epa.gov/ttn/catc/dir1/fthermal.pdf.</t>
  </si>
  <si>
    <t>10/1/2012</t>
  </si>
  <si>
    <t>Surface Coatings Registration Calculator</t>
  </si>
  <si>
    <t>Acme Surface Coating</t>
  </si>
  <si>
    <r>
      <t xml:space="preserve">Owners/operators of facilities of surface coating shops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</si>
  <si>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t>VOC and Solids Content Ranges of Conventional (Pre-Regulation) Refinishing Products</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</si>
  <si>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</si>
  <si>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t>02/15/2013</t>
  </si>
  <si>
    <t>Type of Surface Coating</t>
  </si>
  <si>
    <t xml:space="preserve">General Industrial </t>
  </si>
  <si>
    <t>Enamel, air dry</t>
  </si>
  <si>
    <t>U.S. Environmental Protection Agency, AP-42, Fifth Edition, Volume I, Chapter 4: Evaporation Loss Sources, Section 4.2.2.1: General Industrial Surface Coating, April 1981, available at http://www.epa.gov/ttn/chief/ap42/ch04/final/c4s02_2a.pdf (accessed in February 2013)</t>
  </si>
  <si>
    <t>Enamel, baking</t>
  </si>
  <si>
    <t>Acrylic enamel</t>
  </si>
  <si>
    <t>Alkyd enamel</t>
  </si>
  <si>
    <t>Primer surfacer</t>
  </si>
  <si>
    <t>Primer, epoxy</t>
  </si>
  <si>
    <t>Varnish, baking</t>
  </si>
  <si>
    <t>Lacquer, spraying</t>
  </si>
  <si>
    <t>Vinyl, roller coat</t>
  </si>
  <si>
    <t>Polyurethane</t>
  </si>
  <si>
    <t>Stain</t>
  </si>
  <si>
    <t>Sealer</t>
  </si>
  <si>
    <t>Magnet wire enamel</t>
  </si>
  <si>
    <t>Paper coating</t>
  </si>
  <si>
    <t>Fabric coating</t>
  </si>
  <si>
    <t>Primer Types</t>
  </si>
  <si>
    <t>Oven:</t>
  </si>
  <si>
    <t>Did your facility use an oven in calendar year 2012?</t>
  </si>
  <si>
    <t>How many gallons of cleaning solvent did your facility use in calendar year 2012?</t>
  </si>
  <si>
    <t>Oven</t>
  </si>
  <si>
    <t>Oven Fuel Type</t>
  </si>
  <si>
    <t>Oven Use Answer</t>
  </si>
  <si>
    <t>Total Density (lb/gal)</t>
  </si>
  <si>
    <t>VOC Density (lb/gal)</t>
  </si>
  <si>
    <t>Solids Density (lb/gal)</t>
  </si>
  <si>
    <t>Solids Density (% volume of total)</t>
  </si>
  <si>
    <t>Primer VOC and Solids Densities</t>
  </si>
  <si>
    <t>Coatings VOC and Solids Densities</t>
  </si>
  <si>
    <t>Emission Inventory Improvement Program, Volume 3, Chapter 13, Auto Body Refinishing, Table 13.4-2 VOC Parameters of Conventional (Pre-Regulation) Auto Body Refinishing Products, January 2000, available at http://www.epa.gov/ttn/chief/eiip/techreport/volume03/iii13_march2005.pdf (accessed December 2012).</t>
  </si>
  <si>
    <t>Total Density</t>
  </si>
  <si>
    <t>Density of primer (lb/gal)</t>
  </si>
  <si>
    <t>Density - Primer</t>
  </si>
  <si>
    <t>VOC Content - Primer</t>
  </si>
  <si>
    <t>Solids Content - Primer</t>
  </si>
  <si>
    <t>How many gallons of cleaning solvent did your facility recover in 2012?</t>
  </si>
  <si>
    <t>Other</t>
  </si>
  <si>
    <t>Coating Types</t>
  </si>
  <si>
    <t>Average value of coatings listed above.</t>
  </si>
  <si>
    <t>What is the heat capacity (MMBtu/hr) of your oven?</t>
  </si>
  <si>
    <t>What fuel did your oven use in 2012?</t>
  </si>
  <si>
    <t>What percentage of paint overspray was captured by your filter(s) in 2012? (Enter 98 if unknown)</t>
  </si>
  <si>
    <t>Updated calculator to agree with Tribal NSR Rule. Changed all terminology to use "allowable emissions" and "estimated actual emissions." Added "Registration FAQs" and "Controls and Restrictions" worksheets. Removed major source thresholds and facility type selection.</t>
  </si>
  <si>
    <t>40 CFR subpart 60 Restrictions</t>
  </si>
  <si>
    <t>Coating of Metal Furniture</t>
  </si>
  <si>
    <t>Coating of Large Appliances</t>
  </si>
  <si>
    <t>Coating of Metal Coil Surfaces</t>
  </si>
  <si>
    <t>Coating of Pressure Sensitive Tape and Label Surfaces</t>
  </si>
  <si>
    <t>Coating of Beverage Can Surfaces</t>
  </si>
  <si>
    <t>Coating of Plastic Parts for Business Machines</t>
  </si>
  <si>
    <t>40 CFR part 60, subpart WW requires facilities with beverage can surface coating operations that commenced construction, modification, or reconstruction after November 26, 1980 and that have exterior base coating, overvarnish coating, or spray coating operations to limit their emissions of VOCs. If your facility is affected by this regulation, then answer the questions below. Enter 0 if unknown or not applicable.</t>
  </si>
  <si>
    <t>40 CFR part 60, subpart SS requires facilities with large appliance surface coating operations that commenced construction, modification, or reconstruction after December 24, 1980 to limit their emissions of VOCs. If your facility is affected by this regulation, then answer the questions below. Enter 0 if unknown or not applicable.</t>
  </si>
  <si>
    <t>40 CFR part 60, subpart EE requires facilities with metal furniture surface coating operations that commenced construction, modification, or reconstruction after November 28, 1980, that apply organic coating, and that use 3,482 liters of coating or more per year to limit their emissions of VOCs.  If your facility is affected by this regulation, then answer the questions below. Enter 0 if unknown or not applicable.</t>
  </si>
  <si>
    <t>40 CFR part 60, subpart TTT requires facilities with surface coating of plastic parts for business machines operations that commenced construction, modification, or reconstruction after January 8, 1986 and that apply prime coats, color coats, texture coats, or touch-up coats to limit their emissions of VOCs.  If your facility is affected by this regulation, then answer the questions below. Enter 0 if unknown or not applicable.</t>
  </si>
  <si>
    <t>40 CFR part 60, subpart RR requires facilities with pressure sensitive tape and label surface coating operations that commenced construction, modification, or reconstruction after December 30, 1980 and that inputs to the coating process more than 50 tons of VOC per year to limit their emissions of VOCs.  If your facility is affected by this regulation, then answer the questions below. Enter 0 if unknown or not applicable.</t>
  </si>
  <si>
    <t>40 CFR part 60, subpart TT requires facilities with metal coil surface coating operations that commenced construction, modification, or reconstruction after January 5, 1981 and that have prime or finish coat operations to limit their emissions of VOCs. If your facility is affected by this regulation, then answer the questions below. Enter 0 if unknown or not applicable.</t>
  </si>
  <si>
    <t>Operational Restrictions and Applicable Standards in 40 CFR parts 60 and 61</t>
  </si>
  <si>
    <t>Enter the volume of coating solids applied from each two-piece can inside spray coating operation at your facility in calendar year 2012 (in liters).</t>
  </si>
  <si>
    <t>Enter the applicable VOC atmospheric discharge limit in kilograms of VOC per liter of coating solids applied for two-piece can inside spray coating operations.</t>
  </si>
  <si>
    <t>Allowable VOC Limit from Coating Operations</t>
  </si>
  <si>
    <t>What type of primer did your facility use in 2012? If you used more than one type, choose "Other."</t>
  </si>
  <si>
    <t>What type of coating did your facility use in 2012? If you used more than one type, choose "Other."</t>
  </si>
  <si>
    <t>Did your facility use one or more paint spray booths, preparation stations, or mobile enclosures in calendar year 2012?</t>
  </si>
  <si>
    <r>
      <t>On the</t>
    </r>
    <r>
      <rPr>
        <b/>
        <i/>
        <sz val="10"/>
        <rFont val="Arial"/>
        <family val="2"/>
      </rPr>
      <t xml:space="preserve"> Inputs</t>
    </r>
    <r>
      <rPr>
        <sz val="10"/>
        <rFont val="Arial"/>
        <family val="2"/>
      </rPr>
      <t xml:space="preserve"> worksheet, enter the average number of hours your facility operates per week. You will then need to enter information on the type of primers and coatings used at your facility in calendar year 2012, the volume of cleaning solvents, primers, and coatings (gallons) used in 2012, and the maximum volume (gallons) of cleaning solvents, primers, and coatings that your facility could have used in an hour. Enter the VOC content (%), PM content (%), and density of cleaning solvent (lb/gal), primer (lb/gal), and coatings (lb/gal) used at your facility. If you do not have this information, enter 0 in each field for which you do not have data and a default value will be used to estimate emissions. Also, if you used more than one type of primer or coating at your facility in 2012, select "Other." Please select the primer and coatings application methods used at your facility. Indicate whether or not your facility uses an oven, and if so, enter the oven's heat capacity (MMBtu/hr), the fuel type combusted in the oven, the volume of fuel combusted in 2012, and the sulfur content of the fuel (%), if applicable. If the sulfur content is unknown, enter 0 and a default value will be used to estimate emissions. </t>
    </r>
  </si>
  <si>
    <r>
      <t>Coatings provide protection or decoration to a substrate or surface. There are many different types of coatings that are used in the surface coating industry such as paints, varnishes, printing inks, polishes, sealers, etc. In a typical coating sequence, three types of coatings are used: a primer, an intermediate coat, and a topcoat. To obtain or maintain certain application characteristics, solvents are also added to coatings immediately before use. The most common solvents are organic compounds such as ketones, esters, aromatics, and alcohols. Emissions from the surface coating process consist of volatile organic compounds (VOCs) that evaporate from the solvents contained in the coatings and particulate matter (PM). The quantity of the pollutants emitted from a surface coating shop will depend on the volume of paint/solvent used and the application methods. Surface coatings may be applied manually or with automatic devices such as spray guns and may be performed in a spray booth or in an open environment. Enclosing surface coating operations enables the exhaust to be vented through a stack, facilitating the use of add-on controls such as thermal or catalytic destruction devices. Some surface coating shops may use an oven to facilitate drying. Combustion within a oven will also release VOCs and PM, as well as carbon monoxide (CO), nitrogen oxides (NO</t>
    </r>
    <r>
      <rPr>
        <vertAlign val="subscript"/>
        <sz val="10"/>
        <rFont val="Arial"/>
        <family val="2"/>
      </rPr>
      <t>x</t>
    </r>
    <r>
      <rPr>
        <sz val="10"/>
        <rFont val="Arial"/>
        <family val="2"/>
      </rPr>
      <t>), and sulfur dioxide (SO</t>
    </r>
    <r>
      <rPr>
        <vertAlign val="subscript"/>
        <sz val="10"/>
        <rFont val="Arial"/>
        <family val="2"/>
      </rPr>
      <t>2</t>
    </r>
    <r>
      <rPr>
        <sz val="10"/>
        <rFont val="Arial"/>
        <family val="2"/>
      </rPr>
      <t xml:space="preserve">). 
</t>
    </r>
  </si>
  <si>
    <t>Select the VOC control method used at your facility in calendar year 2012. Please note that some ovens may control VOC emissions through thermal oxidation.</t>
  </si>
  <si>
    <t>Select the type of surface coating operation performed at your facility in calendar year 2012. If you used more than one type, choose "Other." If the type of surface coating operation at your facility is not listed, choose "Other."</t>
  </si>
  <si>
    <r>
      <t xml:space="preserve">On the </t>
    </r>
    <r>
      <rPr>
        <b/>
        <i/>
        <sz val="10"/>
        <rFont val="Arial"/>
        <family val="2"/>
      </rPr>
      <t>Controls and Restrictions</t>
    </r>
    <r>
      <rPr>
        <sz val="10"/>
        <rFont val="Arial"/>
        <family val="2"/>
      </rPr>
      <t xml:space="preserve"> worksheet, select the VOC control method your facility used in 2012 or select 'none' if your facility did not control VOC emissions. Enter the VOC control efficiency of the control device or, if the control efficiency is unknown, enter 0 and a default value of 93.1% will be used to estimate actual emissions. Also, indicate whether your facility included one or more paint spray booths, preparation stations, or mobile enclosures in 2012, and whether they were fitted with a filter technology that captured at least 98% paint overspray, as required by regulation (40 CFR 63.11173(e)). For example, if your facility’s paint spray booth was fitted with a filter that captured 99% overspray, enter 99. If your booth included a filter but you do not know the percentage of overspray captured, enter 98 and the calculator will default to 98%.
Certain facilities are subject to VOC emission limits according to applicable subparts of 40 CFR part 60. Use the drop-down list to select the type of surface coating operation performed at your facility. If the type of surface coating operation at your facility is not listed or if your facility has more than one type of surface coating operation, select 'Other'. If applicable, enter your coating solid usage(s) and VOC emission limit(s). </t>
    </r>
  </si>
  <si>
    <t>02/21/2013</t>
  </si>
  <si>
    <t>Updated region 6 telephone number.</t>
  </si>
  <si>
    <t>02/26/2013</t>
  </si>
  <si>
    <t>Updated data validations to be compatible with Excel 2007.</t>
  </si>
  <si>
    <t>v1.3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</si>
  <si>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is required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</si>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</sst>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
    <numFmt numFmtId="166" formatCode="#,##0.0"/>
    <numFmt numFmtId="167" formatCode="#,##0.000"/>
    <numFmt numFmtId="168" formatCode="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i/>
      <sz val="10"/>
      <color rgb="FFFF0000"/>
      <name val="Arial"/>
      <family val="2"/>
    </font>
    <font>
      <b/>
      <sz val="10"/>
      <color rgb="FFCC3300"/>
      <name val="Arial"/>
      <family val="2"/>
    </font>
    <font>
      <b/>
      <sz val="12"/>
      <name val="Arial"/>
      <family val="2"/>
    </font>
    <font>
      <sz val="10"/>
      <color indexed="8"/>
      <name val="Arial"/>
      <family val="2"/>
    </font>
    <font>
      <sz val="10"/>
      <color theme="1"/>
      <name val="Arial"/>
      <family val="2"/>
    </font>
    <font>
      <sz val="10"/>
      <color rgb="FFCC6600"/>
      <name val="Arial"/>
      <family val="2"/>
    </font>
    <font>
      <b/>
      <sz val="10"/>
      <color rgb="FFCC6600"/>
      <name val="Arial"/>
      <family val="2"/>
    </font>
    <font>
      <b/>
      <sz val="11"/>
      <color theme="1"/>
      <name val="Calibri"/>
      <family val="2"/>
      <scheme val="minor"/>
    </font>
    <font>
      <u/>
      <sz val="11"/>
      <color theme="10"/>
      <name val="Calibri"/>
      <family val="2"/>
      <scheme val="minor"/>
    </font>
    <font>
      <b/>
      <sz val="11"/>
      <color rgb="FFFF0000"/>
      <name val="Arial"/>
      <family val="2"/>
    </font>
    <font>
      <b/>
      <sz val="11"/>
      <name val="Arial"/>
      <family val="2"/>
    </font>
    <font>
      <sz val="11"/>
      <name val="Arial"/>
      <family val="2"/>
    </font>
    <font>
      <sz val="10"/>
      <name val="Arial"/>
      <family val="2"/>
    </font>
    <font>
      <sz val="10"/>
      <color rgb="FF000000"/>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79998168889431442"/>
        <bgColor indexed="64"/>
      </patternFill>
    </fill>
  </fills>
  <borders count="75">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3">
    <xf numFmtId="2" fontId="0" fillId="0" borderId="0"/>
    <xf numFmtId="2" fontId="19" fillId="0" borderId="0" applyNumberFormat="0" applyFill="0" applyBorder="0" applyAlignment="0" applyProtection="0"/>
    <xf numFmtId="0" fontId="19" fillId="0" borderId="0" applyNumberFormat="0" applyFill="0" applyBorder="0" applyAlignment="0" applyProtection="0">
      <alignment vertical="top"/>
      <protection locked="0"/>
    </xf>
    <xf numFmtId="2" fontId="7" fillId="0" borderId="0"/>
    <xf numFmtId="0" fontId="27" fillId="0" borderId="0"/>
    <xf numFmtId="0" fontId="7" fillId="0" borderId="0"/>
    <xf numFmtId="0" fontId="5" fillId="0" borderId="0"/>
    <xf numFmtId="0" fontId="28" fillId="0" borderId="0"/>
    <xf numFmtId="9" fontId="7" fillId="0" borderId="0" applyFont="0" applyFill="0" applyBorder="0" applyAlignment="0" applyProtection="0"/>
    <xf numFmtId="0" fontId="4" fillId="0" borderId="0"/>
    <xf numFmtId="9" fontId="36" fillId="0" borderId="0" applyFont="0" applyFill="0" applyBorder="0" applyAlignment="0" applyProtection="0"/>
    <xf numFmtId="43" fontId="7" fillId="0" borderId="0" applyFont="0" applyFill="0" applyBorder="0" applyAlignment="0" applyProtection="0"/>
    <xf numFmtId="0" fontId="2" fillId="0" borderId="0"/>
  </cellStyleXfs>
  <cellXfs count="466">
    <xf numFmtId="2" fontId="0" fillId="0" borderId="0" xfId="0"/>
    <xf numFmtId="2" fontId="0" fillId="0" borderId="0" xfId="0" applyBorder="1"/>
    <xf numFmtId="2" fontId="16" fillId="0" borderId="0" xfId="0" applyFont="1"/>
    <xf numFmtId="2" fontId="7" fillId="0" borderId="0" xfId="0" applyFont="1"/>
    <xf numFmtId="2" fontId="8" fillId="4" borderId="6" xfId="0" applyFont="1" applyFill="1" applyBorder="1" applyAlignment="1">
      <alignment horizont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7" fillId="0" borderId="6" xfId="0" applyFont="1" applyBorder="1" applyAlignment="1">
      <alignment horizontal="center" vertical="center"/>
    </xf>
    <xf numFmtId="1" fontId="7"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165" fontId="7" fillId="0" borderId="6" xfId="0" applyNumberFormat="1" applyFont="1" applyBorder="1" applyAlignment="1">
      <alignment horizontal="center" vertical="center"/>
    </xf>
    <xf numFmtId="2" fontId="6" fillId="4" borderId="6" xfId="0" applyFont="1" applyFill="1" applyBorder="1" applyAlignment="1">
      <alignment horizontal="center"/>
    </xf>
    <xf numFmtId="2" fontId="7" fillId="0" borderId="6" xfId="0" applyFont="1" applyBorder="1" applyAlignment="1">
      <alignment horizontal="center"/>
    </xf>
    <xf numFmtId="2" fontId="7" fillId="0" borderId="12" xfId="0" applyFont="1" applyBorder="1"/>
    <xf numFmtId="164" fontId="8" fillId="4" borderId="6" xfId="0" applyNumberFormat="1" applyFont="1" applyFill="1" applyBorder="1" applyAlignment="1">
      <alignment horizontal="center"/>
    </xf>
    <xf numFmtId="164" fontId="0" fillId="0" borderId="0" xfId="0" applyNumberFormat="1" applyAlignment="1">
      <alignment horizontal="center"/>
    </xf>
    <xf numFmtId="1" fontId="6" fillId="4" borderId="30" xfId="0" applyNumberFormat="1" applyFont="1" applyFill="1" applyBorder="1" applyAlignment="1">
      <alignment horizontal="center" vertical="center"/>
    </xf>
    <xf numFmtId="1" fontId="6" fillId="4" borderId="31" xfId="0" applyNumberFormat="1" applyFont="1" applyFill="1" applyBorder="1" applyAlignment="1">
      <alignment horizontal="center" vertical="center"/>
    </xf>
    <xf numFmtId="165" fontId="6" fillId="4" borderId="31" xfId="0" applyNumberFormat="1" applyFont="1" applyFill="1" applyBorder="1" applyAlignment="1">
      <alignment horizontal="center" vertical="center"/>
    </xf>
    <xf numFmtId="1" fontId="7" fillId="0" borderId="8" xfId="0" applyNumberFormat="1" applyFont="1" applyBorder="1" applyAlignment="1">
      <alignment horizontal="left" vertical="center"/>
    </xf>
    <xf numFmtId="1" fontId="6" fillId="4" borderId="32" xfId="0" applyNumberFormat="1" applyFont="1" applyFill="1" applyBorder="1" applyAlignment="1">
      <alignment horizontal="left" vertical="center"/>
    </xf>
    <xf numFmtId="2" fontId="16" fillId="0" borderId="0" xfId="0" applyFont="1" applyProtection="1"/>
    <xf numFmtId="2" fontId="7" fillId="0" borderId="0" xfId="0" applyFont="1" applyBorder="1" applyProtection="1"/>
    <xf numFmtId="2" fontId="0" fillId="0" borderId="0" xfId="0" applyBorder="1" applyProtection="1"/>
    <xf numFmtId="2" fontId="18" fillId="0" borderId="8" xfId="0" applyFont="1" applyBorder="1" applyProtection="1">
      <protection locked="0"/>
    </xf>
    <xf numFmtId="2" fontId="18" fillId="0" borderId="9" xfId="0" applyFont="1" applyBorder="1" applyProtection="1">
      <protection locked="0"/>
    </xf>
    <xf numFmtId="2" fontId="7" fillId="4" borderId="6" xfId="0" applyFont="1" applyFill="1" applyBorder="1" applyProtection="1"/>
    <xf numFmtId="2" fontId="6" fillId="3" borderId="6" xfId="0" applyFont="1" applyFill="1" applyBorder="1" applyAlignment="1" applyProtection="1">
      <alignment horizontal="left"/>
    </xf>
    <xf numFmtId="2" fontId="18" fillId="0" borderId="18" xfId="0" applyFont="1" applyBorder="1" applyProtection="1">
      <protection locked="0"/>
    </xf>
    <xf numFmtId="164" fontId="0" fillId="0" borderId="6" xfId="0" applyNumberFormat="1" applyBorder="1" applyAlignment="1">
      <alignment horizontal="center" vertical="center"/>
    </xf>
    <xf numFmtId="2" fontId="7" fillId="0" borderId="6" xfId="0" quotePrefix="1" applyFont="1" applyBorder="1" applyAlignment="1">
      <alignment horizontal="center" vertical="center"/>
    </xf>
    <xf numFmtId="2" fontId="7" fillId="0" borderId="6" xfId="0" applyFont="1" applyBorder="1" applyAlignment="1">
      <alignment vertical="center" wrapText="1"/>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7" fillId="0" borderId="0" xfId="0" applyFont="1" applyProtection="1"/>
    <xf numFmtId="2" fontId="0" fillId="0" borderId="0" xfId="0" applyAlignment="1" applyProtection="1">
      <alignment vertical="center"/>
    </xf>
    <xf numFmtId="2" fontId="7" fillId="0" borderId="0" xfId="0" applyFont="1" applyAlignment="1">
      <alignment horizontal="center"/>
    </xf>
    <xf numFmtId="2" fontId="16" fillId="0" borderId="0" xfId="0" applyFont="1" applyAlignment="1">
      <alignment horizontal="center"/>
    </xf>
    <xf numFmtId="2" fontId="7" fillId="0" borderId="6" xfId="0" applyFont="1" applyBorder="1"/>
    <xf numFmtId="2" fontId="0" fillId="0" borderId="14" xfId="0" applyBorder="1" applyAlignment="1" applyProtection="1">
      <alignment horizontal="left" indent="2"/>
    </xf>
    <xf numFmtId="2" fontId="0" fillId="0" borderId="12" xfId="0" applyBorder="1" applyAlignment="1" applyProtection="1">
      <alignment horizontal="left" indent="2"/>
    </xf>
    <xf numFmtId="2" fontId="7" fillId="0" borderId="12" xfId="0" applyFont="1" applyBorder="1" applyAlignment="1" applyProtection="1">
      <alignment horizontal="left" indent="2"/>
    </xf>
    <xf numFmtId="2" fontId="7" fillId="0" borderId="22" xfId="0" applyFont="1" applyBorder="1" applyAlignment="1" applyProtection="1">
      <alignment horizontal="left" indent="2"/>
    </xf>
    <xf numFmtId="2" fontId="0" fillId="0" borderId="22" xfId="0" applyBorder="1" applyAlignment="1" applyProtection="1">
      <alignment horizontal="left" indent="2"/>
    </xf>
    <xf numFmtId="165" fontId="0" fillId="0" borderId="0" xfId="0" applyNumberFormat="1" applyBorder="1" applyAlignment="1">
      <alignment horizontal="center"/>
    </xf>
    <xf numFmtId="2" fontId="0" fillId="0" borderId="6" xfId="0" applyBorder="1"/>
    <xf numFmtId="2" fontId="7" fillId="0" borderId="8" xfId="0" applyFont="1" applyBorder="1"/>
    <xf numFmtId="2" fontId="6" fillId="4" borderId="12" xfId="0" applyFont="1" applyFill="1" applyBorder="1"/>
    <xf numFmtId="2" fontId="6" fillId="4" borderId="6" xfId="0" applyFont="1" applyFill="1" applyBorder="1"/>
    <xf numFmtId="2" fontId="6" fillId="4" borderId="8" xfId="0" applyFont="1" applyFill="1" applyBorder="1"/>
    <xf numFmtId="2" fontId="6" fillId="4" borderId="8" xfId="0" applyFont="1" applyFill="1" applyBorder="1" applyAlignment="1">
      <alignment horizontal="center"/>
    </xf>
    <xf numFmtId="2" fontId="6" fillId="0" borderId="0" xfId="0" applyFont="1" applyFill="1" applyBorder="1"/>
    <xf numFmtId="2" fontId="7" fillId="0" borderId="8" xfId="0" applyFont="1" applyBorder="1" applyAlignment="1">
      <alignment horizontal="center"/>
    </xf>
    <xf numFmtId="2" fontId="7" fillId="0" borderId="12" xfId="0" applyFont="1" applyFill="1" applyBorder="1"/>
    <xf numFmtId="2" fontId="0" fillId="0" borderId="0" xfId="0" applyFill="1"/>
    <xf numFmtId="2" fontId="7" fillId="0" borderId="0" xfId="0" applyFont="1" applyFill="1"/>
    <xf numFmtId="2" fontId="7" fillId="0" borderId="6" xfId="0" applyFont="1" applyFill="1" applyBorder="1"/>
    <xf numFmtId="2" fontId="0" fillId="0" borderId="6" xfId="0" applyBorder="1" applyAlignment="1">
      <alignment horizontal="center"/>
    </xf>
    <xf numFmtId="2" fontId="7" fillId="0" borderId="16" xfId="0" applyFont="1" applyFill="1" applyBorder="1"/>
    <xf numFmtId="2" fontId="7" fillId="0" borderId="16" xfId="0" applyFont="1" applyBorder="1" applyAlignment="1">
      <alignment horizontal="center"/>
    </xf>
    <xf numFmtId="2" fontId="7" fillId="0" borderId="14" xfId="0" applyFont="1" applyFill="1" applyBorder="1"/>
    <xf numFmtId="2" fontId="7" fillId="0" borderId="18" xfId="0" applyFont="1" applyBorder="1"/>
    <xf numFmtId="2" fontId="7" fillId="0" borderId="22" xfId="0" applyFont="1" applyBorder="1"/>
    <xf numFmtId="2" fontId="7" fillId="0" borderId="7" xfId="0" applyFont="1" applyFill="1" applyBorder="1"/>
    <xf numFmtId="2" fontId="0" fillId="0" borderId="7" xfId="0" applyBorder="1" applyAlignment="1">
      <alignment horizontal="center"/>
    </xf>
    <xf numFmtId="2" fontId="7" fillId="0" borderId="7" xfId="0" applyFont="1" applyBorder="1" applyAlignment="1">
      <alignment horizontal="center"/>
    </xf>
    <xf numFmtId="2" fontId="0" fillId="4" borderId="10" xfId="0" applyFill="1" applyBorder="1" applyAlignment="1" applyProtection="1">
      <alignment vertical="center" wrapText="1"/>
    </xf>
    <xf numFmtId="2" fontId="6" fillId="4" borderId="11" xfId="0" applyFont="1" applyFill="1" applyBorder="1" applyAlignment="1" applyProtection="1">
      <alignment vertical="center" wrapText="1"/>
    </xf>
    <xf numFmtId="2" fontId="6" fillId="4" borderId="27" xfId="0" applyFont="1" applyFill="1" applyBorder="1" applyAlignment="1" applyProtection="1">
      <alignment vertical="center"/>
    </xf>
    <xf numFmtId="2" fontId="6" fillId="4" borderId="25" xfId="0" applyFont="1" applyFill="1" applyBorder="1" applyAlignment="1" applyProtection="1">
      <alignment vertical="center"/>
    </xf>
    <xf numFmtId="2" fontId="6" fillId="4" borderId="50" xfId="0" applyFont="1" applyFill="1" applyBorder="1"/>
    <xf numFmtId="2" fontId="6" fillId="4" borderId="16" xfId="0" applyFont="1" applyFill="1" applyBorder="1"/>
    <xf numFmtId="2" fontId="6" fillId="4" borderId="16" xfId="0" applyFont="1" applyFill="1" applyBorder="1" applyAlignment="1">
      <alignment horizontal="center" vertical="center"/>
    </xf>
    <xf numFmtId="2" fontId="6" fillId="4" borderId="16" xfId="0" applyFont="1" applyFill="1" applyBorder="1" applyAlignment="1">
      <alignment vertical="center"/>
    </xf>
    <xf numFmtId="2" fontId="7" fillId="0" borderId="6" xfId="0" applyFont="1" applyBorder="1" applyAlignment="1">
      <alignment vertical="center"/>
    </xf>
    <xf numFmtId="2" fontId="6" fillId="4" borderId="8" xfId="0" applyFont="1" applyFill="1" applyBorder="1" applyAlignment="1">
      <alignment horizontal="left"/>
    </xf>
    <xf numFmtId="2" fontId="0" fillId="0" borderId="7" xfId="0" applyFill="1" applyBorder="1" applyAlignment="1">
      <alignment horizontal="center"/>
    </xf>
    <xf numFmtId="2" fontId="7" fillId="0" borderId="9" xfId="0" applyFont="1" applyBorder="1"/>
    <xf numFmtId="2" fontId="7" fillId="0" borderId="7" xfId="0" applyFont="1" applyBorder="1" applyAlignment="1">
      <alignment horizontal="center" vertical="center"/>
    </xf>
    <xf numFmtId="2" fontId="7" fillId="0" borderId="51" xfId="0" applyFont="1" applyBorder="1"/>
    <xf numFmtId="2" fontId="7" fillId="0" borderId="6" xfId="0" applyFont="1" applyBorder="1" applyAlignment="1">
      <alignment horizontal="center" vertical="center" wrapText="1"/>
    </xf>
    <xf numFmtId="2" fontId="18" fillId="0" borderId="0" xfId="0" applyFont="1" applyBorder="1" applyProtection="1"/>
    <xf numFmtId="2" fontId="13" fillId="0" borderId="0" xfId="0" applyFont="1" applyProtection="1"/>
    <xf numFmtId="2" fontId="10" fillId="0" borderId="0" xfId="0" applyFont="1" applyProtection="1"/>
    <xf numFmtId="2" fontId="0" fillId="0" borderId="15" xfId="0" applyBorder="1" applyAlignment="1" applyProtection="1"/>
    <xf numFmtId="2" fontId="0" fillId="0" borderId="0" xfId="0" applyBorder="1" applyAlignment="1" applyProtection="1"/>
    <xf numFmtId="2" fontId="7" fillId="0" borderId="20" xfId="0" applyFont="1" applyBorder="1" applyAlignment="1" applyProtection="1">
      <alignment horizontal="left" vertical="center" wrapText="1"/>
    </xf>
    <xf numFmtId="2" fontId="0" fillId="0" borderId="21" xfId="0" applyBorder="1" applyAlignment="1" applyProtection="1">
      <alignment horizontal="left" vertical="center" wrapText="1"/>
    </xf>
    <xf numFmtId="2" fontId="7" fillId="0" borderId="1" xfId="0" applyFont="1" applyBorder="1" applyAlignment="1" applyProtection="1">
      <alignment vertical="center"/>
    </xf>
    <xf numFmtId="2" fontId="0" fillId="0" borderId="26" xfId="0" applyBorder="1" applyAlignment="1" applyProtection="1">
      <alignment vertical="center"/>
    </xf>
    <xf numFmtId="2" fontId="6" fillId="4" borderId="27" xfId="0" applyFont="1" applyFill="1" applyBorder="1" applyAlignment="1" applyProtection="1"/>
    <xf numFmtId="2" fontId="8" fillId="4" borderId="15" xfId="0" applyFont="1" applyFill="1" applyBorder="1" applyAlignment="1" applyProtection="1"/>
    <xf numFmtId="2" fontId="8" fillId="4" borderId="25" xfId="0" applyFont="1" applyFill="1" applyBorder="1" applyAlignment="1" applyProtection="1"/>
    <xf numFmtId="2" fontId="7" fillId="4" borderId="27" xfId="0" applyFont="1" applyFill="1" applyBorder="1" applyAlignment="1" applyProtection="1">
      <alignment horizontal="left" vertical="center"/>
    </xf>
    <xf numFmtId="2" fontId="7" fillId="4" borderId="15" xfId="0" applyFont="1" applyFill="1" applyBorder="1" applyAlignment="1" applyProtection="1">
      <alignment horizontal="left"/>
    </xf>
    <xf numFmtId="2" fontId="7" fillId="4" borderId="25"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6" fillId="0" borderId="0" xfId="0" applyFont="1" applyAlignment="1" applyProtection="1">
      <alignment vertical="center" wrapText="1"/>
    </xf>
    <xf numFmtId="2" fontId="7" fillId="0" borderId="0" xfId="0" applyFont="1" applyAlignment="1" applyProtection="1">
      <alignment vertical="center" wrapText="1"/>
    </xf>
    <xf numFmtId="2" fontId="7" fillId="0" borderId="0" xfId="0" quotePrefix="1" applyFont="1" applyAlignment="1" applyProtection="1">
      <alignment horizontal="right" vertical="top"/>
    </xf>
    <xf numFmtId="2" fontId="7" fillId="0" borderId="0" xfId="0" applyFont="1" applyAlignment="1" applyProtection="1">
      <alignment horizontal="left" vertical="center" wrapText="1" indent="1"/>
    </xf>
    <xf numFmtId="2" fontId="19" fillId="0" borderId="0" xfId="1" applyFont="1" applyAlignment="1" applyProtection="1">
      <alignment vertical="center" wrapText="1"/>
    </xf>
    <xf numFmtId="2" fontId="7" fillId="0" borderId="0" xfId="0" applyFont="1" applyAlignment="1" applyProtection="1">
      <alignment horizontal="left" vertical="top" wrapText="1" indent="1"/>
    </xf>
    <xf numFmtId="2" fontId="7" fillId="0" borderId="0" xfId="0" applyFont="1" applyAlignment="1" applyProtection="1">
      <alignment wrapText="1"/>
    </xf>
    <xf numFmtId="0" fontId="16" fillId="0" borderId="0" xfId="5" applyFont="1" applyProtection="1"/>
    <xf numFmtId="2" fontId="6" fillId="4" borderId="27" xfId="0" applyFont="1" applyFill="1" applyBorder="1" applyProtection="1"/>
    <xf numFmtId="2" fontId="6" fillId="3" borderId="6" xfId="0" applyFont="1" applyFill="1" applyBorder="1" applyAlignment="1" applyProtection="1">
      <alignment horizontal="center"/>
    </xf>
    <xf numFmtId="2" fontId="7" fillId="4" borderId="6" xfId="0" applyFont="1" applyFill="1" applyBorder="1" applyAlignment="1" applyProtection="1">
      <alignment horizontal="center"/>
    </xf>
    <xf numFmtId="2" fontId="6" fillId="4" borderId="31" xfId="0" applyFont="1" applyFill="1" applyBorder="1" applyAlignment="1" applyProtection="1">
      <alignment horizontal="center"/>
    </xf>
    <xf numFmtId="2" fontId="6" fillId="4" borderId="54" xfId="0" applyFont="1" applyFill="1" applyBorder="1" applyAlignment="1" applyProtection="1">
      <alignment horizontal="center"/>
    </xf>
    <xf numFmtId="2" fontId="6" fillId="4" borderId="47" xfId="0" applyFont="1" applyFill="1" applyBorder="1" applyAlignment="1" applyProtection="1">
      <alignment horizontal="center"/>
    </xf>
    <xf numFmtId="2" fontId="6" fillId="4" borderId="48" xfId="0" applyFont="1" applyFill="1" applyBorder="1" applyAlignment="1" applyProtection="1">
      <alignment horizontal="center"/>
    </xf>
    <xf numFmtId="2" fontId="29" fillId="0" borderId="12" xfId="0" applyFont="1" applyFill="1" applyBorder="1" applyAlignment="1" applyProtection="1"/>
    <xf numFmtId="2" fontId="29" fillId="0" borderId="6" xfId="0" applyFont="1" applyBorder="1" applyProtection="1"/>
    <xf numFmtId="2" fontId="29" fillId="0" borderId="8" xfId="0" applyFont="1" applyBorder="1" applyProtection="1"/>
    <xf numFmtId="2" fontId="29" fillId="0" borderId="55" xfId="0" applyFont="1" applyFill="1" applyBorder="1" applyAlignment="1" applyProtection="1"/>
    <xf numFmtId="4" fontId="29" fillId="0" borderId="56" xfId="0" applyNumberFormat="1" applyFont="1" applyFill="1" applyBorder="1" applyAlignment="1" applyProtection="1">
      <alignment horizontal="right"/>
    </xf>
    <xf numFmtId="2" fontId="29" fillId="0" borderId="56" xfId="0" applyFont="1" applyBorder="1" applyProtection="1"/>
    <xf numFmtId="2" fontId="29" fillId="0" borderId="57" xfId="0" applyFont="1" applyBorder="1" applyProtection="1"/>
    <xf numFmtId="2" fontId="30" fillId="0" borderId="36" xfId="0" applyFont="1" applyFill="1" applyBorder="1" applyAlignment="1" applyProtection="1"/>
    <xf numFmtId="4" fontId="30" fillId="0" borderId="58" xfId="0" applyNumberFormat="1" applyFont="1" applyFill="1" applyBorder="1" applyAlignment="1" applyProtection="1">
      <alignment horizontal="right"/>
    </xf>
    <xf numFmtId="4" fontId="30" fillId="0" borderId="37" xfId="0" applyNumberFormat="1" applyFont="1" applyFill="1" applyBorder="1" applyAlignment="1" applyProtection="1">
      <alignment horizontal="right"/>
    </xf>
    <xf numFmtId="2" fontId="7" fillId="0" borderId="0" xfId="0" applyFont="1" applyFill="1" applyBorder="1" applyProtection="1"/>
    <xf numFmtId="2" fontId="9" fillId="0" borderId="0" xfId="0" applyNumberFormat="1" applyFont="1" applyFill="1" applyBorder="1" applyAlignment="1" applyProtection="1">
      <alignment horizontal="left"/>
    </xf>
    <xf numFmtId="2" fontId="6" fillId="4" borderId="36" xfId="0" applyFont="1" applyFill="1" applyBorder="1" applyProtection="1"/>
    <xf numFmtId="2" fontId="6" fillId="4" borderId="59" xfId="0" applyFont="1" applyFill="1" applyBorder="1" applyAlignment="1" applyProtection="1">
      <alignment horizontal="center"/>
    </xf>
    <xf numFmtId="2" fontId="6" fillId="4" borderId="58" xfId="0" applyFont="1" applyFill="1" applyBorder="1" applyAlignment="1" applyProtection="1">
      <alignment horizontal="center"/>
    </xf>
    <xf numFmtId="2" fontId="6" fillId="4" borderId="37" xfId="0" applyFont="1" applyFill="1" applyBorder="1" applyAlignment="1" applyProtection="1">
      <alignment horizontal="center"/>
    </xf>
    <xf numFmtId="2" fontId="6" fillId="3" borderId="6" xfId="3" applyFont="1" applyFill="1" applyBorder="1" applyProtection="1"/>
    <xf numFmtId="2" fontId="7" fillId="4" borderId="6" xfId="3" applyFont="1" applyFill="1" applyBorder="1" applyAlignment="1" applyProtection="1">
      <alignment horizontal="left"/>
    </xf>
    <xf numFmtId="2" fontId="7" fillId="0" borderId="0" xfId="3" applyProtection="1"/>
    <xf numFmtId="164" fontId="6" fillId="0" borderId="0" xfId="3" applyNumberFormat="1" applyFont="1" applyFill="1" applyBorder="1" applyAlignment="1" applyProtection="1">
      <alignment horizontal="right" indent="3"/>
    </xf>
    <xf numFmtId="164" fontId="7" fillId="0" borderId="0" xfId="3" applyNumberFormat="1" applyFont="1" applyFill="1" applyBorder="1" applyAlignment="1" applyProtection="1">
      <alignment horizontal="right" indent="3"/>
    </xf>
    <xf numFmtId="2" fontId="16" fillId="0" borderId="0" xfId="3" applyFont="1" applyAlignment="1"/>
    <xf numFmtId="0" fontId="4" fillId="0" borderId="0" xfId="9" applyAlignment="1">
      <alignment horizontal="center"/>
    </xf>
    <xf numFmtId="0" fontId="4" fillId="0" borderId="0" xfId="9" applyAlignment="1"/>
    <xf numFmtId="0" fontId="31" fillId="4" borderId="6" xfId="9" applyFont="1" applyFill="1" applyBorder="1" applyAlignment="1"/>
    <xf numFmtId="0" fontId="31" fillId="4" borderId="6" xfId="9" applyFont="1" applyFill="1" applyBorder="1" applyAlignment="1">
      <alignment horizontal="center"/>
    </xf>
    <xf numFmtId="0" fontId="4" fillId="0" borderId="0" xfId="9" applyFont="1" applyAlignment="1">
      <alignment horizontal="left" vertical="center"/>
    </xf>
    <xf numFmtId="0" fontId="4" fillId="0" borderId="0" xfId="9" applyFont="1" applyAlignment="1"/>
    <xf numFmtId="0" fontId="32" fillId="0" borderId="0" xfId="1" applyNumberFormat="1" applyFont="1" applyAlignment="1">
      <alignment horizontal="left" vertical="center"/>
    </xf>
    <xf numFmtId="0" fontId="32" fillId="0" borderId="0" xfId="1" applyNumberFormat="1" applyFont="1" applyAlignment="1"/>
    <xf numFmtId="0" fontId="4" fillId="0" borderId="0" xfId="9" applyFont="1" applyAlignment="1">
      <alignment horizontal="center"/>
    </xf>
    <xf numFmtId="0" fontId="19" fillId="0" borderId="0" xfId="1" applyNumberFormat="1" applyAlignment="1">
      <alignment horizontal="left" vertical="center"/>
    </xf>
    <xf numFmtId="1" fontId="18" fillId="0" borderId="9" xfId="0" applyNumberFormat="1" applyFont="1" applyBorder="1" applyAlignment="1" applyProtection="1">
      <alignment horizontal="left"/>
      <protection locked="0"/>
    </xf>
    <xf numFmtId="0" fontId="18" fillId="0" borderId="8" xfId="0" applyNumberFormat="1" applyFont="1" applyBorder="1" applyProtection="1">
      <protection locked="0"/>
    </xf>
    <xf numFmtId="2" fontId="7" fillId="0" borderId="46" xfId="3" applyBorder="1" applyAlignment="1" applyProtection="1">
      <alignment horizontal="left" indent="2"/>
    </xf>
    <xf numFmtId="2" fontId="29" fillId="0" borderId="25" xfId="3" applyFont="1" applyBorder="1" applyProtection="1"/>
    <xf numFmtId="2" fontId="7" fillId="0" borderId="12" xfId="3" applyBorder="1" applyAlignment="1" applyProtection="1">
      <alignment horizontal="left" indent="2"/>
    </xf>
    <xf numFmtId="2" fontId="29" fillId="0" borderId="8" xfId="3" applyFont="1" applyBorder="1" applyProtection="1"/>
    <xf numFmtId="2" fontId="7" fillId="0" borderId="60" xfId="3" applyBorder="1" applyAlignment="1" applyProtection="1">
      <alignment horizontal="left" indent="2"/>
    </xf>
    <xf numFmtId="2" fontId="29" fillId="0" borderId="21" xfId="3" applyFont="1" applyBorder="1" applyProtection="1"/>
    <xf numFmtId="2" fontId="7" fillId="0" borderId="60" xfId="3" applyBorder="1" applyProtection="1"/>
    <xf numFmtId="2" fontId="29" fillId="0" borderId="17" xfId="3" applyFont="1" applyBorder="1" applyProtection="1"/>
    <xf numFmtId="2" fontId="7" fillId="0" borderId="61" xfId="3" applyBorder="1" applyProtection="1"/>
    <xf numFmtId="2" fontId="29" fillId="0" borderId="26" xfId="3" applyFont="1" applyBorder="1" applyAlignment="1" applyProtection="1">
      <alignment vertical="top"/>
    </xf>
    <xf numFmtId="2" fontId="7" fillId="0" borderId="0" xfId="3" applyAlignment="1" applyProtection="1">
      <alignment horizontal="center" vertical="center"/>
    </xf>
    <xf numFmtId="2" fontId="7" fillId="0" borderId="0" xfId="3" applyAlignment="1" applyProtection="1">
      <alignment horizontal="center"/>
    </xf>
    <xf numFmtId="2" fontId="7" fillId="0" borderId="27" xfId="3" applyBorder="1" applyProtection="1"/>
    <xf numFmtId="2" fontId="7" fillId="0" borderId="15" xfId="3" applyBorder="1" applyProtection="1"/>
    <xf numFmtId="2" fontId="7" fillId="0" borderId="25" xfId="3" applyBorder="1" applyProtection="1"/>
    <xf numFmtId="2" fontId="6" fillId="0" borderId="3" xfId="3" applyFont="1" applyBorder="1" applyAlignment="1" applyProtection="1">
      <alignment horizontal="right"/>
    </xf>
    <xf numFmtId="2" fontId="6" fillId="0" borderId="0" xfId="3" applyFont="1" applyBorder="1" applyAlignment="1" applyProtection="1">
      <alignment horizontal="left"/>
    </xf>
    <xf numFmtId="2" fontId="6" fillId="0" borderId="0" xfId="3" applyFont="1" applyBorder="1" applyProtection="1"/>
    <xf numFmtId="2" fontId="7" fillId="0" borderId="17" xfId="3" applyBorder="1" applyProtection="1"/>
    <xf numFmtId="2" fontId="7" fillId="0" borderId="3" xfId="3" applyBorder="1" applyProtection="1"/>
    <xf numFmtId="2" fontId="7" fillId="0" borderId="2" xfId="3" applyBorder="1" applyProtection="1"/>
    <xf numFmtId="2" fontId="7" fillId="0" borderId="1" xfId="3" applyBorder="1" applyProtection="1"/>
    <xf numFmtId="2" fontId="7" fillId="0" borderId="26" xfId="3" applyBorder="1" applyProtection="1"/>
    <xf numFmtId="2" fontId="6" fillId="0" borderId="0" xfId="3" applyFont="1" applyBorder="1" applyAlignment="1" applyProtection="1">
      <alignment horizontal="center" wrapText="1"/>
    </xf>
    <xf numFmtId="2" fontId="6" fillId="0" borderId="34" xfId="3" applyFont="1" applyBorder="1" applyAlignment="1" applyProtection="1">
      <alignment horizontal="center"/>
    </xf>
    <xf numFmtId="2" fontId="6" fillId="0" borderId="0" xfId="3" applyFont="1" applyBorder="1" applyAlignment="1" applyProtection="1">
      <alignment horizontal="center"/>
    </xf>
    <xf numFmtId="2" fontId="7" fillId="0" borderId="35" xfId="3" applyFont="1" applyFill="1" applyBorder="1" applyAlignment="1" applyProtection="1">
      <alignment horizontal="center"/>
    </xf>
    <xf numFmtId="2" fontId="7" fillId="0" borderId="0" xfId="3" applyFill="1" applyBorder="1" applyAlignment="1" applyProtection="1">
      <alignment horizontal="center"/>
    </xf>
    <xf numFmtId="2" fontId="7" fillId="0" borderId="27" xfId="3" applyNumberFormat="1" applyBorder="1" applyAlignment="1" applyProtection="1">
      <alignment horizontal="left" indent="1"/>
    </xf>
    <xf numFmtId="2" fontId="7" fillId="0" borderId="38" xfId="3" applyNumberFormat="1" applyBorder="1" applyAlignment="1" applyProtection="1">
      <alignment horizontal="left" indent="1"/>
    </xf>
    <xf numFmtId="167" fontId="9" fillId="0" borderId="28" xfId="3" applyNumberFormat="1" applyFont="1" applyBorder="1" applyAlignment="1" applyProtection="1">
      <alignment horizontal="right" indent="3"/>
    </xf>
    <xf numFmtId="2" fontId="7" fillId="0" borderId="15" xfId="3" applyNumberFormat="1" applyBorder="1" applyProtection="1"/>
    <xf numFmtId="166" fontId="9" fillId="0" borderId="28" xfId="3" applyNumberFormat="1" applyFont="1" applyBorder="1" applyAlignment="1" applyProtection="1">
      <alignment horizontal="right" indent="3"/>
    </xf>
    <xf numFmtId="2" fontId="7" fillId="0" borderId="41" xfId="3" applyBorder="1" applyProtection="1"/>
    <xf numFmtId="2" fontId="7" fillId="0" borderId="0" xfId="3" applyBorder="1" applyAlignment="1" applyProtection="1">
      <alignment horizontal="center"/>
    </xf>
    <xf numFmtId="2" fontId="6" fillId="0" borderId="3" xfId="3" applyNumberFormat="1" applyFont="1" applyBorder="1" applyAlignment="1" applyProtection="1">
      <alignment horizontal="left" indent="3"/>
    </xf>
    <xf numFmtId="2" fontId="6" fillId="0" borderId="29" xfId="3" applyNumberFormat="1" applyFont="1" applyBorder="1" applyAlignment="1" applyProtection="1">
      <alignment horizontal="left" indent="1"/>
    </xf>
    <xf numFmtId="4" fontId="6" fillId="0" borderId="4" xfId="3" applyNumberFormat="1" applyFont="1" applyBorder="1" applyAlignment="1" applyProtection="1">
      <alignment horizontal="right" indent="7"/>
    </xf>
    <xf numFmtId="2" fontId="7" fillId="0" borderId="0" xfId="3" applyBorder="1" applyProtection="1"/>
    <xf numFmtId="164" fontId="6" fillId="0" borderId="4" xfId="3" applyNumberFormat="1" applyFont="1" applyBorder="1" applyAlignment="1" applyProtection="1">
      <alignment horizontal="right" indent="7"/>
    </xf>
    <xf numFmtId="164" fontId="6" fillId="0" borderId="17" xfId="3" applyNumberFormat="1" applyFont="1" applyFill="1" applyBorder="1" applyAlignment="1" applyProtection="1">
      <alignment horizontal="right" indent="8"/>
    </xf>
    <xf numFmtId="2" fontId="7" fillId="0" borderId="3" xfId="3" applyBorder="1" applyAlignment="1" applyProtection="1">
      <alignment horizontal="left" indent="3"/>
    </xf>
    <xf numFmtId="2" fontId="7" fillId="0" borderId="29" xfId="3" applyBorder="1" applyAlignment="1" applyProtection="1">
      <alignment horizontal="left" indent="1"/>
    </xf>
    <xf numFmtId="167" fontId="6" fillId="0" borderId="0" xfId="3" applyNumberFormat="1" applyFont="1" applyBorder="1" applyAlignment="1" applyProtection="1">
      <alignment horizontal="right" indent="8"/>
    </xf>
    <xf numFmtId="164" fontId="6" fillId="0" borderId="4" xfId="3" applyNumberFormat="1" applyFont="1" applyBorder="1" applyAlignment="1" applyProtection="1">
      <alignment horizontal="right" indent="8"/>
    </xf>
    <xf numFmtId="167" fontId="6" fillId="0" borderId="4" xfId="3" applyNumberFormat="1" applyFont="1" applyBorder="1" applyAlignment="1" applyProtection="1">
      <alignment horizontal="right" indent="7"/>
    </xf>
    <xf numFmtId="2" fontId="7" fillId="0" borderId="3" xfId="3" applyNumberFormat="1" applyBorder="1" applyAlignment="1" applyProtection="1">
      <alignment horizontal="left" indent="3"/>
    </xf>
    <xf numFmtId="2" fontId="7" fillId="0" borderId="29" xfId="3" applyNumberFormat="1" applyBorder="1" applyAlignment="1" applyProtection="1">
      <alignment horizontal="left" indent="1"/>
    </xf>
    <xf numFmtId="2" fontId="7" fillId="0" borderId="3" xfId="3" applyNumberFormat="1" applyFont="1" applyBorder="1" applyAlignment="1" applyProtection="1">
      <alignment horizontal="left" indent="3"/>
    </xf>
    <xf numFmtId="2" fontId="7" fillId="0" borderId="29" xfId="3" applyNumberFormat="1" applyFont="1" applyBorder="1" applyAlignment="1" applyProtection="1">
      <alignment horizontal="left" indent="1"/>
    </xf>
    <xf numFmtId="164" fontId="7" fillId="0" borderId="17" xfId="3" applyNumberFormat="1" applyFont="1" applyFill="1" applyBorder="1" applyAlignment="1" applyProtection="1">
      <alignment horizontal="right" indent="8"/>
    </xf>
    <xf numFmtId="2" fontId="6" fillId="0" borderId="3" xfId="3" applyFont="1" applyBorder="1" applyAlignment="1" applyProtection="1">
      <alignment horizontal="left" indent="3"/>
    </xf>
    <xf numFmtId="2" fontId="6" fillId="0" borderId="29" xfId="3" applyFont="1" applyBorder="1" applyAlignment="1" applyProtection="1">
      <alignment horizontal="left" indent="1"/>
    </xf>
    <xf numFmtId="2" fontId="7" fillId="0" borderId="3" xfId="3" applyBorder="1" applyAlignment="1" applyProtection="1">
      <alignment horizontal="left" indent="1"/>
    </xf>
    <xf numFmtId="2" fontId="7" fillId="0" borderId="40" xfId="3" applyBorder="1" applyAlignment="1" applyProtection="1">
      <alignment horizontal="left" indent="1"/>
    </xf>
    <xf numFmtId="167" fontId="9" fillId="0" borderId="4" xfId="3" applyNumberFormat="1" applyFont="1" applyBorder="1" applyAlignment="1" applyProtection="1">
      <alignment horizontal="right" indent="6"/>
    </xf>
    <xf numFmtId="166" fontId="9" fillId="0" borderId="4" xfId="3" applyNumberFormat="1" applyFont="1" applyBorder="1" applyAlignment="1" applyProtection="1">
      <alignment horizontal="right" indent="3"/>
    </xf>
    <xf numFmtId="2" fontId="7" fillId="0" borderId="33" xfId="3" applyBorder="1" applyProtection="1"/>
    <xf numFmtId="164" fontId="7" fillId="0" borderId="0" xfId="3" applyNumberFormat="1" applyFont="1" applyFill="1" applyBorder="1" applyAlignment="1" applyProtection="1">
      <alignment horizontal="center"/>
    </xf>
    <xf numFmtId="164" fontId="6" fillId="0" borderId="0" xfId="3" applyNumberFormat="1" applyFont="1" applyFill="1" applyBorder="1" applyAlignment="1" applyProtection="1">
      <alignment horizontal="center"/>
    </xf>
    <xf numFmtId="2" fontId="6" fillId="0" borderId="3" xfId="3" applyFont="1" applyBorder="1" applyAlignment="1" applyProtection="1">
      <alignment horizontal="center"/>
    </xf>
    <xf numFmtId="2" fontId="6" fillId="0" borderId="17" xfId="3" applyFont="1" applyBorder="1" applyAlignment="1" applyProtection="1">
      <alignment horizontal="center"/>
    </xf>
    <xf numFmtId="2" fontId="6" fillId="0" borderId="0" xfId="3" applyFont="1" applyFill="1" applyBorder="1" applyAlignment="1" applyProtection="1">
      <alignment horizontal="right" vertical="center"/>
    </xf>
    <xf numFmtId="2" fontId="7" fillId="0" borderId="0" xfId="3" applyFont="1" applyBorder="1" applyProtection="1"/>
    <xf numFmtId="2" fontId="7" fillId="0" borderId="0" xfId="3" applyFill="1" applyBorder="1" applyAlignment="1" applyProtection="1">
      <alignment horizontal="right" vertical="center"/>
    </xf>
    <xf numFmtId="2" fontId="26" fillId="0" borderId="15" xfId="3" applyFont="1" applyBorder="1" applyAlignment="1" applyProtection="1">
      <alignment horizontal="left" indent="3"/>
    </xf>
    <xf numFmtId="2" fontId="35" fillId="0" borderId="15" xfId="3" applyFont="1" applyBorder="1" applyProtection="1"/>
    <xf numFmtId="2" fontId="34" fillId="0" borderId="15" xfId="3" applyFont="1" applyBorder="1" applyProtection="1"/>
    <xf numFmtId="2" fontId="26" fillId="0" borderId="0" xfId="3" applyFont="1" applyBorder="1" applyAlignment="1" applyProtection="1">
      <alignment horizontal="left" indent="3"/>
    </xf>
    <xf numFmtId="2" fontId="35" fillId="0" borderId="0" xfId="3" applyFont="1" applyBorder="1" applyProtection="1"/>
    <xf numFmtId="2" fontId="34" fillId="0" borderId="0" xfId="3" applyFont="1" applyBorder="1" applyProtection="1"/>
    <xf numFmtId="164" fontId="6" fillId="0" borderId="0" xfId="0" applyNumberFormat="1" applyFont="1" applyBorder="1" applyAlignment="1" applyProtection="1">
      <alignment horizontal="right" indent="7"/>
    </xf>
    <xf numFmtId="2" fontId="0" fillId="0" borderId="8" xfId="0" applyBorder="1" applyAlignment="1" applyProtection="1">
      <alignment horizontal="left" vertical="center"/>
    </xf>
    <xf numFmtId="2" fontId="7" fillId="0" borderId="49" xfId="0" applyFont="1" applyBorder="1" applyAlignment="1" applyProtection="1">
      <alignment horizontal="left" vertical="center"/>
    </xf>
    <xf numFmtId="2" fontId="7" fillId="0" borderId="66" xfId="0" applyFont="1" applyFill="1" applyBorder="1" applyAlignment="1" applyProtection="1">
      <alignment horizontal="left" vertical="center" wrapText="1"/>
    </xf>
    <xf numFmtId="2" fontId="7" fillId="0" borderId="67" xfId="0" applyFont="1" applyFill="1" applyBorder="1" applyAlignment="1" applyProtection="1">
      <alignment horizontal="left"/>
    </xf>
    <xf numFmtId="2" fontId="7" fillId="0" borderId="67" xfId="0" applyFont="1" applyBorder="1" applyAlignment="1" applyProtection="1">
      <alignment vertical="center"/>
    </xf>
    <xf numFmtId="2" fontId="7" fillId="0" borderId="67" xfId="0" applyFont="1" applyBorder="1" applyAlignment="1" applyProtection="1">
      <alignment vertical="center" wrapText="1"/>
    </xf>
    <xf numFmtId="2" fontId="7" fillId="0" borderId="68" xfId="0" applyFont="1" applyBorder="1" applyAlignment="1" applyProtection="1">
      <alignment vertical="center"/>
    </xf>
    <xf numFmtId="2" fontId="7" fillId="0" borderId="69" xfId="0" applyFont="1" applyFill="1" applyBorder="1" applyAlignment="1" applyProtection="1">
      <alignment vertical="center"/>
    </xf>
    <xf numFmtId="2" fontId="7" fillId="0" borderId="30" xfId="0" applyFont="1" applyBorder="1" applyProtection="1"/>
    <xf numFmtId="2" fontId="18" fillId="0" borderId="32" xfId="0" applyFont="1" applyBorder="1" applyAlignment="1" applyProtection="1">
      <alignment horizontal="center"/>
      <protection locked="0"/>
    </xf>
    <xf numFmtId="2" fontId="7" fillId="0" borderId="12" xfId="0" applyFont="1" applyBorder="1" applyProtection="1"/>
    <xf numFmtId="2" fontId="18" fillId="0" borderId="8" xfId="0" applyFont="1" applyBorder="1" applyAlignment="1" applyProtection="1">
      <alignment horizontal="center"/>
    </xf>
    <xf numFmtId="2" fontId="18" fillId="0" borderId="8" xfId="0" applyFont="1" applyBorder="1" applyAlignment="1" applyProtection="1">
      <alignment horizontal="center"/>
      <protection locked="0"/>
    </xf>
    <xf numFmtId="2" fontId="0" fillId="0" borderId="12" xfId="0" applyBorder="1" applyProtection="1"/>
    <xf numFmtId="2" fontId="0" fillId="0" borderId="8" xfId="0" applyBorder="1" applyAlignment="1" applyProtection="1">
      <alignment horizontal="center"/>
    </xf>
    <xf numFmtId="2" fontId="0" fillId="0" borderId="22" xfId="0" applyBorder="1" applyProtection="1"/>
    <xf numFmtId="2" fontId="0" fillId="0" borderId="9" xfId="0" applyBorder="1" applyAlignment="1" applyProtection="1">
      <alignment horizontal="center"/>
    </xf>
    <xf numFmtId="2" fontId="18" fillId="0" borderId="10" xfId="0" applyFont="1" applyFill="1" applyBorder="1" applyAlignment="1" applyProtection="1">
      <alignment horizontal="center" vertical="center" wrapText="1"/>
      <protection locked="0"/>
    </xf>
    <xf numFmtId="2" fontId="7" fillId="0" borderId="36" xfId="0" applyFont="1" applyFill="1" applyBorder="1" applyAlignment="1" applyProtection="1">
      <alignment vertical="center" wrapText="1"/>
    </xf>
    <xf numFmtId="2" fontId="18" fillId="0" borderId="44" xfId="0" applyFont="1" applyBorder="1" applyAlignment="1" applyProtection="1">
      <alignment horizontal="center" vertical="center" wrapText="1"/>
      <protection locked="0"/>
    </xf>
    <xf numFmtId="2" fontId="18" fillId="0" borderId="24" xfId="0" applyFont="1" applyBorder="1" applyAlignment="1" applyProtection="1">
      <alignment horizontal="center" vertical="center" wrapText="1"/>
      <protection locked="0"/>
    </xf>
    <xf numFmtId="2" fontId="7" fillId="0" borderId="30" xfId="0" applyFont="1" applyFill="1" applyBorder="1" applyAlignment="1" applyProtection="1">
      <alignment vertical="center" wrapText="1"/>
    </xf>
    <xf numFmtId="2" fontId="7" fillId="0" borderId="12" xfId="0" applyFont="1" applyFill="1" applyBorder="1" applyAlignment="1" applyProtection="1">
      <alignment horizontal="left" vertical="center" wrapText="1" indent="1"/>
    </xf>
    <xf numFmtId="2" fontId="6" fillId="4" borderId="27" xfId="3" applyFont="1" applyFill="1" applyBorder="1" applyProtection="1"/>
    <xf numFmtId="2" fontId="6" fillId="4" borderId="25" xfId="3" applyFont="1" applyFill="1" applyBorder="1" applyProtection="1"/>
    <xf numFmtId="2" fontId="6" fillId="3" borderId="6" xfId="3" applyFont="1" applyFill="1" applyBorder="1" applyAlignment="1" applyProtection="1">
      <alignment horizontal="center"/>
    </xf>
    <xf numFmtId="2" fontId="7" fillId="0" borderId="12" xfId="3" applyFont="1" applyBorder="1" applyAlignment="1" applyProtection="1">
      <alignment vertical="center" wrapText="1"/>
    </xf>
    <xf numFmtId="2" fontId="7" fillId="4" borderId="6" xfId="3" applyFont="1" applyFill="1" applyBorder="1" applyAlignment="1" applyProtection="1">
      <alignment horizontal="center"/>
    </xf>
    <xf numFmtId="2" fontId="7" fillId="0" borderId="55" xfId="3" applyFont="1" applyBorder="1" applyAlignment="1" applyProtection="1">
      <alignment wrapText="1"/>
    </xf>
    <xf numFmtId="9" fontId="0" fillId="0" borderId="0" xfId="8" applyFont="1" applyProtection="1"/>
    <xf numFmtId="2" fontId="7" fillId="0" borderId="22" xfId="3" applyFont="1" applyBorder="1" applyProtection="1"/>
    <xf numFmtId="9" fontId="7" fillId="4" borderId="6" xfId="8" applyFont="1" applyFill="1" applyBorder="1" applyAlignment="1" applyProtection="1">
      <alignment horizontal="center"/>
    </xf>
    <xf numFmtId="2" fontId="7" fillId="0" borderId="55" xfId="0" applyFont="1" applyBorder="1" applyAlignment="1" applyProtection="1">
      <alignment vertical="center" wrapText="1"/>
    </xf>
    <xf numFmtId="2" fontId="18" fillId="0" borderId="8" xfId="0" applyFont="1" applyBorder="1" applyAlignment="1" applyProtection="1">
      <alignment horizontal="center" vertical="center" wrapText="1"/>
      <protection locked="0"/>
    </xf>
    <xf numFmtId="2" fontId="18" fillId="0" borderId="8" xfId="0" applyFont="1" applyBorder="1" applyAlignment="1" applyProtection="1">
      <alignment horizontal="center" vertical="center"/>
      <protection locked="0"/>
    </xf>
    <xf numFmtId="2" fontId="29" fillId="0" borderId="52" xfId="0" applyFont="1" applyFill="1" applyBorder="1" applyAlignment="1" applyProtection="1">
      <alignment horizontal="center" vertical="center" wrapText="1"/>
    </xf>
    <xf numFmtId="2" fontId="6" fillId="4" borderId="45" xfId="0" applyFont="1" applyFill="1" applyBorder="1" applyAlignment="1">
      <alignment horizontal="center"/>
    </xf>
    <xf numFmtId="2" fontId="7" fillId="0" borderId="22" xfId="0" applyFont="1" applyBorder="1" applyAlignment="1" applyProtection="1">
      <alignment horizontal="left" indent="1"/>
    </xf>
    <xf numFmtId="2" fontId="0" fillId="0" borderId="6" xfId="0" applyFill="1" applyBorder="1" applyAlignment="1">
      <alignment horizontal="center"/>
    </xf>
    <xf numFmtId="2" fontId="7" fillId="0" borderId="6" xfId="0" applyFont="1" applyFill="1" applyBorder="1" applyAlignment="1">
      <alignment horizontal="center"/>
    </xf>
    <xf numFmtId="2" fontId="7" fillId="0" borderId="8" xfId="0" applyFont="1" applyFill="1" applyBorder="1"/>
    <xf numFmtId="2" fontId="7" fillId="0" borderId="9" xfId="0" applyFont="1" applyFill="1" applyBorder="1"/>
    <xf numFmtId="2" fontId="6" fillId="4" borderId="30" xfId="0" applyFont="1" applyFill="1" applyBorder="1"/>
    <xf numFmtId="2" fontId="6" fillId="4" borderId="31" xfId="0" applyFont="1" applyFill="1" applyBorder="1"/>
    <xf numFmtId="2" fontId="6" fillId="4" borderId="31" xfId="0" applyFont="1" applyFill="1" applyBorder="1" applyAlignment="1">
      <alignment horizontal="center"/>
    </xf>
    <xf numFmtId="2" fontId="6" fillId="4" borderId="32" xfId="0" applyFont="1" applyFill="1" applyBorder="1"/>
    <xf numFmtId="2" fontId="7" fillId="0" borderId="24" xfId="0" applyFont="1" applyBorder="1"/>
    <xf numFmtId="2" fontId="7" fillId="0" borderId="49" xfId="0" applyFont="1" applyBorder="1"/>
    <xf numFmtId="2" fontId="6" fillId="4" borderId="12" xfId="0" applyFont="1" applyFill="1" applyBorder="1" applyAlignment="1">
      <alignment horizontal="left"/>
    </xf>
    <xf numFmtId="2" fontId="0" fillId="0" borderId="22" xfId="0" applyFill="1" applyBorder="1"/>
    <xf numFmtId="2" fontId="7" fillId="4" borderId="6" xfId="3" applyFill="1" applyBorder="1" applyAlignment="1" applyProtection="1">
      <alignment horizontal="center"/>
    </xf>
    <xf numFmtId="164" fontId="18" fillId="0" borderId="24" xfId="0" applyNumberFormat="1" applyFont="1" applyBorder="1" applyAlignment="1" applyProtection="1">
      <alignment horizontal="center" vertical="center" wrapText="1"/>
      <protection locked="0"/>
    </xf>
    <xf numFmtId="168" fontId="29" fillId="0" borderId="24" xfId="10" applyNumberFormat="1" applyFont="1" applyFill="1" applyBorder="1" applyAlignment="1" applyProtection="1">
      <alignment horizontal="center" vertical="center" wrapText="1"/>
    </xf>
    <xf numFmtId="168" fontId="29" fillId="0" borderId="24" xfId="0" applyNumberFormat="1" applyFont="1" applyFill="1" applyBorder="1" applyAlignment="1" applyProtection="1">
      <alignment horizontal="center" vertical="center" wrapText="1"/>
    </xf>
    <xf numFmtId="168" fontId="29" fillId="0" borderId="9" xfId="8" applyNumberFormat="1" applyFont="1" applyBorder="1" applyAlignment="1" applyProtection="1">
      <alignment horizontal="center" vertical="center"/>
    </xf>
    <xf numFmtId="2" fontId="37" fillId="0" borderId="9" xfId="0" applyFont="1" applyBorder="1"/>
    <xf numFmtId="1" fontId="7" fillId="0" borderId="7" xfId="0" applyNumberFormat="1" applyFont="1" applyBorder="1" applyAlignment="1">
      <alignment horizontal="center" vertical="center"/>
    </xf>
    <xf numFmtId="1" fontId="0" fillId="0" borderId="7" xfId="0" applyNumberFormat="1" applyBorder="1" applyAlignment="1">
      <alignment horizontal="center" vertical="center"/>
    </xf>
    <xf numFmtId="0" fontId="3" fillId="0" borderId="0" xfId="9" applyFont="1" applyAlignment="1"/>
    <xf numFmtId="168" fontId="29" fillId="0" borderId="24" xfId="0" applyNumberFormat="1" applyFont="1" applyBorder="1" applyAlignment="1" applyProtection="1">
      <alignment horizontal="center" vertical="center" wrapText="1"/>
    </xf>
    <xf numFmtId="2" fontId="0" fillId="4" borderId="6" xfId="0" applyFill="1" applyBorder="1" applyAlignment="1" applyProtection="1">
      <alignment horizontal="center"/>
    </xf>
    <xf numFmtId="2" fontId="19" fillId="0" borderId="0" xfId="1" applyProtection="1"/>
    <xf numFmtId="2" fontId="0" fillId="4" borderId="6" xfId="0" applyFill="1" applyBorder="1" applyProtection="1"/>
    <xf numFmtId="2" fontId="7" fillId="0" borderId="14" xfId="0" applyFont="1" applyFill="1" applyBorder="1" applyAlignment="1" applyProtection="1">
      <alignment horizontal="left" vertical="center" wrapText="1" indent="1"/>
    </xf>
    <xf numFmtId="2" fontId="18" fillId="0" borderId="74" xfId="0" applyFont="1" applyBorder="1" applyAlignment="1" applyProtection="1">
      <alignment horizontal="center" vertical="center" wrapText="1"/>
      <protection locked="0"/>
    </xf>
    <xf numFmtId="2" fontId="0" fillId="0" borderId="0" xfId="0" applyProtection="1"/>
    <xf numFmtId="2" fontId="7" fillId="0" borderId="12" xfId="0" applyFont="1" applyBorder="1" applyAlignment="1" applyProtection="1">
      <alignment vertical="center" wrapText="1"/>
    </xf>
    <xf numFmtId="2" fontId="7" fillId="0" borderId="30" xfId="0" applyFont="1" applyBorder="1" applyAlignment="1" applyProtection="1">
      <alignment vertical="center" wrapText="1"/>
    </xf>
    <xf numFmtId="2" fontId="7" fillId="0" borderId="22" xfId="0" applyFont="1" applyBorder="1" applyAlignment="1" applyProtection="1">
      <alignment vertical="center" wrapText="1"/>
    </xf>
    <xf numFmtId="2" fontId="6" fillId="3" borderId="6" xfId="0" applyFont="1" applyFill="1" applyBorder="1" applyProtection="1"/>
    <xf numFmtId="4" fontId="18" fillId="0" borderId="8" xfId="3" applyNumberFormat="1" applyFont="1" applyBorder="1" applyAlignment="1" applyProtection="1">
      <alignment horizontal="center" vertical="center"/>
      <protection locked="0"/>
    </xf>
    <xf numFmtId="164" fontId="18" fillId="0" borderId="8" xfId="8" applyNumberFormat="1" applyFont="1" applyBorder="1" applyAlignment="1" applyProtection="1">
      <alignment horizontal="center" vertical="center"/>
      <protection locked="0"/>
    </xf>
    <xf numFmtId="2" fontId="7" fillId="0" borderId="14" xfId="0" applyFont="1" applyBorder="1" applyAlignment="1" applyProtection="1">
      <alignment vertical="center" wrapText="1"/>
    </xf>
    <xf numFmtId="2" fontId="0" fillId="0" borderId="6" xfId="0" quotePrefix="1" applyBorder="1" applyAlignment="1" applyProtection="1">
      <alignment horizontal="center" vertical="center"/>
      <protection locked="0"/>
    </xf>
    <xf numFmtId="2" fontId="0" fillId="0" borderId="6" xfId="0" applyBorder="1" applyAlignment="1" applyProtection="1">
      <alignment horizontal="center" vertical="center" wrapText="1"/>
      <protection locked="0"/>
    </xf>
    <xf numFmtId="2" fontId="6" fillId="4" borderId="6" xfId="3" applyFont="1" applyFill="1" applyBorder="1"/>
    <xf numFmtId="2" fontId="7" fillId="0" borderId="6" xfId="3" applyFont="1" applyBorder="1"/>
    <xf numFmtId="2" fontId="6" fillId="4" borderId="2" xfId="0" applyFont="1" applyFill="1" applyBorder="1" applyAlignment="1" applyProtection="1">
      <alignment horizontal="left" vertical="center" wrapText="1"/>
    </xf>
    <xf numFmtId="2" fontId="6" fillId="4" borderId="26" xfId="0" applyFont="1" applyFill="1" applyBorder="1" applyAlignment="1" applyProtection="1">
      <alignment horizontal="left" vertical="center" wrapText="1"/>
    </xf>
    <xf numFmtId="2" fontId="7" fillId="0" borderId="0" xfId="0" applyFont="1" applyFill="1" applyBorder="1" applyAlignment="1" applyProtection="1">
      <alignment horizontal="center"/>
    </xf>
    <xf numFmtId="164" fontId="7" fillId="0" borderId="6" xfId="3" applyNumberFormat="1" applyBorder="1"/>
    <xf numFmtId="164" fontId="7" fillId="0" borderId="6" xfId="3" applyNumberFormat="1" applyFont="1" applyBorder="1"/>
    <xf numFmtId="2" fontId="6" fillId="4" borderId="6" xfId="3" applyFont="1" applyFill="1" applyBorder="1" applyAlignment="1">
      <alignment wrapText="1"/>
    </xf>
    <xf numFmtId="165" fontId="0" fillId="0" borderId="7" xfId="0" applyNumberFormat="1" applyBorder="1" applyAlignment="1">
      <alignment horizontal="center" vertical="center"/>
    </xf>
    <xf numFmtId="1" fontId="7" fillId="0" borderId="9" xfId="0" applyNumberFormat="1" applyFont="1" applyBorder="1" applyAlignment="1">
      <alignment horizontal="left" vertical="center"/>
    </xf>
    <xf numFmtId="2" fontId="6" fillId="0" borderId="0" xfId="0" applyFont="1" applyFill="1" applyBorder="1" applyAlignment="1" applyProtection="1">
      <alignment horizontal="center"/>
    </xf>
    <xf numFmtId="2" fontId="7" fillId="0" borderId="61" xfId="0" applyFont="1" applyBorder="1" applyAlignment="1" applyProtection="1">
      <alignment vertical="center" wrapText="1"/>
    </xf>
    <xf numFmtId="2" fontId="29" fillId="0" borderId="51" xfId="0" applyFont="1" applyFill="1" applyBorder="1" applyAlignment="1" applyProtection="1">
      <alignment horizontal="center" vertical="center" wrapText="1"/>
    </xf>
    <xf numFmtId="4" fontId="18" fillId="0" borderId="44" xfId="0" applyNumberFormat="1" applyFont="1" applyBorder="1" applyAlignment="1" applyProtection="1">
      <alignment horizontal="center" vertical="center" wrapText="1"/>
      <protection locked="0"/>
    </xf>
    <xf numFmtId="2" fontId="7" fillId="0" borderId="42" xfId="0" applyFont="1" applyBorder="1" applyAlignment="1" applyProtection="1">
      <alignment vertical="center" wrapText="1"/>
    </xf>
    <xf numFmtId="2" fontId="18" fillId="0" borderId="32" xfId="0" applyFont="1" applyBorder="1" applyAlignment="1" applyProtection="1">
      <alignment horizontal="center" vertical="center" wrapText="1"/>
      <protection locked="0"/>
    </xf>
    <xf numFmtId="2" fontId="7" fillId="0" borderId="0" xfId="3" applyFont="1" applyBorder="1"/>
    <xf numFmtId="2" fontId="0" fillId="0" borderId="0" xfId="0" applyFill="1" applyProtection="1"/>
    <xf numFmtId="2" fontId="6" fillId="3" borderId="6" xfId="3" applyFont="1" applyFill="1" applyBorder="1" applyAlignment="1" applyProtection="1">
      <alignment horizontal="left"/>
    </xf>
    <xf numFmtId="2" fontId="0" fillId="4" borderId="6" xfId="0" applyFill="1" applyBorder="1" applyAlignment="1" applyProtection="1">
      <alignment horizontal="left" vertical="center"/>
    </xf>
    <xf numFmtId="2" fontId="7" fillId="4" borderId="6" xfId="0" applyFont="1" applyFill="1" applyBorder="1" applyAlignment="1" applyProtection="1">
      <alignment horizontal="left" vertical="center" wrapText="1"/>
    </xf>
    <xf numFmtId="2" fontId="7" fillId="4" borderId="6" xfId="0" applyFont="1" applyFill="1" applyBorder="1" applyAlignment="1" applyProtection="1">
      <alignment horizontal="left" vertical="center"/>
    </xf>
    <xf numFmtId="2" fontId="7" fillId="4" borderId="6" xfId="3" applyFill="1" applyBorder="1" applyAlignment="1" applyProtection="1">
      <alignment horizontal="left" vertical="center"/>
    </xf>
    <xf numFmtId="2" fontId="7" fillId="4" borderId="6" xfId="3" applyFill="1" applyBorder="1" applyAlignment="1" applyProtection="1">
      <alignment horizontal="left" vertical="center" wrapText="1"/>
    </xf>
    <xf numFmtId="2" fontId="0" fillId="4" borderId="6" xfId="0" applyFill="1" applyBorder="1" applyAlignment="1" applyProtection="1">
      <alignment horizontal="left" vertical="center" wrapText="1"/>
    </xf>
    <xf numFmtId="164" fontId="18" fillId="0" borderId="8" xfId="3" applyNumberFormat="1" applyFont="1" applyBorder="1" applyAlignment="1" applyProtection="1">
      <alignment horizontal="center" vertical="center"/>
      <protection locked="0"/>
    </xf>
    <xf numFmtId="168" fontId="29" fillId="0" borderId="8" xfId="3" applyNumberFormat="1" applyFont="1" applyBorder="1" applyAlignment="1" applyProtection="1">
      <alignment horizontal="center" vertical="center"/>
    </xf>
    <xf numFmtId="2" fontId="7" fillId="0" borderId="12" xfId="3" applyBorder="1" applyAlignment="1" applyProtection="1">
      <alignment wrapText="1"/>
    </xf>
    <xf numFmtId="2" fontId="7" fillId="0" borderId="12" xfId="3" applyFill="1" applyBorder="1" applyAlignment="1" applyProtection="1">
      <alignment wrapText="1"/>
    </xf>
    <xf numFmtId="2" fontId="7" fillId="0" borderId="22" xfId="3" applyBorder="1" applyAlignment="1" applyProtection="1">
      <alignment wrapText="1"/>
    </xf>
    <xf numFmtId="2" fontId="29" fillId="0" borderId="56" xfId="0" applyFont="1" applyBorder="1" applyAlignment="1" applyProtection="1">
      <alignment horizontal="right"/>
    </xf>
    <xf numFmtId="2" fontId="7" fillId="0" borderId="0" xfId="0" applyFont="1" applyAlignment="1" applyProtection="1">
      <alignment horizontal="left" vertical="center" wrapText="1"/>
    </xf>
    <xf numFmtId="2" fontId="17" fillId="0" borderId="0" xfId="0" applyFont="1" applyAlignment="1" applyProtection="1">
      <alignment horizontal="left" vertical="top"/>
    </xf>
    <xf numFmtId="2" fontId="7" fillId="0" borderId="20" xfId="0" applyFont="1" applyBorder="1" applyAlignment="1" applyProtection="1">
      <alignment horizontal="left" vertical="center"/>
    </xf>
    <xf numFmtId="2" fontId="0" fillId="0" borderId="21" xfId="0" applyBorder="1" applyAlignment="1" applyProtection="1">
      <alignment horizontal="left" vertical="center"/>
    </xf>
    <xf numFmtId="2" fontId="6" fillId="4" borderId="11"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6" fillId="0" borderId="4" xfId="3" applyFont="1" applyBorder="1" applyAlignment="1" applyProtection="1">
      <alignment horizontal="center"/>
    </xf>
    <xf numFmtId="2" fontId="18" fillId="0" borderId="8" xfId="3" applyFont="1" applyBorder="1" applyAlignment="1" applyProtection="1">
      <alignment horizontal="center" vertical="center"/>
      <protection locked="0"/>
    </xf>
    <xf numFmtId="2" fontId="18" fillId="0" borderId="9" xfId="3" applyFont="1" applyBorder="1" applyAlignment="1" applyProtection="1">
      <alignment horizontal="center" vertical="center"/>
      <protection locked="0"/>
    </xf>
    <xf numFmtId="2" fontId="7" fillId="4" borderId="6" xfId="3" applyFont="1" applyFill="1" applyBorder="1" applyAlignment="1" applyProtection="1">
      <alignment horizontal="center" vertical="center"/>
    </xf>
    <xf numFmtId="2" fontId="18" fillId="0" borderId="32" xfId="0" applyFont="1" applyFill="1" applyBorder="1" applyAlignment="1" applyProtection="1">
      <alignment horizontal="center" vertical="center" wrapText="1"/>
      <protection locked="0"/>
    </xf>
    <xf numFmtId="0" fontId="1" fillId="0" borderId="0" xfId="9" applyFont="1" applyAlignment="1"/>
    <xf numFmtId="2" fontId="19" fillId="0" borderId="6" xfId="1" applyBorder="1" applyAlignment="1">
      <alignment horizontal="center" vertical="center"/>
    </xf>
    <xf numFmtId="2" fontId="19" fillId="0" borderId="6" xfId="1" applyBorder="1" applyAlignment="1" applyProtection="1">
      <alignment horizontal="center" vertical="center"/>
      <protection locked="0"/>
    </xf>
    <xf numFmtId="2" fontId="6" fillId="0" borderId="0" xfId="0" applyFont="1" applyAlignment="1" applyProtection="1">
      <alignment horizontal="left" vertical="center" wrapText="1"/>
    </xf>
    <xf numFmtId="2" fontId="16" fillId="0" borderId="0" xfId="0" applyFont="1" applyAlignment="1" applyProtection="1">
      <alignment horizontal="left" vertical="center" wrapText="1"/>
    </xf>
    <xf numFmtId="2" fontId="26" fillId="0" borderId="0" xfId="0" applyFont="1" applyAlignment="1" applyProtection="1">
      <alignment horizontal="left" vertical="center" wrapText="1"/>
    </xf>
    <xf numFmtId="2" fontId="7" fillId="0" borderId="0" xfId="0" applyFont="1" applyAlignment="1" applyProtection="1">
      <alignment horizontal="left" vertical="center" wrapText="1"/>
    </xf>
    <xf numFmtId="2" fontId="19" fillId="0" borderId="0" xfId="1" applyAlignment="1" applyProtection="1">
      <alignment horizontal="left" vertical="center" wrapText="1"/>
    </xf>
    <xf numFmtId="2" fontId="7" fillId="0" borderId="0" xfId="0" applyFont="1" applyAlignment="1" applyProtection="1">
      <alignment horizontal="left" wrapText="1"/>
    </xf>
    <xf numFmtId="2" fontId="7" fillId="0" borderId="45" xfId="0" applyFont="1" applyBorder="1" applyAlignment="1" applyProtection="1">
      <alignment horizontal="left" vertical="top" wrapText="1"/>
    </xf>
    <xf numFmtId="2" fontId="7" fillId="0" borderId="24" xfId="0" applyFont="1" applyBorder="1" applyAlignment="1" applyProtection="1">
      <alignment horizontal="left" vertical="top" wrapText="1"/>
    </xf>
    <xf numFmtId="2" fontId="7" fillId="0" borderId="53" xfId="0" applyFont="1" applyBorder="1" applyAlignment="1" applyProtection="1">
      <alignment horizontal="left" vertical="top" wrapText="1"/>
    </xf>
    <xf numFmtId="2" fontId="7" fillId="0" borderId="52" xfId="0" applyFont="1" applyBorder="1" applyAlignment="1" applyProtection="1">
      <alignment horizontal="left" vertical="top" wrapText="1"/>
    </xf>
    <xf numFmtId="49" fontId="7" fillId="0" borderId="70" xfId="0" applyNumberFormat="1" applyFont="1" applyBorder="1" applyAlignment="1" applyProtection="1">
      <alignment horizontal="left" vertical="top"/>
    </xf>
    <xf numFmtId="49" fontId="7" fillId="0" borderId="71" xfId="0" applyNumberFormat="1" applyFont="1" applyBorder="1" applyAlignment="1" applyProtection="1">
      <alignment horizontal="left" vertical="top"/>
    </xf>
    <xf numFmtId="2" fontId="0" fillId="0" borderId="72" xfId="0" applyBorder="1" applyAlignment="1" applyProtection="1">
      <alignment horizontal="left" vertical="top"/>
    </xf>
    <xf numFmtId="2" fontId="0" fillId="0" borderId="73" xfId="0" applyBorder="1" applyAlignment="1" applyProtection="1">
      <alignment horizontal="left" vertical="top"/>
    </xf>
    <xf numFmtId="2" fontId="19" fillId="0" borderId="45" xfId="1" applyBorder="1" applyAlignment="1" applyProtection="1">
      <alignment horizontal="center" vertical="center" wrapText="1"/>
    </xf>
    <xf numFmtId="2" fontId="0" fillId="0" borderId="24" xfId="0" applyBorder="1" applyAlignment="1" applyProtection="1">
      <alignment horizontal="center" vertical="center" wrapText="1"/>
    </xf>
    <xf numFmtId="49" fontId="7" fillId="0" borderId="13" xfId="0" applyNumberFormat="1" applyFont="1" applyBorder="1" applyAlignment="1" applyProtection="1">
      <alignment horizontal="left" vertical="top" wrapText="1"/>
    </xf>
    <xf numFmtId="2" fontId="0" fillId="0" borderId="49" xfId="0" applyBorder="1" applyAlignment="1" applyProtection="1">
      <alignment horizontal="left" vertical="top"/>
    </xf>
    <xf numFmtId="2" fontId="0" fillId="0" borderId="24" xfId="0" applyBorder="1" applyAlignment="1" applyProtection="1">
      <alignment horizontal="left" vertical="top" wrapText="1"/>
    </xf>
    <xf numFmtId="49" fontId="7" fillId="0" borderId="12" xfId="0" applyNumberFormat="1" applyFont="1" applyBorder="1" applyAlignment="1" applyProtection="1">
      <alignment horizontal="left" vertical="top"/>
    </xf>
    <xf numFmtId="49" fontId="7" fillId="0" borderId="6" xfId="0" applyNumberFormat="1" applyFont="1" applyBorder="1" applyAlignment="1" applyProtection="1">
      <alignment horizontal="left" vertical="top"/>
    </xf>
    <xf numFmtId="49" fontId="7" fillId="0" borderId="22" xfId="0" applyNumberFormat="1" applyFont="1" applyBorder="1" applyAlignment="1" applyProtection="1">
      <alignment horizontal="left" vertical="top"/>
    </xf>
    <xf numFmtId="49" fontId="7" fillId="0" borderId="7" xfId="0" applyNumberFormat="1" applyFont="1" applyBorder="1" applyAlignment="1" applyProtection="1">
      <alignment horizontal="left" vertical="top"/>
    </xf>
    <xf numFmtId="2" fontId="0" fillId="0" borderId="23" xfId="0" applyBorder="1" applyAlignment="1" applyProtection="1">
      <alignment horizontal="left" vertical="center"/>
    </xf>
    <xf numFmtId="2" fontId="0" fillId="0" borderId="24" xfId="0" applyBorder="1" applyAlignment="1" applyProtection="1">
      <alignment horizontal="left" vertical="center"/>
    </xf>
    <xf numFmtId="2" fontId="17" fillId="0" borderId="0" xfId="0" applyFont="1" applyAlignment="1" applyProtection="1">
      <alignment horizontal="left" vertical="top"/>
    </xf>
    <xf numFmtId="2" fontId="7" fillId="0" borderId="0" xfId="0" applyFont="1" applyAlignment="1" applyProtection="1">
      <alignment horizontal="left" vertical="top" wrapText="1"/>
    </xf>
    <xf numFmtId="2" fontId="10" fillId="0" borderId="0" xfId="0" applyFont="1" applyAlignment="1" applyProtection="1">
      <alignment horizontal="left" vertical="top" wrapText="1"/>
    </xf>
    <xf numFmtId="2" fontId="10" fillId="0" borderId="0" xfId="0" applyFont="1" applyAlignment="1" applyProtection="1">
      <alignment horizontal="left" vertical="center" wrapText="1"/>
    </xf>
    <xf numFmtId="2" fontId="6" fillId="4" borderId="11" xfId="0" applyFont="1" applyFill="1" applyBorder="1" applyAlignment="1" applyProtection="1">
      <alignment horizontal="left"/>
    </xf>
    <xf numFmtId="2" fontId="8" fillId="4" borderId="19" xfId="0" applyFont="1" applyFill="1" applyBorder="1" applyAlignment="1" applyProtection="1">
      <alignment horizontal="left"/>
    </xf>
    <xf numFmtId="2" fontId="8" fillId="4" borderId="10" xfId="0" applyFont="1" applyFill="1" applyBorder="1" applyAlignment="1" applyProtection="1">
      <alignment horizontal="left"/>
    </xf>
    <xf numFmtId="2" fontId="23" fillId="0" borderId="0" xfId="0" applyFont="1" applyFill="1" applyAlignment="1" applyProtection="1">
      <alignment horizontal="left" vertical="center" wrapText="1"/>
    </xf>
    <xf numFmtId="2" fontId="7"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7"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7" fillId="6" borderId="22" xfId="0" applyFont="1" applyFill="1" applyBorder="1" applyAlignment="1" applyProtection="1"/>
    <xf numFmtId="2" fontId="0" fillId="6" borderId="7" xfId="0" applyFill="1" applyBorder="1" applyAlignment="1" applyProtection="1"/>
    <xf numFmtId="2" fontId="0" fillId="6" borderId="9" xfId="0" applyFill="1" applyBorder="1" applyAlignment="1" applyProtection="1"/>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2" fontId="7" fillId="0" borderId="20" xfId="0" applyFont="1" applyBorder="1" applyAlignment="1" applyProtection="1">
      <alignment horizontal="left" vertical="center"/>
    </xf>
    <xf numFmtId="2" fontId="0" fillId="0" borderId="21" xfId="0" applyBorder="1" applyAlignment="1" applyProtection="1">
      <alignment horizontal="left" vertical="center"/>
    </xf>
    <xf numFmtId="2" fontId="7"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7" fillId="0" borderId="23" xfId="0" applyFont="1" applyBorder="1" applyAlignment="1" applyProtection="1">
      <alignment horizontal="left" vertical="center"/>
    </xf>
    <xf numFmtId="2" fontId="7" fillId="0" borderId="23" xfId="0" applyFont="1" applyBorder="1" applyAlignment="1" applyProtection="1">
      <alignment horizontal="left" vertical="center" wrapText="1"/>
    </xf>
    <xf numFmtId="2" fontId="0" fillId="0" borderId="24" xfId="0" applyBorder="1" applyAlignment="1" applyProtection="1">
      <alignment horizontal="left" vertical="center" wrapText="1"/>
    </xf>
    <xf numFmtId="2" fontId="7" fillId="0" borderId="65" xfId="0" applyFont="1" applyFill="1" applyBorder="1" applyAlignment="1" applyProtection="1">
      <alignment horizontal="left" vertical="center" wrapText="1"/>
    </xf>
    <xf numFmtId="2" fontId="0" fillId="0" borderId="32" xfId="0" applyBorder="1" applyAlignment="1" applyProtection="1">
      <alignment horizontal="left" vertical="center" wrapText="1"/>
    </xf>
    <xf numFmtId="2" fontId="7" fillId="0" borderId="49" xfId="0" applyFont="1" applyFill="1" applyBorder="1" applyAlignment="1" applyProtection="1">
      <alignment horizontal="left"/>
    </xf>
    <xf numFmtId="2" fontId="7" fillId="0" borderId="8" xfId="0" applyFont="1" applyBorder="1" applyAlignment="1" applyProtection="1">
      <alignment horizontal="left"/>
    </xf>
    <xf numFmtId="2" fontId="6" fillId="4" borderId="11"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8" fillId="4" borderId="11" xfId="0" applyFont="1" applyFill="1" applyBorder="1" applyAlignment="1" applyProtection="1">
      <alignment horizontal="left"/>
    </xf>
    <xf numFmtId="2" fontId="6" fillId="4" borderId="36" xfId="0" applyFont="1" applyFill="1" applyBorder="1" applyAlignment="1" applyProtection="1">
      <alignment horizontal="left"/>
    </xf>
    <xf numFmtId="2" fontId="6" fillId="4" borderId="37" xfId="0" applyFont="1" applyFill="1" applyBorder="1" applyAlignment="1" applyProtection="1">
      <alignment horizontal="left"/>
    </xf>
    <xf numFmtId="2" fontId="6" fillId="4" borderId="11" xfId="3" applyFont="1" applyFill="1" applyBorder="1" applyAlignment="1" applyProtection="1">
      <alignment horizontal="left"/>
    </xf>
    <xf numFmtId="2" fontId="6" fillId="4" borderId="10" xfId="3" applyFont="1" applyFill="1" applyBorder="1" applyAlignment="1" applyProtection="1">
      <alignment horizontal="left"/>
    </xf>
    <xf numFmtId="2" fontId="7" fillId="4" borderId="11" xfId="0" applyFont="1" applyFill="1" applyBorder="1" applyAlignment="1" applyProtection="1">
      <alignment horizontal="left" vertical="center" wrapText="1"/>
    </xf>
    <xf numFmtId="2" fontId="7" fillId="4" borderId="10" xfId="0" applyFont="1" applyFill="1" applyBorder="1" applyAlignment="1" applyProtection="1">
      <alignment horizontal="left" vertical="center" wrapText="1"/>
    </xf>
    <xf numFmtId="2" fontId="6" fillId="3" borderId="13" xfId="3" applyFont="1" applyFill="1" applyBorder="1" applyAlignment="1" applyProtection="1">
      <alignment horizontal="left" vertical="center" wrapText="1"/>
    </xf>
    <xf numFmtId="2" fontId="6" fillId="3" borderId="24" xfId="3" applyFont="1" applyFill="1" applyBorder="1" applyAlignment="1" applyProtection="1">
      <alignment horizontal="left" vertical="center" wrapText="1"/>
    </xf>
    <xf numFmtId="2" fontId="6" fillId="4" borderId="27" xfId="3" applyFont="1" applyFill="1" applyBorder="1" applyAlignment="1" applyProtection="1">
      <alignment horizontal="left"/>
    </xf>
    <xf numFmtId="2" fontId="6" fillId="4" borderId="25" xfId="3" applyFont="1" applyFill="1" applyBorder="1" applyAlignment="1" applyProtection="1">
      <alignment horizontal="left"/>
    </xf>
    <xf numFmtId="2" fontId="7" fillId="4" borderId="12" xfId="3" applyFill="1" applyBorder="1" applyAlignment="1" applyProtection="1">
      <alignment horizontal="left" vertical="center" wrapText="1"/>
    </xf>
    <xf numFmtId="2" fontId="7" fillId="4" borderId="8" xfId="3" applyFill="1" applyBorder="1" applyAlignment="1" applyProtection="1">
      <alignment horizontal="left" vertical="center" wrapText="1"/>
    </xf>
    <xf numFmtId="2" fontId="6" fillId="5" borderId="11" xfId="0" applyFont="1" applyFill="1" applyBorder="1" applyAlignment="1" applyProtection="1">
      <alignment horizontal="center"/>
    </xf>
    <xf numFmtId="2" fontId="6" fillId="5" borderId="19" xfId="0" applyFont="1" applyFill="1" applyBorder="1" applyAlignment="1" applyProtection="1">
      <alignment horizontal="center"/>
    </xf>
    <xf numFmtId="2" fontId="6" fillId="5" borderId="10" xfId="0" applyFont="1" applyFill="1" applyBorder="1" applyAlignment="1" applyProtection="1">
      <alignment horizontal="center"/>
    </xf>
    <xf numFmtId="2" fontId="6" fillId="0" borderId="0" xfId="3" applyFont="1" applyAlignment="1" applyProtection="1">
      <alignment horizontal="center" vertical="center" wrapText="1"/>
    </xf>
    <xf numFmtId="2" fontId="6" fillId="0" borderId="0" xfId="3" applyFont="1" applyAlignment="1" applyProtection="1">
      <alignment horizontal="center" wrapText="1"/>
    </xf>
    <xf numFmtId="2" fontId="6" fillId="0" borderId="29" xfId="3" applyFont="1" applyBorder="1" applyAlignment="1" applyProtection="1">
      <alignment horizontal="center"/>
    </xf>
    <xf numFmtId="2" fontId="6" fillId="0" borderId="4" xfId="3" applyFont="1" applyBorder="1" applyAlignment="1" applyProtection="1">
      <alignment horizontal="center"/>
    </xf>
    <xf numFmtId="2" fontId="7" fillId="0" borderId="39" xfId="3" applyFont="1" applyBorder="1" applyAlignment="1" applyProtection="1">
      <alignment horizontal="center"/>
    </xf>
    <xf numFmtId="2" fontId="7" fillId="0" borderId="5" xfId="3" applyFont="1" applyBorder="1" applyAlignment="1" applyProtection="1">
      <alignment horizontal="center"/>
    </xf>
    <xf numFmtId="2" fontId="7" fillId="0" borderId="39" xfId="3" applyBorder="1" applyAlignment="1" applyProtection="1">
      <alignment horizontal="center"/>
    </xf>
    <xf numFmtId="2" fontId="7" fillId="0" borderId="5" xfId="3" applyBorder="1" applyAlignment="1" applyProtection="1">
      <alignment horizontal="center"/>
    </xf>
    <xf numFmtId="2" fontId="6" fillId="0" borderId="13" xfId="3" applyFont="1" applyBorder="1" applyAlignment="1" applyProtection="1">
      <alignment horizontal="center" vertical="center"/>
    </xf>
    <xf numFmtId="2" fontId="6" fillId="0" borderId="23" xfId="3" applyFont="1" applyBorder="1" applyAlignment="1" applyProtection="1">
      <alignment horizontal="center" vertical="center"/>
    </xf>
    <xf numFmtId="2" fontId="6" fillId="0" borderId="24" xfId="3" applyFont="1" applyBorder="1" applyAlignment="1" applyProtection="1">
      <alignment horizontal="center" vertical="center"/>
    </xf>
    <xf numFmtId="2" fontId="33" fillId="7" borderId="11" xfId="3" applyFont="1" applyFill="1" applyBorder="1" applyAlignment="1" applyProtection="1">
      <alignment horizontal="center" vertical="center"/>
    </xf>
    <xf numFmtId="2" fontId="33" fillId="7" borderId="19" xfId="3" applyFont="1" applyFill="1" applyBorder="1" applyAlignment="1" applyProtection="1">
      <alignment horizontal="center" vertical="center"/>
    </xf>
    <xf numFmtId="2" fontId="33" fillId="7" borderId="10" xfId="3" applyFont="1" applyFill="1" applyBorder="1" applyAlignment="1" applyProtection="1">
      <alignment horizontal="center" vertical="center"/>
    </xf>
    <xf numFmtId="2" fontId="33" fillId="0" borderId="2" xfId="3" applyFont="1" applyBorder="1" applyAlignment="1" applyProtection="1">
      <alignment horizontal="justify" vertical="top" wrapText="1"/>
    </xf>
    <xf numFmtId="2" fontId="33" fillId="0" borderId="1" xfId="3" applyFont="1" applyBorder="1" applyAlignment="1" applyProtection="1">
      <alignment horizontal="justify" vertical="top" wrapText="1"/>
    </xf>
    <xf numFmtId="2" fontId="33" fillId="0" borderId="26" xfId="3" applyFont="1" applyBorder="1" applyAlignment="1" applyProtection="1">
      <alignment horizontal="justify" vertical="top" wrapText="1"/>
    </xf>
    <xf numFmtId="2" fontId="34" fillId="8" borderId="11" xfId="3" applyFont="1" applyFill="1" applyBorder="1" applyAlignment="1" applyProtection="1">
      <alignment horizontal="center" vertical="top" wrapText="1"/>
    </xf>
    <xf numFmtId="2" fontId="34" fillId="8" borderId="19" xfId="3" applyFont="1" applyFill="1" applyBorder="1" applyAlignment="1" applyProtection="1">
      <alignment horizontal="center" vertical="top" wrapText="1"/>
    </xf>
    <xf numFmtId="2" fontId="34" fillId="8" borderId="10" xfId="3" applyFont="1" applyFill="1" applyBorder="1" applyAlignment="1" applyProtection="1">
      <alignment horizontal="center" vertical="top" wrapText="1"/>
    </xf>
    <xf numFmtId="2" fontId="11" fillId="2" borderId="2" xfId="3" applyFont="1" applyFill="1" applyBorder="1" applyAlignment="1" applyProtection="1">
      <alignment horizontal="center" vertical="center"/>
    </xf>
    <xf numFmtId="2" fontId="11" fillId="2" borderId="1" xfId="3" applyFont="1" applyFill="1" applyBorder="1" applyAlignment="1" applyProtection="1">
      <alignment horizontal="center" vertical="center"/>
    </xf>
    <xf numFmtId="2" fontId="11" fillId="2" borderId="26" xfId="3" applyFont="1" applyFill="1" applyBorder="1" applyAlignment="1" applyProtection="1">
      <alignment horizontal="center" vertical="center"/>
    </xf>
    <xf numFmtId="2" fontId="6" fillId="0" borderId="62" xfId="3" applyFont="1" applyBorder="1" applyAlignment="1" applyProtection="1">
      <alignment horizontal="center" vertical="center"/>
    </xf>
    <xf numFmtId="2" fontId="6" fillId="0" borderId="63" xfId="3" applyFont="1" applyBorder="1" applyAlignment="1" applyProtection="1">
      <alignment horizontal="center" vertical="center"/>
    </xf>
    <xf numFmtId="2" fontId="6" fillId="0" borderId="64" xfId="3" applyFont="1" applyBorder="1" applyAlignment="1" applyProtection="1">
      <alignment horizontal="center" vertical="center"/>
    </xf>
    <xf numFmtId="2" fontId="6" fillId="0" borderId="29" xfId="3" applyFont="1" applyBorder="1" applyAlignment="1" applyProtection="1">
      <alignment horizontal="center" wrapText="1"/>
    </xf>
    <xf numFmtId="2" fontId="6" fillId="0" borderId="4" xfId="3" applyFont="1" applyBorder="1" applyAlignment="1" applyProtection="1">
      <alignment horizontal="center" wrapText="1"/>
    </xf>
    <xf numFmtId="2" fontId="17" fillId="0" borderId="0" xfId="0" applyFont="1" applyAlignment="1">
      <alignment horizontal="left" vertical="top"/>
    </xf>
    <xf numFmtId="2" fontId="16" fillId="0" borderId="0" xfId="0" applyFont="1" applyAlignment="1">
      <alignment horizontal="left"/>
    </xf>
    <xf numFmtId="2" fontId="6" fillId="3" borderId="45" xfId="0" applyFont="1" applyFill="1" applyBorder="1" applyAlignment="1">
      <alignment horizontal="center" vertical="center"/>
    </xf>
    <xf numFmtId="2" fontId="6" fillId="3" borderId="23" xfId="0" applyFont="1" applyFill="1" applyBorder="1" applyAlignment="1">
      <alignment horizontal="center" vertical="center"/>
    </xf>
    <xf numFmtId="2" fontId="6" fillId="3" borderId="49" xfId="0" applyFont="1" applyFill="1" applyBorder="1" applyAlignment="1">
      <alignment horizontal="center" vertical="center"/>
    </xf>
    <xf numFmtId="2" fontId="6" fillId="3" borderId="6" xfId="3" applyFont="1" applyFill="1" applyBorder="1" applyAlignment="1">
      <alignment horizontal="center" vertical="center"/>
    </xf>
    <xf numFmtId="2" fontId="0" fillId="0" borderId="6" xfId="0" applyBorder="1" applyAlignment="1"/>
    <xf numFmtId="2" fontId="6" fillId="3" borderId="6" xfId="0" applyFont="1" applyFill="1" applyBorder="1" applyAlignment="1">
      <alignment horizontal="center" vertical="center"/>
    </xf>
    <xf numFmtId="2" fontId="6" fillId="5" borderId="42" xfId="0" applyFont="1" applyFill="1" applyBorder="1" applyAlignment="1">
      <alignment horizontal="left"/>
    </xf>
    <xf numFmtId="2" fontId="6" fillId="5" borderId="43" xfId="0" applyFont="1" applyFill="1" applyBorder="1" applyAlignment="1">
      <alignment horizontal="left"/>
    </xf>
    <xf numFmtId="2" fontId="6" fillId="5" borderId="44" xfId="0" applyFont="1" applyFill="1" applyBorder="1" applyAlignment="1">
      <alignment horizontal="left"/>
    </xf>
    <xf numFmtId="2" fontId="6" fillId="3" borderId="30" xfId="0" applyFont="1" applyFill="1" applyBorder="1" applyAlignment="1">
      <alignment horizontal="left"/>
    </xf>
    <xf numFmtId="2" fontId="6" fillId="3" borderId="31" xfId="0" applyFont="1" applyFill="1" applyBorder="1" applyAlignment="1">
      <alignment horizontal="left"/>
    </xf>
    <xf numFmtId="2" fontId="6" fillId="3" borderId="32" xfId="0" applyFont="1" applyFill="1" applyBorder="1" applyAlignment="1">
      <alignment horizontal="left"/>
    </xf>
    <xf numFmtId="2" fontId="6" fillId="3" borderId="46" xfId="0" applyFont="1" applyFill="1" applyBorder="1" applyAlignment="1">
      <alignment horizontal="left"/>
    </xf>
    <xf numFmtId="2" fontId="6" fillId="3" borderId="47" xfId="0" applyFont="1" applyFill="1" applyBorder="1" applyAlignment="1">
      <alignment horizontal="left"/>
    </xf>
    <xf numFmtId="2" fontId="6" fillId="3" borderId="48" xfId="0" applyFont="1" applyFill="1" applyBorder="1" applyAlignment="1">
      <alignment horizontal="left"/>
    </xf>
    <xf numFmtId="2" fontId="6" fillId="3" borderId="42" xfId="0" applyFont="1" applyFill="1" applyBorder="1" applyAlignment="1">
      <alignment horizontal="left"/>
    </xf>
    <xf numFmtId="2" fontId="6" fillId="3" borderId="43" xfId="0" applyFont="1" applyFill="1" applyBorder="1" applyAlignment="1">
      <alignment horizontal="left"/>
    </xf>
    <xf numFmtId="2" fontId="6" fillId="3" borderId="44" xfId="0" applyFont="1" applyFill="1" applyBorder="1" applyAlignment="1">
      <alignment horizontal="left"/>
    </xf>
    <xf numFmtId="0" fontId="31" fillId="4" borderId="6" xfId="9" applyFont="1" applyFill="1" applyBorder="1" applyAlignment="1">
      <alignment horizontal="center"/>
    </xf>
  </cellXfs>
  <cellStyles count="13">
    <cellStyle name="Comma 2" xfId="11"/>
    <cellStyle name="Hyperlink" xfId="1" builtinId="8"/>
    <cellStyle name="Hyperlink 2" xfId="2"/>
    <cellStyle name="Normal" xfId="0" builtinId="0"/>
    <cellStyle name="Normal 2" xfId="3"/>
    <cellStyle name="Normal 2 2" xfId="4"/>
    <cellStyle name="Normal 2 3" xfId="5"/>
    <cellStyle name="Normal 3" xfId="6"/>
    <cellStyle name="Normal 3 2" xfId="9"/>
    <cellStyle name="Normal 3 3" xfId="12"/>
    <cellStyle name="Normal 4" xfId="7"/>
    <cellStyle name="Percent" xfId="10" builtinId="5"/>
    <cellStyle name="Percent 2" xfId="8"/>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0000"/>
      <color rgb="FFCC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shepherd.lorinda@epa.gov" TargetMode="External"/><Relationship Id="rId21" Type="http://schemas.openxmlformats.org/officeDocument/2006/relationships/hyperlink" Target="mailto:smith.claudia@epa.gov" TargetMode="External"/><Relationship Id="rId34" Type="http://schemas.openxmlformats.org/officeDocument/2006/relationships/hyperlink" Target="mailto:oquendo.ana@epa.gov" TargetMode="External"/><Relationship Id="rId42" Type="http://schemas.openxmlformats.org/officeDocument/2006/relationships/hyperlink" Target="mailto:shepherd.lorinda@epa.gov" TargetMode="External"/><Relationship Id="rId47" Type="http://schemas.openxmlformats.org/officeDocument/2006/relationships/hyperlink" Target="mailto:Gutierrez.roberto@epa.gov" TargetMode="External"/><Relationship Id="rId50" Type="http://schemas.openxmlformats.org/officeDocument/2006/relationships/hyperlink" Target="mailto:glass.geoffrey@epa.gov" TargetMode="External"/><Relationship Id="rId55" Type="http://schemas.openxmlformats.org/officeDocument/2006/relationships/hyperlink" Target="mailto:todd.bill@epa.gov" TargetMode="External"/><Relationship Id="rId63" Type="http://schemas.openxmlformats.org/officeDocument/2006/relationships/hyperlink" Target="mailto:webber.robert@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gupta.kaushal@epa.gov" TargetMode="External"/><Relationship Id="rId41" Type="http://schemas.openxmlformats.org/officeDocument/2006/relationships/hyperlink" Target="mailto:shepherd.lorinda@epa.gov" TargetMode="External"/><Relationship Id="rId54" Type="http://schemas.openxmlformats.org/officeDocument/2006/relationships/hyperlink" Target="mailto:todd.bill@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oquendo.ana@epa.gov" TargetMode="External"/><Relationship Id="rId37" Type="http://schemas.openxmlformats.org/officeDocument/2006/relationships/hyperlink" Target="mailto:oquendo.ana@epa.gov" TargetMode="External"/><Relationship Id="rId40" Type="http://schemas.openxmlformats.org/officeDocument/2006/relationships/hyperlink" Target="mailto:shepherd.lorinda@epa.gov" TargetMode="External"/><Relationship Id="rId45" Type="http://schemas.openxmlformats.org/officeDocument/2006/relationships/hyperlink" Target="mailto:shepherd.lorinda@epa.gov" TargetMode="External"/><Relationship Id="rId53" Type="http://schemas.openxmlformats.org/officeDocument/2006/relationships/hyperlink" Target="mailto:Gutierrez.roberto@epa.gov" TargetMode="External"/><Relationship Id="rId58" Type="http://schemas.openxmlformats.org/officeDocument/2006/relationships/hyperlink" Target="mailto:braganza.bonnie@epa.gov" TargetMode="External"/><Relationship Id="rId66" Type="http://schemas.openxmlformats.org/officeDocument/2006/relationships/printerSettings" Target="../printerSettings/printerSettings11.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gupta.kaushal@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utierrez.roberto@epa.gov" TargetMode="External"/><Relationship Id="rId60" Type="http://schemas.openxmlformats.org/officeDocument/2006/relationships/hyperlink" Target="mailto:braganza.bonnie@epa.gov" TargetMode="External"/><Relationship Id="rId65" Type="http://schemas.openxmlformats.org/officeDocument/2006/relationships/hyperlink" Target="mailto:webber.robert@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gupta.kaushal@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glass.geoffrey@epa.gov" TargetMode="External"/><Relationship Id="rId56" Type="http://schemas.openxmlformats.org/officeDocument/2006/relationships/hyperlink" Target="mailto:todd.bill@epa.gov" TargetMode="External"/><Relationship Id="rId64" Type="http://schemas.openxmlformats.org/officeDocument/2006/relationships/hyperlink" Target="mailto:webber.robert@epa.gov" TargetMode="External"/><Relationship Id="rId8" Type="http://schemas.openxmlformats.org/officeDocument/2006/relationships/hyperlink" Target="mailto:Dholakia.umesh@epa.gov" TargetMode="External"/><Relationship Id="rId51" Type="http://schemas.openxmlformats.org/officeDocument/2006/relationships/hyperlink" Target="mailto:Gutierrez.roberto@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oquendo.ana@epa.gov" TargetMode="External"/><Relationship Id="rId38" Type="http://schemas.openxmlformats.org/officeDocument/2006/relationships/hyperlink" Target="mailto:oquendo.ana@epa.gov" TargetMode="External"/><Relationship Id="rId46" Type="http://schemas.openxmlformats.org/officeDocument/2006/relationships/hyperlink" Target="mailto:glass.geoffrey@epa.gov" TargetMode="External"/><Relationship Id="rId59" Type="http://schemas.openxmlformats.org/officeDocument/2006/relationships/hyperlink" Target="mailto:braganza.bonnie@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37"/>
  <sheetViews>
    <sheetView showGridLines="0" tabSelected="1" zoomScaleNormal="100" workbookViewId="0">
      <selection sqref="A1:XFD1"/>
    </sheetView>
  </sheetViews>
  <sheetFormatPr defaultColWidth="9.109375" defaultRowHeight="13.2" x14ac:dyDescent="0.25"/>
  <cols>
    <col min="1" max="1" width="2.109375" style="38" customWidth="1"/>
    <col min="2" max="2" width="5.88671875" style="108" customWidth="1"/>
    <col min="3" max="3" width="120.88671875" style="288" customWidth="1"/>
    <col min="4" max="16384" width="9.109375" style="38"/>
  </cols>
  <sheetData>
    <row r="1" spans="2:6" ht="17.399999999999999" x14ac:dyDescent="0.25">
      <c r="B1" s="344" t="s">
        <v>148</v>
      </c>
      <c r="C1" s="344"/>
    </row>
    <row r="2" spans="2:6" ht="15.6" x14ac:dyDescent="0.25">
      <c r="B2" s="345" t="s">
        <v>149</v>
      </c>
      <c r="C2" s="345"/>
    </row>
    <row r="3" spans="2:6" x14ac:dyDescent="0.25">
      <c r="B3" s="102"/>
      <c r="C3" s="38"/>
    </row>
    <row r="4" spans="2:6" x14ac:dyDescent="0.25">
      <c r="B4" s="343" t="s">
        <v>150</v>
      </c>
      <c r="C4" s="343"/>
    </row>
    <row r="5" spans="2:6" ht="75" customHeight="1" x14ac:dyDescent="0.25">
      <c r="B5" s="346" t="s">
        <v>491</v>
      </c>
      <c r="C5" s="346"/>
      <c r="F5" s="284"/>
    </row>
    <row r="6" spans="2:6" ht="18" customHeight="1" x14ac:dyDescent="0.25">
      <c r="B6" s="347" t="s">
        <v>453</v>
      </c>
      <c r="C6" s="347"/>
      <c r="F6" s="284"/>
    </row>
    <row r="7" spans="2:6" ht="15" customHeight="1" x14ac:dyDescent="0.25">
      <c r="B7" s="103"/>
      <c r="C7" s="38"/>
    </row>
    <row r="8" spans="2:6" x14ac:dyDescent="0.25">
      <c r="B8" s="343" t="s">
        <v>151</v>
      </c>
      <c r="C8" s="343"/>
    </row>
    <row r="9" spans="2:6" ht="97.5" customHeight="1" x14ac:dyDescent="0.25">
      <c r="B9" s="346" t="s">
        <v>454</v>
      </c>
      <c r="C9" s="346"/>
    </row>
    <row r="10" spans="2:6" ht="15" customHeight="1" x14ac:dyDescent="0.25">
      <c r="B10" s="103"/>
      <c r="C10" s="38"/>
    </row>
    <row r="11" spans="2:6" x14ac:dyDescent="0.25">
      <c r="B11" s="343" t="s">
        <v>152</v>
      </c>
      <c r="C11" s="343"/>
    </row>
    <row r="12" spans="2:6" ht="84" customHeight="1" x14ac:dyDescent="0.25">
      <c r="B12" s="346" t="s">
        <v>455</v>
      </c>
      <c r="C12" s="346"/>
    </row>
    <row r="13" spans="2:6" ht="15" customHeight="1" x14ac:dyDescent="0.25">
      <c r="B13" s="103"/>
      <c r="C13" s="38"/>
    </row>
    <row r="14" spans="2:6" x14ac:dyDescent="0.25">
      <c r="B14" s="343" t="s">
        <v>153</v>
      </c>
      <c r="C14" s="343"/>
    </row>
    <row r="15" spans="2:6" ht="18.75" customHeight="1" x14ac:dyDescent="0.25">
      <c r="B15" s="346" t="s">
        <v>456</v>
      </c>
      <c r="C15" s="346"/>
    </row>
    <row r="16" spans="2:6" ht="15.75" customHeight="1" x14ac:dyDescent="0.25">
      <c r="B16" s="104" t="s">
        <v>154</v>
      </c>
      <c r="C16" s="107" t="s">
        <v>457</v>
      </c>
    </row>
    <row r="17" spans="2:3" ht="27.75" customHeight="1" x14ac:dyDescent="0.25">
      <c r="B17" s="104" t="s">
        <v>155</v>
      </c>
      <c r="C17" s="107" t="s">
        <v>569</v>
      </c>
    </row>
    <row r="18" spans="2:3" ht="9" customHeight="1" x14ac:dyDescent="0.25">
      <c r="B18" s="329"/>
      <c r="C18" s="38"/>
    </row>
    <row r="19" spans="2:3" x14ac:dyDescent="0.25">
      <c r="B19" s="343" t="s">
        <v>156</v>
      </c>
      <c r="C19" s="343"/>
    </row>
    <row r="20" spans="2:3" ht="18" customHeight="1" x14ac:dyDescent="0.25">
      <c r="B20" s="346" t="s">
        <v>157</v>
      </c>
      <c r="C20" s="346"/>
    </row>
    <row r="21" spans="2:3" x14ac:dyDescent="0.25">
      <c r="B21" s="104" t="s">
        <v>154</v>
      </c>
      <c r="C21" s="105" t="s">
        <v>458</v>
      </c>
    </row>
    <row r="22" spans="2:3" x14ac:dyDescent="0.25">
      <c r="B22" s="104" t="s">
        <v>155</v>
      </c>
      <c r="C22" s="105" t="s">
        <v>459</v>
      </c>
    </row>
    <row r="23" spans="2:3" x14ac:dyDescent="0.25">
      <c r="B23" s="104" t="s">
        <v>158</v>
      </c>
      <c r="C23" s="105" t="s">
        <v>460</v>
      </c>
    </row>
    <row r="24" spans="2:3" x14ac:dyDescent="0.25">
      <c r="B24" s="38"/>
      <c r="C24" s="329"/>
    </row>
    <row r="25" spans="2:3" x14ac:dyDescent="0.25">
      <c r="B25" s="343" t="s">
        <v>159</v>
      </c>
      <c r="C25" s="343"/>
    </row>
    <row r="26" spans="2:3" ht="51" customHeight="1" x14ac:dyDescent="0.25">
      <c r="B26" s="348" t="s">
        <v>479</v>
      </c>
      <c r="C26" s="348"/>
    </row>
    <row r="27" spans="2:3" ht="24" customHeight="1" x14ac:dyDescent="0.25">
      <c r="B27" s="347" t="s">
        <v>480</v>
      </c>
      <c r="C27" s="346"/>
    </row>
    <row r="28" spans="2:3" x14ac:dyDescent="0.25">
      <c r="B28" s="106"/>
      <c r="C28" s="38"/>
    </row>
    <row r="29" spans="2:3" x14ac:dyDescent="0.25">
      <c r="B29" s="343" t="s">
        <v>160</v>
      </c>
      <c r="C29" s="343"/>
    </row>
    <row r="30" spans="2:3" ht="53.25" customHeight="1" x14ac:dyDescent="0.25">
      <c r="B30" s="346" t="s">
        <v>461</v>
      </c>
      <c r="C30" s="346"/>
    </row>
    <row r="31" spans="2:3" x14ac:dyDescent="0.25">
      <c r="B31" s="103"/>
      <c r="C31" s="38"/>
    </row>
    <row r="32" spans="2:3" x14ac:dyDescent="0.25">
      <c r="B32" s="343" t="s">
        <v>161</v>
      </c>
      <c r="C32" s="343"/>
    </row>
    <row r="33" spans="2:3" x14ac:dyDescent="0.25">
      <c r="B33" s="104" t="s">
        <v>154</v>
      </c>
      <c r="C33" s="107" t="s">
        <v>462</v>
      </c>
    </row>
    <row r="34" spans="2:3" x14ac:dyDescent="0.25">
      <c r="B34" s="104" t="s">
        <v>155</v>
      </c>
      <c r="C34" s="107" t="s">
        <v>162</v>
      </c>
    </row>
    <row r="35" spans="2:3" ht="26.4" x14ac:dyDescent="0.25">
      <c r="B35" s="104" t="s">
        <v>158</v>
      </c>
      <c r="C35" s="107" t="s">
        <v>570</v>
      </c>
    </row>
    <row r="36" spans="2:3" ht="26.4" x14ac:dyDescent="0.25">
      <c r="B36" s="104" t="s">
        <v>163</v>
      </c>
      <c r="C36" s="107" t="s">
        <v>568</v>
      </c>
    </row>
    <row r="37" spans="2:3" x14ac:dyDescent="0.25">
      <c r="B37" s="104" t="s">
        <v>164</v>
      </c>
      <c r="C37" s="107" t="s">
        <v>165</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5"/>
  <sheetViews>
    <sheetView showGridLines="0" zoomScaleNormal="100" workbookViewId="0"/>
  </sheetViews>
  <sheetFormatPr defaultColWidth="9.109375" defaultRowHeight="13.2" x14ac:dyDescent="0.25"/>
  <cols>
    <col min="1" max="1" width="1.88671875" style="288" customWidth="1"/>
    <col min="2" max="2" width="11.6640625" style="288" customWidth="1"/>
    <col min="3" max="3" width="18.109375" style="288" customWidth="1"/>
    <col min="4" max="4" width="53.33203125" style="288" customWidth="1"/>
    <col min="5" max="5" width="46.33203125" style="288" customWidth="1"/>
    <col min="6" max="27" width="1.6640625" style="288" customWidth="1"/>
    <col min="28" max="16384" width="9.109375" style="288"/>
  </cols>
  <sheetData>
    <row r="1" spans="2:12" ht="17.399999999999999" x14ac:dyDescent="0.3">
      <c r="B1" s="23" t="str">
        <f>'Change Log'!A1</f>
        <v>Surface Coatings Registration Calculator</v>
      </c>
    </row>
    <row r="2" spans="2:12" ht="15.75" customHeight="1" x14ac:dyDescent="0.25">
      <c r="B2" s="368" t="str">
        <f>'Change Log'!A2</f>
        <v>v1.3 (last updated 2013.02.26)</v>
      </c>
      <c r="C2" s="368"/>
      <c r="D2" s="368"/>
    </row>
    <row r="3" spans="2:12" ht="127.5" customHeight="1" x14ac:dyDescent="0.25">
      <c r="B3" s="375" t="s">
        <v>463</v>
      </c>
      <c r="C3" s="375"/>
      <c r="D3" s="375"/>
      <c r="E3" s="375"/>
    </row>
    <row r="4" spans="2:12" ht="6.75" customHeight="1" x14ac:dyDescent="0.25">
      <c r="B4" s="330"/>
      <c r="C4" s="330"/>
      <c r="D4" s="330"/>
    </row>
    <row r="5" spans="2:12" x14ac:dyDescent="0.25">
      <c r="B5" s="86" t="s">
        <v>4</v>
      </c>
    </row>
    <row r="6" spans="2:12" ht="36" customHeight="1" x14ac:dyDescent="0.25">
      <c r="B6" s="346" t="s">
        <v>489</v>
      </c>
      <c r="C6" s="371"/>
      <c r="D6" s="371"/>
      <c r="E6" s="371"/>
    </row>
    <row r="7" spans="2:12" ht="4.5" customHeight="1" x14ac:dyDescent="0.25">
      <c r="B7" s="87"/>
    </row>
    <row r="8" spans="2:12" ht="13.5" customHeight="1" x14ac:dyDescent="0.25">
      <c r="B8" s="86" t="s">
        <v>12</v>
      </c>
    </row>
    <row r="9" spans="2:12" ht="133.5" customHeight="1" x14ac:dyDescent="0.25">
      <c r="B9" s="369" t="s">
        <v>559</v>
      </c>
      <c r="C9" s="370"/>
      <c r="D9" s="370"/>
      <c r="E9" s="370"/>
      <c r="L9" s="38"/>
    </row>
    <row r="10" spans="2:12" ht="6.75" customHeight="1" x14ac:dyDescent="0.25">
      <c r="B10" s="87"/>
    </row>
    <row r="11" spans="2:12" x14ac:dyDescent="0.25">
      <c r="B11" s="86" t="s">
        <v>27</v>
      </c>
    </row>
    <row r="12" spans="2:12" ht="78" customHeight="1" x14ac:dyDescent="0.25">
      <c r="B12" s="369" t="s">
        <v>382</v>
      </c>
      <c r="C12" s="370"/>
      <c r="D12" s="370"/>
      <c r="E12" s="370"/>
    </row>
    <row r="13" spans="2:12" ht="12" customHeight="1" thickBot="1" x14ac:dyDescent="0.3">
      <c r="B13" s="86"/>
    </row>
    <row r="14" spans="2:12" ht="13.8" thickBot="1" x14ac:dyDescent="0.3">
      <c r="B14" s="372" t="s">
        <v>142</v>
      </c>
      <c r="C14" s="373"/>
      <c r="D14" s="374"/>
    </row>
    <row r="15" spans="2:12" x14ac:dyDescent="0.25">
      <c r="B15" s="376" t="s">
        <v>383</v>
      </c>
      <c r="C15" s="377"/>
      <c r="D15" s="378"/>
    </row>
    <row r="16" spans="2:12" x14ac:dyDescent="0.25">
      <c r="B16" s="379" t="s">
        <v>384</v>
      </c>
      <c r="C16" s="380"/>
      <c r="D16" s="381"/>
    </row>
    <row r="17" spans="2:5" x14ac:dyDescent="0.25">
      <c r="B17" s="389" t="s">
        <v>385</v>
      </c>
      <c r="C17" s="390"/>
      <c r="D17" s="391"/>
    </row>
    <row r="18" spans="2:5" ht="13.8" thickBot="1" x14ac:dyDescent="0.3">
      <c r="B18" s="382" t="s">
        <v>143</v>
      </c>
      <c r="C18" s="383"/>
      <c r="D18" s="384"/>
    </row>
    <row r="19" spans="2:5" ht="10.5" customHeight="1" thickBot="1" x14ac:dyDescent="0.3">
      <c r="B19" s="88"/>
      <c r="C19" s="89"/>
      <c r="D19" s="88"/>
      <c r="E19" s="25"/>
    </row>
    <row r="20" spans="2:5" ht="13.8" thickBot="1" x14ac:dyDescent="0.3">
      <c r="B20" s="372" t="s">
        <v>386</v>
      </c>
      <c r="C20" s="385"/>
      <c r="D20" s="386"/>
    </row>
    <row r="21" spans="2:5" ht="60" customHeight="1" x14ac:dyDescent="0.25">
      <c r="B21" s="225" t="s">
        <v>377</v>
      </c>
      <c r="C21" s="395" t="s">
        <v>389</v>
      </c>
      <c r="D21" s="396"/>
    </row>
    <row r="22" spans="2:5" x14ac:dyDescent="0.25">
      <c r="B22" s="226" t="s">
        <v>390</v>
      </c>
      <c r="C22" s="397" t="s">
        <v>391</v>
      </c>
      <c r="D22" s="398"/>
    </row>
    <row r="23" spans="2:5" ht="12.75" customHeight="1" x14ac:dyDescent="0.25">
      <c r="B23" s="227" t="s">
        <v>63</v>
      </c>
      <c r="C23" s="392" t="s">
        <v>93</v>
      </c>
      <c r="D23" s="367"/>
    </row>
    <row r="24" spans="2:5" ht="12.75" customHeight="1" x14ac:dyDescent="0.25">
      <c r="B24" s="227" t="s">
        <v>392</v>
      </c>
      <c r="C24" s="392" t="s">
        <v>393</v>
      </c>
      <c r="D24" s="367"/>
    </row>
    <row r="25" spans="2:5" ht="12.75" customHeight="1" x14ac:dyDescent="0.25">
      <c r="B25" s="227" t="s">
        <v>394</v>
      </c>
      <c r="C25" s="224" t="s">
        <v>395</v>
      </c>
      <c r="D25" s="223"/>
    </row>
    <row r="26" spans="2:5" ht="60" customHeight="1" x14ac:dyDescent="0.25">
      <c r="B26" s="228" t="s">
        <v>376</v>
      </c>
      <c r="C26" s="393" t="s">
        <v>396</v>
      </c>
      <c r="D26" s="394"/>
    </row>
    <row r="27" spans="2:5" ht="12.75" customHeight="1" x14ac:dyDescent="0.25">
      <c r="B27" s="227" t="s">
        <v>79</v>
      </c>
      <c r="C27" s="224" t="s">
        <v>119</v>
      </c>
      <c r="D27" s="223"/>
    </row>
    <row r="28" spans="2:5" ht="14.25" customHeight="1" x14ac:dyDescent="0.25">
      <c r="B28" s="227" t="s">
        <v>74</v>
      </c>
      <c r="C28" s="331" t="s">
        <v>94</v>
      </c>
      <c r="D28" s="332"/>
    </row>
    <row r="29" spans="2:5" ht="12.75" customHeight="1" x14ac:dyDescent="0.25">
      <c r="B29" s="227" t="s">
        <v>387</v>
      </c>
      <c r="C29" s="331" t="s">
        <v>53</v>
      </c>
      <c r="D29" s="332"/>
      <c r="E29" s="25"/>
    </row>
    <row r="30" spans="2:5" ht="12.75" customHeight="1" x14ac:dyDescent="0.25">
      <c r="B30" s="227" t="s">
        <v>76</v>
      </c>
      <c r="C30" s="387" t="s">
        <v>397</v>
      </c>
      <c r="D30" s="388"/>
    </row>
    <row r="31" spans="2:5" ht="14.25" customHeight="1" x14ac:dyDescent="0.25">
      <c r="B31" s="227" t="s">
        <v>77</v>
      </c>
      <c r="C31" s="331" t="s">
        <v>398</v>
      </c>
      <c r="D31" s="332"/>
    </row>
    <row r="32" spans="2:5" ht="14.25" customHeight="1" x14ac:dyDescent="0.25">
      <c r="B32" s="229" t="s">
        <v>75</v>
      </c>
      <c r="C32" s="90" t="s">
        <v>95</v>
      </c>
      <c r="D32" s="91"/>
    </row>
    <row r="33" spans="2:13" ht="14.25" customHeight="1" x14ac:dyDescent="0.25">
      <c r="B33" s="227" t="s">
        <v>3</v>
      </c>
      <c r="C33" s="366" t="s">
        <v>2</v>
      </c>
      <c r="D33" s="367"/>
    </row>
    <row r="34" spans="2:13" ht="15" customHeight="1" thickBot="1" x14ac:dyDescent="0.3">
      <c r="B34" s="230" t="s">
        <v>388</v>
      </c>
      <c r="C34" s="92" t="s">
        <v>118</v>
      </c>
      <c r="D34" s="93"/>
    </row>
    <row r="35" spans="2:13" ht="15" customHeight="1" thickBot="1" x14ac:dyDescent="0.3">
      <c r="B35" s="88"/>
      <c r="C35" s="88"/>
      <c r="D35" s="88"/>
      <c r="F35" s="25"/>
    </row>
    <row r="36" spans="2:13" ht="13.8" thickBot="1" x14ac:dyDescent="0.3">
      <c r="B36" s="94" t="s">
        <v>48</v>
      </c>
      <c r="C36" s="95"/>
      <c r="D36" s="95"/>
      <c r="E36" s="96"/>
      <c r="F36" s="25"/>
    </row>
    <row r="37" spans="2:13" ht="16.5" customHeight="1" x14ac:dyDescent="0.25">
      <c r="B37" s="97" t="s">
        <v>399</v>
      </c>
      <c r="C37" s="98"/>
      <c r="D37" s="98"/>
      <c r="E37" s="99"/>
      <c r="F37" s="25"/>
    </row>
    <row r="38" spans="2:13" ht="19.5" customHeight="1" x14ac:dyDescent="0.25">
      <c r="B38" s="362" t="s">
        <v>45</v>
      </c>
      <c r="C38" s="363"/>
      <c r="D38" s="349" t="s">
        <v>400</v>
      </c>
      <c r="E38" s="350"/>
      <c r="M38" s="25"/>
    </row>
    <row r="39" spans="2:13" ht="27" customHeight="1" x14ac:dyDescent="0.25">
      <c r="B39" s="362" t="s">
        <v>46</v>
      </c>
      <c r="C39" s="363"/>
      <c r="D39" s="349" t="s">
        <v>49</v>
      </c>
      <c r="E39" s="350"/>
    </row>
    <row r="40" spans="2:13" ht="81" customHeight="1" x14ac:dyDescent="0.25">
      <c r="B40" s="353" t="s">
        <v>47</v>
      </c>
      <c r="C40" s="354"/>
      <c r="D40" s="349" t="s">
        <v>402</v>
      </c>
      <c r="E40" s="350"/>
    </row>
    <row r="41" spans="2:13" ht="31.5" customHeight="1" x14ac:dyDescent="0.25">
      <c r="B41" s="355"/>
      <c r="C41" s="356"/>
      <c r="D41" s="357" t="s">
        <v>401</v>
      </c>
      <c r="E41" s="358"/>
    </row>
    <row r="42" spans="2:13" ht="148.5" customHeight="1" x14ac:dyDescent="0.25">
      <c r="B42" s="362" t="s">
        <v>58</v>
      </c>
      <c r="C42" s="363"/>
      <c r="D42" s="349" t="s">
        <v>558</v>
      </c>
      <c r="E42" s="350"/>
    </row>
    <row r="43" spans="2:13" ht="170.25" customHeight="1" x14ac:dyDescent="0.25">
      <c r="B43" s="359" t="s">
        <v>404</v>
      </c>
      <c r="C43" s="360"/>
      <c r="D43" s="349" t="s">
        <v>562</v>
      </c>
      <c r="E43" s="361"/>
    </row>
    <row r="44" spans="2:13" ht="57" customHeight="1" thickBot="1" x14ac:dyDescent="0.3">
      <c r="B44" s="364" t="s">
        <v>403</v>
      </c>
      <c r="C44" s="365"/>
      <c r="D44" s="351" t="s">
        <v>405</v>
      </c>
      <c r="E44" s="352"/>
    </row>
    <row r="45" spans="2:13" x14ac:dyDescent="0.25">
      <c r="B45" s="100"/>
      <c r="C45" s="101"/>
      <c r="D45" s="101"/>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1">
    <mergeCell ref="B15:D15"/>
    <mergeCell ref="B16:D16"/>
    <mergeCell ref="B18:D18"/>
    <mergeCell ref="B20:D20"/>
    <mergeCell ref="C30:D30"/>
    <mergeCell ref="B17:D17"/>
    <mergeCell ref="C23:D23"/>
    <mergeCell ref="C24:D24"/>
    <mergeCell ref="C26:D26"/>
    <mergeCell ref="C21:D21"/>
    <mergeCell ref="C22:D22"/>
    <mergeCell ref="B2:D2"/>
    <mergeCell ref="B9:E9"/>
    <mergeCell ref="B6:E6"/>
    <mergeCell ref="B14:D14"/>
    <mergeCell ref="B12:E12"/>
    <mergeCell ref="B3:E3"/>
    <mergeCell ref="D38:E38"/>
    <mergeCell ref="D39:E39"/>
    <mergeCell ref="D40:E40"/>
    <mergeCell ref="C33:D33"/>
    <mergeCell ref="B38:C38"/>
    <mergeCell ref="B39:C39"/>
    <mergeCell ref="D42:E42"/>
    <mergeCell ref="D44:E44"/>
    <mergeCell ref="B40:C41"/>
    <mergeCell ref="D41:E41"/>
    <mergeCell ref="B43:C43"/>
    <mergeCell ref="D43:E43"/>
    <mergeCell ref="B42:C42"/>
    <mergeCell ref="B44:C44"/>
  </mergeCells>
  <phoneticPr fontId="0" type="noConversion"/>
  <hyperlinks>
    <hyperlink ref="D41" r:id="rId2"/>
  </hyperlinks>
  <pageMargins left="0.45" right="0.45" top="0.5" bottom="1" header="0.5" footer="0.5"/>
  <pageSetup scale="75" orientation="portrait" r:id="rId3"/>
  <headerFooter alignWithMargins="0">
    <oddFooter>&amp;LPage &amp;P of &amp;N&amp;C&amp;F&amp;RPrinted &amp;D</oddFooter>
  </headerFooter>
  <rowBreaks count="1" manualBreakCount="1">
    <brk id="34"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148"/>
  <sheetViews>
    <sheetView showGridLines="0" zoomScaleNormal="100" workbookViewId="0"/>
  </sheetViews>
  <sheetFormatPr defaultColWidth="9.109375" defaultRowHeight="13.2" x14ac:dyDescent="0.25"/>
  <cols>
    <col min="1" max="1" width="2.88671875" style="288" customWidth="1"/>
    <col min="2" max="2" width="38.5546875" style="288" customWidth="1"/>
    <col min="3" max="3" width="81.33203125" style="288" customWidth="1"/>
    <col min="4" max="4" width="8.109375" style="288" customWidth="1"/>
    <col min="5" max="5" width="97.44140625" style="288" hidden="1" customWidth="1"/>
    <col min="6" max="6" width="9.109375" style="288" customWidth="1"/>
    <col min="7" max="16384" width="9.109375" style="288"/>
  </cols>
  <sheetData>
    <row r="1" spans="2:5" ht="17.399999999999999" x14ac:dyDescent="0.3">
      <c r="B1" s="23" t="s">
        <v>117</v>
      </c>
    </row>
    <row r="2" spans="2:5" ht="16.2" thickBot="1" x14ac:dyDescent="0.4">
      <c r="E2" s="133" t="s">
        <v>175</v>
      </c>
    </row>
    <row r="3" spans="2:5" ht="13.8" thickBot="1" x14ac:dyDescent="0.3">
      <c r="B3" s="401" t="s">
        <v>5</v>
      </c>
      <c r="C3" s="374"/>
      <c r="E3" s="134" t="s">
        <v>11</v>
      </c>
    </row>
    <row r="4" spans="2:5" x14ac:dyDescent="0.25">
      <c r="B4" s="43" t="s">
        <v>6</v>
      </c>
      <c r="C4" s="30" t="s">
        <v>488</v>
      </c>
      <c r="E4" s="134" t="s">
        <v>176</v>
      </c>
    </row>
    <row r="5" spans="2:5" x14ac:dyDescent="0.25">
      <c r="B5" s="44" t="s">
        <v>7</v>
      </c>
      <c r="C5" s="26" t="s">
        <v>21</v>
      </c>
      <c r="E5" s="134" t="s">
        <v>17</v>
      </c>
    </row>
    <row r="6" spans="2:5" x14ac:dyDescent="0.25">
      <c r="B6" s="45" t="s">
        <v>191</v>
      </c>
      <c r="C6" s="26" t="s">
        <v>366</v>
      </c>
      <c r="E6" s="135"/>
    </row>
    <row r="7" spans="2:5" x14ac:dyDescent="0.25">
      <c r="B7" s="45" t="s">
        <v>183</v>
      </c>
      <c r="C7" s="150" t="s">
        <v>323</v>
      </c>
      <c r="E7" s="133" t="s">
        <v>177</v>
      </c>
    </row>
    <row r="8" spans="2:5" ht="13.8" thickBot="1" x14ac:dyDescent="0.3">
      <c r="B8" s="46" t="s">
        <v>365</v>
      </c>
      <c r="C8" s="149">
        <v>87101</v>
      </c>
      <c r="E8" s="134" t="s">
        <v>11</v>
      </c>
    </row>
    <row r="9" spans="2:5" ht="13.8" thickBot="1" x14ac:dyDescent="0.3">
      <c r="E9" s="134" t="s">
        <v>178</v>
      </c>
    </row>
    <row r="10" spans="2:5" ht="13.8" thickBot="1" x14ac:dyDescent="0.3">
      <c r="B10" s="401" t="s">
        <v>10</v>
      </c>
      <c r="C10" s="374"/>
      <c r="E10" s="134" t="s">
        <v>176</v>
      </c>
    </row>
    <row r="11" spans="2:5" x14ac:dyDescent="0.25">
      <c r="B11" s="43" t="s">
        <v>6</v>
      </c>
      <c r="C11" s="30" t="s">
        <v>18</v>
      </c>
      <c r="E11" s="134" t="s">
        <v>17</v>
      </c>
    </row>
    <row r="12" spans="2:5" x14ac:dyDescent="0.25">
      <c r="B12" s="44" t="s">
        <v>8</v>
      </c>
      <c r="C12" s="26" t="s">
        <v>19</v>
      </c>
      <c r="E12" s="134" t="s">
        <v>16</v>
      </c>
    </row>
    <row r="13" spans="2:5" ht="13.8" thickBot="1" x14ac:dyDescent="0.3">
      <c r="B13" s="47" t="s">
        <v>9</v>
      </c>
      <c r="C13" s="27" t="s">
        <v>20</v>
      </c>
      <c r="E13" s="134" t="s">
        <v>15</v>
      </c>
    </row>
    <row r="14" spans="2:5" ht="13.8" thickBot="1" x14ac:dyDescent="0.3"/>
    <row r="15" spans="2:5" ht="16.2" thickBot="1" x14ac:dyDescent="0.4">
      <c r="B15" s="404" t="str">
        <f>"U.S. Environmental Protection Agency Region "&amp;VLOOKUP(C7,'EPA Regional Contact Info'!$A$5:$C$49,3,FALSE)&amp;" Contact"</f>
        <v>U.S. Environmental Protection Agency Region 6 Contact</v>
      </c>
      <c r="C15" s="405"/>
      <c r="E15" s="133" t="s">
        <v>179</v>
      </c>
    </row>
    <row r="16" spans="2:5" x14ac:dyDescent="0.25">
      <c r="B16" s="151" t="s">
        <v>367</v>
      </c>
      <c r="C16" s="152" t="str">
        <f>VLOOKUP($C$7,'EPA Regional Contact Info'!$A$5:$N$49,4,FALSE)</f>
        <v>Bonnie Braganza</v>
      </c>
      <c r="E16" s="134" t="s">
        <v>11</v>
      </c>
    </row>
    <row r="17" spans="2:5" x14ac:dyDescent="0.25">
      <c r="B17" s="153" t="s">
        <v>368</v>
      </c>
      <c r="C17" s="154" t="str">
        <f>VLOOKUP($C$7,'EPA Regional Contact Info'!$A$5:$N$49,5,FALSE)</f>
        <v>214-665-7340</v>
      </c>
      <c r="E17" s="134" t="s">
        <v>180</v>
      </c>
    </row>
    <row r="18" spans="2:5" x14ac:dyDescent="0.25">
      <c r="B18" s="153" t="s">
        <v>369</v>
      </c>
      <c r="C18" s="154" t="str">
        <f>VLOOKUP($C$7,'EPA Regional Contact Info'!$A$5:$N$49,6,FALSE)</f>
        <v>braganza.bonnie@epa.gov</v>
      </c>
    </row>
    <row r="19" spans="2:5" x14ac:dyDescent="0.25">
      <c r="B19" s="153" t="s">
        <v>370</v>
      </c>
      <c r="C19" s="154" t="str">
        <f>VLOOKUP($C$7,'EPA Regional Contact Info'!$A$5:$N$49,7,FALSE)</f>
        <v>None</v>
      </c>
    </row>
    <row r="20" spans="2:5" x14ac:dyDescent="0.25">
      <c r="B20" s="153" t="s">
        <v>371</v>
      </c>
      <c r="C20" s="154" t="str">
        <f>IF(VLOOKUP($C$7,'EPA Regional Contact Info'!$A$5:$N$49,8,FALSE)=0,"",VLOOKUP($C$7,'EPA Regional Contact Info'!$A$5:$N$49,8,FALSE))</f>
        <v/>
      </c>
      <c r="E20" s="29" t="s">
        <v>517</v>
      </c>
    </row>
    <row r="21" spans="2:5" ht="15" customHeight="1" x14ac:dyDescent="0.25">
      <c r="B21" s="153" t="s">
        <v>372</v>
      </c>
      <c r="C21" s="154" t="str">
        <f>IF(VLOOKUP($C$7,'EPA Regional Contact Info'!$A$5:$N$49,9,FALSE)=0,"",VLOOKUP($C$7,'EPA Regional Contact Info'!$A$5:$N$49,9,FALSE))</f>
        <v/>
      </c>
      <c r="E21" s="28" t="s">
        <v>54</v>
      </c>
    </row>
    <row r="22" spans="2:5" x14ac:dyDescent="0.25">
      <c r="B22" s="155" t="s">
        <v>7</v>
      </c>
      <c r="C22" s="156" t="str">
        <f>"U.S. Environmental Protection Agency Region "&amp;VLOOKUP($C$7,'EPA Regional Contact Info'!$A$5:$C$49,3,FALSE)</f>
        <v>U.S. Environmental Protection Agency Region 6</v>
      </c>
      <c r="E22" s="28" t="s">
        <v>55</v>
      </c>
    </row>
    <row r="23" spans="2:5" ht="15" customHeight="1" x14ac:dyDescent="0.25">
      <c r="B23" s="157"/>
      <c r="C23" s="158" t="str">
        <f>VLOOKUP($C$7,'EPA Regional Contact Info'!$A$5:$N$49,10,FALSE)</f>
        <v>1445 Ross Avenue, Suite 1200</v>
      </c>
    </row>
    <row r="24" spans="2:5" x14ac:dyDescent="0.25">
      <c r="B24" s="157"/>
      <c r="C24" s="158" t="str">
        <f>VLOOKUP($C$7,'EPA Regional Contact Info'!$A$5:$N$49,11,FALSE)</f>
        <v>MC: 6PD</v>
      </c>
      <c r="E24" s="29" t="s">
        <v>96</v>
      </c>
    </row>
    <row r="25" spans="2:5" ht="13.8" thickBot="1" x14ac:dyDescent="0.3">
      <c r="B25" s="159"/>
      <c r="C25" s="160" t="str">
        <f>VLOOKUP($C$7,'EPA Regional Contact Info'!$A$5:$N$49,12,FALSE)&amp;", "&amp;VLOOKUP($C$7,'EPA Regional Contact Info'!$A$5:$N$49,13,FALSE)&amp;" "&amp;VLOOKUP($C$7,'EPA Regional Contact Info'!$A$5:$N$49,14,FALSE)</f>
        <v>Dallas, TX 75202-2733</v>
      </c>
      <c r="E25" s="28" t="s">
        <v>97</v>
      </c>
    </row>
    <row r="26" spans="2:5" ht="13.8" thickBot="1" x14ac:dyDescent="0.3">
      <c r="E26" s="28" t="s">
        <v>99</v>
      </c>
    </row>
    <row r="27" spans="2:5" ht="13.8" thickBot="1" x14ac:dyDescent="0.3">
      <c r="B27" s="402" t="s">
        <v>44</v>
      </c>
      <c r="C27" s="403"/>
      <c r="E27" s="28" t="s">
        <v>100</v>
      </c>
    </row>
    <row r="28" spans="2:5" x14ac:dyDescent="0.25">
      <c r="B28" s="231" t="s">
        <v>59</v>
      </c>
      <c r="C28" s="232" t="s">
        <v>11</v>
      </c>
      <c r="E28" s="28" t="s">
        <v>98</v>
      </c>
    </row>
    <row r="29" spans="2:5" x14ac:dyDescent="0.25">
      <c r="B29" s="233"/>
      <c r="C29" s="234"/>
      <c r="E29" s="28" t="s">
        <v>103</v>
      </c>
    </row>
    <row r="30" spans="2:5" x14ac:dyDescent="0.25">
      <c r="B30" s="233" t="s">
        <v>174</v>
      </c>
      <c r="C30" s="235" t="s">
        <v>11</v>
      </c>
      <c r="E30" s="28" t="s">
        <v>101</v>
      </c>
    </row>
    <row r="31" spans="2:5" ht="12.75" customHeight="1" x14ac:dyDescent="0.25">
      <c r="B31" s="236"/>
      <c r="C31" s="237"/>
      <c r="E31" s="28" t="s">
        <v>102</v>
      </c>
    </row>
    <row r="32" spans="2:5" ht="15.6" x14ac:dyDescent="0.35">
      <c r="B32" s="233" t="s">
        <v>60</v>
      </c>
      <c r="C32" s="235" t="s">
        <v>11</v>
      </c>
    </row>
    <row r="33" spans="2:5" ht="12.75" customHeight="1" x14ac:dyDescent="0.25">
      <c r="B33" s="236"/>
      <c r="C33" s="237"/>
    </row>
    <row r="34" spans="2:5" ht="15.6" x14ac:dyDescent="0.35">
      <c r="B34" s="233" t="s">
        <v>61</v>
      </c>
      <c r="C34" s="235" t="s">
        <v>11</v>
      </c>
      <c r="E34" s="29" t="s">
        <v>516</v>
      </c>
    </row>
    <row r="35" spans="2:5" x14ac:dyDescent="0.25">
      <c r="B35" s="236"/>
      <c r="C35" s="237"/>
      <c r="E35" s="28" t="s">
        <v>69</v>
      </c>
    </row>
    <row r="36" spans="2:5" ht="15.6" x14ac:dyDescent="0.35">
      <c r="B36" s="233" t="s">
        <v>62</v>
      </c>
      <c r="C36" s="235" t="s">
        <v>11</v>
      </c>
      <c r="E36" s="28" t="s">
        <v>68</v>
      </c>
    </row>
    <row r="37" spans="2:5" ht="13.8" thickBot="1" x14ac:dyDescent="0.3">
      <c r="B37" s="238"/>
      <c r="C37" s="239"/>
      <c r="E37" s="28" t="s">
        <v>70</v>
      </c>
    </row>
    <row r="38" spans="2:5" ht="13.5" customHeight="1" x14ac:dyDescent="0.25">
      <c r="B38" s="25"/>
      <c r="C38" s="25"/>
    </row>
    <row r="39" spans="2:5" ht="12.75" customHeight="1" thickBot="1" x14ac:dyDescent="0.3">
      <c r="B39" s="24"/>
      <c r="C39" s="85"/>
    </row>
    <row r="40" spans="2:5" ht="13.8" thickBot="1" x14ac:dyDescent="0.3">
      <c r="B40" s="72" t="s">
        <v>57</v>
      </c>
      <c r="C40" s="73"/>
      <c r="E40" s="111" t="s">
        <v>408</v>
      </c>
    </row>
    <row r="41" spans="2:5" ht="44.25" customHeight="1" thickBot="1" x14ac:dyDescent="0.3">
      <c r="B41" s="406" t="s">
        <v>474</v>
      </c>
      <c r="C41" s="407"/>
      <c r="E41" s="112">
        <f>IF(C47=0,1,C47/100)</f>
        <v>1</v>
      </c>
    </row>
    <row r="42" spans="2:5" ht="27" thickBot="1" x14ac:dyDescent="0.3">
      <c r="B42" s="241" t="s">
        <v>470</v>
      </c>
      <c r="C42" s="240">
        <v>1</v>
      </c>
      <c r="E42" s="39"/>
    </row>
    <row r="43" spans="2:5" ht="13.8" thickBot="1" x14ac:dyDescent="0.3">
      <c r="B43" s="399" t="s">
        <v>145</v>
      </c>
      <c r="C43" s="400"/>
      <c r="D43" s="38"/>
      <c r="E43" s="111" t="s">
        <v>407</v>
      </c>
    </row>
    <row r="44" spans="2:5" ht="40.5" customHeight="1" x14ac:dyDescent="0.25">
      <c r="B44" s="290" t="s">
        <v>514</v>
      </c>
      <c r="C44" s="311">
        <v>0</v>
      </c>
      <c r="E44" s="112">
        <f>IF(C49=0,'VOC and Solids Content Ranges'!$C$10,C49)</f>
        <v>7.3</v>
      </c>
    </row>
    <row r="45" spans="2:5" ht="33.75" customHeight="1" x14ac:dyDescent="0.25">
      <c r="B45" s="295" t="s">
        <v>530</v>
      </c>
      <c r="C45" s="287">
        <v>0</v>
      </c>
      <c r="E45" s="39"/>
    </row>
    <row r="46" spans="2:5" ht="39" customHeight="1" x14ac:dyDescent="0.25">
      <c r="B46" s="295" t="s">
        <v>481</v>
      </c>
      <c r="C46" s="287">
        <v>0</v>
      </c>
      <c r="E46" s="111" t="s">
        <v>528</v>
      </c>
    </row>
    <row r="47" spans="2:5" ht="36.75" customHeight="1" x14ac:dyDescent="0.25">
      <c r="B47" s="289" t="s">
        <v>464</v>
      </c>
      <c r="C47" s="274">
        <v>0</v>
      </c>
      <c r="E47" s="112">
        <f>IF(C56=0,(IF(C52="Primer surfacer",'VOC and Solids Content Ranges'!D49,'VOC and Solids Content Ranges'!D50))/(IF(C52="Primer surfacer",'VOC and Solids Content Ranges'!C49,'VOC and Solids Content Ranges'!C50)),C56/100)</f>
        <v>0.42799999999999999</v>
      </c>
    </row>
    <row r="48" spans="2:5" ht="26.4" x14ac:dyDescent="0.25">
      <c r="B48" s="255" t="s">
        <v>413</v>
      </c>
      <c r="C48" s="275">
        <f>Cleaner_VOC_Content</f>
        <v>1</v>
      </c>
      <c r="E48" s="39"/>
    </row>
    <row r="49" spans="2:5" ht="39.6" x14ac:dyDescent="0.25">
      <c r="B49" s="289" t="s">
        <v>465</v>
      </c>
      <c r="C49" s="256">
        <v>0</v>
      </c>
      <c r="E49" s="111" t="s">
        <v>529</v>
      </c>
    </row>
    <row r="50" spans="2:5" ht="13.8" thickBot="1" x14ac:dyDescent="0.3">
      <c r="B50" s="291" t="s">
        <v>412</v>
      </c>
      <c r="C50" s="258">
        <f>Cleaner_Density</f>
        <v>7.3</v>
      </c>
      <c r="E50" s="112">
        <f>1-Primer_VOC_Content</f>
        <v>0.57200000000000006</v>
      </c>
    </row>
    <row r="51" spans="2:5" ht="13.8" thickBot="1" x14ac:dyDescent="0.3">
      <c r="B51" s="333" t="s">
        <v>146</v>
      </c>
      <c r="C51" s="334"/>
      <c r="E51" s="39"/>
    </row>
    <row r="52" spans="2:5" ht="45" customHeight="1" x14ac:dyDescent="0.25">
      <c r="B52" s="290" t="s">
        <v>555</v>
      </c>
      <c r="C52" s="339" t="s">
        <v>501</v>
      </c>
      <c r="E52" s="308"/>
    </row>
    <row r="53" spans="2:5" ht="28.5" customHeight="1" x14ac:dyDescent="0.25">
      <c r="B53" s="295" t="s">
        <v>469</v>
      </c>
      <c r="C53" s="287">
        <v>0</v>
      </c>
      <c r="E53" s="111" t="s">
        <v>527</v>
      </c>
    </row>
    <row r="54" spans="2:5" ht="26.25" customHeight="1" x14ac:dyDescent="0.25">
      <c r="B54" s="295" t="s">
        <v>482</v>
      </c>
      <c r="C54" s="287">
        <v>0</v>
      </c>
      <c r="E54" s="112">
        <f>IF(C59=0,IF(C52="Primer surfacer",'VOC and Solids Content Ranges'!C49,'VOC and Solids Content Ranges'!C50),C59)</f>
        <v>10.5</v>
      </c>
    </row>
    <row r="55" spans="2:5" ht="26.4" x14ac:dyDescent="0.25">
      <c r="B55" s="289" t="s">
        <v>115</v>
      </c>
      <c r="C55" s="243" t="s">
        <v>97</v>
      </c>
      <c r="E55" s="39"/>
    </row>
    <row r="56" spans="2:5" ht="39.6" x14ac:dyDescent="0.25">
      <c r="B56" s="289" t="s">
        <v>466</v>
      </c>
      <c r="C56" s="274">
        <v>0</v>
      </c>
      <c r="E56" s="111" t="s">
        <v>409</v>
      </c>
    </row>
    <row r="57" spans="2:5" ht="17.25" customHeight="1" x14ac:dyDescent="0.25">
      <c r="B57" s="289" t="s">
        <v>414</v>
      </c>
      <c r="C57" s="275">
        <f>Primer_VOC_Content</f>
        <v>0.42799999999999999</v>
      </c>
      <c r="E57" s="112">
        <f>IF(C66=0,VLOOKUP($C$62,'VOC and Solids Content Ranges'!$B$32:$E$45,3,FALSE)/VLOOKUP($C$62,'VOC and Solids Content Ranges'!$B$32:$E$45,2,FALSE),C66/100)</f>
        <v>0.71372682926829278</v>
      </c>
    </row>
    <row r="58" spans="2:5" ht="39.6" x14ac:dyDescent="0.25">
      <c r="B58" s="289" t="s">
        <v>120</v>
      </c>
      <c r="C58" s="276">
        <f>Primer_Solids_Content</f>
        <v>0.57200000000000006</v>
      </c>
      <c r="E58" s="39"/>
    </row>
    <row r="59" spans="2:5" ht="39.6" x14ac:dyDescent="0.25">
      <c r="B59" s="289" t="s">
        <v>467</v>
      </c>
      <c r="C59" s="256">
        <v>0</v>
      </c>
      <c r="E59" s="111" t="s">
        <v>410</v>
      </c>
    </row>
    <row r="60" spans="2:5" ht="25.5" customHeight="1" thickBot="1" x14ac:dyDescent="0.3">
      <c r="B60" s="309" t="s">
        <v>526</v>
      </c>
      <c r="C60" s="310">
        <f>Primer_Density</f>
        <v>10.5</v>
      </c>
      <c r="E60" s="112">
        <f>1-Coating_VOC_Content</f>
        <v>0.28627317073170722</v>
      </c>
    </row>
    <row r="61" spans="2:5" ht="16.5" customHeight="1" thickBot="1" x14ac:dyDescent="0.3">
      <c r="B61" s="300" t="s">
        <v>147</v>
      </c>
      <c r="C61" s="301"/>
      <c r="E61" s="39"/>
    </row>
    <row r="62" spans="2:5" ht="39.6" x14ac:dyDescent="0.25">
      <c r="B62" s="312" t="s">
        <v>556</v>
      </c>
      <c r="C62" s="313" t="s">
        <v>531</v>
      </c>
      <c r="E62" s="111" t="s">
        <v>411</v>
      </c>
    </row>
    <row r="63" spans="2:5" ht="26.4" x14ac:dyDescent="0.25">
      <c r="B63" s="295" t="s">
        <v>468</v>
      </c>
      <c r="C63" s="287">
        <v>0</v>
      </c>
      <c r="E63" s="112">
        <f>IF(C69=0,VLOOKUP($C$62,'VOC and Solids Content Ranges'!$B$32:$E$45,2,FALSE),C69)</f>
        <v>7.884615384615385</v>
      </c>
    </row>
    <row r="64" spans="2:5" ht="39.6" x14ac:dyDescent="0.25">
      <c r="B64" s="295" t="s">
        <v>483</v>
      </c>
      <c r="C64" s="287">
        <v>0</v>
      </c>
      <c r="E64" s="39"/>
    </row>
    <row r="65" spans="2:5" ht="36.75" customHeight="1" x14ac:dyDescent="0.25">
      <c r="B65" s="289" t="s">
        <v>116</v>
      </c>
      <c r="C65" s="243" t="s">
        <v>99</v>
      </c>
      <c r="E65" s="111" t="s">
        <v>422</v>
      </c>
    </row>
    <row r="66" spans="2:5" ht="39.6" x14ac:dyDescent="0.25">
      <c r="B66" s="289" t="s">
        <v>471</v>
      </c>
      <c r="C66" s="274">
        <v>0</v>
      </c>
      <c r="E66" s="112">
        <f>IF(C76=0,Distillate_Oil_Actual_Sulfur_Content,C76)</f>
        <v>0.24</v>
      </c>
    </row>
    <row r="67" spans="2:5" x14ac:dyDescent="0.25">
      <c r="B67" s="289" t="s">
        <v>420</v>
      </c>
      <c r="C67" s="282">
        <f>Coating_VOC_Content</f>
        <v>0.71372682926829278</v>
      </c>
      <c r="E67" s="302"/>
    </row>
    <row r="68" spans="2:5" ht="39.6" x14ac:dyDescent="0.25">
      <c r="B68" s="289" t="s">
        <v>121</v>
      </c>
      <c r="C68" s="276">
        <f>Coating_Solids_Content</f>
        <v>0.28627317073170722</v>
      </c>
      <c r="E68" s="111" t="s">
        <v>511</v>
      </c>
    </row>
    <row r="69" spans="2:5" ht="39.6" x14ac:dyDescent="0.25">
      <c r="B69" s="289" t="s">
        <v>472</v>
      </c>
      <c r="C69" s="256">
        <v>0</v>
      </c>
      <c r="E69" s="112" t="s">
        <v>500</v>
      </c>
    </row>
    <row r="70" spans="2:5" ht="13.8" thickBot="1" x14ac:dyDescent="0.3">
      <c r="B70" s="291" t="s">
        <v>415</v>
      </c>
      <c r="C70" s="258">
        <f>Coating_Density</f>
        <v>7.884615384615385</v>
      </c>
      <c r="E70" s="112" t="s">
        <v>501</v>
      </c>
    </row>
    <row r="71" spans="2:5" ht="13.8" thickBot="1" x14ac:dyDescent="0.3">
      <c r="B71" s="71" t="s">
        <v>512</v>
      </c>
      <c r="C71" s="70"/>
      <c r="E71" s="112" t="s">
        <v>531</v>
      </c>
    </row>
    <row r="72" spans="2:5" ht="26.4" x14ac:dyDescent="0.25">
      <c r="B72" s="244" t="s">
        <v>513</v>
      </c>
      <c r="C72" s="242" t="s">
        <v>55</v>
      </c>
    </row>
    <row r="73" spans="2:5" ht="26.4" x14ac:dyDescent="0.25">
      <c r="B73" s="245" t="s">
        <v>534</v>
      </c>
      <c r="C73" s="243">
        <v>0.01</v>
      </c>
      <c r="E73" s="111" t="s">
        <v>532</v>
      </c>
    </row>
    <row r="74" spans="2:5" x14ac:dyDescent="0.25">
      <c r="B74" s="245" t="s">
        <v>535</v>
      </c>
      <c r="C74" s="243" t="s">
        <v>70</v>
      </c>
      <c r="E74" s="338" t="s">
        <v>498</v>
      </c>
    </row>
    <row r="75" spans="2:5" ht="26.4" x14ac:dyDescent="0.25">
      <c r="B75" s="286" t="str">
        <f>IF(C74="Natural gas","How much fuel was combusted in the oven in 2012 (MMscf)?","How much fuel was combusted in the oven in 2012 (1000 gal)?")</f>
        <v>How much fuel was combusted in the oven in 2012 (1000 gal)?</v>
      </c>
      <c r="C75" s="287">
        <v>0</v>
      </c>
      <c r="E75" s="338" t="s">
        <v>499</v>
      </c>
    </row>
    <row r="76" spans="2:5" ht="26.4" x14ac:dyDescent="0.25">
      <c r="B76" s="245" t="str">
        <f>IF(Oven_Fuel="Oil - Distillate","What is the sulfur content of the distillate oil (percent)? (Enter 0 if unknown)","What is the sulfur content of the waste oil (percent)? (Enter 0 if unknown)")</f>
        <v>What is the sulfur content of the distillate oil (percent)? (Enter 0 if unknown)</v>
      </c>
      <c r="C76" s="257">
        <v>0</v>
      </c>
      <c r="E76" s="338" t="s">
        <v>495</v>
      </c>
    </row>
    <row r="77" spans="2:5" ht="13.8" thickBot="1" x14ac:dyDescent="0.3">
      <c r="B77" s="260" t="str">
        <f>IF(Oven_Fuel="Oil - Waste","Sulfur content of waste oil (percent)","Sulfur content of distillate oil (percent)")</f>
        <v>Sulfur content of distillate oil (percent)</v>
      </c>
      <c r="C77" s="258">
        <f>E66</f>
        <v>0.24</v>
      </c>
      <c r="E77" s="338" t="s">
        <v>497</v>
      </c>
    </row>
    <row r="78" spans="2:5" x14ac:dyDescent="0.25">
      <c r="B78" s="25"/>
      <c r="C78" s="25"/>
      <c r="E78" s="338" t="s">
        <v>510</v>
      </c>
    </row>
    <row r="79" spans="2:5" x14ac:dyDescent="0.25">
      <c r="B79" s="25"/>
      <c r="C79" s="25"/>
      <c r="E79" s="338" t="s">
        <v>503</v>
      </c>
    </row>
    <row r="80" spans="2:5" x14ac:dyDescent="0.25">
      <c r="B80" s="315"/>
      <c r="E80" s="338" t="s">
        <v>508</v>
      </c>
    </row>
    <row r="81" spans="5:5" x14ac:dyDescent="0.25">
      <c r="E81" s="338" t="s">
        <v>509</v>
      </c>
    </row>
    <row r="82" spans="5:5" x14ac:dyDescent="0.25">
      <c r="E82" s="338" t="s">
        <v>505</v>
      </c>
    </row>
    <row r="83" spans="5:5" x14ac:dyDescent="0.25">
      <c r="E83" s="338" t="s">
        <v>507</v>
      </c>
    </row>
    <row r="84" spans="5:5" x14ac:dyDescent="0.25">
      <c r="E84" s="338" t="s">
        <v>506</v>
      </c>
    </row>
    <row r="85" spans="5:5" x14ac:dyDescent="0.25">
      <c r="E85" s="338" t="s">
        <v>502</v>
      </c>
    </row>
    <row r="86" spans="5:5" x14ac:dyDescent="0.25">
      <c r="E86" s="338" t="s">
        <v>504</v>
      </c>
    </row>
    <row r="87" spans="5:5" x14ac:dyDescent="0.25">
      <c r="E87" s="338" t="s">
        <v>531</v>
      </c>
    </row>
    <row r="103" spans="5:5" x14ac:dyDescent="0.25">
      <c r="E103" s="292" t="s">
        <v>473</v>
      </c>
    </row>
    <row r="104" spans="5:5" x14ac:dyDescent="0.25">
      <c r="E104" s="285" t="str">
        <f>'EPA Regional Contact Info'!A5</f>
        <v>Alabama</v>
      </c>
    </row>
    <row r="105" spans="5:5" x14ac:dyDescent="0.25">
      <c r="E105" s="285" t="str">
        <f>'EPA Regional Contact Info'!A6</f>
        <v>Alaska</v>
      </c>
    </row>
    <row r="106" spans="5:5" x14ac:dyDescent="0.25">
      <c r="E106" s="285" t="str">
        <f>'EPA Regional Contact Info'!A7</f>
        <v>Arizona</v>
      </c>
    </row>
    <row r="107" spans="5:5" x14ac:dyDescent="0.25">
      <c r="E107" s="285" t="str">
        <f>'EPA Regional Contact Info'!A8</f>
        <v>Arkansas</v>
      </c>
    </row>
    <row r="108" spans="5:5" x14ac:dyDescent="0.25">
      <c r="E108" s="285" t="str">
        <f>'EPA Regional Contact Info'!A9</f>
        <v>California</v>
      </c>
    </row>
    <row r="109" spans="5:5" x14ac:dyDescent="0.25">
      <c r="E109" s="285" t="str">
        <f>'EPA Regional Contact Info'!A10</f>
        <v>Colorado</v>
      </c>
    </row>
    <row r="110" spans="5:5" x14ac:dyDescent="0.25">
      <c r="E110" s="285" t="str">
        <f>'EPA Regional Contact Info'!A11</f>
        <v>Connecticut</v>
      </c>
    </row>
    <row r="111" spans="5:5" x14ac:dyDescent="0.25">
      <c r="E111" s="285" t="str">
        <f>'EPA Regional Contact Info'!A12</f>
        <v>Florida</v>
      </c>
    </row>
    <row r="112" spans="5:5" x14ac:dyDescent="0.25">
      <c r="E112" s="285" t="str">
        <f>'EPA Regional Contact Info'!A13</f>
        <v>Georgia</v>
      </c>
    </row>
    <row r="113" spans="5:5" x14ac:dyDescent="0.25">
      <c r="E113" s="285" t="str">
        <f>'EPA Regional Contact Info'!A14</f>
        <v>Hawaii</v>
      </c>
    </row>
    <row r="114" spans="5:5" x14ac:dyDescent="0.25">
      <c r="E114" s="285" t="str">
        <f>'EPA Regional Contact Info'!A15</f>
        <v>Idaho</v>
      </c>
    </row>
    <row r="115" spans="5:5" x14ac:dyDescent="0.25">
      <c r="E115" s="285" t="str">
        <f>'EPA Regional Contact Info'!A16</f>
        <v>Illinois</v>
      </c>
    </row>
    <row r="116" spans="5:5" x14ac:dyDescent="0.25">
      <c r="E116" s="285" t="str">
        <f>'EPA Regional Contact Info'!A17</f>
        <v>Indiana</v>
      </c>
    </row>
    <row r="117" spans="5:5" x14ac:dyDescent="0.25">
      <c r="E117" s="285" t="str">
        <f>'EPA Regional Contact Info'!A18</f>
        <v>Iowa</v>
      </c>
    </row>
    <row r="118" spans="5:5" x14ac:dyDescent="0.25">
      <c r="E118" s="285" t="str">
        <f>'EPA Regional Contact Info'!A19</f>
        <v>Kansas</v>
      </c>
    </row>
    <row r="119" spans="5:5" x14ac:dyDescent="0.25">
      <c r="E119" s="285" t="str">
        <f>'EPA Regional Contact Info'!A20</f>
        <v>Kentucky</v>
      </c>
    </row>
    <row r="120" spans="5:5" x14ac:dyDescent="0.25">
      <c r="E120" s="285" t="str">
        <f>'EPA Regional Contact Info'!A21</f>
        <v>Louisiana</v>
      </c>
    </row>
    <row r="121" spans="5:5" x14ac:dyDescent="0.25">
      <c r="E121" s="285" t="str">
        <f>'EPA Regional Contact Info'!A22</f>
        <v>Maine</v>
      </c>
    </row>
    <row r="122" spans="5:5" x14ac:dyDescent="0.25">
      <c r="E122" s="285" t="str">
        <f>'EPA Regional Contact Info'!A23</f>
        <v>Massachusetts</v>
      </c>
    </row>
    <row r="123" spans="5:5" x14ac:dyDescent="0.25">
      <c r="E123" s="285" t="str">
        <f>'EPA Regional Contact Info'!A24</f>
        <v>Michigan</v>
      </c>
    </row>
    <row r="124" spans="5:5" x14ac:dyDescent="0.25">
      <c r="E124" s="285" t="str">
        <f>'EPA Regional Contact Info'!A25</f>
        <v>Minnesota</v>
      </c>
    </row>
    <row r="125" spans="5:5" x14ac:dyDescent="0.25">
      <c r="E125" s="285" t="str">
        <f>'EPA Regional Contact Info'!A26</f>
        <v>Mississippi</v>
      </c>
    </row>
    <row r="126" spans="5:5" x14ac:dyDescent="0.25">
      <c r="E126" s="285" t="str">
        <f>'EPA Regional Contact Info'!A27</f>
        <v>Missouri</v>
      </c>
    </row>
    <row r="127" spans="5:5" x14ac:dyDescent="0.25">
      <c r="E127" s="285" t="str">
        <f>'EPA Regional Contact Info'!A28</f>
        <v>Montana</v>
      </c>
    </row>
    <row r="128" spans="5:5" x14ac:dyDescent="0.25">
      <c r="E128" s="285" t="str">
        <f>'EPA Regional Contact Info'!A29</f>
        <v>Nebraska</v>
      </c>
    </row>
    <row r="129" spans="5:5" x14ac:dyDescent="0.25">
      <c r="E129" s="285" t="str">
        <f>'EPA Regional Contact Info'!A30</f>
        <v>Nevada</v>
      </c>
    </row>
    <row r="130" spans="5:5" x14ac:dyDescent="0.25">
      <c r="E130" s="285" t="str">
        <f>'EPA Regional Contact Info'!A31</f>
        <v>New Hampshire</v>
      </c>
    </row>
    <row r="131" spans="5:5" x14ac:dyDescent="0.25">
      <c r="E131" s="285" t="str">
        <f>'EPA Regional Contact Info'!A32</f>
        <v>New Jersey</v>
      </c>
    </row>
    <row r="132" spans="5:5" x14ac:dyDescent="0.25">
      <c r="E132" s="285" t="str">
        <f>'EPA Regional Contact Info'!A33</f>
        <v>New Mexico</v>
      </c>
    </row>
    <row r="133" spans="5:5" x14ac:dyDescent="0.25">
      <c r="E133" s="285" t="str">
        <f>'EPA Regional Contact Info'!A34</f>
        <v>New York</v>
      </c>
    </row>
    <row r="134" spans="5:5" x14ac:dyDescent="0.25">
      <c r="E134" s="285" t="str">
        <f>'EPA Regional Contact Info'!A35</f>
        <v>North Carolina</v>
      </c>
    </row>
    <row r="135" spans="5:5" x14ac:dyDescent="0.25">
      <c r="E135" s="285" t="str">
        <f>'EPA Regional Contact Info'!A36</f>
        <v>North Dakota</v>
      </c>
    </row>
    <row r="136" spans="5:5" x14ac:dyDescent="0.25">
      <c r="E136" s="285" t="str">
        <f>'EPA Regional Contact Info'!A37</f>
        <v>Ohio</v>
      </c>
    </row>
    <row r="137" spans="5:5" x14ac:dyDescent="0.25">
      <c r="E137" s="285" t="str">
        <f>'EPA Regional Contact Info'!A38</f>
        <v>Oklahoma</v>
      </c>
    </row>
    <row r="138" spans="5:5" x14ac:dyDescent="0.25">
      <c r="E138" s="285" t="str">
        <f>'EPA Regional Contact Info'!A39</f>
        <v>Oregon</v>
      </c>
    </row>
    <row r="139" spans="5:5" x14ac:dyDescent="0.25">
      <c r="E139" s="285" t="str">
        <f>'EPA Regional Contact Info'!A40</f>
        <v>Rhode Island</v>
      </c>
    </row>
    <row r="140" spans="5:5" x14ac:dyDescent="0.25">
      <c r="E140" s="285" t="str">
        <f>'EPA Regional Contact Info'!A41</f>
        <v>South Carolina</v>
      </c>
    </row>
    <row r="141" spans="5:5" x14ac:dyDescent="0.25">
      <c r="E141" s="285" t="str">
        <f>'EPA Regional Contact Info'!A42</f>
        <v>South Dakota</v>
      </c>
    </row>
    <row r="142" spans="5:5" x14ac:dyDescent="0.25">
      <c r="E142" s="285" t="str">
        <f>'EPA Regional Contact Info'!A43</f>
        <v>Tennessee</v>
      </c>
    </row>
    <row r="143" spans="5:5" x14ac:dyDescent="0.25">
      <c r="E143" s="285" t="str">
        <f>'EPA Regional Contact Info'!A44</f>
        <v>Texas</v>
      </c>
    </row>
    <row r="144" spans="5:5" x14ac:dyDescent="0.25">
      <c r="E144" s="285" t="str">
        <f>'EPA Regional Contact Info'!A45</f>
        <v>Utah</v>
      </c>
    </row>
    <row r="145" spans="5:5" x14ac:dyDescent="0.25">
      <c r="E145" s="285" t="str">
        <f>'EPA Regional Contact Info'!A46</f>
        <v>Vermont</v>
      </c>
    </row>
    <row r="146" spans="5:5" x14ac:dyDescent="0.25">
      <c r="E146" s="285" t="str">
        <f>'EPA Regional Contact Info'!A47</f>
        <v>Washington</v>
      </c>
    </row>
    <row r="147" spans="5:5" x14ac:dyDescent="0.25">
      <c r="E147" s="285" t="str">
        <f>'EPA Regional Contact Info'!A48</f>
        <v>Wisconsin</v>
      </c>
    </row>
    <row r="148" spans="5:5" x14ac:dyDescent="0.25">
      <c r="E148" s="285" t="str">
        <f>'EPA Regional Contact Info'!A49</f>
        <v>Wyoming</v>
      </c>
    </row>
  </sheetData>
  <sheetProtection password="C969" sheet="1" objects="1" scenarios="1"/>
  <sortState ref="E74:E86">
    <sortCondition ref="E74"/>
  </sortState>
  <dataConsolidate/>
  <mergeCells count="6">
    <mergeCell ref="B43:C43"/>
    <mergeCell ref="B3:C3"/>
    <mergeCell ref="B10:C10"/>
    <mergeCell ref="B27:C27"/>
    <mergeCell ref="B15:C15"/>
    <mergeCell ref="B41:C41"/>
  </mergeCells>
  <conditionalFormatting sqref="B73:C77">
    <cfRule type="expression" dxfId="16" priority="3" stopIfTrue="1">
      <formula>$C$72="No"</formula>
    </cfRule>
  </conditionalFormatting>
  <conditionalFormatting sqref="B76:C77">
    <cfRule type="expression" dxfId="15" priority="6">
      <formula>LEFT($C$74,3)&lt;&gt;"Oil"</formula>
    </cfRule>
  </conditionalFormatting>
  <dataValidations xWindow="646" yWindow="297" count="39">
    <dataValidation type="decimal" operator="greaterThan" allowBlank="1" showInputMessage="1" showErrorMessage="1" errorTitle="Value Out of Range" error="Value entered must be greater than 0." promptTitle="Heat Capacity of Oven" prompt="Enter the heat capacity of the oven in million British thermal units per hour." sqref="C73">
      <formula1>0</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decimal" operator="greaterThanOrEqual" allowBlank="1" showInputMessage="1" showErrorMessage="1" promptTitle="Coatings Usage" prompt="Enter the gallons of coatings that your facility used in calendar year 2012." sqref="C63">
      <formula1>0</formula1>
    </dataValidation>
    <dataValidation type="list" allowBlank="1" showInputMessage="1" showErrorMessage="1" promptTitle="Primary Oven Fuel" prompt="Select the primary oven fuel type used at your facility from the drop-down list." sqref="C74">
      <formula1>Oven_Fuel_Type_List</formula1>
    </dataValidation>
    <dataValidation type="list" allowBlank="1" showInputMessage="1" showErrorMessage="1" promptTitle="Coating Application Method" prompt="Select the coating application method used at your facility from the drop-down list." sqref="C65">
      <formula1>Spray_Type_List</formula1>
    </dataValidation>
    <dataValidation type="decimal" allowBlank="1" showInputMessage="1" showErrorMessage="1" errorTitle="Value Out of Range" error="Value entered must be between 0 and 100." promptTitle="Primer VOC Content" prompt="Enter the average VOC content of the primers used at your facility in 2012 as a weight percentage. If you used more than one type of primer, enter the average VOC content of all types. If unknown, please enter 0." sqref="C56">
      <formula1>0</formula1>
      <formula2>100</formula2>
    </dataValidation>
    <dataValidation type="decimal" allowBlank="1" showInputMessage="1" showErrorMessage="1" errorTitle="Value Out of Range" error="Value entered must be between 1 and 168." promptTitle="Facility Operation Time" prompt="Enter the average number of hours that your facility operated per week in calendar year 2012." sqref="C42">
      <formula1>0.001</formula1>
      <formula2>168</formula2>
    </dataValidation>
    <dataValidation type="list" allowBlank="1" showInputMessage="1" showErrorMessage="1" promptTitle="Oven" prompt="Please select whether your facility used an oven in calendar year 2012." sqref="C72">
      <formula1>Yes_No_Oven_List</formula1>
    </dataValidation>
    <dataValidation allowBlank="1" showErrorMessage="1" sqref="B43:C43 B73 B71:B72 B61 B51"/>
    <dataValidation type="list" allowBlank="1" showInputMessage="1" showErrorMessage="1" promptTitle="Primer Application Method" prompt="Select the primer application method used at your facility from the drop-down list." sqref="C55">
      <formula1>Spray_Type_List</formula1>
    </dataValidation>
    <dataValidation operator="greaterThan" allowBlank="1" showInputMessage="1" showErrorMessage="1" promptTitle="Cleaning Solvent Usage" prompt="Enter the gallons of cleaning solvent that your facility used in calendar year 2012." sqref="C44"/>
    <dataValidation type="decimal" allowBlank="1" showInputMessage="1" showErrorMessage="1" errorTitle="Value Out of Range" error="Value entered must be between 0 and 100." promptTitle="Cleaning Solvent VOC Content" prompt="The average VOC content of the cleaning solvents used at your facility as a weight percentage. If 0 is entered in the field above a default value of 100% will be used." sqref="C48">
      <formula1>0</formula1>
      <formula2>100</formula2>
    </dataValidation>
    <dataValidation type="decimal" operator="greaterThanOrEqual" allowBlank="1" showInputMessage="1" showErrorMessage="1" promptTitle="Primer Usage" prompt="Enter the gallons of primer that your facility used in calendar year 2012." sqref="C53">
      <formula1>0</formula1>
    </dataValidation>
    <dataValidation allowBlank="1" showInputMessage="1" showErrorMessage="1" promptTitle="Primer Solids Content" prompt="Average soilids content of primers used at your facility calculated as 100 minus the VOC content." sqref="C58"/>
    <dataValidation allowBlank="1" showInputMessage="1" showErrorMessage="1" errorTitle="Value Out of Range" error="Value entered must be between 0 and 100." promptTitle="Coating VOC Content" prompt="Enter the average VOC content of the coatings used at your facility in 2012 as a weight percentage. If you used more than one type of coating, enter the average VOC content of all types. If unknown, please enter 0." sqref="C66"/>
    <dataValidation allowBlank="1" showInputMessage="1" showErrorMessage="1" promptTitle="Coatings Solids Content" prompt="Average soilids content of coatings used at your facility calculated as 100 minus the VOC content." sqref="C68"/>
    <dataValidation type="decimal" allowBlank="1" showInputMessage="1" showErrorMessage="1" errorTitle="Value Out of Range" error="The sulfur content must be between 0 and 0.5 percent. The maximum allowable sulfur content of distillate oil combusted on Tribal lands is 0.5 percent. See 40 CFR 49.130(d)(2)" promptTitle="Sulfur Content of Fuel" prompt="Enter the sulfur content of the fuel as a percent weight." sqref="C76">
      <formula1>0</formula1>
      <formula2>0.5</formula2>
    </dataValidation>
    <dataValidation allowBlank="1" showInputMessage="1" showErrorMessage="1" promptTitle="Cleaning Solvent Density" prompt="The average density in pounds per gallon of cleaning solvent used at your facility. If 0 is entered in the field above the default value shown here will be used." sqref="C50"/>
    <dataValidation type="decimal" allowBlank="1" showInputMessage="1" showErrorMessage="1" errorTitle="Value Out of Range" error="Value entered must be between 0 and 100." promptTitle="Average VOC Content" prompt="The average VOC content by weight percent. If 0 is entered in the field above, the default value shown here will be used." sqref="C57">
      <formula1>0</formula1>
      <formula2>100</formula2>
    </dataValidation>
    <dataValidation allowBlank="1" showInputMessage="1" showErrorMessage="1" promptTitle="Average Primer Density" prompt="The average density (pounds/gallon) of primer used for calculating emissions in this calculator. If 0 is entered in the field above, the default value shown here will be used." sqref="C60"/>
    <dataValidation allowBlank="1" showInputMessage="1" showErrorMessage="1" promptTitle="Average Coatings Density" prompt="The average density (pounds/gallon) of coatings used for calculating emissions in this calculator. If 0 is entered in the field above, the default value shown here will be used." sqref="C70"/>
    <dataValidation allowBlank="1" showInputMessage="1" showErrorMessage="1" promptTitle="Sulfur Content" prompt="The sulfur content of the fuel as a weight percentage that is used to calculate emissions in this calculator. If 0 is entered in the field above, the default value shown here will be used." sqref="C77"/>
    <dataValidation allowBlank="1" showInputMessage="1" showErrorMessage="1" errorTitle="Value Out of Range" error="Value entered must be between 0 and 100." promptTitle="Coating VOC Content" prompt="The average VOC content by weight percent. If 0 is entered in the field above, a the default value shown will be used." sqref="C67"/>
    <dataValidation allowBlank="1" showInputMessage="1" showErrorMessage="1" promptTitle="Primer Density" prompt="Enter the average density (pounds/gallon) of primer used at your facility in 2012.  If you used more than one type of primer, enter the average density of all types. Enter 0 if unknown." sqref="C59"/>
    <dataValidation allowBlank="1" showInputMessage="1" showErrorMessage="1" promptTitle="Cleaning Solvent Density" prompt="Enter the average density (pounds/gallon) of cleaning solvents used at your facility in 2012. Enter 0 if unknown and a default value will be used. To convert specific gravity to density, multiply the specific gravity by 8.34 lb/gal." sqref="C49"/>
    <dataValidation allowBlank="1" showInputMessage="1" showErrorMessage="1" promptTitle="Coatings Density" prompt="Enter the average density (pounds/gallon) of coatings used at your facility in 2012.  If you used more than one type of coating, enter the average density of all types. Enter 0 if unknown." sqref="C69"/>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type="decimal" allowBlank="1" showInputMessage="1" showErrorMessage="1" errorTitle="Value Out of Range" error="Value entered must be between 0 and 100." promptTitle="Cleaning Solvent VOC Content" prompt="Enter the average VOC content of the cleaning solvents used at your facility in 2012 as a weight percentage. If unknown, please enter 0." sqref="C47">
      <formula1>0</formula1>
      <formula2>100</formula2>
    </dataValidation>
    <dataValidation allowBlank="1" showInputMessage="1" showErrorMessage="1" promptTitle="Volume of Fuel Combusted" prompt="Enter the volume of fuel combusted in your oven in calendar year 2012. Make sure the units match those listed in cell B75._x000a__x000a_MMscf = million standard cubic feet_x000a_1000 gal = 1,000 gallons_x000a__x000a_For example, enter 2 if your heater burned 2,000 gallons of oil." sqref="C75"/>
    <dataValidation type="decimal" operator="greaterThanOrEqual" allowBlank="1" showInputMessage="1" showErrorMessage="1" errorTitle="Value Out of Range" error="The maximum gallons of cleaning solvent that your facility can use in an hour must be greater than or equal to the actual hourly rate._x000a__x000a_actual rate = gallons used/(52*number of hours your facility operated per week in 2012)" promptTitle="Maximum Cleaning Solvent Usage" prompt="Enter the maximum number of gallons of cleaning solvent that your facility can use in an hour. If unknown, enter the number of gallons used in your busiest hour in 2012." sqref="C46">
      <formula1>Cleaner_Gallons/(52*Hours_of_Operation)</formula1>
    </dataValidation>
    <dataValidation type="decimal" operator="greaterThanOrEqual" allowBlank="1" showInputMessage="1" showErrorMessage="1" errorTitle="Value Out of Range" error="The maximum gallons of primer that your facility can use in an hour must be greater than or equal to the actual hourly rate._x000a__x000a_actual rate = gallons primer used/(52*number of hours your facility operated per week in 2012)" promptTitle="Maximum Primer Usage" prompt="Enter the maximum number of gallons of primer that your facility can use per hour. For example, if your facility applies primer with a spray gun, multiply the gallons per minute rating of the spray gun by 60 to get maximum gallons per hour." sqref="C54">
      <formula1>Primer_Gallons/(52*Hours_of_Operation)</formula1>
    </dataValidation>
    <dataValidation type="decimal" operator="greaterThanOrEqual" allowBlank="1" showInputMessage="1" showErrorMessage="1" errorTitle="Value Out of Range" error="The maximum gallons of coating that your facility can use in an hour must be greater than or equal to the actual hourly rate._x000a__x000a_actual rate = gallons coating used/(52*number of hours your facility operated per week in 2012)" promptTitle="Maximum Coating Usage" prompt="Enter the maximum number of gallons of coating that your facility can use per hour. For example, if your facility applies coatings with a spray gun, multiply the gallons per minute rating of the spray gun by 60 to get maximum gallons per hour." sqref="C64">
      <formula1>Coating_Gallons/(52*Hours_of_Operation)</formula1>
    </dataValidation>
    <dataValidation type="list" allowBlank="1" showInputMessage="1" showErrorMessage="1" promptTitle="Primer Type" prompt="Select the type of primer your facility used in 2012 from the drop-down list. If you used more than one type, choose &quot;Other.&quot;" sqref="C52">
      <formula1>Primer_Types</formula1>
    </dataValidation>
    <dataValidation type="decimal" operator="lessThanOrEqual" allowBlank="1" showInputMessage="1" showErrorMessage="1" promptTitle="Cleaning Solvent Recovered" prompt="Enter the number of gallons of cleaning solvent recovered by your facility in 2012." sqref="C45">
      <formula1>Cleaner_Gallons</formula1>
    </dataValidation>
    <dataValidation type="list" allowBlank="1" showInputMessage="1" showErrorMessage="1" promptTitle="Coating Type" prompt="Select the type of primer your facility used in 2012 from the drop-down list. If you used more than one type, choose &quot;Other.&quot;" sqref="C62">
      <formula1>Coating_Types</formula1>
    </dataValidation>
  </dataValidations>
  <pageMargins left="0.45" right="0.45" top="0.5" bottom="1" header="0.5" footer="0.5"/>
  <pageSetup scale="80" orientation="portrait" r:id="rId1"/>
  <headerFooter>
    <oddFooter>&amp;LPage &amp;P of &amp;N&amp;C&amp;F&amp;RPrinted &amp;D</oddFooter>
  </headerFooter>
  <rowBreaks count="1" manualBreakCount="1">
    <brk id="5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35"/>
  <sheetViews>
    <sheetView showGridLines="0" zoomScaleNormal="100" workbookViewId="0"/>
  </sheetViews>
  <sheetFormatPr defaultColWidth="9.109375" defaultRowHeight="13.2" x14ac:dyDescent="0.25"/>
  <cols>
    <col min="1" max="1" width="2.5546875" style="135" customWidth="1"/>
    <col min="2" max="2" width="50.109375" style="135" customWidth="1"/>
    <col min="3" max="3" width="48.33203125" style="135" customWidth="1"/>
    <col min="4" max="4" width="9.109375" style="135"/>
    <col min="5" max="5" width="9.109375" style="135" customWidth="1"/>
    <col min="6" max="6" width="47.5546875" style="135" hidden="1" customWidth="1"/>
    <col min="7" max="7" width="64.44140625" style="135" hidden="1" customWidth="1"/>
    <col min="8" max="16384" width="9.109375" style="135"/>
  </cols>
  <sheetData>
    <row r="1" spans="2:9" ht="17.399999999999999" x14ac:dyDescent="0.3">
      <c r="B1" s="109" t="s">
        <v>166</v>
      </c>
    </row>
    <row r="2" spans="2:9" ht="13.8" thickBot="1" x14ac:dyDescent="0.3"/>
    <row r="3" spans="2:9" x14ac:dyDescent="0.25">
      <c r="B3" s="246" t="s">
        <v>381</v>
      </c>
      <c r="C3" s="247"/>
      <c r="F3" s="248" t="s">
        <v>445</v>
      </c>
    </row>
    <row r="4" spans="2:9" x14ac:dyDescent="0.25">
      <c r="B4" s="408" t="s">
        <v>443</v>
      </c>
      <c r="C4" s="409"/>
      <c r="F4" s="273" t="s">
        <v>211</v>
      </c>
    </row>
    <row r="5" spans="2:9" ht="39.6" x14ac:dyDescent="0.25">
      <c r="B5" s="249" t="s">
        <v>560</v>
      </c>
      <c r="C5" s="293" t="s">
        <v>211</v>
      </c>
      <c r="F5" s="112" t="s">
        <v>433</v>
      </c>
    </row>
    <row r="6" spans="2:9" ht="26.4" x14ac:dyDescent="0.25">
      <c r="B6" s="249" t="s">
        <v>450</v>
      </c>
      <c r="C6" s="323">
        <v>0</v>
      </c>
      <c r="F6" s="112" t="s">
        <v>431</v>
      </c>
      <c r="I6" s="252"/>
    </row>
    <row r="7" spans="2:9" x14ac:dyDescent="0.25">
      <c r="B7" s="249" t="s">
        <v>446</v>
      </c>
      <c r="C7" s="324">
        <f>$F$10</f>
        <v>0</v>
      </c>
      <c r="F7" s="283" t="s">
        <v>432</v>
      </c>
      <c r="I7" s="252"/>
    </row>
    <row r="8" spans="2:9" x14ac:dyDescent="0.25">
      <c r="B8" s="408" t="s">
        <v>444</v>
      </c>
      <c r="C8" s="409"/>
      <c r="I8" s="252"/>
    </row>
    <row r="9" spans="2:9" ht="39.6" x14ac:dyDescent="0.25">
      <c r="B9" s="249" t="s">
        <v>557</v>
      </c>
      <c r="C9" s="293" t="s">
        <v>55</v>
      </c>
      <c r="F9" s="248" t="s">
        <v>449</v>
      </c>
    </row>
    <row r="10" spans="2:9" ht="39.6" x14ac:dyDescent="0.25">
      <c r="B10" s="249" t="s">
        <v>440</v>
      </c>
      <c r="C10" s="293" t="s">
        <v>55</v>
      </c>
      <c r="F10" s="254">
        <f>IF($C$5="None",0,IF($C$6=0,VLOOKUP($C$5,'Additional References'!$A$26:$B$28,2,FALSE)/100,$C$6/100))</f>
        <v>0</v>
      </c>
    </row>
    <row r="11" spans="2:9" ht="26.4" x14ac:dyDescent="0.25">
      <c r="B11" s="251" t="s">
        <v>536</v>
      </c>
      <c r="C11" s="294">
        <v>98</v>
      </c>
    </row>
    <row r="12" spans="2:9" ht="13.8" thickBot="1" x14ac:dyDescent="0.3">
      <c r="B12" s="253" t="s">
        <v>439</v>
      </c>
      <c r="C12" s="277">
        <f>F20</f>
        <v>0</v>
      </c>
      <c r="F12" s="248" t="s">
        <v>448</v>
      </c>
    </row>
    <row r="13" spans="2:9" ht="13.8" thickBot="1" x14ac:dyDescent="0.3">
      <c r="F13" s="250">
        <f>1-F10</f>
        <v>1</v>
      </c>
    </row>
    <row r="14" spans="2:9" x14ac:dyDescent="0.25">
      <c r="B14" s="410" t="s">
        <v>551</v>
      </c>
      <c r="C14" s="411"/>
    </row>
    <row r="15" spans="2:9" ht="55.5" customHeight="1" x14ac:dyDescent="0.25">
      <c r="B15" s="325" t="s">
        <v>561</v>
      </c>
      <c r="C15" s="336" t="s">
        <v>531</v>
      </c>
      <c r="F15" s="248" t="s">
        <v>406</v>
      </c>
    </row>
    <row r="16" spans="2:9" ht="64.5" customHeight="1" x14ac:dyDescent="0.25">
      <c r="B16" s="412">
        <f>VLOOKUP($C$15,$F$26:$G$32,2,FALSE)</f>
        <v>0</v>
      </c>
      <c r="C16" s="413"/>
      <c r="F16" s="250" t="s">
        <v>54</v>
      </c>
    </row>
    <row r="17" spans="2:7" ht="38.25" customHeight="1" x14ac:dyDescent="0.25">
      <c r="B17" s="325" t="str">
        <f>IF($C$15="Coating of Pressure Sensitive Tape and Label Surfaces", "Enter the mass of coating solids applied at your facility in calendar year 2012 (in kilograms).",IF($C$15="Coating of Beverage Can Surfaces","Enter the volume of coating solids applied from each two-piece can exterior base coating operation, except clear base coat, at your facility in calendar year 2012 (in liters).",IF($C$15="Coating of Plastic Parts for Business Machines","Enter the volume of coating solids applied from prime coating and color coating of plastic parts for business machines at your facility in calendar year 2012 (in liters).","Enter the volume of coating solids applied at your facility in calendar year 2012 (in liters).")))</f>
        <v>Enter the volume of coating solids applied at your facility in calendar year 2012 (in liters).</v>
      </c>
      <c r="C17" s="336">
        <v>0</v>
      </c>
      <c r="F17" s="250" t="s">
        <v>55</v>
      </c>
    </row>
    <row r="18" spans="2:7" ht="42" customHeight="1" x14ac:dyDescent="0.25">
      <c r="B18" s="326" t="str">
        <f>IF($C$15="Coating of Pressure Sensitive Tape and Label Surfaces", "Enter the applicable VOC atmospheric discharge limit in kilograms of VOC per kilogram of coating solids applied.",IF($C$15="Coating of Beverage Can Surfaces","Enter the applicable VOC atmospheric discharge limit in kilograms of VOC per liter of coating solids applied for two-piece can exterior base coating operations.",IF($C$15="Coating of Plastic Parts for Business Machines","Enter the applicable VOC atmospheric discharge limit in kilograms of VOC per liter of prime coating or color coating solids applied.","Enter the applicable VOC atmospheric discharge limit in kilograms of VOC per liter of coating solids applied.")))</f>
        <v>Enter the applicable VOC atmospheric discharge limit in kilograms of VOC per liter of coating solids applied.</v>
      </c>
      <c r="C18" s="336">
        <v>0</v>
      </c>
    </row>
    <row r="19" spans="2:7" ht="39.6" x14ac:dyDescent="0.25">
      <c r="B19" s="325" t="str">
        <f>IF($C$15="Coating of Beverage Can Surfaces","Enter the volume of coating solids applied from each two-piece can clear base coating and overvarnish coating operations at your facility in calendar year 2012 (in liters).","Enter the volume of coating solids applied from texture coating and touch-up coating of plastic parts for business machines at your facility in calendar year 2012 (in liters).")</f>
        <v>Enter the volume of coating solids applied from texture coating and touch-up coating of plastic parts for business machines at your facility in calendar year 2012 (in liters).</v>
      </c>
      <c r="C19" s="336">
        <v>0</v>
      </c>
      <c r="F19" s="248" t="s">
        <v>442</v>
      </c>
    </row>
    <row r="20" spans="2:7" ht="53.25" customHeight="1" x14ac:dyDescent="0.25">
      <c r="B20" s="325" t="str">
        <f>IF($C$15="Coating of Beverage Can Surfaces","Enter the applicable VOC atmospheric discharge limit in kilograms of VOC per liter of coating solids applied for two-piece can clear base coating and overvarnish coating operations.","Enter the applicable VOC atmospheric discharge limit in kilograms of VOC per liter of texture coating and touch-up coating solids applied.")</f>
        <v>Enter the applicable VOC atmospheric discharge limit in kilograms of VOC per liter of texture coating and touch-up coating solids applied.</v>
      </c>
      <c r="C20" s="336">
        <v>0</v>
      </c>
      <c r="F20" s="254">
        <f>IF(C9="No",0,IF(C10="No",0,IF(C11=0,Default_Capture_Efficiency/100,C11/100)))</f>
        <v>0</v>
      </c>
    </row>
    <row r="21" spans="2:7" ht="39.6" x14ac:dyDescent="0.25">
      <c r="B21" s="325" t="s">
        <v>552</v>
      </c>
      <c r="C21" s="336">
        <v>0</v>
      </c>
    </row>
    <row r="22" spans="2:7" ht="40.200000000000003" thickBot="1" x14ac:dyDescent="0.3">
      <c r="B22" s="327" t="s">
        <v>553</v>
      </c>
      <c r="C22" s="337">
        <v>0</v>
      </c>
      <c r="F22" s="248" t="s">
        <v>447</v>
      </c>
    </row>
    <row r="23" spans="2:7" x14ac:dyDescent="0.25">
      <c r="F23" s="250">
        <f>1-F20</f>
        <v>1</v>
      </c>
    </row>
    <row r="25" spans="2:7" x14ac:dyDescent="0.25">
      <c r="F25" s="316" t="s">
        <v>538</v>
      </c>
      <c r="G25" s="316" t="s">
        <v>24</v>
      </c>
    </row>
    <row r="26" spans="2:7" ht="79.2" x14ac:dyDescent="0.25">
      <c r="F26" s="317" t="s">
        <v>543</v>
      </c>
      <c r="G26" s="318" t="s">
        <v>545</v>
      </c>
    </row>
    <row r="27" spans="2:7" ht="66" x14ac:dyDescent="0.25">
      <c r="F27" s="319" t="s">
        <v>540</v>
      </c>
      <c r="G27" s="318" t="s">
        <v>546</v>
      </c>
    </row>
    <row r="28" spans="2:7" ht="66" x14ac:dyDescent="0.25">
      <c r="F28" s="319" t="s">
        <v>541</v>
      </c>
      <c r="G28" s="318" t="s">
        <v>550</v>
      </c>
    </row>
    <row r="29" spans="2:7" ht="79.2" x14ac:dyDescent="0.25">
      <c r="F29" s="320" t="s">
        <v>539</v>
      </c>
      <c r="G29" s="321" t="s">
        <v>547</v>
      </c>
    </row>
    <row r="30" spans="2:7" ht="79.2" x14ac:dyDescent="0.25">
      <c r="F30" s="317" t="s">
        <v>544</v>
      </c>
      <c r="G30" s="321" t="s">
        <v>548</v>
      </c>
    </row>
    <row r="31" spans="2:7" ht="79.2" x14ac:dyDescent="0.25">
      <c r="F31" s="317" t="s">
        <v>542</v>
      </c>
      <c r="G31" s="321" t="s">
        <v>549</v>
      </c>
    </row>
    <row r="32" spans="2:7" x14ac:dyDescent="0.25">
      <c r="F32" s="317" t="s">
        <v>531</v>
      </c>
      <c r="G32" s="322"/>
    </row>
    <row r="34" spans="6:6" x14ac:dyDescent="0.25">
      <c r="F34" s="248" t="s">
        <v>554</v>
      </c>
    </row>
    <row r="35" spans="6:6" x14ac:dyDescent="0.25">
      <c r="F35" s="250">
        <f>(C18*C17+C20*C19+C22*C21)*0.00110231</f>
        <v>0</v>
      </c>
    </row>
  </sheetData>
  <sheetProtection password="C969" sheet="1" objects="1" scenarios="1"/>
  <sortState ref="F26:F31">
    <sortCondition ref="F26"/>
  </sortState>
  <mergeCells count="4">
    <mergeCell ref="B4:C4"/>
    <mergeCell ref="B8:C8"/>
    <mergeCell ref="B14:C14"/>
    <mergeCell ref="B16:C16"/>
  </mergeCells>
  <conditionalFormatting sqref="B10:C12">
    <cfRule type="expression" dxfId="14" priority="6">
      <formula>$C$9="No"</formula>
    </cfRule>
  </conditionalFormatting>
  <conditionalFormatting sqref="B11:C12">
    <cfRule type="expression" dxfId="13" priority="5">
      <formula>$C$10="No"</formula>
    </cfRule>
  </conditionalFormatting>
  <conditionalFormatting sqref="B6:C7">
    <cfRule type="expression" dxfId="12" priority="4">
      <formula>$C$5="None"</formula>
    </cfRule>
  </conditionalFormatting>
  <conditionalFormatting sqref="B21:C22">
    <cfRule type="expression" dxfId="11" priority="3">
      <formula>$C$15&lt;&gt;"Coating of Beverage Can Surfaces"</formula>
    </cfRule>
  </conditionalFormatting>
  <conditionalFormatting sqref="B19:C20">
    <cfRule type="expression" dxfId="10" priority="2">
      <formula>AND($C$15&lt;&gt;"Coating of Beverage Can Surfaces",$C$15&lt;&gt;"Coating of Plastic Parts for Business Machines")</formula>
    </cfRule>
  </conditionalFormatting>
  <conditionalFormatting sqref="B16:C22">
    <cfRule type="expression" dxfId="9" priority="1">
      <formula>$C$15="Other"</formula>
    </cfRule>
  </conditionalFormatting>
  <dataValidations count="8">
    <dataValidation allowBlank="1" showInputMessage="1" showErrorMessage="1" promptTitle="Paint Overspray % Captured" prompt="The capture percentage of paint overspray at your facility that is being used by this calculator to estimate actual emissions. If 98 is entered in the field above, this default value will be used to estimate actual emissions." sqref="C12"/>
    <dataValidation type="decimal" allowBlank="1" showInputMessage="1" showErrorMessage="1" errorTitle="Value Out of Range" error="Value entered must be between 98 and 100 percent." promptTitle="Paint Overspray % Captured" prompt="Enter the percentage of paint overspray captured. If you do not know, enter 98." sqref="C11">
      <formula1>98</formula1>
      <formula2>100</formula2>
    </dataValidation>
    <dataValidation type="decimal" allowBlank="1" showInputMessage="1" showErrorMessage="1" errorTitle="Value Out of Range" error="Value entered must be between 0 and 100 percent." promptTitle="VOC Control Efficiency" prompt="Enter the VOC control efficiency of the control device used at your facility in calendar year 2012. Enter 0 if unknown and a default value of 93.1% will be used to estimate actual emissions." sqref="C6">
      <formula1>0</formula1>
      <formula2>100</formula2>
    </dataValidation>
    <dataValidation operator="greaterThan" allowBlank="1" showInputMessage="1" showErrorMessage="1" promptTitle="VOC Control Efficiency" prompt="The VOC control efficiency at your facility that is being used by this calculator to estimate actual emissions. If 0 is entered in the field above a default value of 93.1% will be used to estimate actual emissions." sqref="C7"/>
    <dataValidation type="list" operator="greaterThan" allowBlank="1" showInputMessage="1" showErrorMessage="1" promptTitle="VOC Control Method" prompt="Select the VOC control method used at your facility in calendar year 2012. If your facility did not use a VOC control device, select 'none.'" sqref="C5">
      <formula1>VOC_Control_Device_List</formula1>
    </dataValidation>
    <dataValidation type="list" operator="greaterThan" allowBlank="1" showInputMessage="1" showErrorMessage="1" promptTitle="Painting Facilities" prompt="Answer &quot;Yes&quot; if you have one or more of the following: a paint spray booth, a preparation station, or a mobile enclosure." sqref="C9">
      <formula1>Yes_No_PM_Control_List</formula1>
    </dataValidation>
    <dataValidation type="list" operator="greaterThan" allowBlank="1" showInputMessage="1" showErrorMessage="1" promptTitle="Overspray Filter" prompt="According to 40 CFR 63.11173(e), all spray booths, preparation stations, and mobile enclosures must be fitted with a type of filter technology that is demonstrated to achieve at least 98% capture of paint overspray." sqref="C10">
      <formula1>Yes_No_PM_Control_List</formula1>
    </dataValidation>
    <dataValidation type="list" allowBlank="1" showInputMessage="1" showErrorMessage="1" promptTitle="Surface Coating Type" prompt="Select the type of operation your facility used in 2012 from the drop-down list. If you used more than one type or if your type(s) is not listed, choose &quot;Other.&quot;" sqref="C15">
      <formula1>Surface_Coating_Operation_Type_List</formula1>
    </dataValidation>
  </dataValidations>
  <pageMargins left="0.7" right="0.7" top="0.75" bottom="0.75" header="0.3" footer="0.3"/>
  <pageSetup scale="91" orientation="portrait" r:id="rId1"/>
  <headerFooter>
    <oddFooter>&amp;LPage &amp;P of &amp;N&amp;C&amp;F&amp;RPrinted &amp;D</oddFooter>
  </headerFooter>
  <rowBreaks count="1" manualBreakCount="1">
    <brk id="23"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H17"/>
  <sheetViews>
    <sheetView showGridLines="0" zoomScaleNormal="100" workbookViewId="0"/>
  </sheetViews>
  <sheetFormatPr defaultColWidth="9.109375" defaultRowHeight="13.2" x14ac:dyDescent="0.25"/>
  <cols>
    <col min="1" max="1" width="2.6640625" style="288" customWidth="1"/>
    <col min="2" max="2" width="21" style="288" customWidth="1"/>
    <col min="3" max="3" width="14.5546875" style="288" customWidth="1"/>
    <col min="4" max="4" width="14" style="288" customWidth="1"/>
    <col min="5" max="5" width="11.88671875" style="288" customWidth="1"/>
    <col min="6" max="6" width="14.5546875" style="288" customWidth="1"/>
    <col min="7" max="7" width="13.88671875" style="288" customWidth="1"/>
    <col min="8" max="8" width="13" style="288" customWidth="1"/>
    <col min="9" max="16384" width="9.109375" style="288"/>
  </cols>
  <sheetData>
    <row r="1" spans="2:8" ht="17.399999999999999" x14ac:dyDescent="0.3">
      <c r="B1" s="109" t="s">
        <v>167</v>
      </c>
    </row>
    <row r="2" spans="2:8" ht="13.8" thickBot="1" x14ac:dyDescent="0.3"/>
    <row r="3" spans="2:8" ht="13.8" thickBot="1" x14ac:dyDescent="0.3">
      <c r="B3" s="414" t="s">
        <v>478</v>
      </c>
      <c r="C3" s="415"/>
      <c r="D3" s="415"/>
      <c r="E3" s="415"/>
      <c r="F3" s="415"/>
      <c r="G3" s="415"/>
      <c r="H3" s="416"/>
    </row>
    <row r="4" spans="2:8" ht="15.6" x14ac:dyDescent="0.35">
      <c r="B4" s="110" t="s">
        <v>168</v>
      </c>
      <c r="C4" s="113" t="s">
        <v>63</v>
      </c>
      <c r="D4" s="114" t="s">
        <v>64</v>
      </c>
      <c r="E4" s="114" t="s">
        <v>65</v>
      </c>
      <c r="F4" s="114" t="s">
        <v>3</v>
      </c>
      <c r="G4" s="115" t="s">
        <v>66</v>
      </c>
      <c r="H4" s="116" t="s">
        <v>67</v>
      </c>
    </row>
    <row r="5" spans="2:8" x14ac:dyDescent="0.25">
      <c r="B5" s="117" t="s">
        <v>515</v>
      </c>
      <c r="C5" s="118">
        <f>IF(Inputs!$C$72="No",0,VLOOKUP(Oven_Fuel&amp;"CO",'Emission Factors'!$C$4:$E$24,2,0)*Oven_Fuel_Combusted_2012*(1/2000))</f>
        <v>0</v>
      </c>
      <c r="D5" s="118">
        <f>IF(Inputs!$C$72="No",0,VLOOKUP(Oven_Fuel&amp;"Nox",'Emission Factors'!$C$4:$E$24,2,0)*Oven_Fuel_Combusted_2012*(1/2000))</f>
        <v>0</v>
      </c>
      <c r="E5" s="118">
        <f>IF(Inputs!$C$72="No",0,VLOOKUP(Oven_Fuel&amp;"SO2",'Emission Factors'!$C$4:$E$24,2,0)*Oven_Fuel_Combusted_2012*(1/2000))</f>
        <v>0</v>
      </c>
      <c r="F5" s="118">
        <f>IF(Inputs!$C$72="No",0,VLOOKUP(Oven_Fuel&amp;"VOC",'Emission Factors'!$C$4:$E$24,2,0)*Oven_Fuel_Combusted_2012*(1/2000))</f>
        <v>0</v>
      </c>
      <c r="G5" s="118">
        <f>IF(Inputs!$C$72="No",0,VLOOKUP(Oven_Fuel&amp;"PM10",'Emission Factors'!$C$4:$E$24,2,0)*Oven_Fuel_Combusted_2012*(1/2000))</f>
        <v>0</v>
      </c>
      <c r="H5" s="119">
        <f>IF(Inputs!$C$72="No",0,VLOOKUP(Oven_Fuel&amp;"PM2.5",'Emission Factors'!$C$4:$E$24,2,0)*Oven_Fuel_Combusted_2012*(1/2000))</f>
        <v>0</v>
      </c>
    </row>
    <row r="6" spans="2:8" x14ac:dyDescent="0.25">
      <c r="B6" s="120" t="s">
        <v>171</v>
      </c>
      <c r="C6" s="122">
        <v>0</v>
      </c>
      <c r="D6" s="122">
        <v>0</v>
      </c>
      <c r="E6" s="122">
        <v>0</v>
      </c>
      <c r="F6" s="328">
        <f>IF(F14&lt;(Cleaner_Gallons-Recovered_Cleaner_Gallons)*Cleaner_VOC_Content*Cleaner_Density*(1/2000)*VOC_Control_Multiplier,F14,(Cleaner_Gallons-Recovered_Cleaner_Gallons)*Cleaner_VOC_Content*Cleaner_Density*(1/2000)*VOC_Control_Multiplier)</f>
        <v>0</v>
      </c>
      <c r="G6" s="122">
        <v>0</v>
      </c>
      <c r="H6" s="123">
        <v>0</v>
      </c>
    </row>
    <row r="7" spans="2:8" x14ac:dyDescent="0.25">
      <c r="B7" s="120" t="s">
        <v>172</v>
      </c>
      <c r="C7" s="122">
        <v>0</v>
      </c>
      <c r="D7" s="122">
        <v>0</v>
      </c>
      <c r="E7" s="122">
        <v>0</v>
      </c>
      <c r="F7" s="328">
        <f>IF(F15&lt;Primer_Gallons*Primer_VOC_Content*Primer_Density*(1/2000)*VOC_Control_Multiplier,F15,Primer_Gallons*Primer_VOC_Content*Primer_Density*(1/2000)*VOC_Control_Multiplier)</f>
        <v>0</v>
      </c>
      <c r="G7" s="122">
        <f>Primer_Gallons*Primer_Solids_Content*Primer_Density*(1/2000)*(1-VLOOKUP(Inputs!$C$55,'Additional References'!$B$5:$D$11,3,0))*PM_Control_Multiplier</f>
        <v>0</v>
      </c>
      <c r="H7" s="123">
        <f>Primer_Gallons*Primer_Solids_Content*Primer_Density*(1/2000)*(1-VLOOKUP(Inputs!$C$55,'Additional References'!$B$5:$D$11,3,0))*PM_Control_Multiplier</f>
        <v>0</v>
      </c>
    </row>
    <row r="8" spans="2:8" ht="13.8" thickBot="1" x14ac:dyDescent="0.3">
      <c r="B8" s="120" t="s">
        <v>173</v>
      </c>
      <c r="C8" s="121">
        <v>0</v>
      </c>
      <c r="D8" s="121">
        <v>0</v>
      </c>
      <c r="E8" s="121">
        <v>0</v>
      </c>
      <c r="F8" s="121">
        <f>IF(F16&lt;Coating_Gallons*Coating_VOC_Content*Coating_Density*(1/2000)*VOC_Control_Multiplier,F16,Coating_Gallons*Coating_VOC_Content*Coating_Density*(1/2000)*VOC_Control_Multiplier)</f>
        <v>0</v>
      </c>
      <c r="G8" s="122">
        <f>Coating_Gallons*Coating_Solids_Content*Coating_Density*(1/2000)*(1-VLOOKUP(Inputs!$C$65,'Additional References'!$B$5:$D$11,3,0))*PM_Control_Multiplier</f>
        <v>0</v>
      </c>
      <c r="H8" s="123">
        <f>Coating_Gallons*Coating_Solids_Content*Coating_Density*(1/2000)*(1-VLOOKUP(Inputs!$C$65,'Additional References'!$B$5:$D$11,3,0))*PM_Control_Multiplier</f>
        <v>0</v>
      </c>
    </row>
    <row r="9" spans="2:8" ht="13.8" thickBot="1" x14ac:dyDescent="0.3">
      <c r="B9" s="124" t="s">
        <v>169</v>
      </c>
      <c r="C9" s="125">
        <f>SUM(C5:C8)</f>
        <v>0</v>
      </c>
      <c r="D9" s="125">
        <f t="shared" ref="D9:H9" si="0">SUM(D5:D8)</f>
        <v>0</v>
      </c>
      <c r="E9" s="125">
        <f t="shared" si="0"/>
        <v>0</v>
      </c>
      <c r="F9" s="125">
        <f t="shared" si="0"/>
        <v>0</v>
      </c>
      <c r="G9" s="125">
        <f t="shared" si="0"/>
        <v>0</v>
      </c>
      <c r="H9" s="126">
        <f t="shared" si="0"/>
        <v>0</v>
      </c>
    </row>
    <row r="10" spans="2:8" ht="13.8" thickBot="1" x14ac:dyDescent="0.3">
      <c r="B10" s="127"/>
      <c r="C10" s="127"/>
      <c r="D10" s="127"/>
      <c r="E10" s="127"/>
      <c r="F10" s="127"/>
      <c r="G10" s="128"/>
      <c r="H10" s="128"/>
    </row>
    <row r="11" spans="2:8" ht="13.8" thickBot="1" x14ac:dyDescent="0.3">
      <c r="B11" s="414" t="s">
        <v>170</v>
      </c>
      <c r="C11" s="415"/>
      <c r="D11" s="415"/>
      <c r="E11" s="415"/>
      <c r="F11" s="415"/>
      <c r="G11" s="415"/>
      <c r="H11" s="416"/>
    </row>
    <row r="12" spans="2:8" ht="16.2" thickBot="1" x14ac:dyDescent="0.4">
      <c r="B12" s="129" t="s">
        <v>168</v>
      </c>
      <c r="C12" s="130" t="s">
        <v>63</v>
      </c>
      <c r="D12" s="130" t="s">
        <v>64</v>
      </c>
      <c r="E12" s="130" t="s">
        <v>65</v>
      </c>
      <c r="F12" s="130" t="s">
        <v>3</v>
      </c>
      <c r="G12" s="131" t="s">
        <v>66</v>
      </c>
      <c r="H12" s="132" t="s">
        <v>67</v>
      </c>
    </row>
    <row r="13" spans="2:8" x14ac:dyDescent="0.25">
      <c r="B13" s="117" t="s">
        <v>515</v>
      </c>
      <c r="C13" s="118">
        <f>IF(Inputs!$C$72="No",0,Oven_Capacity*(1/VLOOKUP(Oven_Fuel,'Fuel Energy Content'!$A$11:$D$13,2,0))*VLOOKUP(Oven_Fuel&amp;"CO",'Emission Factors'!$C$4:$E$24,3,0)*8760*(1/2000))</f>
        <v>0</v>
      </c>
      <c r="D13" s="118">
        <f>IF(Inputs!$C$72="No",0,Oven_Capacity*(1/VLOOKUP(Oven_Fuel,'Fuel Energy Content'!$A$11:$D$13,2,0))*VLOOKUP(Oven_Fuel&amp;"Nox",'Emission Factors'!$C$4:$E$24,3,0)*8760*(1/2000))</f>
        <v>0</v>
      </c>
      <c r="E13" s="118">
        <f>IF(Inputs!$C$72="No",0,Oven_Capacity*(1/VLOOKUP(Oven_Fuel,'Fuel Energy Content'!$A$11:$D$13,2,0))*VLOOKUP(Oven_Fuel&amp;"SO2",'Emission Factors'!$C$4:$E$24,3,0)*8760*(1/2000))</f>
        <v>0</v>
      </c>
      <c r="F13" s="118">
        <f>IF(Inputs!$C$72="No",0,Oven_Capacity*(1/VLOOKUP(Oven_Fuel,'Fuel Energy Content'!$A$11:$D$13,2,0))*VLOOKUP(Oven_Fuel&amp;"VOC",'Emission Factors'!$C$4:$E$24,3,0)*8760*(1/2000))</f>
        <v>0</v>
      </c>
      <c r="G13" s="118">
        <f>IF(Inputs!$C$72="No",0,Oven_Capacity*(1/VLOOKUP(Oven_Fuel,'Fuel Energy Content'!$A$11:$D$13,2,0))*VLOOKUP(Oven_Fuel&amp;"PM10",'Emission Factors'!$C$4:$E$24,3,0)*8760*(1/2000))</f>
        <v>0</v>
      </c>
      <c r="H13" s="119">
        <f>IF(Inputs!$C$72="No",0,Oven_Capacity*(1/VLOOKUP(Oven_Fuel,'Fuel Energy Content'!$A$11:$D$13,2,0))*VLOOKUP(Oven_Fuel&amp;"PM2.5",'Emission Factors'!$C$4:$E$24,3,0)*8760*(1/2000))</f>
        <v>0</v>
      </c>
    </row>
    <row r="14" spans="2:8" x14ac:dyDescent="0.25">
      <c r="B14" s="120" t="s">
        <v>171</v>
      </c>
      <c r="C14" s="122">
        <v>0</v>
      </c>
      <c r="D14" s="122">
        <v>0</v>
      </c>
      <c r="E14" s="122">
        <v>0</v>
      </c>
      <c r="F14" s="328">
        <f>IF(Allowable_VOC_Limit_from_Coating_Operations=0,Max_Gallons_Cleaning_Solvent_per_Hour*Allowable_Solvent_VOC_Content*(1/2000)*8760,Allowable_VOC_Limit_from_Coating_Operations/3)</f>
        <v>0</v>
      </c>
      <c r="G14" s="122">
        <v>0</v>
      </c>
      <c r="H14" s="123">
        <v>0</v>
      </c>
    </row>
    <row r="15" spans="2:8" x14ac:dyDescent="0.25">
      <c r="B15" s="120" t="s">
        <v>172</v>
      </c>
      <c r="C15" s="122">
        <v>0</v>
      </c>
      <c r="D15" s="122">
        <v>0</v>
      </c>
      <c r="E15" s="122">
        <v>0</v>
      </c>
      <c r="F15" s="328">
        <f>IF(Allowable_VOC_Limit_from_Coating_Operations=0,Max_Gallons_Primer_per_Hour*Allowable_Primer_VOC_Content*(1/2000)*8760,Allowable_VOC_Limit_from_Coating_Operations/3)</f>
        <v>0</v>
      </c>
      <c r="G15" s="122">
        <f>Max_Gallons_Primer_per_Hour*Allowable_Primer_PM_Content*8760*(1/2000)*(1-VLOOKUP(Inputs!$C$55,'Additional References'!$B$5:$D$11,3,0))</f>
        <v>0</v>
      </c>
      <c r="H15" s="123">
        <f>Max_Gallons_Primer_per_Hour*Allowable_Primer_PM_Content*8760*(1/2000)*(1-VLOOKUP(Inputs!$C$55,'Additional References'!$B$5:$D$11,3,0))</f>
        <v>0</v>
      </c>
    </row>
    <row r="16" spans="2:8" ht="13.8" thickBot="1" x14ac:dyDescent="0.3">
      <c r="B16" s="120" t="s">
        <v>173</v>
      </c>
      <c r="C16" s="121">
        <v>0</v>
      </c>
      <c r="D16" s="121">
        <v>0</v>
      </c>
      <c r="E16" s="121">
        <v>0</v>
      </c>
      <c r="F16" s="121">
        <f>IF(Allowable_VOC_Limit_from_Coating_Operations=0,Max_Gallons_Coating_per_Hour*Allowable_Coating_VOC_Content*(1/2000)*8760,Allowable_VOC_Limit_from_Coating_Operations/3)</f>
        <v>0</v>
      </c>
      <c r="G16" s="122">
        <f>Max_Gallons_Coating_per_Hour*Allowable_Coating_PM_Content*8760*(1/2000)*(1-VLOOKUP(Inputs!$C$65,'Additional References'!$B$5:$D$11,3,0))</f>
        <v>0</v>
      </c>
      <c r="H16" s="123">
        <f>Max_Gallons_Coating_per_Hour*Allowable_Coating_PM_Content*8760*(1/2000)*(1-VLOOKUP(Inputs!$C$65,'Additional References'!$B$5:$D$11,3,0))</f>
        <v>0</v>
      </c>
    </row>
    <row r="17" spans="2:8" ht="13.8" thickBot="1" x14ac:dyDescent="0.3">
      <c r="B17" s="124" t="s">
        <v>169</v>
      </c>
      <c r="C17" s="125">
        <f>SUM(C13:C16)</f>
        <v>0</v>
      </c>
      <c r="D17" s="125">
        <f t="shared" ref="D17:H17" si="1">SUM(D13:D16)</f>
        <v>0</v>
      </c>
      <c r="E17" s="125">
        <f t="shared" si="1"/>
        <v>0</v>
      </c>
      <c r="F17" s="125">
        <f t="shared" si="1"/>
        <v>0</v>
      </c>
      <c r="G17" s="125">
        <f t="shared" si="1"/>
        <v>0</v>
      </c>
      <c r="H17" s="126">
        <f t="shared" si="1"/>
        <v>0</v>
      </c>
    </row>
  </sheetData>
  <sheetProtection password="C969" sheet="1" objects="1" scenarios="1"/>
  <mergeCells count="2">
    <mergeCell ref="B3:H3"/>
    <mergeCell ref="B11:H11"/>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11:B12"/>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2"/>
  <sheetViews>
    <sheetView showGridLines="0" zoomScaleNormal="100" workbookViewId="0">
      <selection sqref="A1:XFD1"/>
    </sheetView>
  </sheetViews>
  <sheetFormatPr defaultColWidth="3.33203125" defaultRowHeight="13.2" x14ac:dyDescent="0.25"/>
  <cols>
    <col min="1" max="1" width="16.109375" style="135" customWidth="1"/>
    <col min="2" max="2" width="4.6640625" style="135" customWidth="1"/>
    <col min="3" max="3" width="24.6640625" style="135" customWidth="1"/>
    <col min="4" max="4" width="5.5546875" style="135" customWidth="1"/>
    <col min="5" max="5" width="25.44140625" style="135" customWidth="1"/>
    <col min="6" max="6" width="32.44140625" style="135" customWidth="1"/>
    <col min="7" max="9" width="1.88671875" style="135" customWidth="1"/>
    <col min="10" max="10" width="3.109375" style="135" customWidth="1"/>
    <col min="11" max="11" width="16.6640625" style="161" hidden="1" customWidth="1"/>
    <col min="12" max="12" width="16.6640625" style="162" hidden="1" customWidth="1"/>
    <col min="13" max="13" width="18" style="162" hidden="1" customWidth="1"/>
    <col min="14" max="14" width="20.44140625" style="135" customWidth="1"/>
    <col min="15" max="58" width="1.88671875" style="135" customWidth="1"/>
    <col min="59" max="16384" width="3.33203125" style="135"/>
  </cols>
  <sheetData>
    <row r="1" spans="1:13" ht="24.75" customHeight="1" thickBot="1" x14ac:dyDescent="0.3"/>
    <row r="2" spans="1:13" ht="14.25" customHeight="1" x14ac:dyDescent="0.25">
      <c r="A2" s="163"/>
      <c r="B2" s="164"/>
      <c r="C2" s="164"/>
      <c r="D2" s="164"/>
      <c r="E2" s="164"/>
      <c r="F2" s="165"/>
    </row>
    <row r="3" spans="1:13" x14ac:dyDescent="0.25">
      <c r="A3" s="166" t="s">
        <v>31</v>
      </c>
      <c r="B3" s="167" t="str">
        <f>"  "&amp;Inputs!C4</f>
        <v xml:space="preserve">  Acme Surface Coating</v>
      </c>
      <c r="C3" s="167"/>
      <c r="E3" s="168" t="str">
        <f>"Facility Contact:"&amp;"  "&amp;Inputs!C11</f>
        <v>Facility Contact:  John Doe</v>
      </c>
      <c r="F3" s="169"/>
    </row>
    <row r="4" spans="1:13" ht="14.25" customHeight="1" x14ac:dyDescent="0.25">
      <c r="A4" s="166" t="s">
        <v>32</v>
      </c>
      <c r="B4" s="167" t="str">
        <f>"  "&amp;Inputs!C5</f>
        <v xml:space="preserve">  101 Acme Way</v>
      </c>
      <c r="C4" s="167"/>
      <c r="E4" s="168" t="str">
        <f>"              Phone:"&amp;"  "&amp;Inputs!C12</f>
        <v xml:space="preserve">              Phone:  555-555-5555</v>
      </c>
      <c r="F4" s="169"/>
    </row>
    <row r="5" spans="1:13" x14ac:dyDescent="0.25">
      <c r="A5" s="170"/>
      <c r="B5" s="167" t="str">
        <f>"  "&amp;Inputs!C6&amp;", "&amp;VLOOKUP(Inputs!C7,'EPA Regional Contact Info'!$A$5:$B$49,2,FALSE)&amp;" "&amp;Inputs!C8</f>
        <v xml:space="preserve">  Albuquerque, NM 87101</v>
      </c>
      <c r="C5" s="167"/>
      <c r="E5" s="168" t="str">
        <f>"               Email:"&amp;"  "&amp;Inputs!C13</f>
        <v xml:space="preserve">               Email:  john.doe@acme.com</v>
      </c>
      <c r="F5" s="169"/>
    </row>
    <row r="6" spans="1:13" ht="13.8" thickBot="1" x14ac:dyDescent="0.3">
      <c r="A6" s="171"/>
      <c r="B6" s="172"/>
      <c r="C6" s="172"/>
      <c r="D6" s="172"/>
      <c r="E6" s="172"/>
      <c r="F6" s="173"/>
    </row>
    <row r="7" spans="1:13" ht="18" customHeight="1" thickBot="1" x14ac:dyDescent="0.3">
      <c r="A7" s="437" t="s">
        <v>139</v>
      </c>
      <c r="B7" s="438"/>
      <c r="C7" s="438"/>
      <c r="D7" s="438"/>
      <c r="E7" s="438"/>
      <c r="F7" s="439"/>
    </row>
    <row r="8" spans="1:13" ht="15.75" customHeight="1" x14ac:dyDescent="0.25">
      <c r="A8" s="440" t="s">
        <v>0</v>
      </c>
      <c r="B8" s="443" t="s">
        <v>477</v>
      </c>
      <c r="C8" s="444"/>
      <c r="D8" s="174"/>
      <c r="E8" s="335"/>
      <c r="F8" s="175" t="s">
        <v>14</v>
      </c>
      <c r="K8" s="417" t="s">
        <v>373</v>
      </c>
      <c r="L8" s="176" t="s">
        <v>13</v>
      </c>
      <c r="M8" s="418" t="s">
        <v>374</v>
      </c>
    </row>
    <row r="9" spans="1:13" x14ac:dyDescent="0.25">
      <c r="A9" s="441"/>
      <c r="B9" s="443"/>
      <c r="C9" s="444"/>
      <c r="D9" s="419" t="s">
        <v>377</v>
      </c>
      <c r="E9" s="420"/>
      <c r="F9" s="175" t="s">
        <v>375</v>
      </c>
      <c r="K9" s="417"/>
      <c r="L9" s="176" t="s">
        <v>375</v>
      </c>
      <c r="M9" s="418"/>
    </row>
    <row r="10" spans="1:13" ht="13.8" thickBot="1" x14ac:dyDescent="0.3">
      <c r="A10" s="442"/>
      <c r="B10" s="421" t="s">
        <v>1</v>
      </c>
      <c r="C10" s="422"/>
      <c r="D10" s="423" t="s">
        <v>1</v>
      </c>
      <c r="E10" s="424"/>
      <c r="F10" s="177" t="s">
        <v>1</v>
      </c>
      <c r="K10" s="417"/>
      <c r="L10" s="178" t="s">
        <v>1</v>
      </c>
      <c r="M10" s="418"/>
    </row>
    <row r="11" spans="1:13" ht="5.25" customHeight="1" x14ac:dyDescent="0.25">
      <c r="A11" s="179"/>
      <c r="B11" s="180"/>
      <c r="C11" s="181"/>
      <c r="D11" s="182"/>
      <c r="E11" s="183"/>
      <c r="F11" s="184"/>
      <c r="L11" s="185"/>
    </row>
    <row r="12" spans="1:13" x14ac:dyDescent="0.25">
      <c r="A12" s="186" t="s">
        <v>63</v>
      </c>
      <c r="B12" s="187"/>
      <c r="C12" s="188">
        <f>'Total Emissions'!$C$9</f>
        <v>0</v>
      </c>
      <c r="D12" s="189"/>
      <c r="E12" s="190">
        <f>'Total Emissions'!$C$17</f>
        <v>0</v>
      </c>
      <c r="F12" s="191">
        <f>IF(Inputs!$C$28="Attainment",10,5)</f>
        <v>10</v>
      </c>
      <c r="K12" s="161">
        <f>IF(E12&gt;=F12,1,0)</f>
        <v>0</v>
      </c>
      <c r="L12" s="136">
        <f>IF(Inputs!$C$28="Attainment",250,IF(Inputs!$C$28="Nonattainment - moderate",100,50))</f>
        <v>250</v>
      </c>
      <c r="M12" s="162">
        <f>IF(E12&gt;=L12,1,0)</f>
        <v>0</v>
      </c>
    </row>
    <row r="13" spans="1:13" ht="5.25" customHeight="1" x14ac:dyDescent="0.25">
      <c r="A13" s="192"/>
      <c r="B13" s="193"/>
      <c r="C13" s="188"/>
      <c r="D13" s="194"/>
      <c r="E13" s="195"/>
      <c r="F13" s="191"/>
      <c r="L13" s="136"/>
    </row>
    <row r="14" spans="1:13" ht="15.75" customHeight="1" x14ac:dyDescent="0.35">
      <c r="A14" s="186" t="s">
        <v>64</v>
      </c>
      <c r="B14" s="187"/>
      <c r="C14" s="188">
        <f>'Total Emissions'!$D$9</f>
        <v>0</v>
      </c>
      <c r="D14" s="189"/>
      <c r="E14" s="190">
        <f>'Total Emissions'!$D$17</f>
        <v>0</v>
      </c>
      <c r="F14" s="191">
        <f>IF(Inputs!$C$30="Attainment",10,5)</f>
        <v>10</v>
      </c>
      <c r="K14" s="161">
        <f t="shared" ref="K14:K22" si="0">IF(E14&gt;=F14,1,0)</f>
        <v>0</v>
      </c>
      <c r="L14" s="136">
        <f>IF(Inputs!$C$30="Attainment",250,IF(Inputs!$C$30="Nonattainment - marginal",100,IF(Inputs!$C$30="Nonattainment - moderate",100,IF(Inputs!$C$30="Nonattainment - serious",50,IF(Inputs!$C$30="Nonattainment - severe",25,10)))))</f>
        <v>250</v>
      </c>
      <c r="M14" s="162">
        <f t="shared" ref="M14:M22" si="1">IF(E14&gt;=L14,1,0)</f>
        <v>0</v>
      </c>
    </row>
    <row r="15" spans="1:13" ht="5.25" customHeight="1" x14ac:dyDescent="0.25">
      <c r="A15" s="192"/>
      <c r="B15" s="193"/>
      <c r="C15" s="188"/>
      <c r="D15" s="189"/>
      <c r="E15" s="196"/>
      <c r="F15" s="191"/>
      <c r="L15" s="136"/>
    </row>
    <row r="16" spans="1:13" ht="15.6" x14ac:dyDescent="0.35">
      <c r="A16" s="186" t="s">
        <v>65</v>
      </c>
      <c r="B16" s="187"/>
      <c r="C16" s="188">
        <f>'Total Emissions'!$E$9</f>
        <v>0</v>
      </c>
      <c r="D16" s="189"/>
      <c r="E16" s="190">
        <f>'Total Emissions'!$E$17</f>
        <v>0</v>
      </c>
      <c r="F16" s="191">
        <f>IF(Inputs!$C$32="Attainment",10,5)</f>
        <v>10</v>
      </c>
      <c r="K16" s="161">
        <f t="shared" si="0"/>
        <v>0</v>
      </c>
      <c r="L16" s="136">
        <f>IF(Inputs!$C$32="Attainment",250,100)</f>
        <v>250</v>
      </c>
      <c r="M16" s="162">
        <f t="shared" si="1"/>
        <v>0</v>
      </c>
    </row>
    <row r="17" spans="1:13" ht="5.25" customHeight="1" x14ac:dyDescent="0.25">
      <c r="A17" s="197"/>
      <c r="B17" s="198"/>
      <c r="C17" s="188"/>
      <c r="D17" s="189"/>
      <c r="E17" s="196"/>
      <c r="F17" s="191"/>
      <c r="L17" s="136"/>
    </row>
    <row r="18" spans="1:13" x14ac:dyDescent="0.25">
      <c r="A18" s="186" t="s">
        <v>3</v>
      </c>
      <c r="B18" s="187"/>
      <c r="C18" s="188">
        <f>'Total Emissions'!$F$9</f>
        <v>0</v>
      </c>
      <c r="D18" s="189"/>
      <c r="E18" s="190">
        <f>'Total Emissions'!$F$17</f>
        <v>0</v>
      </c>
      <c r="F18" s="191">
        <f>IF(Inputs!$C$30="Attainment",5,2)</f>
        <v>5</v>
      </c>
      <c r="K18" s="161">
        <f t="shared" si="0"/>
        <v>0</v>
      </c>
      <c r="L18" s="136">
        <f>IF(Inputs!$C$30="Attainment",250,IF(Inputs!$C$30="Nonattainment - marginal",100,IF(Inputs!$C$30="Nonattainment - moderate",100,IF(Inputs!$C$30="Nonattainment - serious",50,IF(Inputs!$C$30="Nonattainment - severe",25,10)))))</f>
        <v>250</v>
      </c>
      <c r="M18" s="162">
        <f t="shared" si="1"/>
        <v>0</v>
      </c>
    </row>
    <row r="19" spans="1:13" ht="5.25" customHeight="1" x14ac:dyDescent="0.25">
      <c r="A19" s="199"/>
      <c r="B19" s="200"/>
      <c r="C19" s="188"/>
      <c r="D19" s="189"/>
      <c r="E19" s="196"/>
      <c r="F19" s="191"/>
      <c r="L19" s="136"/>
    </row>
    <row r="20" spans="1:13" ht="15.6" x14ac:dyDescent="0.35">
      <c r="A20" s="186" t="s">
        <v>66</v>
      </c>
      <c r="B20" s="187"/>
      <c r="C20" s="188">
        <f>'Total Emissions'!$G$9</f>
        <v>0</v>
      </c>
      <c r="D20" s="189"/>
      <c r="E20" s="190">
        <f>'Total Emissions'!$G$17</f>
        <v>0</v>
      </c>
      <c r="F20" s="191">
        <f>IF(Inputs!$C$34="Attainment",5,1)</f>
        <v>5</v>
      </c>
      <c r="K20" s="161">
        <f t="shared" si="0"/>
        <v>0</v>
      </c>
      <c r="L20" s="136">
        <f>IF(Inputs!$C$34="Attainment",250,IF(Inputs!$C$34="Nonattainment - moderate",100,70))</f>
        <v>250</v>
      </c>
      <c r="M20" s="162">
        <f t="shared" si="1"/>
        <v>0</v>
      </c>
    </row>
    <row r="21" spans="1:13" ht="5.25" customHeight="1" x14ac:dyDescent="0.25">
      <c r="A21" s="192"/>
      <c r="B21" s="193"/>
      <c r="C21" s="188"/>
      <c r="D21" s="189"/>
      <c r="E21" s="196"/>
      <c r="F21" s="201"/>
      <c r="L21" s="137"/>
    </row>
    <row r="22" spans="1:13" ht="15.6" x14ac:dyDescent="0.35">
      <c r="A22" s="202" t="s">
        <v>67</v>
      </c>
      <c r="B22" s="203"/>
      <c r="C22" s="188">
        <f>'Total Emissions'!$H$9</f>
        <v>0</v>
      </c>
      <c r="D22" s="189"/>
      <c r="E22" s="190">
        <f>'Total Emissions'!$H$17</f>
        <v>0</v>
      </c>
      <c r="F22" s="191">
        <f>IF(Inputs!$C$36="Attainment",3,0.6)</f>
        <v>3</v>
      </c>
      <c r="K22" s="161">
        <f t="shared" si="0"/>
        <v>0</v>
      </c>
      <c r="L22" s="136">
        <f>IF(Inputs!$C$36="Attainment",250,100)</f>
        <v>250</v>
      </c>
      <c r="M22" s="162">
        <f t="shared" si="1"/>
        <v>0</v>
      </c>
    </row>
    <row r="23" spans="1:13" ht="5.25" customHeight="1" x14ac:dyDescent="0.25">
      <c r="A23" s="204"/>
      <c r="B23" s="205"/>
      <c r="C23" s="206"/>
      <c r="D23" s="189"/>
      <c r="E23" s="207"/>
      <c r="F23" s="208"/>
      <c r="L23" s="209"/>
    </row>
    <row r="24" spans="1:13" x14ac:dyDescent="0.25">
      <c r="A24" s="425" t="s">
        <v>30</v>
      </c>
      <c r="B24" s="426"/>
      <c r="C24" s="426"/>
      <c r="D24" s="426"/>
      <c r="E24" s="426"/>
      <c r="F24" s="427"/>
      <c r="L24" s="210"/>
    </row>
    <row r="25" spans="1:13" x14ac:dyDescent="0.25">
      <c r="A25" s="211"/>
      <c r="B25" s="176"/>
      <c r="C25" s="176"/>
      <c r="D25" s="176"/>
      <c r="E25" s="176"/>
      <c r="F25" s="212"/>
      <c r="L25" s="185"/>
    </row>
    <row r="26" spans="1:13" x14ac:dyDescent="0.25">
      <c r="A26" s="170"/>
      <c r="B26" s="189"/>
      <c r="C26" s="213">
        <v>100</v>
      </c>
      <c r="D26" s="214" t="s">
        <v>50</v>
      </c>
      <c r="E26" s="189"/>
      <c r="F26" s="212"/>
      <c r="G26" s="176"/>
      <c r="K26" s="135"/>
      <c r="L26" s="161"/>
    </row>
    <row r="27" spans="1:13" x14ac:dyDescent="0.25">
      <c r="A27" s="170"/>
      <c r="B27" s="189"/>
      <c r="C27" s="215">
        <v>50</v>
      </c>
      <c r="D27" s="214" t="s">
        <v>28</v>
      </c>
      <c r="E27" s="189"/>
      <c r="F27" s="169"/>
      <c r="L27" s="222"/>
      <c r="M27" s="185"/>
    </row>
    <row r="28" spans="1:13" x14ac:dyDescent="0.25">
      <c r="A28" s="170"/>
      <c r="B28" s="189"/>
      <c r="C28" s="215">
        <v>0</v>
      </c>
      <c r="D28" s="214" t="s">
        <v>29</v>
      </c>
      <c r="E28" s="189"/>
      <c r="F28" s="169"/>
    </row>
    <row r="29" spans="1:13" ht="13.8" thickBot="1" x14ac:dyDescent="0.3">
      <c r="A29" s="171"/>
      <c r="B29" s="172"/>
      <c r="C29" s="172"/>
      <c r="D29" s="172"/>
      <c r="E29" s="172"/>
      <c r="F29" s="173"/>
    </row>
    <row r="30" spans="1:13" ht="22.5" customHeight="1" thickBot="1" x14ac:dyDescent="0.3">
      <c r="A30" s="428" t="str">
        <f>IF(OR($M$12=1,$M$14=1,$M$16=1,$M$18=1,$M$20=1,$M$22=1),"PLEASE CONSULT WITH YOUR EPA REGIONAL CONTACT LISTED BELOW",IF(OR(K12=1,K14=1,K16=1,K18=1,K20=1,K22=1),"YOU ARE REQUIRED TO REGISTER YOUR FACILITY UNDER THE TRIBAL NEW SOURCE REVIEW RULE","PLEASE SEE NOTE BELOW"))</f>
        <v>PLEASE SEE NOTE BELOW</v>
      </c>
      <c r="B30" s="429"/>
      <c r="C30" s="429"/>
      <c r="D30" s="429"/>
      <c r="E30" s="429"/>
      <c r="F30" s="430"/>
    </row>
    <row r="31" spans="1:13" x14ac:dyDescent="0.25">
      <c r="A31" s="163"/>
      <c r="B31" s="164"/>
      <c r="C31" s="164"/>
      <c r="D31" s="164"/>
      <c r="E31" s="164"/>
      <c r="F31" s="165"/>
    </row>
    <row r="32" spans="1:13" ht="164.25" customHeight="1" thickBot="1" x14ac:dyDescent="0.3">
      <c r="A32" s="431"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432"/>
      <c r="C32" s="432"/>
      <c r="D32" s="432"/>
      <c r="E32" s="432"/>
      <c r="F32" s="433"/>
    </row>
    <row r="33" spans="1:6" ht="15.75" customHeight="1" thickBot="1" x14ac:dyDescent="0.3">
      <c r="A33" s="434" t="str">
        <f>"U.S. Environmental Protection Agency Region "&amp;VLOOKUP(Inputs!$C$7,'EPA Regional Contact Info'!$A$5:$C$49,3,FALSE)&amp;" Contact"</f>
        <v>U.S. Environmental Protection Agency Region 6 Contact</v>
      </c>
      <c r="B33" s="435"/>
      <c r="C33" s="435"/>
      <c r="D33" s="435"/>
      <c r="E33" s="435"/>
      <c r="F33" s="436"/>
    </row>
    <row r="34" spans="1:6" ht="15.6" x14ac:dyDescent="0.3">
      <c r="A34" s="163"/>
      <c r="B34" s="216" t="s">
        <v>378</v>
      </c>
      <c r="C34" s="217"/>
      <c r="D34" s="218" t="str">
        <f>Inputs!C16</f>
        <v>Bonnie Braganza</v>
      </c>
      <c r="E34" s="217"/>
      <c r="F34" s="165"/>
    </row>
    <row r="35" spans="1:6" ht="15.6" x14ac:dyDescent="0.3">
      <c r="A35" s="170"/>
      <c r="B35" s="219" t="s">
        <v>379</v>
      </c>
      <c r="C35" s="220"/>
      <c r="D35" s="221" t="str">
        <f>Inputs!C22</f>
        <v>U.S. Environmental Protection Agency Region 6</v>
      </c>
      <c r="E35" s="220"/>
      <c r="F35" s="169"/>
    </row>
    <row r="36" spans="1:6" ht="15.6" x14ac:dyDescent="0.3">
      <c r="A36" s="170"/>
      <c r="B36" s="219"/>
      <c r="C36" s="220"/>
      <c r="D36" s="221" t="str">
        <f>Inputs!C23</f>
        <v>1445 Ross Avenue, Suite 1200</v>
      </c>
      <c r="E36" s="220"/>
      <c r="F36" s="169"/>
    </row>
    <row r="37" spans="1:6" ht="15.6" x14ac:dyDescent="0.3">
      <c r="A37" s="170"/>
      <c r="B37" s="219"/>
      <c r="C37" s="220"/>
      <c r="D37" s="221" t="str">
        <f>Inputs!C24</f>
        <v>MC: 6PD</v>
      </c>
      <c r="E37" s="220"/>
      <c r="F37" s="169"/>
    </row>
    <row r="38" spans="1:6" ht="15.6" x14ac:dyDescent="0.3">
      <c r="A38" s="170"/>
      <c r="B38" s="219"/>
      <c r="C38" s="220"/>
      <c r="D38" s="221" t="str">
        <f>Inputs!C25</f>
        <v>Dallas, TX 75202-2733</v>
      </c>
      <c r="E38" s="220"/>
      <c r="F38" s="169"/>
    </row>
    <row r="39" spans="1:6" ht="15.6" x14ac:dyDescent="0.3">
      <c r="A39" s="170"/>
      <c r="B39" s="219"/>
      <c r="C39" s="220"/>
      <c r="D39" s="221"/>
      <c r="E39" s="220"/>
      <c r="F39" s="169"/>
    </row>
    <row r="40" spans="1:6" ht="15.6" x14ac:dyDescent="0.3">
      <c r="A40" s="170"/>
      <c r="B40" s="219" t="s">
        <v>380</v>
      </c>
      <c r="C40" s="220"/>
      <c r="D40" s="221" t="str">
        <f>Inputs!C17</f>
        <v>214-665-7340</v>
      </c>
      <c r="E40" s="220"/>
      <c r="F40" s="169"/>
    </row>
    <row r="41" spans="1:6" ht="15.6" x14ac:dyDescent="0.3">
      <c r="A41" s="170"/>
      <c r="B41" s="219" t="s">
        <v>33</v>
      </c>
      <c r="C41" s="220"/>
      <c r="D41" s="221" t="str">
        <f>Inputs!C18</f>
        <v>braganza.bonnie@epa.gov</v>
      </c>
      <c r="E41" s="220"/>
      <c r="F41" s="169"/>
    </row>
    <row r="42" spans="1:6" ht="13.8" thickBot="1" x14ac:dyDescent="0.3">
      <c r="A42" s="171"/>
      <c r="B42" s="172"/>
      <c r="C42" s="172"/>
      <c r="D42" s="172"/>
      <c r="E42" s="172"/>
      <c r="F42" s="173"/>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8" priority="5">
      <formula>$A$30="PLEASE SEE NOTE BELOW"</formula>
    </cfRule>
  </conditionalFormatting>
  <conditionalFormatting sqref="A30:F30">
    <cfRule type="expression" dxfId="7" priority="4">
      <formula>$A$30="You are required to register your facility under the tribal new source review rule"</formula>
    </cfRule>
  </conditionalFormatting>
  <conditionalFormatting sqref="C27:C28">
    <cfRule type="iconSet" priority="6">
      <iconSet iconSet="3Symbols" showValue="0" reverse="1">
        <cfvo type="percent" val="0"/>
        <cfvo type="num" val="0" gte="0"/>
        <cfvo type="num" val="100"/>
      </iconSet>
    </cfRule>
  </conditionalFormatting>
  <conditionalFormatting sqref="C12 E12">
    <cfRule type="cellIs" dxfId="6" priority="7" operator="greaterThanOrEqual">
      <formula>$F$12</formula>
    </cfRule>
  </conditionalFormatting>
  <conditionalFormatting sqref="C14 E14">
    <cfRule type="cellIs" dxfId="5" priority="9" operator="greaterThanOrEqual">
      <formula>$F$14</formula>
    </cfRule>
  </conditionalFormatting>
  <conditionalFormatting sqref="C16 E16">
    <cfRule type="cellIs" dxfId="4" priority="11" operator="greaterThanOrEqual">
      <formula>$F$16</formula>
    </cfRule>
  </conditionalFormatting>
  <conditionalFormatting sqref="C18 E18">
    <cfRule type="cellIs" dxfId="3" priority="13" operator="greaterThanOrEqual">
      <formula>$F$18</formula>
    </cfRule>
  </conditionalFormatting>
  <conditionalFormatting sqref="C20 E20">
    <cfRule type="cellIs" dxfId="2" priority="15" operator="greaterThanOrEqual">
      <formula>$F$20</formula>
    </cfRule>
  </conditionalFormatting>
  <conditionalFormatting sqref="C22 E22">
    <cfRule type="cellIs" dxfId="1" priority="17" operator="greaterThanOrEqual">
      <formula>$F$22</formula>
    </cfRule>
  </conditionalFormatting>
  <conditionalFormatting sqref="C26">
    <cfRule type="iconSet" priority="3">
      <iconSet iconSet="3Symbols" showValue="0" reverse="1">
        <cfvo type="percent" val="0"/>
        <cfvo type="num" val="0" gte="0"/>
        <cfvo type="num" val="100"/>
      </iconSet>
    </cfRule>
  </conditionalFormatting>
  <conditionalFormatting sqref="E12">
    <cfRule type="iconSet" priority="8">
      <iconSet iconSet="3Symbols" reverse="1">
        <cfvo type="percent" val="0"/>
        <cfvo type="formula" val="$F$12"/>
        <cfvo type="formula" val="$L$12"/>
      </iconSet>
    </cfRule>
  </conditionalFormatting>
  <conditionalFormatting sqref="E14">
    <cfRule type="iconSet" priority="10">
      <iconSet iconSet="3Symbols" reverse="1">
        <cfvo type="percent" val="0"/>
        <cfvo type="formula" val="$F$14"/>
        <cfvo type="formula" val="$L$14"/>
      </iconSet>
    </cfRule>
  </conditionalFormatting>
  <conditionalFormatting sqref="E16">
    <cfRule type="iconSet" priority="12">
      <iconSet iconSet="3Symbols" reverse="1">
        <cfvo type="percent" val="0"/>
        <cfvo type="formula" val="$F$16"/>
        <cfvo type="formula" val="$L$16"/>
      </iconSet>
    </cfRule>
  </conditionalFormatting>
  <conditionalFormatting sqref="E18">
    <cfRule type="iconSet" priority="14">
      <iconSet iconSet="3Symbols" reverse="1">
        <cfvo type="percent" val="0"/>
        <cfvo type="formula" val="$F$18"/>
        <cfvo type="formula" val="$L$18"/>
      </iconSet>
    </cfRule>
  </conditionalFormatting>
  <conditionalFormatting sqref="E20">
    <cfRule type="iconSet" priority="16">
      <iconSet iconSet="3Symbols" reverse="1">
        <cfvo type="percent" val="0"/>
        <cfvo type="formula" val="$F$20"/>
        <cfvo type="formula" val="$L$20"/>
      </iconSet>
    </cfRule>
  </conditionalFormatting>
  <conditionalFormatting sqref="E22">
    <cfRule type="iconSet" priority="18">
      <iconSet iconSet="3Symbols" reverse="1">
        <cfvo type="percent" val="0"/>
        <cfvo type="formula" val="$F$22"/>
        <cfvo type="formula" val="$L$22"/>
      </iconSet>
    </cfRule>
  </conditionalFormatting>
  <conditionalFormatting sqref="L27">
    <cfRule type="cellIs" dxfId="0" priority="1" operator="greaterThanOrEqual">
      <formula>$F$12</formula>
    </cfRule>
  </conditionalFormatting>
  <conditionalFormatting sqref="L27">
    <cfRule type="iconSet" priority="2">
      <iconSet iconSet="3Symbols" reverse="1">
        <cfvo type="percent" val="0"/>
        <cfvo type="formula" val="$F$12"/>
        <cfvo type="formula" val="$L$12"/>
      </iconSet>
    </cfRule>
  </conditionalFormatting>
  <printOptions horizontalCentered="1" gridLinesSet="0"/>
  <pageMargins left="0.4" right="0.4" top="0.7" bottom="0.3" header="0.25" footer="0.25"/>
  <pageSetup scale="75" orientation="portrait" horizontalDpi="1200" verticalDpi="1200" r:id="rId1"/>
  <headerFooter alignWithMargins="0">
    <oddHeader xml:space="preserve">&amp;C&amp;"Arial,Bold"&amp;14
Surface Coating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3"/>
  <sheetViews>
    <sheetView workbookViewId="0">
      <selection sqref="A1:F1"/>
    </sheetView>
  </sheetViews>
  <sheetFormatPr defaultRowHeight="13.2" x14ac:dyDescent="0.25"/>
  <cols>
    <col min="1" max="1" width="17.88671875" style="17" bestFit="1" customWidth="1"/>
    <col min="2" max="2" width="17.5546875" style="9" customWidth="1"/>
    <col min="3" max="3" width="30.109375" customWidth="1"/>
    <col min="4" max="5" width="20" style="9" customWidth="1"/>
    <col min="6" max="6" width="25" style="9" customWidth="1"/>
    <col min="7" max="7" width="26.6640625" bestFit="1" customWidth="1"/>
  </cols>
  <sheetData>
    <row r="1" spans="1:7" ht="17.399999999999999" x14ac:dyDescent="0.3">
      <c r="A1" s="446" t="s">
        <v>487</v>
      </c>
      <c r="B1" s="446"/>
      <c r="C1" s="446"/>
      <c r="D1" s="446"/>
      <c r="E1" s="446"/>
      <c r="F1" s="446"/>
    </row>
    <row r="2" spans="1:7" x14ac:dyDescent="0.25">
      <c r="A2" s="445" t="s">
        <v>567</v>
      </c>
      <c r="B2" s="445"/>
      <c r="C2" s="445"/>
      <c r="D2" s="445"/>
      <c r="E2" s="445"/>
      <c r="F2" s="445"/>
    </row>
    <row r="4" spans="1:7" x14ac:dyDescent="0.25">
      <c r="A4" s="16" t="s">
        <v>26</v>
      </c>
      <c r="B4" s="4" t="s">
        <v>22</v>
      </c>
      <c r="C4" s="4" t="s">
        <v>24</v>
      </c>
      <c r="D4" s="4" t="s">
        <v>23</v>
      </c>
      <c r="E4" s="13" t="s">
        <v>41</v>
      </c>
      <c r="F4" s="13" t="s">
        <v>43</v>
      </c>
      <c r="G4" s="4" t="s">
        <v>25</v>
      </c>
    </row>
    <row r="5" spans="1:7" x14ac:dyDescent="0.25">
      <c r="A5" s="31">
        <v>1</v>
      </c>
      <c r="B5" s="32" t="s">
        <v>486</v>
      </c>
      <c r="C5" s="33" t="s">
        <v>40</v>
      </c>
      <c r="D5" s="84" t="s">
        <v>416</v>
      </c>
      <c r="E5" s="7" t="s">
        <v>42</v>
      </c>
      <c r="F5" s="7"/>
      <c r="G5" s="341" t="s">
        <v>140</v>
      </c>
    </row>
    <row r="6" spans="1:7" ht="118.8" x14ac:dyDescent="0.25">
      <c r="A6" s="36">
        <v>1.1000000000000001</v>
      </c>
      <c r="B6" s="296" t="s">
        <v>492</v>
      </c>
      <c r="C6" s="37" t="s">
        <v>537</v>
      </c>
      <c r="D6" s="297" t="s">
        <v>416</v>
      </c>
      <c r="E6" s="34" t="s">
        <v>42</v>
      </c>
      <c r="F6" s="34" t="s">
        <v>141</v>
      </c>
      <c r="G6" s="341" t="s">
        <v>140</v>
      </c>
    </row>
    <row r="7" spans="1:7" ht="26.4" x14ac:dyDescent="0.25">
      <c r="A7" s="36">
        <v>1.2</v>
      </c>
      <c r="B7" s="296" t="s">
        <v>563</v>
      </c>
      <c r="C7" s="37" t="s">
        <v>564</v>
      </c>
      <c r="D7" s="34" t="s">
        <v>416</v>
      </c>
      <c r="E7" s="34" t="s">
        <v>42</v>
      </c>
      <c r="F7" s="34" t="s">
        <v>141</v>
      </c>
      <c r="G7" s="342" t="s">
        <v>140</v>
      </c>
    </row>
    <row r="8" spans="1:7" ht="26.4" x14ac:dyDescent="0.25">
      <c r="A8" s="36">
        <v>1.3</v>
      </c>
      <c r="B8" s="296" t="s">
        <v>565</v>
      </c>
      <c r="C8" s="37" t="s">
        <v>566</v>
      </c>
      <c r="D8" s="34" t="s">
        <v>416</v>
      </c>
      <c r="E8" s="34" t="s">
        <v>42</v>
      </c>
      <c r="F8" s="34" t="s">
        <v>141</v>
      </c>
      <c r="G8" s="342" t="s">
        <v>140</v>
      </c>
    </row>
    <row r="9" spans="1:7" x14ac:dyDescent="0.25">
      <c r="A9" s="36"/>
      <c r="B9" s="34"/>
      <c r="C9" s="37"/>
      <c r="D9" s="34"/>
      <c r="E9" s="34"/>
      <c r="F9" s="34"/>
      <c r="G9" s="35"/>
    </row>
    <row r="10" spans="1:7" x14ac:dyDescent="0.25">
      <c r="A10" s="36"/>
      <c r="B10" s="34"/>
      <c r="C10" s="37"/>
      <c r="D10" s="34"/>
      <c r="E10" s="34"/>
      <c r="F10" s="34"/>
      <c r="G10" s="35"/>
    </row>
    <row r="11" spans="1:7" x14ac:dyDescent="0.25">
      <c r="A11" s="36"/>
      <c r="B11" s="34"/>
      <c r="C11" s="37"/>
      <c r="D11" s="34"/>
      <c r="E11" s="34"/>
      <c r="F11" s="34"/>
      <c r="G11" s="35"/>
    </row>
    <row r="12" spans="1:7" x14ac:dyDescent="0.25">
      <c r="A12" s="36"/>
      <c r="B12" s="34"/>
      <c r="C12" s="37"/>
      <c r="D12" s="34"/>
      <c r="E12" s="34"/>
      <c r="F12" s="34"/>
      <c r="G12" s="35"/>
    </row>
    <row r="13" spans="1:7" x14ac:dyDescent="0.25">
      <c r="A13" s="36"/>
      <c r="B13" s="34"/>
      <c r="C13" s="37"/>
      <c r="D13" s="34"/>
      <c r="E13" s="34"/>
      <c r="F13" s="34"/>
      <c r="G13" s="35"/>
    </row>
    <row r="14" spans="1:7" x14ac:dyDescent="0.25">
      <c r="A14" s="36"/>
      <c r="B14" s="34"/>
      <c r="C14" s="37"/>
      <c r="D14" s="34"/>
      <c r="E14" s="34"/>
      <c r="F14" s="34"/>
      <c r="G14" s="35"/>
    </row>
    <row r="15" spans="1:7" x14ac:dyDescent="0.25">
      <c r="A15" s="36"/>
      <c r="B15" s="34"/>
      <c r="C15" s="37"/>
      <c r="D15" s="34"/>
      <c r="E15" s="34"/>
      <c r="F15" s="34"/>
      <c r="G15" s="35"/>
    </row>
    <row r="16" spans="1:7" x14ac:dyDescent="0.25">
      <c r="A16" s="36"/>
      <c r="B16" s="34"/>
      <c r="C16" s="37"/>
      <c r="D16" s="34"/>
      <c r="E16" s="34"/>
      <c r="F16" s="34"/>
      <c r="G16" s="35"/>
    </row>
    <row r="17" spans="1:7" x14ac:dyDescent="0.25">
      <c r="A17" s="36"/>
      <c r="B17" s="34"/>
      <c r="C17" s="37"/>
      <c r="D17" s="34"/>
      <c r="E17" s="34"/>
      <c r="F17" s="34"/>
      <c r="G17" s="35"/>
    </row>
    <row r="18" spans="1:7" x14ac:dyDescent="0.25">
      <c r="A18" s="36"/>
      <c r="B18" s="34"/>
      <c r="C18" s="37"/>
      <c r="D18" s="34"/>
      <c r="E18" s="34"/>
      <c r="F18" s="34"/>
      <c r="G18" s="35"/>
    </row>
    <row r="19" spans="1:7" x14ac:dyDescent="0.25">
      <c r="A19" s="36"/>
      <c r="B19" s="34"/>
      <c r="C19" s="37"/>
      <c r="D19" s="34"/>
      <c r="E19" s="34"/>
      <c r="F19" s="34"/>
      <c r="G19" s="35"/>
    </row>
    <row r="20" spans="1:7" x14ac:dyDescent="0.25">
      <c r="A20" s="36"/>
      <c r="B20" s="34"/>
      <c r="C20" s="37"/>
      <c r="D20" s="34"/>
      <c r="E20" s="34"/>
      <c r="F20" s="34"/>
      <c r="G20" s="35"/>
    </row>
    <row r="21" spans="1:7" x14ac:dyDescent="0.25">
      <c r="A21" s="36"/>
      <c r="B21" s="34"/>
      <c r="C21" s="37"/>
      <c r="D21" s="34"/>
      <c r="E21" s="34"/>
      <c r="F21" s="34"/>
      <c r="G21" s="35"/>
    </row>
    <row r="22" spans="1:7" x14ac:dyDescent="0.25">
      <c r="A22" s="36"/>
      <c r="B22" s="34"/>
      <c r="C22" s="37"/>
      <c r="D22" s="34"/>
      <c r="E22" s="34"/>
      <c r="F22" s="34"/>
      <c r="G22" s="35"/>
    </row>
    <row r="23" spans="1:7" x14ac:dyDescent="0.25">
      <c r="A23" s="36"/>
      <c r="B23" s="34"/>
      <c r="C23" s="37"/>
      <c r="D23" s="34"/>
      <c r="E23" s="34"/>
      <c r="F23" s="34"/>
      <c r="G23" s="35"/>
    </row>
  </sheetData>
  <mergeCells count="2">
    <mergeCell ref="A2:F2"/>
    <mergeCell ref="A1:F1"/>
  </mergeCells>
  <hyperlinks>
    <hyperlink ref="G5" r:id="rId1"/>
    <hyperlink ref="G6" r:id="rId2"/>
    <hyperlink ref="G7" r:id="rId3"/>
    <hyperlink ref="G8"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H50"/>
  <sheetViews>
    <sheetView workbookViewId="0"/>
  </sheetViews>
  <sheetFormatPr defaultRowHeight="13.2" x14ac:dyDescent="0.25"/>
  <cols>
    <col min="1" max="1" width="23.44140625" customWidth="1"/>
    <col min="2" max="2" width="17.6640625" customWidth="1"/>
    <col min="3" max="3" width="19.88671875" bestFit="1" customWidth="1"/>
    <col min="4" max="4" width="19.33203125" bestFit="1" customWidth="1"/>
    <col min="5" max="5" width="21.5546875" customWidth="1"/>
    <col min="6" max="6" width="20.5546875" customWidth="1"/>
  </cols>
  <sheetData>
    <row r="1" spans="1:8" ht="17.399999999999999" x14ac:dyDescent="0.3">
      <c r="A1" s="2" t="s">
        <v>490</v>
      </c>
    </row>
    <row r="3" spans="1:8" x14ac:dyDescent="0.25">
      <c r="A3" s="447" t="s">
        <v>525</v>
      </c>
      <c r="B3" s="448"/>
      <c r="C3" s="448"/>
      <c r="D3" s="448"/>
      <c r="E3" s="449"/>
    </row>
    <row r="4" spans="1:8" x14ac:dyDescent="0.25">
      <c r="A4" s="52" t="s">
        <v>122</v>
      </c>
      <c r="B4" s="52" t="s">
        <v>123</v>
      </c>
      <c r="C4" s="52" t="s">
        <v>124</v>
      </c>
      <c r="D4" s="52" t="s">
        <v>421</v>
      </c>
      <c r="E4" s="52" t="s">
        <v>38</v>
      </c>
    </row>
    <row r="5" spans="1:8" x14ac:dyDescent="0.25">
      <c r="A5" s="42" t="s">
        <v>126</v>
      </c>
      <c r="B5" s="49">
        <f>C49</f>
        <v>9.4</v>
      </c>
      <c r="C5" s="49">
        <f>C50</f>
        <v>10.5</v>
      </c>
      <c r="D5" s="49">
        <f>AVERAGE(B5:C5)</f>
        <v>9.9499999999999993</v>
      </c>
      <c r="E5" s="299" t="s">
        <v>496</v>
      </c>
    </row>
    <row r="6" spans="1:8" x14ac:dyDescent="0.25">
      <c r="A6" s="42" t="s">
        <v>127</v>
      </c>
      <c r="B6" s="49">
        <f>C36</f>
        <v>6.6</v>
      </c>
      <c r="C6" s="49">
        <f>C39</f>
        <v>9.1999999999999993</v>
      </c>
      <c r="D6" s="49">
        <f>AVERAGE(C32:C44)</f>
        <v>7.884615384615385</v>
      </c>
      <c r="E6" s="299" t="s">
        <v>496</v>
      </c>
    </row>
    <row r="8" spans="1:8" x14ac:dyDescent="0.25">
      <c r="A8" s="447" t="s">
        <v>3</v>
      </c>
      <c r="B8" s="448"/>
      <c r="C8" s="448"/>
      <c r="D8" s="448"/>
      <c r="E8" s="449"/>
    </row>
    <row r="9" spans="1:8" x14ac:dyDescent="0.25">
      <c r="A9" s="75" t="s">
        <v>122</v>
      </c>
      <c r="B9" s="75" t="s">
        <v>123</v>
      </c>
      <c r="C9" s="75" t="s">
        <v>124</v>
      </c>
      <c r="D9" s="74" t="s">
        <v>421</v>
      </c>
      <c r="E9" s="74" t="s">
        <v>38</v>
      </c>
    </row>
    <row r="10" spans="1:8" x14ac:dyDescent="0.25">
      <c r="A10" s="42" t="s">
        <v>125</v>
      </c>
      <c r="B10" s="49">
        <v>6.2</v>
      </c>
      <c r="C10" s="49">
        <v>7.3</v>
      </c>
      <c r="D10" s="49">
        <f>(C10+B10)/2</f>
        <v>6.75</v>
      </c>
      <c r="E10" s="42" t="s">
        <v>524</v>
      </c>
    </row>
    <row r="11" spans="1:8" x14ac:dyDescent="0.25">
      <c r="A11" s="42" t="s">
        <v>126</v>
      </c>
      <c r="B11" s="49">
        <f>D50</f>
        <v>4.4939999999999998</v>
      </c>
      <c r="C11" s="49">
        <f>D49</f>
        <v>4.7940000000000005</v>
      </c>
      <c r="D11" s="49">
        <f>AVERAGE(D49:D50)</f>
        <v>4.6440000000000001</v>
      </c>
      <c r="E11" s="299" t="s">
        <v>496</v>
      </c>
    </row>
    <row r="12" spans="1:8" x14ac:dyDescent="0.25">
      <c r="A12" s="42" t="s">
        <v>127</v>
      </c>
      <c r="B12" s="49">
        <f>D35</f>
        <v>4.2240000000000002</v>
      </c>
      <c r="C12" s="49">
        <f>D38</f>
        <v>6.7759999999999998</v>
      </c>
      <c r="D12" s="49">
        <f>AVERAGE(D32:D44)</f>
        <v>5.6274615384615396</v>
      </c>
      <c r="E12" s="299" t="s">
        <v>496</v>
      </c>
    </row>
    <row r="14" spans="1:8" x14ac:dyDescent="0.25">
      <c r="A14" s="452" t="s">
        <v>128</v>
      </c>
      <c r="B14" s="452"/>
      <c r="C14" s="452"/>
      <c r="D14" s="452"/>
      <c r="E14" s="451"/>
      <c r="F14" s="58"/>
      <c r="G14" s="58"/>
      <c r="H14" s="58"/>
    </row>
    <row r="15" spans="1:8" x14ac:dyDescent="0.25">
      <c r="A15" s="52" t="s">
        <v>122</v>
      </c>
      <c r="B15" s="13" t="s">
        <v>123</v>
      </c>
      <c r="C15" s="13" t="s">
        <v>124</v>
      </c>
      <c r="D15" s="13" t="s">
        <v>421</v>
      </c>
      <c r="E15" s="52" t="s">
        <v>38</v>
      </c>
    </row>
    <row r="16" spans="1:8" x14ac:dyDescent="0.25">
      <c r="A16" s="42" t="s">
        <v>126</v>
      </c>
      <c r="B16" s="49">
        <f>E49</f>
        <v>4.6059999999999999</v>
      </c>
      <c r="C16" s="49">
        <f>E50</f>
        <v>6.0060000000000002</v>
      </c>
      <c r="D16" s="49">
        <f>AVERAGE(E49:E50)</f>
        <v>5.306</v>
      </c>
      <c r="E16" s="299" t="s">
        <v>496</v>
      </c>
    </row>
    <row r="17" spans="1:7" x14ac:dyDescent="0.25">
      <c r="A17" s="42" t="s">
        <v>127</v>
      </c>
      <c r="B17" s="49">
        <f>E41</f>
        <v>0.81899999999999995</v>
      </c>
      <c r="C17" s="49">
        <f>E33</f>
        <v>3.8947999999999996</v>
      </c>
      <c r="D17" s="49">
        <f>AVERAGE(E32:E44)</f>
        <v>2.2571538461538454</v>
      </c>
      <c r="E17" s="299" t="s">
        <v>496</v>
      </c>
    </row>
    <row r="19" spans="1:7" x14ac:dyDescent="0.25">
      <c r="A19" s="447" t="s">
        <v>417</v>
      </c>
      <c r="B19" s="449"/>
    </row>
    <row r="20" spans="1:7" x14ac:dyDescent="0.25">
      <c r="A20" s="77" t="s">
        <v>122</v>
      </c>
      <c r="B20" s="76" t="s">
        <v>129</v>
      </c>
    </row>
    <row r="21" spans="1:7" x14ac:dyDescent="0.25">
      <c r="A21" s="78" t="s">
        <v>125</v>
      </c>
      <c r="B21" s="7">
        <f>IF(Cleaner_Density*Cleaner_VOC_Content&gt;'VOC and Solids Content Ranges'!C10,Cleaner_Density*Cleaner_VOC_Content,'VOC and Solids Content Ranges'!C10)</f>
        <v>7.3</v>
      </c>
    </row>
    <row r="22" spans="1:7" x14ac:dyDescent="0.25">
      <c r="A22" s="78" t="s">
        <v>126</v>
      </c>
      <c r="B22" s="7">
        <f>IF(Primer_Density*Primer_VOC_Content&gt;'VOC and Solids Content Ranges'!C11,Primer_Density*Primer_VOC_Content,'VOC and Solids Content Ranges'!C11)</f>
        <v>4.7940000000000005</v>
      </c>
    </row>
    <row r="23" spans="1:7" x14ac:dyDescent="0.25">
      <c r="A23" s="78" t="s">
        <v>127</v>
      </c>
      <c r="B23" s="7">
        <f>IF(Coating_Density*Coating_VOC_Content&gt;'VOC and Solids Content Ranges'!C12,Coating_Density*Coating_VOC_Content,'VOC and Solids Content Ranges'!C12)</f>
        <v>6.7759999999999998</v>
      </c>
    </row>
    <row r="25" spans="1:7" x14ac:dyDescent="0.25">
      <c r="A25" s="447" t="s">
        <v>418</v>
      </c>
      <c r="B25" s="449"/>
    </row>
    <row r="26" spans="1:7" x14ac:dyDescent="0.25">
      <c r="A26" s="77" t="s">
        <v>122</v>
      </c>
      <c r="B26" s="76" t="s">
        <v>129</v>
      </c>
    </row>
    <row r="27" spans="1:7" x14ac:dyDescent="0.25">
      <c r="A27" s="78" t="s">
        <v>126</v>
      </c>
      <c r="B27" s="7">
        <f>IF(Primer_Density*Primer_Solids_Content&gt;'VOC and Solids Content Ranges'!C16,Primer_Density*Primer_Solids_Content,'VOC and Solids Content Ranges'!C16)</f>
        <v>6.0060000000000002</v>
      </c>
    </row>
    <row r="28" spans="1:7" x14ac:dyDescent="0.25">
      <c r="A28" s="78" t="s">
        <v>127</v>
      </c>
      <c r="B28" s="7">
        <f>IF(Coating_Density*Coating_Solids_Content&gt;'VOC and Solids Content Ranges'!C17,Coating_Density*Coating_Solids_Content,'VOC and Solids Content Ranges'!C17)</f>
        <v>3.8947999999999996</v>
      </c>
    </row>
    <row r="30" spans="1:7" x14ac:dyDescent="0.25">
      <c r="A30" s="450" t="s">
        <v>523</v>
      </c>
      <c r="B30" s="451"/>
      <c r="C30" s="451"/>
      <c r="D30" s="451"/>
      <c r="E30" s="451"/>
      <c r="F30" s="451"/>
      <c r="G30" s="451"/>
    </row>
    <row r="31" spans="1:7" ht="27.75" customHeight="1" x14ac:dyDescent="0.25">
      <c r="A31" s="298" t="s">
        <v>493</v>
      </c>
      <c r="B31" s="298" t="s">
        <v>122</v>
      </c>
      <c r="C31" s="298" t="s">
        <v>518</v>
      </c>
      <c r="D31" s="298" t="s">
        <v>519</v>
      </c>
      <c r="E31" s="298" t="s">
        <v>520</v>
      </c>
      <c r="F31" s="305" t="s">
        <v>521</v>
      </c>
      <c r="G31" s="298" t="s">
        <v>38</v>
      </c>
    </row>
    <row r="32" spans="1:7" x14ac:dyDescent="0.25">
      <c r="A32" s="299" t="s">
        <v>494</v>
      </c>
      <c r="B32" s="299" t="s">
        <v>495</v>
      </c>
      <c r="C32" s="303">
        <v>7.6</v>
      </c>
      <c r="D32" s="303">
        <f>+C32*(1-F32/100)</f>
        <v>4.5903999999999998</v>
      </c>
      <c r="E32" s="303">
        <f>C32*F32/100</f>
        <v>3.0095999999999998</v>
      </c>
      <c r="F32" s="303">
        <v>39.6</v>
      </c>
      <c r="G32" s="299" t="s">
        <v>496</v>
      </c>
    </row>
    <row r="33" spans="1:7" x14ac:dyDescent="0.25">
      <c r="A33" s="299" t="s">
        <v>494</v>
      </c>
      <c r="B33" s="299" t="s">
        <v>497</v>
      </c>
      <c r="C33" s="304">
        <v>9.1</v>
      </c>
      <c r="D33" s="303">
        <f t="shared" ref="D33:D44" si="0">+C33*(1-F33/100)</f>
        <v>5.2052000000000005</v>
      </c>
      <c r="E33" s="303">
        <f t="shared" ref="E33:E44" si="1">C33*F33/100</f>
        <v>3.8947999999999996</v>
      </c>
      <c r="F33" s="304">
        <v>42.8</v>
      </c>
      <c r="G33" s="299" t="s">
        <v>496</v>
      </c>
    </row>
    <row r="34" spans="1:7" x14ac:dyDescent="0.25">
      <c r="A34" s="299" t="s">
        <v>494</v>
      </c>
      <c r="B34" s="299" t="s">
        <v>498</v>
      </c>
      <c r="C34" s="304">
        <v>8.9</v>
      </c>
      <c r="D34" s="303">
        <f t="shared" si="0"/>
        <v>6.2033000000000005</v>
      </c>
      <c r="E34" s="303">
        <f t="shared" si="1"/>
        <v>2.6967000000000003</v>
      </c>
      <c r="F34" s="304">
        <v>30.3</v>
      </c>
      <c r="G34" s="299" t="s">
        <v>496</v>
      </c>
    </row>
    <row r="35" spans="1:7" x14ac:dyDescent="0.25">
      <c r="A35" s="299" t="s">
        <v>494</v>
      </c>
      <c r="B35" s="299" t="s">
        <v>499</v>
      </c>
      <c r="C35" s="304">
        <v>8</v>
      </c>
      <c r="D35" s="303">
        <f t="shared" si="0"/>
        <v>4.2240000000000002</v>
      </c>
      <c r="E35" s="303">
        <f t="shared" si="1"/>
        <v>3.7760000000000002</v>
      </c>
      <c r="F35" s="304">
        <v>47.2</v>
      </c>
      <c r="G35" s="299" t="s">
        <v>496</v>
      </c>
    </row>
    <row r="36" spans="1:7" x14ac:dyDescent="0.25">
      <c r="A36" s="299" t="s">
        <v>494</v>
      </c>
      <c r="B36" s="299" t="s">
        <v>502</v>
      </c>
      <c r="C36" s="304">
        <v>6.6</v>
      </c>
      <c r="D36" s="303">
        <f t="shared" si="0"/>
        <v>4.2702</v>
      </c>
      <c r="E36" s="303">
        <f t="shared" si="1"/>
        <v>2.3297999999999996</v>
      </c>
      <c r="F36" s="304">
        <v>35.299999999999997</v>
      </c>
      <c r="G36" s="299" t="s">
        <v>496</v>
      </c>
    </row>
    <row r="37" spans="1:7" x14ac:dyDescent="0.25">
      <c r="A37" s="299" t="s">
        <v>494</v>
      </c>
      <c r="B37" s="299" t="s">
        <v>503</v>
      </c>
      <c r="C37" s="304">
        <v>7.9</v>
      </c>
      <c r="D37" s="303">
        <f t="shared" si="0"/>
        <v>5.8380999999999998</v>
      </c>
      <c r="E37" s="303">
        <f t="shared" si="1"/>
        <v>2.0619000000000001</v>
      </c>
      <c r="F37" s="304">
        <v>26.1</v>
      </c>
      <c r="G37" s="299" t="s">
        <v>496</v>
      </c>
    </row>
    <row r="38" spans="1:7" x14ac:dyDescent="0.25">
      <c r="A38" s="299" t="s">
        <v>494</v>
      </c>
      <c r="B38" s="299" t="s">
        <v>504</v>
      </c>
      <c r="C38" s="304">
        <v>7.7</v>
      </c>
      <c r="D38" s="303">
        <f t="shared" si="0"/>
        <v>6.7759999999999998</v>
      </c>
      <c r="E38" s="303">
        <f t="shared" si="1"/>
        <v>0.92400000000000004</v>
      </c>
      <c r="F38" s="304">
        <v>12</v>
      </c>
      <c r="G38" s="299" t="s">
        <v>496</v>
      </c>
    </row>
    <row r="39" spans="1:7" x14ac:dyDescent="0.25">
      <c r="A39" s="299" t="s">
        <v>494</v>
      </c>
      <c r="B39" s="299" t="s">
        <v>505</v>
      </c>
      <c r="C39" s="304">
        <v>9.1999999999999993</v>
      </c>
      <c r="D39" s="303">
        <f t="shared" si="0"/>
        <v>6.2835999999999999</v>
      </c>
      <c r="E39" s="303">
        <f t="shared" si="1"/>
        <v>2.9163999999999999</v>
      </c>
      <c r="F39" s="304">
        <v>31.7</v>
      </c>
      <c r="G39" s="299" t="s">
        <v>496</v>
      </c>
    </row>
    <row r="40" spans="1:7" x14ac:dyDescent="0.25">
      <c r="A40" s="299" t="s">
        <v>494</v>
      </c>
      <c r="B40" s="299" t="s">
        <v>506</v>
      </c>
      <c r="C40" s="304">
        <v>7.3</v>
      </c>
      <c r="D40" s="303">
        <f t="shared" si="0"/>
        <v>5.7232000000000003</v>
      </c>
      <c r="E40" s="303">
        <f t="shared" si="1"/>
        <v>1.5768</v>
      </c>
      <c r="F40" s="304">
        <v>21.6</v>
      </c>
      <c r="G40" s="299" t="s">
        <v>496</v>
      </c>
    </row>
    <row r="41" spans="1:7" x14ac:dyDescent="0.25">
      <c r="A41" s="299" t="s">
        <v>494</v>
      </c>
      <c r="B41" s="299" t="s">
        <v>507</v>
      </c>
      <c r="C41" s="304">
        <v>7</v>
      </c>
      <c r="D41" s="303">
        <f t="shared" si="0"/>
        <v>6.181</v>
      </c>
      <c r="E41" s="303">
        <f t="shared" si="1"/>
        <v>0.81899999999999995</v>
      </c>
      <c r="F41" s="304">
        <v>11.7</v>
      </c>
      <c r="G41" s="299" t="s">
        <v>496</v>
      </c>
    </row>
    <row r="42" spans="1:7" x14ac:dyDescent="0.25">
      <c r="A42" s="299" t="s">
        <v>494</v>
      </c>
      <c r="B42" s="299" t="s">
        <v>508</v>
      </c>
      <c r="C42" s="304">
        <v>7.8</v>
      </c>
      <c r="D42" s="303">
        <f t="shared" si="0"/>
        <v>5.85</v>
      </c>
      <c r="E42" s="303">
        <f t="shared" si="1"/>
        <v>1.95</v>
      </c>
      <c r="F42" s="304">
        <v>25</v>
      </c>
      <c r="G42" s="299" t="s">
        <v>496</v>
      </c>
    </row>
    <row r="43" spans="1:7" x14ac:dyDescent="0.25">
      <c r="A43" s="299" t="s">
        <v>494</v>
      </c>
      <c r="B43" s="299" t="s">
        <v>509</v>
      </c>
      <c r="C43" s="304">
        <v>7.7</v>
      </c>
      <c r="D43" s="303">
        <f t="shared" si="0"/>
        <v>6.0060000000000002</v>
      </c>
      <c r="E43" s="303">
        <f t="shared" si="1"/>
        <v>1.694</v>
      </c>
      <c r="F43" s="304">
        <v>22</v>
      </c>
      <c r="G43" s="299" t="s">
        <v>496</v>
      </c>
    </row>
    <row r="44" spans="1:7" x14ac:dyDescent="0.25">
      <c r="A44" s="299" t="s">
        <v>494</v>
      </c>
      <c r="B44" s="299" t="s">
        <v>510</v>
      </c>
      <c r="C44" s="304">
        <v>7.7</v>
      </c>
      <c r="D44" s="303">
        <f t="shared" si="0"/>
        <v>6.0060000000000002</v>
      </c>
      <c r="E44" s="303">
        <f t="shared" si="1"/>
        <v>1.694</v>
      </c>
      <c r="F44" s="304">
        <v>22</v>
      </c>
      <c r="G44" s="299" t="s">
        <v>496</v>
      </c>
    </row>
    <row r="45" spans="1:7" x14ac:dyDescent="0.25">
      <c r="A45" s="299" t="s">
        <v>494</v>
      </c>
      <c r="B45" s="299" t="s">
        <v>531</v>
      </c>
      <c r="C45" s="304">
        <f>AVERAGE(C32:C44)</f>
        <v>7.884615384615385</v>
      </c>
      <c r="D45" s="304">
        <f t="shared" ref="D45:F45" si="2">AVERAGE(D32:D44)</f>
        <v>5.6274615384615396</v>
      </c>
      <c r="E45" s="304">
        <f t="shared" si="2"/>
        <v>2.2571538461538454</v>
      </c>
      <c r="F45" s="304">
        <f t="shared" si="2"/>
        <v>28.253846153846155</v>
      </c>
      <c r="G45" s="314" t="s">
        <v>533</v>
      </c>
    </row>
    <row r="47" spans="1:7" x14ac:dyDescent="0.25">
      <c r="A47" s="450" t="s">
        <v>522</v>
      </c>
      <c r="B47" s="451"/>
      <c r="C47" s="451"/>
      <c r="D47" s="451"/>
      <c r="E47" s="451"/>
      <c r="F47" s="451"/>
      <c r="G47" s="451"/>
    </row>
    <row r="48" spans="1:7" ht="29.25" customHeight="1" x14ac:dyDescent="0.25">
      <c r="A48" s="298" t="s">
        <v>493</v>
      </c>
      <c r="B48" s="298" t="s">
        <v>122</v>
      </c>
      <c r="C48" s="298" t="s">
        <v>518</v>
      </c>
      <c r="D48" s="298" t="s">
        <v>519</v>
      </c>
      <c r="E48" s="298" t="s">
        <v>520</v>
      </c>
      <c r="F48" s="305" t="s">
        <v>521</v>
      </c>
      <c r="G48" s="298" t="s">
        <v>38</v>
      </c>
    </row>
    <row r="49" spans="1:7" x14ac:dyDescent="0.25">
      <c r="A49" s="299" t="s">
        <v>494</v>
      </c>
      <c r="B49" s="299" t="s">
        <v>500</v>
      </c>
      <c r="C49" s="304">
        <v>9.4</v>
      </c>
      <c r="D49" s="303">
        <f t="shared" ref="D49:D50" si="3">+C49*(1-F49/100)</f>
        <v>4.7940000000000005</v>
      </c>
      <c r="E49" s="303">
        <f>C49*F49/100</f>
        <v>4.6059999999999999</v>
      </c>
      <c r="F49" s="304">
        <v>49</v>
      </c>
      <c r="G49" s="299" t="s">
        <v>496</v>
      </c>
    </row>
    <row r="50" spans="1:7" x14ac:dyDescent="0.25">
      <c r="A50" s="299" t="s">
        <v>494</v>
      </c>
      <c r="B50" s="299" t="s">
        <v>501</v>
      </c>
      <c r="C50" s="304">
        <v>10.5</v>
      </c>
      <c r="D50" s="303">
        <f t="shared" si="3"/>
        <v>4.4939999999999998</v>
      </c>
      <c r="E50" s="303">
        <f t="shared" ref="E50" si="4">C50*F50/100</f>
        <v>6.0060000000000002</v>
      </c>
      <c r="F50" s="304">
        <v>57.2</v>
      </c>
      <c r="G50" s="299" t="s">
        <v>496</v>
      </c>
    </row>
  </sheetData>
  <mergeCells count="7">
    <mergeCell ref="A3:E3"/>
    <mergeCell ref="A47:G47"/>
    <mergeCell ref="A19:B19"/>
    <mergeCell ref="A25:B25"/>
    <mergeCell ref="A8:E8"/>
    <mergeCell ref="A30:G30"/>
    <mergeCell ref="A14:E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J24"/>
  <sheetViews>
    <sheetView zoomScaleNormal="100" workbookViewId="0">
      <pane ySplit="3" topLeftCell="A4" activePane="bottomLeft" state="frozen"/>
      <selection pane="bottomLeft"/>
    </sheetView>
  </sheetViews>
  <sheetFormatPr defaultRowHeight="13.2" x14ac:dyDescent="0.25"/>
  <cols>
    <col min="1" max="1" width="34.44140625" style="5" customWidth="1"/>
    <col min="2" max="2" width="17" customWidth="1"/>
    <col min="3" max="3" width="39.109375" customWidth="1"/>
    <col min="4" max="4" width="26" style="10" customWidth="1"/>
    <col min="5" max="5" width="27.5546875" style="10" customWidth="1"/>
    <col min="6" max="6" width="17" customWidth="1"/>
    <col min="7" max="7" width="19.6640625" customWidth="1"/>
    <col min="8" max="8" width="40.6640625" customWidth="1"/>
  </cols>
  <sheetData>
    <row r="1" spans="1:10" ht="17.399999999999999" x14ac:dyDescent="0.3">
      <c r="A1" s="2" t="s">
        <v>34</v>
      </c>
    </row>
    <row r="2" spans="1:10" ht="13.8" thickBot="1" x14ac:dyDescent="0.3"/>
    <row r="3" spans="1:10" x14ac:dyDescent="0.25">
      <c r="A3" s="18" t="s">
        <v>56</v>
      </c>
      <c r="B3" s="19" t="s">
        <v>0</v>
      </c>
      <c r="C3" s="19" t="s">
        <v>35</v>
      </c>
      <c r="D3" s="20" t="s">
        <v>475</v>
      </c>
      <c r="E3" s="20" t="s">
        <v>476</v>
      </c>
      <c r="F3" s="19" t="s">
        <v>37</v>
      </c>
      <c r="G3" s="19" t="s">
        <v>36</v>
      </c>
      <c r="H3" s="22" t="s">
        <v>38</v>
      </c>
    </row>
    <row r="4" spans="1:10" s="58" customFormat="1" x14ac:dyDescent="0.25">
      <c r="A4" s="15" t="s">
        <v>70</v>
      </c>
      <c r="B4" s="6" t="s">
        <v>3</v>
      </c>
      <c r="C4" s="6" t="str">
        <f t="shared" ref="C4:C24" si="0">A4&amp;B4</f>
        <v>Oil - DistillateVOC</v>
      </c>
      <c r="D4" s="11">
        <v>0.2</v>
      </c>
      <c r="E4" s="11">
        <f t="shared" ref="E4:E24" si="1">D4</f>
        <v>0.2</v>
      </c>
      <c r="F4" s="8" t="s">
        <v>39</v>
      </c>
      <c r="G4" s="8" t="s">
        <v>72</v>
      </c>
      <c r="H4" s="21" t="s">
        <v>73</v>
      </c>
      <c r="J4" s="59"/>
    </row>
    <row r="5" spans="1:10" s="58" customFormat="1" ht="15.6" x14ac:dyDescent="0.25">
      <c r="A5" s="15" t="s">
        <v>70</v>
      </c>
      <c r="B5" s="8" t="s">
        <v>74</v>
      </c>
      <c r="C5" s="6" t="str">
        <f t="shared" si="0"/>
        <v>Oil - DistillateNOx</v>
      </c>
      <c r="D5" s="11">
        <v>20</v>
      </c>
      <c r="E5" s="11">
        <f t="shared" si="1"/>
        <v>20</v>
      </c>
      <c r="F5" s="8" t="s">
        <v>39</v>
      </c>
      <c r="G5" s="8" t="s">
        <v>72</v>
      </c>
      <c r="H5" s="21" t="s">
        <v>73</v>
      </c>
      <c r="J5" s="59"/>
    </row>
    <row r="6" spans="1:10" x14ac:dyDescent="0.25">
      <c r="A6" s="15" t="s">
        <v>70</v>
      </c>
      <c r="B6" s="8" t="s">
        <v>63</v>
      </c>
      <c r="C6" s="6" t="str">
        <f t="shared" si="0"/>
        <v>Oil - DistillateCO</v>
      </c>
      <c r="D6" s="11">
        <v>5</v>
      </c>
      <c r="E6" s="11">
        <f t="shared" si="1"/>
        <v>5</v>
      </c>
      <c r="F6" s="8" t="s">
        <v>39</v>
      </c>
      <c r="G6" s="8" t="s">
        <v>72</v>
      </c>
      <c r="H6" s="21" t="s">
        <v>73</v>
      </c>
    </row>
    <row r="7" spans="1:10" ht="15.6" x14ac:dyDescent="0.25">
      <c r="A7" s="15" t="s">
        <v>70</v>
      </c>
      <c r="B7" s="8" t="s">
        <v>75</v>
      </c>
      <c r="C7" s="6" t="str">
        <f t="shared" si="0"/>
        <v>Oil - DistillateSO2</v>
      </c>
      <c r="D7" s="12">
        <f>142*Inputs!$E$66</f>
        <v>34.08</v>
      </c>
      <c r="E7" s="11">
        <f>IF(D7&gt;142*Distillate_Oil_Allowable_Sulfur_Content,D7,142*Distillate_Oil_Allowable_Sulfur_Content)</f>
        <v>71</v>
      </c>
      <c r="F7" s="8" t="s">
        <v>39</v>
      </c>
      <c r="G7" s="8" t="s">
        <v>72</v>
      </c>
      <c r="H7" s="21" t="s">
        <v>73</v>
      </c>
    </row>
    <row r="8" spans="1:10" x14ac:dyDescent="0.25">
      <c r="A8" s="15" t="s">
        <v>70</v>
      </c>
      <c r="B8" s="8" t="s">
        <v>71</v>
      </c>
      <c r="C8" s="6" t="str">
        <f t="shared" si="0"/>
        <v>Oil - DistillateTotal PM</v>
      </c>
      <c r="D8" s="11">
        <v>4.5999999999999996</v>
      </c>
      <c r="E8" s="11">
        <f t="shared" si="1"/>
        <v>4.5999999999999996</v>
      </c>
      <c r="F8" s="8" t="s">
        <v>39</v>
      </c>
      <c r="G8" s="8" t="s">
        <v>72</v>
      </c>
      <c r="H8" s="21" t="s">
        <v>73</v>
      </c>
    </row>
    <row r="9" spans="1:10" ht="15.6" x14ac:dyDescent="0.25">
      <c r="A9" s="15" t="s">
        <v>70</v>
      </c>
      <c r="B9" s="8" t="s">
        <v>76</v>
      </c>
      <c r="C9" s="6" t="str">
        <f t="shared" si="0"/>
        <v>Oil - DistillatePM10</v>
      </c>
      <c r="D9" s="11">
        <v>2.2999999999999998</v>
      </c>
      <c r="E9" s="11">
        <f t="shared" si="1"/>
        <v>2.2999999999999998</v>
      </c>
      <c r="F9" s="8" t="s">
        <v>39</v>
      </c>
      <c r="G9" s="8" t="s">
        <v>72</v>
      </c>
      <c r="H9" s="21" t="s">
        <v>73</v>
      </c>
    </row>
    <row r="10" spans="1:10" ht="15.6" x14ac:dyDescent="0.25">
      <c r="A10" s="15" t="s">
        <v>70</v>
      </c>
      <c r="B10" s="8" t="s">
        <v>77</v>
      </c>
      <c r="C10" s="6" t="str">
        <f t="shared" si="0"/>
        <v>Oil - DistillatePM2.5</v>
      </c>
      <c r="D10" s="11">
        <v>1.55</v>
      </c>
      <c r="E10" s="11">
        <f t="shared" si="1"/>
        <v>1.55</v>
      </c>
      <c r="F10" s="8" t="s">
        <v>39</v>
      </c>
      <c r="G10" s="8" t="s">
        <v>72</v>
      </c>
      <c r="H10" s="21" t="s">
        <v>73</v>
      </c>
    </row>
    <row r="11" spans="1:10" x14ac:dyDescent="0.25">
      <c r="A11" s="15" t="s">
        <v>68</v>
      </c>
      <c r="B11" s="6" t="s">
        <v>3</v>
      </c>
      <c r="C11" s="6" t="str">
        <f t="shared" si="0"/>
        <v>Natural GasVOC</v>
      </c>
      <c r="D11" s="11">
        <v>5.5</v>
      </c>
      <c r="E11" s="11">
        <f t="shared" si="1"/>
        <v>5.5</v>
      </c>
      <c r="F11" s="8" t="s">
        <v>39</v>
      </c>
      <c r="G11" s="8" t="s">
        <v>78</v>
      </c>
      <c r="H11" s="21" t="s">
        <v>73</v>
      </c>
    </row>
    <row r="12" spans="1:10" ht="15.6" x14ac:dyDescent="0.25">
      <c r="A12" s="15" t="s">
        <v>68</v>
      </c>
      <c r="B12" s="8" t="s">
        <v>74</v>
      </c>
      <c r="C12" s="6" t="str">
        <f t="shared" si="0"/>
        <v>Natural GasNOx</v>
      </c>
      <c r="D12" s="11">
        <v>100</v>
      </c>
      <c r="E12" s="11">
        <f t="shared" si="1"/>
        <v>100</v>
      </c>
      <c r="F12" s="8" t="s">
        <v>39</v>
      </c>
      <c r="G12" s="8" t="s">
        <v>78</v>
      </c>
      <c r="H12" s="21" t="s">
        <v>73</v>
      </c>
    </row>
    <row r="13" spans="1:10" x14ac:dyDescent="0.25">
      <c r="A13" s="15" t="s">
        <v>68</v>
      </c>
      <c r="B13" s="8" t="s">
        <v>63</v>
      </c>
      <c r="C13" s="6" t="str">
        <f t="shared" si="0"/>
        <v>Natural GasCO</v>
      </c>
      <c r="D13" s="11">
        <v>84</v>
      </c>
      <c r="E13" s="11">
        <f t="shared" si="1"/>
        <v>84</v>
      </c>
      <c r="F13" s="8" t="s">
        <v>39</v>
      </c>
      <c r="G13" s="8" t="s">
        <v>78</v>
      </c>
      <c r="H13" s="21" t="s">
        <v>73</v>
      </c>
    </row>
    <row r="14" spans="1:10" ht="15.6" x14ac:dyDescent="0.25">
      <c r="A14" s="15" t="s">
        <v>68</v>
      </c>
      <c r="B14" s="8" t="s">
        <v>75</v>
      </c>
      <c r="C14" s="6" t="str">
        <f t="shared" si="0"/>
        <v>Natural GasSO2</v>
      </c>
      <c r="D14" s="11">
        <v>0.6</v>
      </c>
      <c r="E14" s="11">
        <f>D14*Natural_Gas_Allowable_Sulfur_Content/Natural_Gas_Actual_Sulfur_Content</f>
        <v>143.99999999999997</v>
      </c>
      <c r="F14" s="8" t="s">
        <v>39</v>
      </c>
      <c r="G14" s="8" t="s">
        <v>78</v>
      </c>
      <c r="H14" s="21" t="s">
        <v>135</v>
      </c>
    </row>
    <row r="15" spans="1:10" x14ac:dyDescent="0.25">
      <c r="A15" s="15" t="s">
        <v>68</v>
      </c>
      <c r="B15" s="8" t="s">
        <v>71</v>
      </c>
      <c r="C15" s="6" t="str">
        <f t="shared" si="0"/>
        <v>Natural GasTotal PM</v>
      </c>
      <c r="D15" s="48">
        <v>0.52</v>
      </c>
      <c r="E15" s="11">
        <f t="shared" si="1"/>
        <v>0.52</v>
      </c>
      <c r="F15" s="8" t="s">
        <v>39</v>
      </c>
      <c r="G15" s="8" t="s">
        <v>78</v>
      </c>
      <c r="H15" s="21" t="s">
        <v>131</v>
      </c>
    </row>
    <row r="16" spans="1:10" ht="15.6" x14ac:dyDescent="0.25">
      <c r="A16" s="15" t="s">
        <v>68</v>
      </c>
      <c r="B16" s="8" t="s">
        <v>76</v>
      </c>
      <c r="C16" s="6" t="str">
        <f t="shared" si="0"/>
        <v>Natural GasPM10</v>
      </c>
      <c r="D16" s="11">
        <v>0.52</v>
      </c>
      <c r="E16" s="11">
        <f t="shared" si="1"/>
        <v>0.52</v>
      </c>
      <c r="F16" s="8" t="s">
        <v>39</v>
      </c>
      <c r="G16" s="8" t="s">
        <v>78</v>
      </c>
      <c r="H16" s="21" t="s">
        <v>131</v>
      </c>
    </row>
    <row r="17" spans="1:8" ht="15.6" x14ac:dyDescent="0.25">
      <c r="A17" s="15" t="s">
        <v>68</v>
      </c>
      <c r="B17" s="8" t="s">
        <v>77</v>
      </c>
      <c r="C17" s="6" t="str">
        <f t="shared" si="0"/>
        <v>Natural GasPM2.5</v>
      </c>
      <c r="D17" s="11">
        <v>0.43</v>
      </c>
      <c r="E17" s="11">
        <f t="shared" si="1"/>
        <v>0.43</v>
      </c>
      <c r="F17" s="8" t="s">
        <v>39</v>
      </c>
      <c r="G17" s="8" t="s">
        <v>78</v>
      </c>
      <c r="H17" s="21" t="s">
        <v>131</v>
      </c>
    </row>
    <row r="18" spans="1:8" x14ac:dyDescent="0.25">
      <c r="A18" s="15" t="s">
        <v>69</v>
      </c>
      <c r="B18" s="6" t="s">
        <v>3</v>
      </c>
      <c r="C18" s="6" t="str">
        <f t="shared" si="0"/>
        <v>LPGVOC</v>
      </c>
      <c r="D18" s="11">
        <v>0.52</v>
      </c>
      <c r="E18" s="11">
        <f t="shared" si="1"/>
        <v>0.52</v>
      </c>
      <c r="F18" s="8" t="s">
        <v>39</v>
      </c>
      <c r="G18" s="8" t="s">
        <v>72</v>
      </c>
      <c r="H18" s="21" t="s">
        <v>132</v>
      </c>
    </row>
    <row r="19" spans="1:8" ht="15.6" x14ac:dyDescent="0.25">
      <c r="A19" s="15" t="s">
        <v>69</v>
      </c>
      <c r="B19" s="8" t="s">
        <v>74</v>
      </c>
      <c r="C19" s="6" t="str">
        <f t="shared" si="0"/>
        <v>LPGNOx</v>
      </c>
      <c r="D19" s="11">
        <v>14.23</v>
      </c>
      <c r="E19" s="11">
        <f t="shared" si="1"/>
        <v>14.23</v>
      </c>
      <c r="F19" s="8" t="s">
        <v>39</v>
      </c>
      <c r="G19" s="8" t="s">
        <v>72</v>
      </c>
      <c r="H19" s="21" t="s">
        <v>132</v>
      </c>
    </row>
    <row r="20" spans="1:8" x14ac:dyDescent="0.25">
      <c r="A20" s="15" t="s">
        <v>69</v>
      </c>
      <c r="B20" s="8" t="s">
        <v>63</v>
      </c>
      <c r="C20" s="6" t="str">
        <f t="shared" si="0"/>
        <v>LPGCO</v>
      </c>
      <c r="D20" s="11">
        <v>7.97</v>
      </c>
      <c r="E20" s="11">
        <f t="shared" si="1"/>
        <v>7.97</v>
      </c>
      <c r="F20" s="8" t="s">
        <v>39</v>
      </c>
      <c r="G20" s="8" t="s">
        <v>72</v>
      </c>
      <c r="H20" s="21" t="s">
        <v>132</v>
      </c>
    </row>
    <row r="21" spans="1:8" ht="15.6" x14ac:dyDescent="0.25">
      <c r="A21" s="15" t="s">
        <v>69</v>
      </c>
      <c r="B21" s="8" t="s">
        <v>75</v>
      </c>
      <c r="C21" s="6" t="str">
        <f t="shared" si="0"/>
        <v>LPGSO2</v>
      </c>
      <c r="D21" s="11">
        <v>0.06</v>
      </c>
      <c r="E21" s="11">
        <f>D21*LPG_Allowable_Sulfur_Content/LPG_Actual_Sulfur_Content</f>
        <v>14.399999999999999</v>
      </c>
      <c r="F21" s="8" t="s">
        <v>39</v>
      </c>
      <c r="G21" s="8" t="s">
        <v>72</v>
      </c>
      <c r="H21" s="21" t="s">
        <v>134</v>
      </c>
    </row>
    <row r="22" spans="1:8" x14ac:dyDescent="0.25">
      <c r="A22" s="15" t="s">
        <v>69</v>
      </c>
      <c r="B22" s="8" t="s">
        <v>71</v>
      </c>
      <c r="C22" s="6" t="str">
        <f t="shared" si="0"/>
        <v>LPGTotal PM</v>
      </c>
      <c r="D22" s="48">
        <v>0.05</v>
      </c>
      <c r="E22" s="11">
        <f t="shared" si="1"/>
        <v>0.05</v>
      </c>
      <c r="F22" s="8" t="s">
        <v>39</v>
      </c>
      <c r="G22" s="8" t="s">
        <v>72</v>
      </c>
      <c r="H22" s="21" t="s">
        <v>133</v>
      </c>
    </row>
    <row r="23" spans="1:8" ht="15.6" x14ac:dyDescent="0.25">
      <c r="A23" s="15" t="s">
        <v>69</v>
      </c>
      <c r="B23" s="8" t="s">
        <v>76</v>
      </c>
      <c r="C23" s="6" t="str">
        <f t="shared" si="0"/>
        <v>LPGPM10</v>
      </c>
      <c r="D23" s="11">
        <v>0.05</v>
      </c>
      <c r="E23" s="11">
        <f t="shared" si="1"/>
        <v>0.05</v>
      </c>
      <c r="F23" s="8" t="s">
        <v>39</v>
      </c>
      <c r="G23" s="8" t="s">
        <v>72</v>
      </c>
      <c r="H23" s="21" t="s">
        <v>133</v>
      </c>
    </row>
    <row r="24" spans="1:8" ht="16.2" thickBot="1" x14ac:dyDescent="0.3">
      <c r="A24" s="66" t="s">
        <v>69</v>
      </c>
      <c r="B24" s="279" t="s">
        <v>77</v>
      </c>
      <c r="C24" s="280" t="str">
        <f t="shared" si="0"/>
        <v>LPGPM2.5</v>
      </c>
      <c r="D24" s="306">
        <v>0.04</v>
      </c>
      <c r="E24" s="306">
        <f t="shared" si="1"/>
        <v>0.04</v>
      </c>
      <c r="F24" s="279" t="s">
        <v>39</v>
      </c>
      <c r="G24" s="279" t="s">
        <v>72</v>
      </c>
      <c r="H24" s="307" t="s">
        <v>133</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E13"/>
  <sheetViews>
    <sheetView workbookViewId="0"/>
  </sheetViews>
  <sheetFormatPr defaultRowHeight="13.2" x14ac:dyDescent="0.25"/>
  <cols>
    <col min="1" max="1" width="19.88671875" bestFit="1" customWidth="1"/>
    <col min="2" max="2" width="15" bestFit="1" customWidth="1"/>
    <col min="3" max="3" width="25.5546875" bestFit="1" customWidth="1"/>
    <col min="4" max="4" width="27.6640625" bestFit="1" customWidth="1"/>
    <col min="5" max="5" width="228.109375" bestFit="1" customWidth="1"/>
  </cols>
  <sheetData>
    <row r="1" spans="1:5" ht="17.399999999999999" x14ac:dyDescent="0.3">
      <c r="A1" s="2" t="s">
        <v>87</v>
      </c>
      <c r="C1" s="9"/>
      <c r="D1" s="9"/>
    </row>
    <row r="2" spans="1:5" ht="13.8" thickBot="1" x14ac:dyDescent="0.3">
      <c r="C2" s="9"/>
      <c r="D2" s="9"/>
    </row>
    <row r="3" spans="1:5" x14ac:dyDescent="0.25">
      <c r="A3" s="453" t="s">
        <v>86</v>
      </c>
      <c r="B3" s="454"/>
      <c r="C3" s="454"/>
      <c r="D3" s="454"/>
      <c r="E3" s="455"/>
    </row>
    <row r="4" spans="1:5" x14ac:dyDescent="0.25">
      <c r="A4" s="51" t="s">
        <v>88</v>
      </c>
      <c r="B4" s="52" t="s">
        <v>89</v>
      </c>
      <c r="C4" s="13" t="s">
        <v>90</v>
      </c>
      <c r="D4" s="13" t="s">
        <v>91</v>
      </c>
      <c r="E4" s="53" t="s">
        <v>38</v>
      </c>
    </row>
    <row r="5" spans="1:5" x14ac:dyDescent="0.25">
      <c r="A5" s="15" t="s">
        <v>69</v>
      </c>
      <c r="B5" s="49">
        <v>3.8492000000000002</v>
      </c>
      <c r="C5" s="14" t="s">
        <v>79</v>
      </c>
      <c r="D5" s="14" t="s">
        <v>80</v>
      </c>
      <c r="E5" s="50" t="s">
        <v>81</v>
      </c>
    </row>
    <row r="6" spans="1:5" ht="15.6" x14ac:dyDescent="0.25">
      <c r="A6" s="15" t="s">
        <v>68</v>
      </c>
      <c r="B6" s="49">
        <v>1023</v>
      </c>
      <c r="C6" s="14" t="s">
        <v>82</v>
      </c>
      <c r="D6" s="14" t="s">
        <v>83</v>
      </c>
      <c r="E6" s="50" t="s">
        <v>84</v>
      </c>
    </row>
    <row r="7" spans="1:5" x14ac:dyDescent="0.25">
      <c r="A7" s="15" t="s">
        <v>70</v>
      </c>
      <c r="B7" s="49">
        <v>5.8250000000000002</v>
      </c>
      <c r="C7" s="14" t="s">
        <v>79</v>
      </c>
      <c r="D7" s="14" t="s">
        <v>80</v>
      </c>
      <c r="E7" s="50" t="s">
        <v>85</v>
      </c>
    </row>
    <row r="8" spans="1:5" ht="13.8" thickBot="1" x14ac:dyDescent="0.3">
      <c r="A8" s="3"/>
      <c r="C8" s="9"/>
      <c r="D8" s="9"/>
    </row>
    <row r="9" spans="1:5" x14ac:dyDescent="0.25">
      <c r="A9" s="453" t="s">
        <v>92</v>
      </c>
      <c r="B9" s="454"/>
      <c r="C9" s="454"/>
      <c r="D9" s="455"/>
    </row>
    <row r="10" spans="1:5" x14ac:dyDescent="0.25">
      <c r="A10" s="51" t="s">
        <v>88</v>
      </c>
      <c r="B10" s="52" t="s">
        <v>89</v>
      </c>
      <c r="C10" s="13" t="s">
        <v>90</v>
      </c>
      <c r="D10" s="54" t="s">
        <v>91</v>
      </c>
      <c r="E10" s="55"/>
    </row>
    <row r="11" spans="1:5" x14ac:dyDescent="0.25">
      <c r="A11" s="15" t="s">
        <v>69</v>
      </c>
      <c r="B11" s="49">
        <f>3.86*1000/42</f>
        <v>91.904761904761898</v>
      </c>
      <c r="C11" s="14" t="s">
        <v>79</v>
      </c>
      <c r="D11" s="56" t="s">
        <v>72</v>
      </c>
    </row>
    <row r="12" spans="1:5" x14ac:dyDescent="0.25">
      <c r="A12" s="15" t="s">
        <v>68</v>
      </c>
      <c r="B12" s="49">
        <f>B6</f>
        <v>1023</v>
      </c>
      <c r="C12" s="14" t="s">
        <v>79</v>
      </c>
      <c r="D12" s="56" t="s">
        <v>78</v>
      </c>
    </row>
    <row r="13" spans="1:5" x14ac:dyDescent="0.25">
      <c r="A13" s="15" t="s">
        <v>70</v>
      </c>
      <c r="B13" s="49">
        <f>B7*1000/42</f>
        <v>138.6904761904762</v>
      </c>
      <c r="C13" s="14" t="s">
        <v>79</v>
      </c>
      <c r="D13" s="56" t="s">
        <v>72</v>
      </c>
    </row>
  </sheetData>
  <mergeCells count="2">
    <mergeCell ref="A3:E3"/>
    <mergeCell ref="A9:D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BU32"/>
  <sheetViews>
    <sheetView workbookViewId="0"/>
  </sheetViews>
  <sheetFormatPr defaultRowHeight="13.2" x14ac:dyDescent="0.25"/>
  <cols>
    <col min="1" max="1" width="77.33203125" bestFit="1" customWidth="1"/>
    <col min="2" max="2" width="55.6640625" customWidth="1"/>
    <col min="3" max="4" width="20.6640625" style="9" customWidth="1"/>
    <col min="5" max="5" width="31.33203125" customWidth="1"/>
  </cols>
  <sheetData>
    <row r="1" spans="1:73" ht="17.399999999999999" x14ac:dyDescent="0.3">
      <c r="A1" s="2" t="s">
        <v>51</v>
      </c>
      <c r="B1" s="2"/>
      <c r="C1" s="41"/>
      <c r="D1" s="41"/>
    </row>
    <row r="2" spans="1:73" ht="10.5" customHeight="1" thickBot="1" x14ac:dyDescent="0.3">
      <c r="A2" s="3"/>
      <c r="B2" s="3"/>
      <c r="C2" s="40"/>
      <c r="D2" s="40"/>
    </row>
    <row r="3" spans="1:73" ht="12" customHeight="1" thickBot="1" x14ac:dyDescent="0.3">
      <c r="A3" s="459" t="s">
        <v>114</v>
      </c>
      <c r="B3" s="460"/>
      <c r="C3" s="460"/>
      <c r="D3" s="460"/>
      <c r="E3" s="461"/>
    </row>
    <row r="4" spans="1:73" s="49" customFormat="1" ht="12.75" customHeight="1" x14ac:dyDescent="0.25">
      <c r="A4" s="265" t="s">
        <v>52</v>
      </c>
      <c r="B4" s="266" t="s">
        <v>111</v>
      </c>
      <c r="C4" s="267" t="s">
        <v>112</v>
      </c>
      <c r="D4" s="267" t="s">
        <v>113</v>
      </c>
      <c r="E4" s="268" t="s">
        <v>38</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x14ac:dyDescent="0.25">
      <c r="A5" s="64" t="s">
        <v>104</v>
      </c>
      <c r="B5" s="62" t="s">
        <v>97</v>
      </c>
      <c r="C5" s="63">
        <v>40</v>
      </c>
      <c r="D5" s="63">
        <f>C5/100</f>
        <v>0.4</v>
      </c>
      <c r="E5" s="65" t="s">
        <v>436</v>
      </c>
    </row>
    <row r="6" spans="1:73" x14ac:dyDescent="0.25">
      <c r="A6" s="15" t="s">
        <v>105</v>
      </c>
      <c r="B6" s="60" t="s">
        <v>99</v>
      </c>
      <c r="C6" s="14">
        <v>45</v>
      </c>
      <c r="D6" s="14">
        <f t="shared" ref="D6:D11" si="0">C6/100</f>
        <v>0.45</v>
      </c>
      <c r="E6" s="65" t="s">
        <v>436</v>
      </c>
    </row>
    <row r="7" spans="1:73" x14ac:dyDescent="0.25">
      <c r="A7" s="15" t="s">
        <v>106</v>
      </c>
      <c r="B7" s="60" t="s">
        <v>100</v>
      </c>
      <c r="C7" s="14">
        <v>60</v>
      </c>
      <c r="D7" s="14">
        <f t="shared" si="0"/>
        <v>0.6</v>
      </c>
      <c r="E7" s="65" t="s">
        <v>436</v>
      </c>
    </row>
    <row r="8" spans="1:73" x14ac:dyDescent="0.25">
      <c r="A8" s="15" t="s">
        <v>107</v>
      </c>
      <c r="B8" s="60" t="s">
        <v>98</v>
      </c>
      <c r="C8" s="61">
        <v>75</v>
      </c>
      <c r="D8" s="14">
        <f t="shared" si="0"/>
        <v>0.75</v>
      </c>
      <c r="E8" s="65" t="s">
        <v>436</v>
      </c>
    </row>
    <row r="9" spans="1:73" x14ac:dyDescent="0.25">
      <c r="A9" s="15" t="s">
        <v>108</v>
      </c>
      <c r="B9" s="60" t="s">
        <v>103</v>
      </c>
      <c r="C9" s="61">
        <v>85</v>
      </c>
      <c r="D9" s="14">
        <f t="shared" si="0"/>
        <v>0.85</v>
      </c>
      <c r="E9" s="65" t="s">
        <v>436</v>
      </c>
    </row>
    <row r="10" spans="1:73" x14ac:dyDescent="0.25">
      <c r="A10" s="15" t="s">
        <v>109</v>
      </c>
      <c r="B10" s="60" t="s">
        <v>101</v>
      </c>
      <c r="C10" s="61">
        <v>90</v>
      </c>
      <c r="D10" s="14">
        <f t="shared" si="0"/>
        <v>0.9</v>
      </c>
      <c r="E10" s="65" t="s">
        <v>436</v>
      </c>
    </row>
    <row r="11" spans="1:73" ht="13.8" thickBot="1" x14ac:dyDescent="0.3">
      <c r="A11" s="66" t="s">
        <v>110</v>
      </c>
      <c r="B11" s="67" t="s">
        <v>102</v>
      </c>
      <c r="C11" s="68">
        <v>95</v>
      </c>
      <c r="D11" s="69">
        <f t="shared" si="0"/>
        <v>0.95</v>
      </c>
      <c r="E11" s="83" t="s">
        <v>436</v>
      </c>
    </row>
    <row r="12" spans="1:73" ht="13.8" thickBot="1" x14ac:dyDescent="0.3"/>
    <row r="13" spans="1:73" x14ac:dyDescent="0.25">
      <c r="A13" s="462" t="s">
        <v>138</v>
      </c>
      <c r="B13" s="463"/>
      <c r="C13" s="464"/>
    </row>
    <row r="14" spans="1:73" x14ac:dyDescent="0.25">
      <c r="A14" s="51"/>
      <c r="B14" s="13" t="s">
        <v>130</v>
      </c>
      <c r="C14" s="53" t="s">
        <v>38</v>
      </c>
      <c r="D14"/>
    </row>
    <row r="15" spans="1:73" ht="13.8" thickBot="1" x14ac:dyDescent="0.3">
      <c r="A15" s="66" t="s">
        <v>419</v>
      </c>
      <c r="B15" s="82">
        <v>8.34</v>
      </c>
      <c r="C15" s="81" t="s">
        <v>144</v>
      </c>
      <c r="D15"/>
    </row>
    <row r="16" spans="1:73" ht="13.8" thickBot="1" x14ac:dyDescent="0.3"/>
    <row r="17" spans="1:5" x14ac:dyDescent="0.25">
      <c r="A17" s="456" t="s">
        <v>136</v>
      </c>
      <c r="B17" s="457"/>
      <c r="C17" s="457"/>
      <c r="D17" s="458"/>
    </row>
    <row r="18" spans="1:5" x14ac:dyDescent="0.25">
      <c r="A18" s="51" t="s">
        <v>88</v>
      </c>
      <c r="B18" s="13" t="s">
        <v>137</v>
      </c>
      <c r="C18" s="13" t="s">
        <v>423</v>
      </c>
      <c r="D18" s="259" t="s">
        <v>424</v>
      </c>
      <c r="E18" s="79" t="s">
        <v>38</v>
      </c>
    </row>
    <row r="19" spans="1:5" x14ac:dyDescent="0.25">
      <c r="A19" s="57" t="s">
        <v>70</v>
      </c>
      <c r="B19" s="14">
        <v>0.24</v>
      </c>
      <c r="C19" s="14">
        <v>0.5</v>
      </c>
      <c r="D19" s="14" t="s">
        <v>425</v>
      </c>
      <c r="E19" s="269" t="s">
        <v>437</v>
      </c>
    </row>
    <row r="20" spans="1:5" x14ac:dyDescent="0.25">
      <c r="A20" s="57" t="s">
        <v>68</v>
      </c>
      <c r="B20" s="61">
        <v>0.2</v>
      </c>
      <c r="C20" s="61">
        <v>48</v>
      </c>
      <c r="D20" s="61" t="s">
        <v>426</v>
      </c>
      <c r="E20" s="270" t="s">
        <v>427</v>
      </c>
    </row>
    <row r="21" spans="1:5" x14ac:dyDescent="0.25">
      <c r="A21" s="57" t="s">
        <v>69</v>
      </c>
      <c r="B21" s="61">
        <v>0.2</v>
      </c>
      <c r="C21" s="61">
        <v>48</v>
      </c>
      <c r="D21" s="61" t="s">
        <v>426</v>
      </c>
      <c r="E21" s="270" t="s">
        <v>427</v>
      </c>
    </row>
    <row r="23" spans="1:5" ht="13.8" thickBot="1" x14ac:dyDescent="0.3"/>
    <row r="24" spans="1:5" x14ac:dyDescent="0.25">
      <c r="A24" s="456" t="s">
        <v>429</v>
      </c>
      <c r="B24" s="457"/>
      <c r="C24" s="457"/>
      <c r="D24" s="458"/>
    </row>
    <row r="25" spans="1:5" x14ac:dyDescent="0.25">
      <c r="A25" s="271" t="s">
        <v>434</v>
      </c>
      <c r="B25" s="13" t="s">
        <v>435</v>
      </c>
      <c r="C25" s="13" t="s">
        <v>424</v>
      </c>
      <c r="D25" s="54" t="s">
        <v>38</v>
      </c>
    </row>
    <row r="26" spans="1:5" x14ac:dyDescent="0.25">
      <c r="A26" s="57" t="s">
        <v>433</v>
      </c>
      <c r="B26" s="261">
        <f>98*0.95</f>
        <v>93.1</v>
      </c>
      <c r="C26" s="262" t="s">
        <v>428</v>
      </c>
      <c r="D26" s="263" t="s">
        <v>484</v>
      </c>
    </row>
    <row r="27" spans="1:5" x14ac:dyDescent="0.25">
      <c r="A27" s="57" t="s">
        <v>431</v>
      </c>
      <c r="B27" s="261">
        <f>98*0.95</f>
        <v>93.1</v>
      </c>
      <c r="C27" s="262" t="s">
        <v>428</v>
      </c>
      <c r="D27" s="263" t="s">
        <v>485</v>
      </c>
    </row>
    <row r="28" spans="1:5" ht="13.8" thickBot="1" x14ac:dyDescent="0.3">
      <c r="A28" s="272" t="s">
        <v>432</v>
      </c>
      <c r="B28" s="80">
        <f>98*0.95</f>
        <v>93.1</v>
      </c>
      <c r="C28" s="80" t="s">
        <v>428</v>
      </c>
      <c r="D28" s="264" t="s">
        <v>484</v>
      </c>
    </row>
    <row r="29" spans="1:5" ht="13.8" thickBot="1" x14ac:dyDescent="0.3"/>
    <row r="30" spans="1:5" x14ac:dyDescent="0.25">
      <c r="A30" s="456" t="s">
        <v>430</v>
      </c>
      <c r="B30" s="457"/>
      <c r="C30" s="457"/>
      <c r="D30" s="458"/>
    </row>
    <row r="31" spans="1:5" x14ac:dyDescent="0.25">
      <c r="A31" s="271" t="s">
        <v>434</v>
      </c>
      <c r="B31" s="13" t="s">
        <v>435</v>
      </c>
      <c r="C31" s="13" t="s">
        <v>424</v>
      </c>
      <c r="D31" s="54" t="s">
        <v>38</v>
      </c>
    </row>
    <row r="32" spans="1:5" ht="13.8" thickBot="1" x14ac:dyDescent="0.3">
      <c r="A32" s="66" t="s">
        <v>441</v>
      </c>
      <c r="B32" s="80">
        <v>98</v>
      </c>
      <c r="C32" s="69" t="s">
        <v>428</v>
      </c>
      <c r="D32" s="278" t="s">
        <v>438</v>
      </c>
    </row>
  </sheetData>
  <mergeCells count="5">
    <mergeCell ref="A30:D30"/>
    <mergeCell ref="A3:E3"/>
    <mergeCell ref="A17:D17"/>
    <mergeCell ref="A13:C13"/>
    <mergeCell ref="A24:D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N55"/>
  <sheetViews>
    <sheetView workbookViewId="0"/>
  </sheetViews>
  <sheetFormatPr defaultColWidth="9.109375" defaultRowHeight="14.4" x14ac:dyDescent="0.3"/>
  <cols>
    <col min="1" max="1" width="47.33203125" style="140" bestFit="1" customWidth="1"/>
    <col min="2" max="2" width="17.88671875" style="139" bestFit="1" customWidth="1"/>
    <col min="3" max="3" width="11" style="139" bestFit="1" customWidth="1"/>
    <col min="4" max="4" width="19.44140625" style="140" bestFit="1" customWidth="1"/>
    <col min="5" max="5" width="14.33203125" style="140" bestFit="1" customWidth="1"/>
    <col min="6" max="6" width="26" style="140" bestFit="1" customWidth="1"/>
    <col min="7" max="7" width="18.6640625" style="140" bestFit="1" customWidth="1"/>
    <col min="8" max="8" width="14.33203125" style="140" bestFit="1" customWidth="1"/>
    <col min="9" max="10" width="26" style="140" bestFit="1" customWidth="1"/>
    <col min="11" max="11" width="18.6640625" style="140" bestFit="1" customWidth="1"/>
    <col min="12" max="12" width="13.44140625" style="140" bestFit="1" customWidth="1"/>
    <col min="13" max="13" width="5.5546875" style="139" bestFit="1" customWidth="1"/>
    <col min="14" max="14" width="12.109375" style="139" bestFit="1" customWidth="1"/>
    <col min="15" max="16384" width="9.109375" style="140"/>
  </cols>
  <sheetData>
    <row r="1" spans="1:14" ht="17.399999999999999" x14ac:dyDescent="0.3">
      <c r="A1" s="138" t="s">
        <v>181</v>
      </c>
    </row>
    <row r="3" spans="1:14" x14ac:dyDescent="0.3">
      <c r="D3" s="465" t="s">
        <v>182</v>
      </c>
      <c r="E3" s="465"/>
      <c r="F3" s="465"/>
      <c r="G3" s="465"/>
      <c r="H3" s="465"/>
      <c r="I3" s="465"/>
      <c r="J3" s="465"/>
      <c r="K3" s="465"/>
      <c r="L3" s="465"/>
      <c r="M3" s="465"/>
      <c r="N3" s="465"/>
    </row>
    <row r="4" spans="1:14" x14ac:dyDescent="0.3">
      <c r="A4" s="141" t="s">
        <v>183</v>
      </c>
      <c r="B4" s="142" t="s">
        <v>184</v>
      </c>
      <c r="C4" s="142" t="s">
        <v>185</v>
      </c>
      <c r="D4" s="141" t="s">
        <v>6</v>
      </c>
      <c r="E4" s="141" t="s">
        <v>8</v>
      </c>
      <c r="F4" s="141" t="s">
        <v>9</v>
      </c>
      <c r="G4" s="141" t="s">
        <v>186</v>
      </c>
      <c r="H4" s="141" t="s">
        <v>187</v>
      </c>
      <c r="I4" s="141" t="s">
        <v>188</v>
      </c>
      <c r="J4" s="141" t="s">
        <v>189</v>
      </c>
      <c r="K4" s="141" t="s">
        <v>190</v>
      </c>
      <c r="L4" s="141" t="s">
        <v>191</v>
      </c>
      <c r="M4" s="142" t="s">
        <v>183</v>
      </c>
      <c r="N4" s="142" t="s">
        <v>192</v>
      </c>
    </row>
    <row r="5" spans="1:14" x14ac:dyDescent="0.3">
      <c r="A5" s="140" t="s">
        <v>193</v>
      </c>
      <c r="B5" s="139" t="s">
        <v>194</v>
      </c>
      <c r="C5" s="139">
        <v>4</v>
      </c>
      <c r="D5" s="143" t="s">
        <v>195</v>
      </c>
      <c r="E5" s="144" t="s">
        <v>196</v>
      </c>
      <c r="F5" s="145" t="s">
        <v>197</v>
      </c>
      <c r="G5" s="144" t="s">
        <v>198</v>
      </c>
      <c r="H5" s="144" t="s">
        <v>199</v>
      </c>
      <c r="I5" s="146" t="s">
        <v>200</v>
      </c>
      <c r="J5" s="144" t="s">
        <v>201</v>
      </c>
      <c r="K5" s="143" t="s">
        <v>202</v>
      </c>
      <c r="L5" s="144" t="s">
        <v>203</v>
      </c>
      <c r="M5" s="147" t="s">
        <v>204</v>
      </c>
      <c r="N5" s="147" t="s">
        <v>205</v>
      </c>
    </row>
    <row r="6" spans="1:14" x14ac:dyDescent="0.3">
      <c r="A6" s="140" t="s">
        <v>206</v>
      </c>
      <c r="B6" s="139" t="s">
        <v>207</v>
      </c>
      <c r="C6" s="139">
        <v>10</v>
      </c>
      <c r="D6" s="143" t="s">
        <v>208</v>
      </c>
      <c r="E6" s="143" t="s">
        <v>209</v>
      </c>
      <c r="F6" s="146" t="s">
        <v>210</v>
      </c>
      <c r="G6" s="143" t="s">
        <v>211</v>
      </c>
      <c r="H6" s="144"/>
      <c r="I6" s="144"/>
      <c r="J6" s="144" t="s">
        <v>212</v>
      </c>
      <c r="K6" s="144" t="s">
        <v>213</v>
      </c>
      <c r="L6" s="144" t="s">
        <v>214</v>
      </c>
      <c r="M6" s="147" t="s">
        <v>215</v>
      </c>
      <c r="N6" s="147">
        <v>98101</v>
      </c>
    </row>
    <row r="7" spans="1:14" x14ac:dyDescent="0.3">
      <c r="A7" s="140" t="s">
        <v>216</v>
      </c>
      <c r="B7" s="139" t="s">
        <v>217</v>
      </c>
      <c r="C7" s="139">
        <v>9</v>
      </c>
      <c r="D7" s="143" t="s">
        <v>218</v>
      </c>
      <c r="E7" s="144" t="s">
        <v>219</v>
      </c>
      <c r="F7" s="145" t="s">
        <v>220</v>
      </c>
      <c r="G7" s="143" t="s">
        <v>221</v>
      </c>
      <c r="H7" s="144" t="s">
        <v>222</v>
      </c>
      <c r="I7" s="145" t="s">
        <v>223</v>
      </c>
      <c r="J7" s="144" t="s">
        <v>224</v>
      </c>
      <c r="K7" s="144" t="s">
        <v>225</v>
      </c>
      <c r="L7" s="144" t="s">
        <v>226</v>
      </c>
      <c r="M7" s="147" t="s">
        <v>227</v>
      </c>
      <c r="N7" s="147">
        <v>94105</v>
      </c>
    </row>
    <row r="8" spans="1:14" x14ac:dyDescent="0.3">
      <c r="A8" s="140" t="s">
        <v>228</v>
      </c>
      <c r="B8" s="139" t="s">
        <v>229</v>
      </c>
      <c r="C8" s="139">
        <v>6</v>
      </c>
      <c r="D8" s="143" t="s">
        <v>230</v>
      </c>
      <c r="E8" s="144" t="s">
        <v>231</v>
      </c>
      <c r="F8" s="148" t="s">
        <v>232</v>
      </c>
      <c r="G8" s="144" t="s">
        <v>211</v>
      </c>
      <c r="H8" s="144"/>
      <c r="I8" s="144"/>
      <c r="J8" s="143" t="s">
        <v>233</v>
      </c>
      <c r="K8" s="143" t="s">
        <v>234</v>
      </c>
      <c r="L8" s="144" t="s">
        <v>235</v>
      </c>
      <c r="M8" s="147" t="s">
        <v>236</v>
      </c>
      <c r="N8" s="147" t="s">
        <v>237</v>
      </c>
    </row>
    <row r="9" spans="1:14" x14ac:dyDescent="0.3">
      <c r="A9" s="140" t="s">
        <v>238</v>
      </c>
      <c r="B9" s="139" t="s">
        <v>227</v>
      </c>
      <c r="C9" s="139">
        <v>9</v>
      </c>
      <c r="D9" s="143" t="s">
        <v>218</v>
      </c>
      <c r="E9" s="144" t="s">
        <v>219</v>
      </c>
      <c r="F9" s="145" t="s">
        <v>220</v>
      </c>
      <c r="G9" s="143" t="s">
        <v>221</v>
      </c>
      <c r="H9" s="144" t="s">
        <v>222</v>
      </c>
      <c r="I9" s="145" t="s">
        <v>223</v>
      </c>
      <c r="J9" s="144" t="s">
        <v>224</v>
      </c>
      <c r="K9" s="144" t="s">
        <v>225</v>
      </c>
      <c r="L9" s="144" t="s">
        <v>226</v>
      </c>
      <c r="M9" s="147" t="s">
        <v>227</v>
      </c>
      <c r="N9" s="147">
        <v>94105</v>
      </c>
    </row>
    <row r="10" spans="1:14" x14ac:dyDescent="0.3">
      <c r="A10" s="140" t="s">
        <v>239</v>
      </c>
      <c r="B10" s="139" t="s">
        <v>63</v>
      </c>
      <c r="C10" s="139">
        <v>8</v>
      </c>
      <c r="D10" s="143" t="s">
        <v>240</v>
      </c>
      <c r="E10" s="144" t="s">
        <v>241</v>
      </c>
      <c r="F10" s="145" t="s">
        <v>242</v>
      </c>
      <c r="G10" s="143" t="s">
        <v>243</v>
      </c>
      <c r="H10" s="144" t="s">
        <v>244</v>
      </c>
      <c r="I10" s="146" t="s">
        <v>245</v>
      </c>
      <c r="J10" s="143" t="s">
        <v>246</v>
      </c>
      <c r="K10" s="143" t="s">
        <v>247</v>
      </c>
      <c r="L10" s="144" t="s">
        <v>248</v>
      </c>
      <c r="M10" s="147" t="s">
        <v>63</v>
      </c>
      <c r="N10" s="147" t="s">
        <v>249</v>
      </c>
    </row>
    <row r="11" spans="1:14" x14ac:dyDescent="0.3">
      <c r="A11" s="140" t="s">
        <v>250</v>
      </c>
      <c r="B11" s="139" t="s">
        <v>251</v>
      </c>
      <c r="C11" s="139">
        <v>1</v>
      </c>
      <c r="D11" s="144" t="s">
        <v>252</v>
      </c>
      <c r="E11" s="144" t="s">
        <v>253</v>
      </c>
      <c r="F11" s="146" t="s">
        <v>254</v>
      </c>
      <c r="G11" s="144" t="s">
        <v>211</v>
      </c>
      <c r="H11" s="144"/>
      <c r="I11" s="144"/>
      <c r="J11" s="143" t="s">
        <v>255</v>
      </c>
      <c r="K11" s="143" t="s">
        <v>256</v>
      </c>
      <c r="L11" s="144" t="s">
        <v>257</v>
      </c>
      <c r="M11" s="147" t="s">
        <v>258</v>
      </c>
      <c r="N11" s="147" t="s">
        <v>259</v>
      </c>
    </row>
    <row r="12" spans="1:14" x14ac:dyDescent="0.3">
      <c r="A12" s="140" t="s">
        <v>260</v>
      </c>
      <c r="B12" s="139" t="s">
        <v>261</v>
      </c>
      <c r="C12" s="139">
        <v>4</v>
      </c>
      <c r="D12" s="143" t="s">
        <v>195</v>
      </c>
      <c r="E12" s="144" t="s">
        <v>196</v>
      </c>
      <c r="F12" s="145" t="s">
        <v>197</v>
      </c>
      <c r="G12" s="144" t="s">
        <v>198</v>
      </c>
      <c r="H12" s="144" t="s">
        <v>199</v>
      </c>
      <c r="I12" s="146" t="s">
        <v>200</v>
      </c>
      <c r="J12" s="144" t="s">
        <v>201</v>
      </c>
      <c r="K12" s="143" t="s">
        <v>202</v>
      </c>
      <c r="L12" s="144" t="s">
        <v>203</v>
      </c>
      <c r="M12" s="147" t="s">
        <v>204</v>
      </c>
      <c r="N12" s="147" t="s">
        <v>205</v>
      </c>
    </row>
    <row r="13" spans="1:14" x14ac:dyDescent="0.3">
      <c r="A13" s="281" t="s">
        <v>451</v>
      </c>
      <c r="B13" s="139" t="s">
        <v>204</v>
      </c>
      <c r="C13" s="139">
        <v>4</v>
      </c>
      <c r="D13" s="143" t="s">
        <v>195</v>
      </c>
      <c r="E13" s="144" t="s">
        <v>196</v>
      </c>
      <c r="F13" s="145" t="s">
        <v>197</v>
      </c>
      <c r="G13" s="144" t="s">
        <v>198</v>
      </c>
      <c r="H13" s="144" t="s">
        <v>199</v>
      </c>
      <c r="I13" s="146" t="s">
        <v>200</v>
      </c>
      <c r="J13" s="144" t="s">
        <v>201</v>
      </c>
      <c r="K13" s="143" t="s">
        <v>202</v>
      </c>
      <c r="L13" s="144" t="s">
        <v>203</v>
      </c>
      <c r="M13" s="147" t="s">
        <v>204</v>
      </c>
      <c r="N13" s="147" t="s">
        <v>205</v>
      </c>
    </row>
    <row r="14" spans="1:14" x14ac:dyDescent="0.3">
      <c r="A14" s="140" t="s">
        <v>262</v>
      </c>
      <c r="B14" s="139" t="s">
        <v>263</v>
      </c>
      <c r="C14" s="139">
        <v>9</v>
      </c>
      <c r="D14" s="143" t="s">
        <v>218</v>
      </c>
      <c r="E14" s="144" t="s">
        <v>219</v>
      </c>
      <c r="F14" s="145" t="s">
        <v>220</v>
      </c>
      <c r="G14" s="143" t="s">
        <v>221</v>
      </c>
      <c r="H14" s="144" t="s">
        <v>222</v>
      </c>
      <c r="I14" s="145" t="s">
        <v>223</v>
      </c>
      <c r="J14" s="144" t="s">
        <v>224</v>
      </c>
      <c r="K14" s="144" t="s">
        <v>225</v>
      </c>
      <c r="L14" s="144" t="s">
        <v>226</v>
      </c>
      <c r="M14" s="147" t="s">
        <v>227</v>
      </c>
      <c r="N14" s="147">
        <v>94105</v>
      </c>
    </row>
    <row r="15" spans="1:14" x14ac:dyDescent="0.3">
      <c r="A15" s="140" t="s">
        <v>264</v>
      </c>
      <c r="B15" s="139" t="s">
        <v>265</v>
      </c>
      <c r="C15" s="139">
        <v>10</v>
      </c>
      <c r="D15" s="143" t="s">
        <v>208</v>
      </c>
      <c r="E15" s="143" t="s">
        <v>209</v>
      </c>
      <c r="F15" s="146" t="s">
        <v>210</v>
      </c>
      <c r="G15" s="143" t="s">
        <v>211</v>
      </c>
      <c r="H15" s="144"/>
      <c r="I15" s="144"/>
      <c r="J15" s="144" t="s">
        <v>212</v>
      </c>
      <c r="K15" s="144" t="s">
        <v>213</v>
      </c>
      <c r="L15" s="144" t="s">
        <v>214</v>
      </c>
      <c r="M15" s="147" t="s">
        <v>215</v>
      </c>
      <c r="N15" s="147">
        <v>98101</v>
      </c>
    </row>
    <row r="16" spans="1:14" x14ac:dyDescent="0.3">
      <c r="A16" s="140" t="s">
        <v>266</v>
      </c>
      <c r="B16" s="139" t="s">
        <v>267</v>
      </c>
      <c r="C16" s="139">
        <v>5</v>
      </c>
      <c r="D16" s="143" t="s">
        <v>268</v>
      </c>
      <c r="E16" s="144" t="s">
        <v>269</v>
      </c>
      <c r="F16" s="145" t="s">
        <v>270</v>
      </c>
      <c r="G16" s="144" t="s">
        <v>211</v>
      </c>
      <c r="H16" s="144"/>
      <c r="I16" s="144"/>
      <c r="J16" s="143" t="s">
        <v>271</v>
      </c>
      <c r="K16" s="143" t="s">
        <v>272</v>
      </c>
      <c r="L16" s="144" t="s">
        <v>273</v>
      </c>
      <c r="M16" s="147" t="s">
        <v>267</v>
      </c>
      <c r="N16" s="147" t="s">
        <v>274</v>
      </c>
    </row>
    <row r="17" spans="1:14" x14ac:dyDescent="0.3">
      <c r="A17" s="140" t="s">
        <v>275</v>
      </c>
      <c r="B17" s="139" t="s">
        <v>276</v>
      </c>
      <c r="C17" s="139">
        <v>5</v>
      </c>
      <c r="D17" s="143" t="s">
        <v>268</v>
      </c>
      <c r="E17" s="144" t="s">
        <v>269</v>
      </c>
      <c r="F17" s="145" t="s">
        <v>270</v>
      </c>
      <c r="G17" s="144" t="s">
        <v>211</v>
      </c>
      <c r="H17" s="144"/>
      <c r="I17" s="144"/>
      <c r="J17" s="143" t="s">
        <v>271</v>
      </c>
      <c r="K17" s="143" t="s">
        <v>272</v>
      </c>
      <c r="L17" s="144" t="s">
        <v>273</v>
      </c>
      <c r="M17" s="147" t="s">
        <v>267</v>
      </c>
      <c r="N17" s="147" t="s">
        <v>274</v>
      </c>
    </row>
    <row r="18" spans="1:14" x14ac:dyDescent="0.3">
      <c r="A18" s="140" t="s">
        <v>277</v>
      </c>
      <c r="B18" s="139" t="s">
        <v>278</v>
      </c>
      <c r="C18" s="139">
        <v>7</v>
      </c>
      <c r="D18" s="143" t="s">
        <v>279</v>
      </c>
      <c r="E18" s="144" t="s">
        <v>280</v>
      </c>
      <c r="F18" s="145" t="s">
        <v>281</v>
      </c>
      <c r="G18" s="144" t="s">
        <v>211</v>
      </c>
      <c r="H18" s="144"/>
      <c r="I18" s="144"/>
      <c r="J18" s="143" t="s">
        <v>282</v>
      </c>
      <c r="K18" s="143" t="s">
        <v>283</v>
      </c>
      <c r="L18" s="144" t="s">
        <v>284</v>
      </c>
      <c r="M18" s="147" t="s">
        <v>285</v>
      </c>
      <c r="N18" s="147">
        <v>66219</v>
      </c>
    </row>
    <row r="19" spans="1:14" x14ac:dyDescent="0.3">
      <c r="A19" s="140" t="s">
        <v>286</v>
      </c>
      <c r="B19" s="139" t="s">
        <v>287</v>
      </c>
      <c r="C19" s="139">
        <v>7</v>
      </c>
      <c r="D19" s="143" t="s">
        <v>279</v>
      </c>
      <c r="E19" s="144" t="s">
        <v>280</v>
      </c>
      <c r="F19" s="145" t="s">
        <v>281</v>
      </c>
      <c r="G19" s="144" t="s">
        <v>211</v>
      </c>
      <c r="H19" s="144"/>
      <c r="I19" s="144"/>
      <c r="J19" s="143" t="s">
        <v>282</v>
      </c>
      <c r="K19" s="143" t="s">
        <v>283</v>
      </c>
      <c r="L19" s="144" t="s">
        <v>284</v>
      </c>
      <c r="M19" s="147" t="s">
        <v>285</v>
      </c>
      <c r="N19" s="147">
        <v>66219</v>
      </c>
    </row>
    <row r="20" spans="1:14" x14ac:dyDescent="0.3">
      <c r="A20" s="140" t="s">
        <v>288</v>
      </c>
      <c r="B20" s="139" t="s">
        <v>289</v>
      </c>
      <c r="C20" s="139">
        <v>4</v>
      </c>
      <c r="D20" s="143" t="s">
        <v>195</v>
      </c>
      <c r="E20" s="144" t="s">
        <v>196</v>
      </c>
      <c r="F20" s="145" t="s">
        <v>197</v>
      </c>
      <c r="G20" s="144" t="s">
        <v>198</v>
      </c>
      <c r="H20" s="144" t="s">
        <v>199</v>
      </c>
      <c r="I20" s="146" t="s">
        <v>200</v>
      </c>
      <c r="J20" s="144" t="s">
        <v>201</v>
      </c>
      <c r="K20" s="143" t="s">
        <v>202</v>
      </c>
      <c r="L20" s="144" t="s">
        <v>203</v>
      </c>
      <c r="M20" s="147" t="s">
        <v>204</v>
      </c>
      <c r="N20" s="147" t="s">
        <v>205</v>
      </c>
    </row>
    <row r="21" spans="1:14" x14ac:dyDescent="0.3">
      <c r="A21" s="281" t="s">
        <v>452</v>
      </c>
      <c r="B21" s="139" t="s">
        <v>290</v>
      </c>
      <c r="C21" s="139">
        <v>6</v>
      </c>
      <c r="D21" s="143" t="s">
        <v>230</v>
      </c>
      <c r="E21" s="340" t="s">
        <v>231</v>
      </c>
      <c r="F21" s="148" t="s">
        <v>232</v>
      </c>
      <c r="G21" s="144" t="s">
        <v>211</v>
      </c>
      <c r="H21" s="144"/>
      <c r="I21" s="144"/>
      <c r="J21" s="143" t="s">
        <v>233</v>
      </c>
      <c r="K21" s="143" t="s">
        <v>234</v>
      </c>
      <c r="L21" s="144" t="s">
        <v>235</v>
      </c>
      <c r="M21" s="147" t="s">
        <v>236</v>
      </c>
      <c r="N21" s="147" t="s">
        <v>237</v>
      </c>
    </row>
    <row r="22" spans="1:14" x14ac:dyDescent="0.3">
      <c r="A22" s="140" t="s">
        <v>291</v>
      </c>
      <c r="B22" s="139" t="s">
        <v>292</v>
      </c>
      <c r="C22" s="139">
        <v>1</v>
      </c>
      <c r="D22" s="144" t="s">
        <v>252</v>
      </c>
      <c r="E22" s="144" t="s">
        <v>253</v>
      </c>
      <c r="F22" s="146" t="s">
        <v>254</v>
      </c>
      <c r="G22" s="144" t="s">
        <v>211</v>
      </c>
      <c r="H22" s="144"/>
      <c r="I22" s="144"/>
      <c r="J22" s="143" t="s">
        <v>255</v>
      </c>
      <c r="K22" s="143" t="s">
        <v>256</v>
      </c>
      <c r="L22" s="144" t="s">
        <v>257</v>
      </c>
      <c r="M22" s="147" t="s">
        <v>258</v>
      </c>
      <c r="N22" s="147" t="s">
        <v>259</v>
      </c>
    </row>
    <row r="23" spans="1:14" x14ac:dyDescent="0.3">
      <c r="A23" s="140" t="s">
        <v>293</v>
      </c>
      <c r="B23" s="139" t="s">
        <v>258</v>
      </c>
      <c r="C23" s="139">
        <v>1</v>
      </c>
      <c r="D23" s="144" t="s">
        <v>252</v>
      </c>
      <c r="E23" s="144" t="s">
        <v>253</v>
      </c>
      <c r="F23" s="146" t="s">
        <v>254</v>
      </c>
      <c r="G23" s="144" t="s">
        <v>211</v>
      </c>
      <c r="H23" s="144"/>
      <c r="I23" s="144"/>
      <c r="J23" s="143" t="s">
        <v>255</v>
      </c>
      <c r="K23" s="143" t="s">
        <v>256</v>
      </c>
      <c r="L23" s="144" t="s">
        <v>257</v>
      </c>
      <c r="M23" s="147" t="s">
        <v>258</v>
      </c>
      <c r="N23" s="147" t="s">
        <v>259</v>
      </c>
    </row>
    <row r="24" spans="1:14" x14ac:dyDescent="0.3">
      <c r="A24" s="140" t="s">
        <v>294</v>
      </c>
      <c r="B24" s="139" t="s">
        <v>295</v>
      </c>
      <c r="C24" s="139">
        <v>5</v>
      </c>
      <c r="D24" s="143" t="s">
        <v>268</v>
      </c>
      <c r="E24" s="144" t="s">
        <v>269</v>
      </c>
      <c r="F24" s="145" t="s">
        <v>270</v>
      </c>
      <c r="G24" s="144" t="s">
        <v>211</v>
      </c>
      <c r="H24" s="144"/>
      <c r="I24" s="144"/>
      <c r="J24" s="143" t="s">
        <v>271</v>
      </c>
      <c r="K24" s="143" t="s">
        <v>272</v>
      </c>
      <c r="L24" s="144" t="s">
        <v>273</v>
      </c>
      <c r="M24" s="147" t="s">
        <v>267</v>
      </c>
      <c r="N24" s="147" t="s">
        <v>274</v>
      </c>
    </row>
    <row r="25" spans="1:14" x14ac:dyDescent="0.3">
      <c r="A25" s="140" t="s">
        <v>296</v>
      </c>
      <c r="B25" s="139" t="s">
        <v>297</v>
      </c>
      <c r="C25" s="139">
        <v>5</v>
      </c>
      <c r="D25" s="143" t="s">
        <v>268</v>
      </c>
      <c r="E25" s="144" t="s">
        <v>269</v>
      </c>
      <c r="F25" s="145" t="s">
        <v>270</v>
      </c>
      <c r="G25" s="144" t="s">
        <v>211</v>
      </c>
      <c r="H25" s="144"/>
      <c r="I25" s="144"/>
      <c r="J25" s="143" t="s">
        <v>271</v>
      </c>
      <c r="K25" s="143" t="s">
        <v>272</v>
      </c>
      <c r="L25" s="144" t="s">
        <v>273</v>
      </c>
      <c r="M25" s="147" t="s">
        <v>267</v>
      </c>
      <c r="N25" s="147" t="s">
        <v>274</v>
      </c>
    </row>
    <row r="26" spans="1:14" x14ac:dyDescent="0.3">
      <c r="A26" s="140" t="s">
        <v>298</v>
      </c>
      <c r="B26" s="139" t="s">
        <v>299</v>
      </c>
      <c r="C26" s="139">
        <v>4</v>
      </c>
      <c r="D26" s="143" t="s">
        <v>195</v>
      </c>
      <c r="E26" s="144" t="s">
        <v>196</v>
      </c>
      <c r="F26" s="145" t="s">
        <v>197</v>
      </c>
      <c r="G26" s="144" t="s">
        <v>198</v>
      </c>
      <c r="H26" s="144" t="s">
        <v>199</v>
      </c>
      <c r="I26" s="146" t="s">
        <v>200</v>
      </c>
      <c r="J26" s="144" t="s">
        <v>201</v>
      </c>
      <c r="K26" s="143" t="s">
        <v>202</v>
      </c>
      <c r="L26" s="144" t="s">
        <v>203</v>
      </c>
      <c r="M26" s="147" t="s">
        <v>204</v>
      </c>
      <c r="N26" s="147" t="s">
        <v>205</v>
      </c>
    </row>
    <row r="27" spans="1:14" x14ac:dyDescent="0.3">
      <c r="A27" s="140" t="s">
        <v>300</v>
      </c>
      <c r="B27" s="139" t="s">
        <v>301</v>
      </c>
      <c r="C27" s="139">
        <v>7</v>
      </c>
      <c r="D27" s="143" t="s">
        <v>279</v>
      </c>
      <c r="E27" s="144" t="s">
        <v>280</v>
      </c>
      <c r="F27" s="145" t="s">
        <v>281</v>
      </c>
      <c r="G27" s="144" t="s">
        <v>211</v>
      </c>
      <c r="H27" s="144"/>
      <c r="I27" s="144"/>
      <c r="J27" s="143" t="s">
        <v>282</v>
      </c>
      <c r="K27" s="143" t="s">
        <v>283</v>
      </c>
      <c r="L27" s="144" t="s">
        <v>284</v>
      </c>
      <c r="M27" s="147" t="s">
        <v>285</v>
      </c>
      <c r="N27" s="147">
        <v>66219</v>
      </c>
    </row>
    <row r="28" spans="1:14" x14ac:dyDescent="0.3">
      <c r="A28" s="140" t="s">
        <v>302</v>
      </c>
      <c r="B28" s="139" t="s">
        <v>303</v>
      </c>
      <c r="C28" s="139">
        <v>8</v>
      </c>
      <c r="D28" s="143" t="s">
        <v>240</v>
      </c>
      <c r="E28" s="144" t="s">
        <v>241</v>
      </c>
      <c r="F28" s="145" t="s">
        <v>242</v>
      </c>
      <c r="G28" s="143" t="s">
        <v>243</v>
      </c>
      <c r="H28" s="144" t="s">
        <v>244</v>
      </c>
      <c r="I28" s="146" t="s">
        <v>245</v>
      </c>
      <c r="J28" s="143" t="s">
        <v>246</v>
      </c>
      <c r="K28" s="143" t="s">
        <v>247</v>
      </c>
      <c r="L28" s="144" t="s">
        <v>248</v>
      </c>
      <c r="M28" s="147" t="s">
        <v>63</v>
      </c>
      <c r="N28" s="147" t="s">
        <v>249</v>
      </c>
    </row>
    <row r="29" spans="1:14" x14ac:dyDescent="0.3">
      <c r="A29" s="140" t="s">
        <v>304</v>
      </c>
      <c r="B29" s="139" t="s">
        <v>305</v>
      </c>
      <c r="C29" s="139">
        <v>7</v>
      </c>
      <c r="D29" s="143" t="s">
        <v>279</v>
      </c>
      <c r="E29" s="144" t="s">
        <v>280</v>
      </c>
      <c r="F29" s="145" t="s">
        <v>281</v>
      </c>
      <c r="G29" s="144" t="s">
        <v>211</v>
      </c>
      <c r="H29" s="144"/>
      <c r="I29" s="144"/>
      <c r="J29" s="143" t="s">
        <v>282</v>
      </c>
      <c r="K29" s="143" t="s">
        <v>283</v>
      </c>
      <c r="L29" s="144" t="s">
        <v>284</v>
      </c>
      <c r="M29" s="147" t="s">
        <v>285</v>
      </c>
      <c r="N29" s="147">
        <v>66219</v>
      </c>
    </row>
    <row r="30" spans="1:14" x14ac:dyDescent="0.3">
      <c r="A30" s="140" t="s">
        <v>306</v>
      </c>
      <c r="B30" s="139" t="s">
        <v>307</v>
      </c>
      <c r="C30" s="139">
        <v>9</v>
      </c>
      <c r="D30" s="143" t="s">
        <v>218</v>
      </c>
      <c r="E30" s="144" t="s">
        <v>219</v>
      </c>
      <c r="F30" s="145" t="s">
        <v>220</v>
      </c>
      <c r="G30" s="143" t="s">
        <v>221</v>
      </c>
      <c r="H30" s="144" t="s">
        <v>222</v>
      </c>
      <c r="I30" s="145" t="s">
        <v>223</v>
      </c>
      <c r="J30" s="144" t="s">
        <v>224</v>
      </c>
      <c r="K30" s="144" t="s">
        <v>225</v>
      </c>
      <c r="L30" s="144" t="s">
        <v>226</v>
      </c>
      <c r="M30" s="147" t="s">
        <v>227</v>
      </c>
      <c r="N30" s="147">
        <v>94105</v>
      </c>
    </row>
    <row r="31" spans="1:14" x14ac:dyDescent="0.3">
      <c r="A31" s="140" t="s">
        <v>308</v>
      </c>
      <c r="B31" s="139" t="s">
        <v>309</v>
      </c>
      <c r="C31" s="139">
        <v>1</v>
      </c>
      <c r="D31" s="144" t="s">
        <v>252</v>
      </c>
      <c r="E31" s="144" t="s">
        <v>253</v>
      </c>
      <c r="F31" s="146" t="s">
        <v>254</v>
      </c>
      <c r="G31" s="144" t="s">
        <v>211</v>
      </c>
      <c r="H31" s="144"/>
      <c r="I31" s="144"/>
      <c r="J31" s="143" t="s">
        <v>255</v>
      </c>
      <c r="K31" s="143" t="s">
        <v>256</v>
      </c>
      <c r="L31" s="144" t="s">
        <v>257</v>
      </c>
      <c r="M31" s="147" t="s">
        <v>258</v>
      </c>
      <c r="N31" s="147" t="s">
        <v>259</v>
      </c>
    </row>
    <row r="32" spans="1:14" x14ac:dyDescent="0.3">
      <c r="A32" s="140" t="s">
        <v>310</v>
      </c>
      <c r="B32" s="139" t="s">
        <v>311</v>
      </c>
      <c r="C32" s="139">
        <v>2</v>
      </c>
      <c r="D32" s="144" t="s">
        <v>312</v>
      </c>
      <c r="E32" s="144" t="s">
        <v>313</v>
      </c>
      <c r="F32" s="146" t="s">
        <v>314</v>
      </c>
      <c r="G32" s="143" t="s">
        <v>315</v>
      </c>
      <c r="H32" s="144" t="s">
        <v>316</v>
      </c>
      <c r="I32" s="146" t="s">
        <v>317</v>
      </c>
      <c r="J32" s="143" t="s">
        <v>318</v>
      </c>
      <c r="K32" s="143" t="s">
        <v>319</v>
      </c>
      <c r="L32" s="144" t="s">
        <v>320</v>
      </c>
      <c r="M32" s="147" t="s">
        <v>321</v>
      </c>
      <c r="N32" s="147" t="s">
        <v>322</v>
      </c>
    </row>
    <row r="33" spans="1:14" x14ac:dyDescent="0.3">
      <c r="A33" s="140" t="s">
        <v>323</v>
      </c>
      <c r="B33" s="139" t="s">
        <v>324</v>
      </c>
      <c r="C33" s="139">
        <v>6</v>
      </c>
      <c r="D33" s="143" t="s">
        <v>230</v>
      </c>
      <c r="E33" s="340" t="s">
        <v>231</v>
      </c>
      <c r="F33" s="148" t="s">
        <v>232</v>
      </c>
      <c r="G33" s="144" t="s">
        <v>211</v>
      </c>
      <c r="H33" s="144"/>
      <c r="I33" s="144"/>
      <c r="J33" s="143" t="s">
        <v>233</v>
      </c>
      <c r="K33" s="143" t="s">
        <v>234</v>
      </c>
      <c r="L33" s="144" t="s">
        <v>235</v>
      </c>
      <c r="M33" s="147" t="s">
        <v>236</v>
      </c>
      <c r="N33" s="147" t="s">
        <v>237</v>
      </c>
    </row>
    <row r="34" spans="1:14" x14ac:dyDescent="0.3">
      <c r="A34" s="140" t="s">
        <v>320</v>
      </c>
      <c r="B34" s="139" t="s">
        <v>321</v>
      </c>
      <c r="C34" s="139">
        <v>2</v>
      </c>
      <c r="D34" s="144" t="s">
        <v>312</v>
      </c>
      <c r="E34" s="144" t="s">
        <v>313</v>
      </c>
      <c r="F34" s="146" t="s">
        <v>314</v>
      </c>
      <c r="G34" s="143" t="s">
        <v>315</v>
      </c>
      <c r="H34" s="144" t="s">
        <v>316</v>
      </c>
      <c r="I34" s="146" t="s">
        <v>317</v>
      </c>
      <c r="J34" s="143" t="s">
        <v>318</v>
      </c>
      <c r="K34" s="143" t="s">
        <v>319</v>
      </c>
      <c r="L34" s="144" t="s">
        <v>320</v>
      </c>
      <c r="M34" s="147" t="s">
        <v>321</v>
      </c>
      <c r="N34" s="147" t="s">
        <v>322</v>
      </c>
    </row>
    <row r="35" spans="1:14" x14ac:dyDescent="0.3">
      <c r="A35" s="140" t="s">
        <v>325</v>
      </c>
      <c r="B35" s="139" t="s">
        <v>326</v>
      </c>
      <c r="C35" s="139">
        <v>4</v>
      </c>
      <c r="D35" s="143" t="s">
        <v>195</v>
      </c>
      <c r="E35" s="144" t="s">
        <v>196</v>
      </c>
      <c r="F35" s="145" t="s">
        <v>197</v>
      </c>
      <c r="G35" s="144" t="s">
        <v>198</v>
      </c>
      <c r="H35" s="144" t="s">
        <v>199</v>
      </c>
      <c r="I35" s="146" t="s">
        <v>200</v>
      </c>
      <c r="J35" s="144" t="s">
        <v>201</v>
      </c>
      <c r="K35" s="143" t="s">
        <v>202</v>
      </c>
      <c r="L35" s="144" t="s">
        <v>203</v>
      </c>
      <c r="M35" s="147" t="s">
        <v>204</v>
      </c>
      <c r="N35" s="147" t="s">
        <v>205</v>
      </c>
    </row>
    <row r="36" spans="1:14" x14ac:dyDescent="0.3">
      <c r="A36" s="140" t="s">
        <v>327</v>
      </c>
      <c r="B36" s="139" t="s">
        <v>328</v>
      </c>
      <c r="C36" s="139">
        <v>8</v>
      </c>
      <c r="D36" s="143" t="s">
        <v>240</v>
      </c>
      <c r="E36" s="144" t="s">
        <v>241</v>
      </c>
      <c r="F36" s="145" t="s">
        <v>242</v>
      </c>
      <c r="G36" s="143" t="s">
        <v>243</v>
      </c>
      <c r="H36" s="144" t="s">
        <v>244</v>
      </c>
      <c r="I36" s="146" t="s">
        <v>245</v>
      </c>
      <c r="J36" s="143" t="s">
        <v>246</v>
      </c>
      <c r="K36" s="143" t="s">
        <v>247</v>
      </c>
      <c r="L36" s="144" t="s">
        <v>248</v>
      </c>
      <c r="M36" s="147" t="s">
        <v>63</v>
      </c>
      <c r="N36" s="147" t="s">
        <v>249</v>
      </c>
    </row>
    <row r="37" spans="1:14" x14ac:dyDescent="0.3">
      <c r="A37" s="140" t="s">
        <v>329</v>
      </c>
      <c r="B37" s="139" t="s">
        <v>330</v>
      </c>
      <c r="C37" s="139">
        <v>5</v>
      </c>
      <c r="D37" s="143" t="s">
        <v>268</v>
      </c>
      <c r="E37" s="144" t="s">
        <v>269</v>
      </c>
      <c r="F37" s="145" t="s">
        <v>270</v>
      </c>
      <c r="G37" s="144" t="s">
        <v>211</v>
      </c>
      <c r="H37" s="144"/>
      <c r="I37" s="144"/>
      <c r="J37" s="143" t="s">
        <v>271</v>
      </c>
      <c r="K37" s="143" t="s">
        <v>272</v>
      </c>
      <c r="L37" s="144" t="s">
        <v>273</v>
      </c>
      <c r="M37" s="147" t="s">
        <v>267</v>
      </c>
      <c r="N37" s="147" t="s">
        <v>274</v>
      </c>
    </row>
    <row r="38" spans="1:14" x14ac:dyDescent="0.3">
      <c r="A38" s="140" t="s">
        <v>331</v>
      </c>
      <c r="B38" s="139" t="s">
        <v>332</v>
      </c>
      <c r="C38" s="139">
        <v>6</v>
      </c>
      <c r="D38" s="143" t="s">
        <v>230</v>
      </c>
      <c r="E38" s="340" t="s">
        <v>231</v>
      </c>
      <c r="F38" s="148" t="s">
        <v>232</v>
      </c>
      <c r="G38" s="144" t="s">
        <v>211</v>
      </c>
      <c r="H38" s="144"/>
      <c r="I38" s="144"/>
      <c r="J38" s="143" t="s">
        <v>233</v>
      </c>
      <c r="K38" s="143" t="s">
        <v>234</v>
      </c>
      <c r="L38" s="144" t="s">
        <v>235</v>
      </c>
      <c r="M38" s="147" t="s">
        <v>236</v>
      </c>
      <c r="N38" s="147" t="s">
        <v>237</v>
      </c>
    </row>
    <row r="39" spans="1:14" x14ac:dyDescent="0.3">
      <c r="A39" s="140" t="s">
        <v>333</v>
      </c>
      <c r="B39" s="139" t="s">
        <v>334</v>
      </c>
      <c r="C39" s="139">
        <v>10</v>
      </c>
      <c r="D39" s="143" t="s">
        <v>208</v>
      </c>
      <c r="E39" s="143" t="s">
        <v>209</v>
      </c>
      <c r="F39" s="146" t="s">
        <v>210</v>
      </c>
      <c r="G39" s="143" t="s">
        <v>211</v>
      </c>
      <c r="H39" s="144"/>
      <c r="I39" s="144"/>
      <c r="J39" s="144" t="s">
        <v>212</v>
      </c>
      <c r="K39" s="144" t="s">
        <v>213</v>
      </c>
      <c r="L39" s="144" t="s">
        <v>214</v>
      </c>
      <c r="M39" s="147" t="s">
        <v>215</v>
      </c>
      <c r="N39" s="147">
        <v>98101</v>
      </c>
    </row>
    <row r="40" spans="1:14" x14ac:dyDescent="0.3">
      <c r="A40" s="140" t="s">
        <v>335</v>
      </c>
      <c r="B40" s="139" t="s">
        <v>336</v>
      </c>
      <c r="C40" s="139">
        <v>1</v>
      </c>
      <c r="D40" s="144" t="s">
        <v>252</v>
      </c>
      <c r="E40" s="144" t="s">
        <v>253</v>
      </c>
      <c r="F40" s="146" t="s">
        <v>254</v>
      </c>
      <c r="G40" s="144" t="s">
        <v>211</v>
      </c>
      <c r="H40" s="144"/>
      <c r="I40" s="144"/>
      <c r="J40" s="143" t="s">
        <v>255</v>
      </c>
      <c r="K40" s="143" t="s">
        <v>256</v>
      </c>
      <c r="L40" s="144" t="s">
        <v>257</v>
      </c>
      <c r="M40" s="147" t="s">
        <v>258</v>
      </c>
      <c r="N40" s="147" t="s">
        <v>259</v>
      </c>
    </row>
    <row r="41" spans="1:14" x14ac:dyDescent="0.3">
      <c r="A41" s="140" t="s">
        <v>337</v>
      </c>
      <c r="B41" s="139" t="s">
        <v>338</v>
      </c>
      <c r="C41" s="139">
        <v>4</v>
      </c>
      <c r="D41" s="143" t="s">
        <v>195</v>
      </c>
      <c r="E41" s="144" t="s">
        <v>196</v>
      </c>
      <c r="F41" s="145" t="s">
        <v>197</v>
      </c>
      <c r="G41" s="144" t="s">
        <v>198</v>
      </c>
      <c r="H41" s="144" t="s">
        <v>199</v>
      </c>
      <c r="I41" s="146" t="s">
        <v>200</v>
      </c>
      <c r="J41" s="144" t="s">
        <v>201</v>
      </c>
      <c r="K41" s="143" t="s">
        <v>202</v>
      </c>
      <c r="L41" s="144" t="s">
        <v>203</v>
      </c>
      <c r="M41" s="147" t="s">
        <v>204</v>
      </c>
      <c r="N41" s="147" t="s">
        <v>205</v>
      </c>
    </row>
    <row r="42" spans="1:14" x14ac:dyDescent="0.3">
      <c r="A42" s="140" t="s">
        <v>339</v>
      </c>
      <c r="B42" s="139" t="s">
        <v>340</v>
      </c>
      <c r="C42" s="139">
        <v>8</v>
      </c>
      <c r="D42" s="143" t="s">
        <v>240</v>
      </c>
      <c r="E42" s="144" t="s">
        <v>241</v>
      </c>
      <c r="F42" s="145" t="s">
        <v>242</v>
      </c>
      <c r="G42" s="143" t="s">
        <v>243</v>
      </c>
      <c r="H42" s="144" t="s">
        <v>244</v>
      </c>
      <c r="I42" s="146" t="s">
        <v>245</v>
      </c>
      <c r="J42" s="143" t="s">
        <v>246</v>
      </c>
      <c r="K42" s="143" t="s">
        <v>247</v>
      </c>
      <c r="L42" s="144" t="s">
        <v>248</v>
      </c>
      <c r="M42" s="147" t="s">
        <v>63</v>
      </c>
      <c r="N42" s="147" t="s">
        <v>249</v>
      </c>
    </row>
    <row r="43" spans="1:14" x14ac:dyDescent="0.3">
      <c r="A43" s="140" t="s">
        <v>341</v>
      </c>
      <c r="B43" s="139" t="s">
        <v>342</v>
      </c>
      <c r="C43" s="139">
        <v>4</v>
      </c>
      <c r="D43" s="143" t="s">
        <v>195</v>
      </c>
      <c r="E43" s="144" t="s">
        <v>196</v>
      </c>
      <c r="F43" s="145" t="s">
        <v>197</v>
      </c>
      <c r="G43" s="144" t="s">
        <v>198</v>
      </c>
      <c r="H43" s="144" t="s">
        <v>199</v>
      </c>
      <c r="I43" s="146" t="s">
        <v>200</v>
      </c>
      <c r="J43" s="144" t="s">
        <v>201</v>
      </c>
      <c r="K43" s="143" t="s">
        <v>202</v>
      </c>
      <c r="L43" s="144" t="s">
        <v>203</v>
      </c>
      <c r="M43" s="147" t="s">
        <v>204</v>
      </c>
      <c r="N43" s="147" t="s">
        <v>205</v>
      </c>
    </row>
    <row r="44" spans="1:14" x14ac:dyDescent="0.3">
      <c r="A44" s="140" t="s">
        <v>343</v>
      </c>
      <c r="B44" s="139" t="s">
        <v>236</v>
      </c>
      <c r="C44" s="139">
        <v>6</v>
      </c>
      <c r="D44" s="143" t="s">
        <v>230</v>
      </c>
      <c r="E44" s="340" t="s">
        <v>231</v>
      </c>
      <c r="F44" s="148" t="s">
        <v>232</v>
      </c>
      <c r="G44" s="144" t="s">
        <v>211</v>
      </c>
      <c r="H44" s="144"/>
      <c r="I44" s="144"/>
      <c r="J44" s="143" t="s">
        <v>233</v>
      </c>
      <c r="K44" s="143" t="s">
        <v>234</v>
      </c>
      <c r="L44" s="144" t="s">
        <v>235</v>
      </c>
      <c r="M44" s="147" t="s">
        <v>236</v>
      </c>
      <c r="N44" s="147" t="s">
        <v>237</v>
      </c>
    </row>
    <row r="45" spans="1:14" x14ac:dyDescent="0.3">
      <c r="A45" s="140" t="s">
        <v>344</v>
      </c>
      <c r="B45" s="139" t="s">
        <v>345</v>
      </c>
      <c r="C45" s="139">
        <v>8</v>
      </c>
      <c r="D45" s="143" t="s">
        <v>240</v>
      </c>
      <c r="E45" s="144" t="s">
        <v>241</v>
      </c>
      <c r="F45" s="145" t="s">
        <v>242</v>
      </c>
      <c r="G45" s="143" t="s">
        <v>243</v>
      </c>
      <c r="H45" s="144" t="s">
        <v>244</v>
      </c>
      <c r="I45" s="146" t="s">
        <v>245</v>
      </c>
      <c r="J45" s="143" t="s">
        <v>246</v>
      </c>
      <c r="K45" s="143" t="s">
        <v>247</v>
      </c>
      <c r="L45" s="144" t="s">
        <v>248</v>
      </c>
      <c r="M45" s="147" t="s">
        <v>63</v>
      </c>
      <c r="N45" s="147" t="s">
        <v>249</v>
      </c>
    </row>
    <row r="46" spans="1:14" x14ac:dyDescent="0.3">
      <c r="A46" s="140" t="s">
        <v>346</v>
      </c>
      <c r="B46" s="139" t="s">
        <v>347</v>
      </c>
      <c r="C46" s="139">
        <v>1</v>
      </c>
      <c r="D46" s="144" t="s">
        <v>252</v>
      </c>
      <c r="E46" s="144" t="s">
        <v>253</v>
      </c>
      <c r="F46" s="146" t="s">
        <v>254</v>
      </c>
      <c r="G46" s="144" t="s">
        <v>211</v>
      </c>
      <c r="H46" s="144"/>
      <c r="I46" s="144"/>
      <c r="J46" s="143" t="s">
        <v>255</v>
      </c>
      <c r="K46" s="143" t="s">
        <v>256</v>
      </c>
      <c r="L46" s="144" t="s">
        <v>257</v>
      </c>
      <c r="M46" s="147" t="s">
        <v>258</v>
      </c>
      <c r="N46" s="147" t="s">
        <v>259</v>
      </c>
    </row>
    <row r="47" spans="1:14" x14ac:dyDescent="0.3">
      <c r="A47" s="140" t="s">
        <v>348</v>
      </c>
      <c r="B47" s="139" t="s">
        <v>215</v>
      </c>
      <c r="C47" s="139">
        <v>10</v>
      </c>
      <c r="D47" s="143" t="s">
        <v>208</v>
      </c>
      <c r="E47" s="143" t="s">
        <v>209</v>
      </c>
      <c r="F47" s="146" t="s">
        <v>210</v>
      </c>
      <c r="G47" s="143" t="s">
        <v>211</v>
      </c>
      <c r="H47" s="144"/>
      <c r="I47" s="144"/>
      <c r="J47" s="144" t="s">
        <v>212</v>
      </c>
      <c r="K47" s="144" t="s">
        <v>213</v>
      </c>
      <c r="L47" s="144" t="s">
        <v>214</v>
      </c>
      <c r="M47" s="147" t="s">
        <v>215</v>
      </c>
      <c r="N47" s="147">
        <v>98101</v>
      </c>
    </row>
    <row r="48" spans="1:14" x14ac:dyDescent="0.3">
      <c r="A48" s="140" t="s">
        <v>349</v>
      </c>
      <c r="B48" s="139" t="s">
        <v>350</v>
      </c>
      <c r="C48" s="139">
        <v>5</v>
      </c>
      <c r="D48" s="143" t="s">
        <v>268</v>
      </c>
      <c r="E48" s="144" t="s">
        <v>269</v>
      </c>
      <c r="F48" s="145" t="s">
        <v>270</v>
      </c>
      <c r="G48" s="144" t="s">
        <v>211</v>
      </c>
      <c r="H48" s="144"/>
      <c r="I48" s="144"/>
      <c r="J48" s="143" t="s">
        <v>271</v>
      </c>
      <c r="K48" s="143" t="s">
        <v>272</v>
      </c>
      <c r="L48" s="144" t="s">
        <v>273</v>
      </c>
      <c r="M48" s="147" t="s">
        <v>267</v>
      </c>
      <c r="N48" s="147" t="s">
        <v>274</v>
      </c>
    </row>
    <row r="49" spans="1:14" x14ac:dyDescent="0.3">
      <c r="A49" s="140" t="s">
        <v>351</v>
      </c>
      <c r="B49" s="139" t="s">
        <v>352</v>
      </c>
      <c r="C49" s="139">
        <v>8</v>
      </c>
      <c r="D49" s="143" t="s">
        <v>240</v>
      </c>
      <c r="E49" s="144" t="s">
        <v>241</v>
      </c>
      <c r="F49" s="145" t="s">
        <v>242</v>
      </c>
      <c r="G49" s="143" t="s">
        <v>243</v>
      </c>
      <c r="H49" s="144" t="s">
        <v>244</v>
      </c>
      <c r="I49" s="146" t="s">
        <v>245</v>
      </c>
      <c r="J49" s="143" t="s">
        <v>246</v>
      </c>
      <c r="K49" s="143" t="s">
        <v>247</v>
      </c>
      <c r="L49" s="144" t="s">
        <v>248</v>
      </c>
      <c r="M49" s="147" t="s">
        <v>63</v>
      </c>
      <c r="N49" s="147" t="s">
        <v>249</v>
      </c>
    </row>
    <row r="50" spans="1:14" x14ac:dyDescent="0.3">
      <c r="A50" s="140" t="s">
        <v>353</v>
      </c>
      <c r="B50" s="139" t="s">
        <v>354</v>
      </c>
      <c r="C50" s="139">
        <v>3</v>
      </c>
      <c r="D50" s="143" t="s">
        <v>211</v>
      </c>
      <c r="E50" s="144"/>
      <c r="F50" s="144"/>
      <c r="G50" s="144"/>
      <c r="H50" s="144"/>
      <c r="I50" s="144"/>
      <c r="J50" s="144"/>
      <c r="K50" s="144"/>
      <c r="L50" s="144"/>
      <c r="M50" s="147"/>
      <c r="N50" s="147"/>
    </row>
    <row r="51" spans="1:14" x14ac:dyDescent="0.3">
      <c r="A51" s="140" t="s">
        <v>355</v>
      </c>
      <c r="B51" s="139" t="s">
        <v>356</v>
      </c>
      <c r="C51" s="139">
        <v>3</v>
      </c>
      <c r="D51" s="143" t="s">
        <v>211</v>
      </c>
      <c r="E51" s="144"/>
      <c r="F51" s="144"/>
      <c r="G51" s="144"/>
      <c r="H51" s="144"/>
      <c r="I51" s="144"/>
      <c r="J51" s="144"/>
      <c r="K51" s="144"/>
      <c r="L51" s="144"/>
      <c r="M51" s="147"/>
      <c r="N51" s="147"/>
    </row>
    <row r="52" spans="1:14" x14ac:dyDescent="0.3">
      <c r="A52" s="140" t="s">
        <v>357</v>
      </c>
      <c r="B52" s="139" t="s">
        <v>358</v>
      </c>
      <c r="C52" s="139">
        <v>3</v>
      </c>
      <c r="D52" s="143" t="s">
        <v>211</v>
      </c>
      <c r="E52" s="144"/>
      <c r="F52" s="144"/>
      <c r="G52" s="144"/>
      <c r="H52" s="144"/>
      <c r="I52" s="144"/>
      <c r="J52" s="144"/>
      <c r="K52" s="144"/>
      <c r="L52" s="144"/>
      <c r="M52" s="147"/>
      <c r="N52" s="147"/>
    </row>
    <row r="53" spans="1:14" x14ac:dyDescent="0.3">
      <c r="A53" s="140" t="s">
        <v>359</v>
      </c>
      <c r="B53" s="139" t="s">
        <v>360</v>
      </c>
      <c r="C53" s="139">
        <v>3</v>
      </c>
      <c r="D53" s="143" t="s">
        <v>211</v>
      </c>
      <c r="E53" s="144"/>
      <c r="F53" s="144"/>
      <c r="G53" s="144"/>
      <c r="H53" s="144"/>
      <c r="I53" s="144"/>
      <c r="J53" s="144"/>
      <c r="K53" s="144"/>
      <c r="L53" s="144"/>
      <c r="M53" s="147"/>
      <c r="N53" s="147"/>
    </row>
    <row r="54" spans="1:14" x14ac:dyDescent="0.3">
      <c r="A54" s="140" t="s">
        <v>361</v>
      </c>
      <c r="B54" s="139" t="s">
        <v>362</v>
      </c>
      <c r="C54" s="139">
        <v>3</v>
      </c>
      <c r="D54" s="143" t="s">
        <v>211</v>
      </c>
      <c r="E54" s="144"/>
      <c r="F54" s="144"/>
      <c r="G54" s="144"/>
      <c r="H54" s="144"/>
      <c r="I54" s="144"/>
      <c r="J54" s="144"/>
      <c r="K54" s="144"/>
      <c r="L54" s="144"/>
      <c r="M54" s="147"/>
      <c r="N54" s="147"/>
    </row>
    <row r="55" spans="1:14" x14ac:dyDescent="0.3">
      <c r="A55" s="140" t="s">
        <v>363</v>
      </c>
      <c r="B55" s="139" t="s">
        <v>364</v>
      </c>
      <c r="C55" s="139">
        <v>3</v>
      </c>
      <c r="D55" s="143" t="s">
        <v>211</v>
      </c>
      <c r="E55" s="144"/>
      <c r="F55" s="144"/>
      <c r="G55" s="144"/>
      <c r="H55" s="144"/>
      <c r="I55" s="144"/>
      <c r="J55" s="144"/>
      <c r="K55" s="144"/>
      <c r="L55" s="144"/>
      <c r="M55" s="147"/>
      <c r="N55" s="147"/>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7" r:id="rId27" display="mailto:gupta.kaushal@epa.gov"/>
    <hyperlink ref="F24" r:id="rId28" display="mailto:gupta.kaushal@epa.gov"/>
    <hyperlink ref="F25" r:id="rId29" display="mailto:gupta.kaushal@epa.gov"/>
    <hyperlink ref="F37" r:id="rId30" display="mailto:gupta.kaushal@epa.gov"/>
    <hyperlink ref="F48" r:id="rId31" display="mailto:gupta.kaushal@epa.gov"/>
    <hyperlink ref="F12" r:id="rId32" display="mailto:oquendo.ana@epa.gov"/>
    <hyperlink ref="F13" r:id="rId33" display="mailto:oquendo.ana@epa.gov"/>
    <hyperlink ref="F20" r:id="rId34" display="mailto:oquendo.ana@epa.gov"/>
    <hyperlink ref="F26" r:id="rId35" display="mailto:oquendo.ana@epa.gov"/>
    <hyperlink ref="F35" r:id="rId36" display="mailto:oquendo.ana@epa.gov"/>
    <hyperlink ref="F41" r:id="rId37" display="mailto:oquendo.ana@epa.gov"/>
    <hyperlink ref="F43" r:id="rId38" display="mailto:oquendo.ana@epa.gov"/>
    <hyperlink ref="I12" r:id="rId39" display="mailto:shepherd.lorinda@epa.gov"/>
    <hyperlink ref="I13" r:id="rId40" display="mailto:shepherd.lorinda@epa.gov"/>
    <hyperlink ref="I20" r:id="rId41" display="mailto:shepherd.lorinda@epa.gov"/>
    <hyperlink ref="I26" r:id="rId42" display="mailto:shepherd.lorinda@epa.gov"/>
    <hyperlink ref="I35" r:id="rId43" display="mailto:shepherd.lorinda@epa.gov"/>
    <hyperlink ref="I41" r:id="rId44" display="mailto:shepherd.lorinda@epa.gov"/>
    <hyperlink ref="I43" r:id="rId45" display="mailto:shepherd.lorinda@epa.gov"/>
    <hyperlink ref="F7" r:id="rId46" display="mailto:glass.geoffrey@epa.gov"/>
    <hyperlink ref="I7" r:id="rId47" display="mailto:Gutierrez.roberto@epa.gov"/>
    <hyperlink ref="F9" r:id="rId48" display="mailto:glass.geoffrey@epa.gov"/>
    <hyperlink ref="F14" r:id="rId49" display="mailto:glass.geoffrey@epa.gov"/>
    <hyperlink ref="F30" r:id="rId50" display="mailto:glass.geoffrey@epa.gov"/>
    <hyperlink ref="I9" r:id="rId51" display="mailto:Gutierrez.roberto@epa.gov"/>
    <hyperlink ref="I14" r:id="rId52" display="mailto:Gutierrez.roberto@epa.gov"/>
    <hyperlink ref="I30" r:id="rId53" display="mailto:Gutierrez.roberto@epa.gov"/>
    <hyperlink ref="F6" r:id="rId54"/>
    <hyperlink ref="F15" r:id="rId55"/>
    <hyperlink ref="F39" r:id="rId56"/>
    <hyperlink ref="F47" r:id="rId57"/>
    <hyperlink ref="F8" r:id="rId58"/>
    <hyperlink ref="F21" r:id="rId59"/>
    <hyperlink ref="F33" r:id="rId60"/>
    <hyperlink ref="F38" r:id="rId61"/>
    <hyperlink ref="F44" r:id="rId62"/>
    <hyperlink ref="F19" r:id="rId63" display="mailto:webber.robert@epa.gov"/>
    <hyperlink ref="F27" r:id="rId64" display="mailto:webber.robert@epa.gov"/>
    <hyperlink ref="F29" r:id="rId65" display="mailto:webber.robert@epa.gov"/>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57</vt:i4>
      </vt:variant>
    </vt:vector>
  </HeadingPairs>
  <TitlesOfParts>
    <vt:vector size="69" baseType="lpstr">
      <vt:lpstr>Registration FAQs</vt:lpstr>
      <vt:lpstr>Instructions</vt:lpstr>
      <vt:lpstr>Inputs</vt:lpstr>
      <vt:lpstr>Controls and Restrictions</vt:lpstr>
      <vt:lpstr>Total Emissions</vt:lpstr>
      <vt:lpstr>Output-Summary Printout</vt:lpstr>
      <vt:lpstr>Change Log</vt:lpstr>
      <vt:lpstr>VOC and Solids Content Ranges</vt:lpstr>
      <vt:lpstr>Emission Factors</vt:lpstr>
      <vt:lpstr>Fuel Energy Content</vt:lpstr>
      <vt:lpstr>Additional References</vt:lpstr>
      <vt:lpstr>EPA Regional Contact Info</vt:lpstr>
      <vt:lpstr>Allowable_Coating_PM_Content</vt:lpstr>
      <vt:lpstr>Allowable_Coating_VOC_Content</vt:lpstr>
      <vt:lpstr>Allowable_Primer_PM_Content</vt:lpstr>
      <vt:lpstr>Allowable_Primer_VOC_Content</vt:lpstr>
      <vt:lpstr>Allowable_Solvent_VOC_Content</vt:lpstr>
      <vt:lpstr>Allowable_VOC_Limit_from_Coating_Operations</vt:lpstr>
      <vt:lpstr>Carbon_Adsorption_Default_CE</vt:lpstr>
      <vt:lpstr>Catalytic_Oxidation_Default_CE</vt:lpstr>
      <vt:lpstr>Cleaner_Density</vt:lpstr>
      <vt:lpstr>Cleaner_Gallons</vt:lpstr>
      <vt:lpstr>Cleaner_VOC_Content</vt:lpstr>
      <vt:lpstr>CO_PM10_Attainment_List</vt:lpstr>
      <vt:lpstr>Coating_Density</vt:lpstr>
      <vt:lpstr>Coating_Gallons</vt:lpstr>
      <vt:lpstr>Coating_Solids_Content</vt:lpstr>
      <vt:lpstr>Coating_Types</vt:lpstr>
      <vt:lpstr>Coating_VOC_Content</vt:lpstr>
      <vt:lpstr>Default_Capture_Efficiency</vt:lpstr>
      <vt:lpstr>Distillate_Oil_Actual_Sulfur_Content</vt:lpstr>
      <vt:lpstr>Distillate_Oil_Allowable_Sulfur_Content</vt:lpstr>
      <vt:lpstr>Hours_of_Operation</vt:lpstr>
      <vt:lpstr>LPG_Actual_Sulfur_Content</vt:lpstr>
      <vt:lpstr>LPG_Allowable_Sulfur_Content</vt:lpstr>
      <vt:lpstr>Max_Gallons_Cleaning_Solvent_per_Hour</vt:lpstr>
      <vt:lpstr>Max_Gallons_Coating_per_Hour</vt:lpstr>
      <vt:lpstr>Max_Gallons_Primer_per_Hour</vt:lpstr>
      <vt:lpstr>Natural_Gas_Actual_Sulfur_Content</vt:lpstr>
      <vt:lpstr>Natural_Gas_Allowable_Sulfur_Content</vt:lpstr>
      <vt:lpstr>Oven_Capacity</vt:lpstr>
      <vt:lpstr>Oven_Fuel</vt:lpstr>
      <vt:lpstr>Oven_Fuel_Combusted_2012</vt:lpstr>
      <vt:lpstr>Oven_Fuel_Type_List</vt:lpstr>
      <vt:lpstr>Ozone_Attainment_List</vt:lpstr>
      <vt:lpstr>PM_Control_Multiplier</vt:lpstr>
      <vt:lpstr>Primer_Density</vt:lpstr>
      <vt:lpstr>Primer_Gallons</vt:lpstr>
      <vt:lpstr>Primer_Solids_Content</vt:lpstr>
      <vt:lpstr>Primer_Types</vt:lpstr>
      <vt:lpstr>Primer_VOC_Content</vt:lpstr>
      <vt:lpstr>'Controls and Restrictions'!Print_Area</vt:lpstr>
      <vt:lpstr>Inputs!Print_Area</vt:lpstr>
      <vt:lpstr>Instructions!Print_Area</vt:lpstr>
      <vt:lpstr>'Output-Summary Printout'!Print_Area</vt:lpstr>
      <vt:lpstr>'Registration FAQs'!Print_Area</vt:lpstr>
      <vt:lpstr>Recovered_Cleaner_Gallons</vt:lpstr>
      <vt:lpstr>SO2_PM25_Attainment_List</vt:lpstr>
      <vt:lpstr>Solvent_Density</vt:lpstr>
      <vt:lpstr>Solvent_VOC_Content</vt:lpstr>
      <vt:lpstr>Spray_Type_List</vt:lpstr>
      <vt:lpstr>State_List</vt:lpstr>
      <vt:lpstr>Sulfur_Content</vt:lpstr>
      <vt:lpstr>Surface_Coating_Operation_Type_List</vt:lpstr>
      <vt:lpstr>Thermal_Oxidation_Default_CE</vt:lpstr>
      <vt:lpstr>VOC_Control_Device_List</vt:lpstr>
      <vt:lpstr>VOC_Control_Multiplier</vt:lpstr>
      <vt:lpstr>Yes_No_Oven_List</vt:lpstr>
      <vt:lpstr>Yes_No_PM_Control_List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2013-02-16T00:46:00Z</cp:lastPrinted>
  <dcterms:created xsi:type="dcterms:W3CDTF">1999-01-25T20:14:01Z</dcterms:created>
  <dcterms:modified xsi:type="dcterms:W3CDTF">2016-02-03T18:01:50Z</dcterms:modified>
</cp:coreProperties>
</file>